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olicitud de eventos" sheetId="1" r:id="rId4"/>
    <sheet state="visible" name="2021-01" sheetId="2" r:id="rId5"/>
    <sheet state="visible" name="2021-03" sheetId="3" r:id="rId6"/>
    <sheet state="visible" name="Solicitud de recursos" sheetId="4" r:id="rId7"/>
    <sheet state="visible" name="Busqueda Eventos" sheetId="5" r:id="rId8"/>
    <sheet state="visible" name="Calificación" sheetId="6" r:id="rId9"/>
    <sheet state="hidden" name="Hoja 4" sheetId="7" r:id="rId10"/>
  </sheets>
  <definedNames>
    <definedName hidden="1" localSheetId="0" name="_xlnm._FilterDatabase">'Solicitud de eventos'!$A$1:$AC$1619</definedName>
    <definedName hidden="1" localSheetId="1" name="_xlnm._FilterDatabase">'2021-01'!$A$1:$AC$914</definedName>
    <definedName hidden="1" localSheetId="2" name="_xlnm._FilterDatabase">'2021-03'!$J$1:$J$1001</definedName>
    <definedName hidden="1" localSheetId="0" name="Z_438F6294_7F32_4E6C_A7A2_5C539AC00C47_.wvu.FilterData">'Solicitud de eventos'!$A$1:$AA$1619</definedName>
    <definedName hidden="1" localSheetId="0" name="Z_2A97E90B_7D6B_495E_8431_BBC98729BC0E_.wvu.FilterData">'Solicitud de eventos'!$A$1:$AA$1619</definedName>
    <definedName hidden="1" localSheetId="0" name="Z_AEB9E0ED_21C5_419D_9CD5_8B6C006F6012_.wvu.FilterData">'Solicitud de eventos'!$A$1:$AC$1619</definedName>
  </definedNames>
  <calcPr/>
  <customWorkbookViews>
    <customWorkbookView activeSheetId="0" maximized="1" windowHeight="0" windowWidth="0" guid="{2A97E90B-7D6B-495E-8431-BBC98729BC0E}" name="Filtro 1"/>
    <customWorkbookView activeSheetId="0" maximized="1" windowHeight="0" windowWidth="0" guid="{438F6294-7F32-4E6C-A7A2-5C539AC00C47}" name="Filtro 2"/>
    <customWorkbookView activeSheetId="0" maximized="1" windowHeight="0" windowWidth="0" guid="{AEB9E0ED-21C5-419D-9CD5-8B6C006F6012}" name="Filtro 3"/>
  </customWorkbookViews>
</workbook>
</file>

<file path=xl/comments1.xml><?xml version="1.0" encoding="utf-8"?>
<comments xmlns:r="http://schemas.openxmlformats.org/officeDocument/2006/relationships" xmlns="http://schemas.openxmlformats.org/spreadsheetml/2006/main">
  <authors>
    <author/>
  </authors>
  <commentList>
    <comment authorId="0" ref="S12">
      <text>
        <t xml:space="preserve">La persona que ha respondido ha actualizado este valor.</t>
      </text>
    </comment>
    <comment authorId="0" ref="M45">
      <text>
        <t xml:space="preserve">La persona que ha respondido ha actualizado este valor.</t>
      </text>
    </comment>
  </commentList>
</comments>
</file>

<file path=xl/sharedStrings.xml><?xml version="1.0" encoding="utf-8"?>
<sst xmlns="http://schemas.openxmlformats.org/spreadsheetml/2006/main" count="43192" uniqueCount="6173">
  <si>
    <t>NO</t>
  </si>
  <si>
    <t>Marca temporal</t>
  </si>
  <si>
    <t>Dirección de correo electrónico</t>
  </si>
  <si>
    <t>Nombre del grupo</t>
  </si>
  <si>
    <t>Responsable(s)</t>
  </si>
  <si>
    <t>Nombre del evento</t>
  </si>
  <si>
    <t>Descripción del evento</t>
  </si>
  <si>
    <t>Fecha y hora de inicio del evento</t>
  </si>
  <si>
    <t>Fecha y hora de finalización del evento</t>
  </si>
  <si>
    <t>Categoria</t>
  </si>
  <si>
    <t>Tipo de evento</t>
  </si>
  <si>
    <t>¿Cual evento institucional?</t>
  </si>
  <si>
    <t>¿Cual evento de Bienestar Universitario?</t>
  </si>
  <si>
    <t>¿Posee invitados?</t>
  </si>
  <si>
    <t>Información de invitados</t>
  </si>
  <si>
    <t>¿Alguno de sus invitados es local?</t>
  </si>
  <si>
    <t>¿Cuantos invitados locales?</t>
  </si>
  <si>
    <t>¿Alguno de sus invitados es nacional?</t>
  </si>
  <si>
    <t>¿Cuantos invitados nacionales?</t>
  </si>
  <si>
    <t>¿Alguno de sus invitados es internacional?</t>
  </si>
  <si>
    <t>¿Cuantos invitados internacionales?</t>
  </si>
  <si>
    <t>Link del evento</t>
  </si>
  <si>
    <t>COMENTARIOS</t>
  </si>
  <si>
    <t>Estado</t>
  </si>
  <si>
    <t xml:space="preserve">Enviar correo?
</t>
  </si>
  <si>
    <t>Notas importantes (Internas) ORIETA</t>
  </si>
  <si>
    <t>Notas Luz</t>
  </si>
  <si>
    <t>GUN-10001</t>
  </si>
  <si>
    <t>aneicunorte@uninorte.edu.co</t>
  </si>
  <si>
    <t>ANEIC</t>
  </si>
  <si>
    <t>Marianellaa Gutierrez Ortega - marianellagutierrez@uninorte.edu.co - 3135713017</t>
  </si>
  <si>
    <t>Análisis de Datos Hidrológicos con Python</t>
  </si>
  <si>
    <t>Realización de un taller básico de Python para el análisis de datos hidrológicos, a cargo del Ingeniero Alexander Alberto Montalvo Molina, profesor del departamento de ingeniería Civil</t>
  </si>
  <si>
    <t>Capacitaciones</t>
  </si>
  <si>
    <t>Virtual</t>
  </si>
  <si>
    <t>No</t>
  </si>
  <si>
    <t>Se aprueba evento</t>
  </si>
  <si>
    <t>APROBADO</t>
  </si>
  <si>
    <t>GUN-10002</t>
  </si>
  <si>
    <t>Daniela Ortega Arias  - ariasdaniela@uninorte.edu.co - 3017305762</t>
  </si>
  <si>
    <t>III Semana del Concreto</t>
  </si>
  <si>
    <t>Ciclo de conferencias, talleres y concursos cuyo eje gira en torno a concreto, sus usos y demás temas de interés que este material genera en los estudiantes de Ingeniería Civil</t>
  </si>
  <si>
    <t>10/4/0201 6:30:00</t>
  </si>
  <si>
    <t>Evento abierto</t>
  </si>
  <si>
    <t>https://uninorte.zoom.us/j/3299010108</t>
  </si>
  <si>
    <t>GUN-10003</t>
  </si>
  <si>
    <t>cem@uninorte.edu.co</t>
  </si>
  <si>
    <t>CEM UNINORTE</t>
  </si>
  <si>
    <t>Álvaro Enrique Pabuena Bello - apabuena@uninorte.edu.co - 3007150099</t>
  </si>
  <si>
    <t>No necesitas pólvora para brillar</t>
  </si>
  <si>
    <t>Se realizó un video con el apoyo de la Oficial Nacional del comité CPAIS-SCOPH y diferentes Oficiales y co-oficiales de varias asociaciones locales en el cual brindamos un mensaje de concientización sobre el uso de la pólvora e informamos sobre las consecuencias que esta puede generar si se da un mal uso, con el fin de que las personas que lo vieran tomaran conciencia para que así pudieran disfrutar de unas fiestas navideñas sin su uso, porque NO se necesita pólvora para brillar.</t>
  </si>
  <si>
    <t>Campañas en redes sociales</t>
  </si>
  <si>
    <t>GUN-10004</t>
  </si>
  <si>
    <t>Sariana Pérez Salgado - sarianap@.uninorte.edu.co - 3104201106
Laura Margarita Tinoco Gloria - lmtinoco@uninorte.edu.co - 3015042428</t>
  </si>
  <si>
    <t>Día Internacional de la no violencia contra lxs trabajadorxs sexuales</t>
  </si>
  <si>
    <t xml:space="preserve">junto a SCORA realizamos una infografía donde explicamos el por qué se conmemora este día,  las estadísticas relacionadas a la violencia que sufren lxs trabajadores sexuales, los problemas de salud, condiciones laborales y la orientación terminológica. También hicimos una trivia interactiva que compartimos por historias de instagram de nuestra AL en donde tocamos los temas anteriormente mencionados  </t>
  </si>
  <si>
    <t>GUN-10005</t>
  </si>
  <si>
    <t>Sariana Pérez Salgado - sarianap@.uninorte.edu.co - 3104201106</t>
  </si>
  <si>
    <t>Navidad es regalar sonrisas</t>
  </si>
  <si>
    <t>Realizamos una rifa de una ancheta navideña e hicimos una recolección de donaciones, para recaudar los regalos de navidad que entregamos de navidad a niños y niñas de escasos recursos en Santa Lucía y Manatí</t>
  </si>
  <si>
    <t>Proyecto de intervención social</t>
  </si>
  <si>
    <t>Presencial</t>
  </si>
  <si>
    <t>GUN-10006</t>
  </si>
  <si>
    <t>Marianella Gutiérrez Ortega - marianellagutierrez@uninorte.edu.co - 3135713017</t>
  </si>
  <si>
    <t>Conferencia: Manejo Sostenible de Aguas Lluvias - Celdas Aquacell.</t>
  </si>
  <si>
    <t>Conferencia descriptiva a cargo de la ingeniera Angela María Donoso Rojas, Jefe Técnica GRP de PAVCO, donde se estará hablando de unos nuevos sistemas de recolección de lluvia diseñados y producidos por PAVCO.</t>
  </si>
  <si>
    <t>Reporte recibido</t>
  </si>
  <si>
    <t>GUN-10007</t>
  </si>
  <si>
    <t>pinzonja@uninorte.edu.co</t>
  </si>
  <si>
    <t>CEIM UNINORTE</t>
  </si>
  <si>
    <t>Ana Milena Manjarres, anamanjarres@uninorte.edu.co</t>
  </si>
  <si>
    <t>MEMES</t>
  </si>
  <si>
    <t>Se busca que la comunidad presente más interacción con la página de instagram del grupo por medio de memes en los cuales se evidencien conocimientos relacionados con le programa académico</t>
  </si>
  <si>
    <t>Publicaciones</t>
  </si>
  <si>
    <t>GUN-10008</t>
  </si>
  <si>
    <t>Laura Margarita Tinoco Gloria - lmtinoco@uninorte.edu.co - 3015042428</t>
  </si>
  <si>
    <t xml:space="preserve">International Hugging Day </t>
  </si>
  <si>
    <t xml:space="preserve">Se realizó una pequeña infografía que brindaba contexto sobre el origen de la celebración y se invitó al público a que compartieran una foto con un ser querido y una razón por la cual lx abraza desde la distancia. Esta actividad se realizó junto a SCORA CEM UNILIBRE, donde repartimos entre las dos AL las responsabilidades (búsqueda de información, diseño de la publicidad e infografía, solicitud de avales y realización de informes) </t>
  </si>
  <si>
    <t>Se aprueba actividad</t>
  </si>
  <si>
    <t>GUN-10009</t>
  </si>
  <si>
    <t>ceriuninorte@uninorte.edu.co</t>
  </si>
  <si>
    <t>CERI</t>
  </si>
  <si>
    <t>Sofía María Martínez Quintero, sofiaq@uninorte.edu.co, 3043869773</t>
  </si>
  <si>
    <t>Post en instagram</t>
  </si>
  <si>
    <t xml:space="preserve">Post en instagram que destaca que la junta directiva del grupo terminó de elaborar el Plan de Acción para el primer semestre de 2021. </t>
  </si>
  <si>
    <t>GUN-10010</t>
  </si>
  <si>
    <t>¡No discapacidad, sí diversidad!</t>
  </si>
  <si>
    <t>Junto a CEM unilibre y CEM unisimón, realizamos una charla interactiva que tenía como tema central cómo se ve afectada la salud mental de las personas en situación de discapacidad debido a su entorno. Fue dirigida por Sariana Pérez y  contamos con 2 invitados especiales: Shaily torné (psicóloga) y Alexandro Durán (persona en situación de discapacidad), quienes dictaron esta charla y nos contaron su propia experiencia</t>
  </si>
  <si>
    <t>GUN-10011</t>
  </si>
  <si>
    <t>Día internacional de la educación</t>
  </si>
  <si>
    <t>Se publicó una infografía sobre la importancia de este día, las estadísticas, lo que se logra al permitir el acceso de millones de niños a la educación, entre otros temas</t>
  </si>
  <si>
    <t>GUN-10012</t>
  </si>
  <si>
    <t>Nayelis Esther Meléndez Bertel</t>
  </si>
  <si>
    <t xml:space="preserve">Infografía </t>
  </si>
  <si>
    <t>Publicación en instagram sobre los 17 decretos firmados por Biden</t>
  </si>
  <si>
    <t>GUN-10013</t>
  </si>
  <si>
    <t>juventudescriticas@uninorte.edu.co</t>
  </si>
  <si>
    <t>JUVENTUDES CRITICAS</t>
  </si>
  <si>
    <t>Ruth Fontalvo, rmfontalvo@uninorte.edu.co, 3043870920</t>
  </si>
  <si>
    <t xml:space="preserve">Feliz y exitoso semestre </t>
  </si>
  <si>
    <t>Desear un feliz inicio de semestre a través de las historias de Instagram</t>
  </si>
  <si>
    <t>GUN-10014</t>
  </si>
  <si>
    <t>cosmopoliticaun@uninorte.edu.co</t>
  </si>
  <si>
    <t>COSMOPOLITICA</t>
  </si>
  <si>
    <t>Isabella Cantillo
300 8058839
isabellacantillo@uninorte.edu.co</t>
  </si>
  <si>
    <t>Presentación de la Junta Directiva 2021-01</t>
  </si>
  <si>
    <t>Con el objetivo de que las personas conozcan quiénes están en la junta directiva de Cosmopolítica 2021-01, se presenta a la presidente, al vicepresidente, y a cada uno de los directores de los tres comités del grupo estudiantil en la página de Instagram (@cosmopoliticaun). Se publica una foto de ellos, su nombre, edad, el semestre y la carrera que cursan, el cargo que ocupan en el grupo y 3 cualidad con las que se caractericen. Esta información se sube a la red social en modo de formato 3x2 en 6 publicaciones.</t>
  </si>
  <si>
    <t>Recibido reporte de evento</t>
  </si>
  <si>
    <t>GUN-10015</t>
  </si>
  <si>
    <t>Isabella Rodríguez</t>
  </si>
  <si>
    <t>Trivia día mundial de la Lepra</t>
  </si>
  <si>
    <t>Se realizó una trivia en la Plataforma Quizzzis para recordar algunos puntos importantes de esta enfermedad, y de esa manera ayudar en la educación de los participantes.</t>
  </si>
  <si>
    <t>GUN-10016</t>
  </si>
  <si>
    <t>Conmemoración víctimas del holocausto</t>
  </si>
  <si>
    <t>Se publicó una infografía sobre la conmemoración de este día, donde había un collage con fotos de participantes de nuestr AL con el #WeRemember, en memoria de las víctimas</t>
  </si>
  <si>
    <t>GUN-10017</t>
  </si>
  <si>
    <t>Ruth Fontalvo, rmfontalvo@uninorte.edu.co, 3043870920; Laura Jaramillo, laurarendon@uninorte.edu.co, 3008261933</t>
  </si>
  <si>
    <t>¿Te has enterado? Vacunación contra el Covid-19</t>
  </si>
  <si>
    <t xml:space="preserve">Exponer el proceso de inmunización en Colombia. Si bien el programa de vacunación cuenta con una fecha de inicio, aún hay muchas dudas en la ciudadanía sobre la totalidad de la campaña. </t>
  </si>
  <si>
    <t>GUN-10018</t>
  </si>
  <si>
    <t>Ruth María Fontalvo Jiménez, rmfontalvo@uninorte.edu.co, 3043870920; Laura Jaramillo Rendon, laurarendon@uninorte.edu.co, 3008261933</t>
  </si>
  <si>
    <t>¿TE HAS ENTERADO?</t>
  </si>
  <si>
    <t>Post informativo en Instagram, publicado todos los miércoles, con el fin de exponer detalles importantes de una noticia reciente o evento coyuntural a nivel nacional e internacional.</t>
  </si>
  <si>
    <t>GUN-10019</t>
  </si>
  <si>
    <t>jovanav@uninorte.edu.co</t>
  </si>
  <si>
    <t>Catalina La Grand Salazar Pedraza
csalazarl@uninorte.edu.co
321 7548635</t>
  </si>
  <si>
    <t>Presentación de la programación para la feria a la junta directiva</t>
  </si>
  <si>
    <t xml:space="preserve">La directora del comité de logística y eventos, encargada de las actividades para la feria Vive Uninorte 2021-01, explicó la programación y las actividades que se tendrán contempladas para la participación de Cosmopolitica en los 3 días de la feria, de modo que se discutió con los demás directores, el vicepresidente y la presidente del grupo estudiantil y se llegó a acuerdos para presentar la programación a Bienestar </t>
  </si>
  <si>
    <t>Actividades internas</t>
  </si>
  <si>
    <t>GUN-10020</t>
  </si>
  <si>
    <t>Valentina Isabel Montes Osorio, vimontes@uninorte.edu.co , 3228369150</t>
  </si>
  <si>
    <t>Video de Youtube</t>
  </si>
  <si>
    <t xml:space="preserve">Subiremos un video que muestra algunas de las actividades que se han hecho como comité y al final hacemos una invitación para que se unan. 
El tiempo que colocamos en finalización es el tiempo que estimamos que se demora en subir, la publicación quedara allí. </t>
  </si>
  <si>
    <t>GUN-10021</t>
  </si>
  <si>
    <t>Primera reunión interna</t>
  </si>
  <si>
    <t>Reunión en la cual se presentará a todos los miembros el plan de acción elaborado por la junta directiva, y la organización interna del grupo.</t>
  </si>
  <si>
    <t>GUN-10022</t>
  </si>
  <si>
    <t>pangea@uninorte.edu.co</t>
  </si>
  <si>
    <t>PANGEA</t>
  </si>
  <si>
    <t>Isabella Gonzalez, isabellatorres@uninorte.edu.co , 3135806828</t>
  </si>
  <si>
    <t xml:space="preserve">Reunion semanal </t>
  </si>
  <si>
    <t xml:space="preserve">Primera reunion de bienvenida donde se establecerán las reglas y dinamica del grupo para el semestre  </t>
  </si>
  <si>
    <t>GUN-10023</t>
  </si>
  <si>
    <t>Ruth Fontalvo, rmfontalvo@uninorte.edu.co, 3043870920; Nicolás Romero, enromero@uninorte.edu.co, 3003258386; Laura Jaramillo, laurarendon@uninorte.edu.co, 3008261933</t>
  </si>
  <si>
    <t>#Efemérides</t>
  </si>
  <si>
    <t xml:space="preserve">
Conjunto de acontecimientos históricos ocurridos en la misma fecha.</t>
  </si>
  <si>
    <t>GUN-10024</t>
  </si>
  <si>
    <t>#Curiosidades</t>
  </si>
  <si>
    <t xml:space="preserve">
Conjunto de acontecimientos históricos ocurridos en la semana a través de las historias de Instagram</t>
  </si>
  <si>
    <t>GUN-10025</t>
  </si>
  <si>
    <t>circulokdharma@uninorte.edu.co</t>
  </si>
  <si>
    <t>CIRCULO KDHARMA</t>
  </si>
  <si>
    <t>Andrea Lucía Paternina Tordecilla
tordecillaa@uninorte.edu.co
3013493143</t>
  </si>
  <si>
    <t>Bienvenida 2021-10</t>
  </si>
  <si>
    <t>Se le dará la bienvenida a los voluntarios por parte de la Junta Directiva, se socializarán las actividades de cada comité y finalmente se harán unos juegos de integración.</t>
  </si>
  <si>
    <t>GUN-10026</t>
  </si>
  <si>
    <t>Juliana Paola Martínez Rivera - pjrivera@uninorte.edu.co - 3233630369</t>
  </si>
  <si>
    <t>Reunión 001 - CEM UNINORTE</t>
  </si>
  <si>
    <t>Se realizó la primera reunión del comité con la asamblea general para tratar diferentes puntos sobre las actividades de los sub comité, la presentación de consejo y junta directiva, y la bienvenida a nuevos miembros</t>
  </si>
  <si>
    <t>GUN-10027</t>
  </si>
  <si>
    <t>grupoestfeminun@uninorte.edu.co</t>
  </si>
  <si>
    <t>FEMINUN</t>
  </si>
  <si>
    <t xml:space="preserve">Samantha Sofía de Jesús Castro Granados, samanthac@uninorte.edu.co, 3016202938
Xenia Paola Arellano Tamayo, xarellano@uninorte.edu.co, 3054706367 
</t>
  </si>
  <si>
    <t>Campaña Mutilación Genital Femenina</t>
  </si>
  <si>
    <t xml:space="preserve">Campaña en Instagram. Se realizaron seis publicaciones, una dinámica en historias y un IGTV en conjunto con el CEM con información sobre la mutilación genital femenina durante esa semana. </t>
  </si>
  <si>
    <t>TERMINADO</t>
  </si>
  <si>
    <t>GUN-10028</t>
  </si>
  <si>
    <t>equn@uninorte.edu.co</t>
  </si>
  <si>
    <t>EQUN</t>
  </si>
  <si>
    <t>Alisson Andrea Abello Escorcia (GRUPO EQUN) - 3113858638</t>
  </si>
  <si>
    <t>Participación feria Bienestar</t>
  </si>
  <si>
    <t>Estaremos 3 días participando con dinámicas y actividades en la feria Vive Bienestar 2021-100</t>
  </si>
  <si>
    <t>Eventos de Bienestar Universitario</t>
  </si>
  <si>
    <t>Feria Vive Uninorte</t>
  </si>
  <si>
    <t>GUN-10029</t>
  </si>
  <si>
    <t>#LunesDeTrivia</t>
  </si>
  <si>
    <t>Serie de preguntas en el marco de un tema en específico a través de las historias de Instagram</t>
  </si>
  <si>
    <t>GUN-10030</t>
  </si>
  <si>
    <t xml:space="preserve">Lunes de Trivia </t>
  </si>
  <si>
    <t xml:space="preserve">Serie de preguntas en el marco de las protestas en contra del Kremlin y a favor de Alexei Navalny, a través de las historias de Instagram </t>
  </si>
  <si>
    <t>GUN-10031</t>
  </si>
  <si>
    <t>ceimun@uninorte.edu.co</t>
  </si>
  <si>
    <t>Carlos Ricardo Jimenez, cjimenezr@uninorte.edu.co.</t>
  </si>
  <si>
    <t>Reunión División Capitulo ASME</t>
  </si>
  <si>
    <t>Integración con todos los miembros de la división para acordar y organizar todas las actividades a realizar!</t>
  </si>
  <si>
    <t>GUN-10032</t>
  </si>
  <si>
    <t>ieee@uninorte.edu.co</t>
  </si>
  <si>
    <t>IEEE</t>
  </si>
  <si>
    <t>Ludys Maria Fontalvo Escorcia, ludysf@uninorte.edu.co, 3003249844</t>
  </si>
  <si>
    <t>Generadores síncronos en la industria</t>
  </si>
  <si>
    <t>Charla que abordará las generalidades de las centrales de bombeo, con énfasis en su equipos electromecánicos y la presentación también de su integración con energía eólica en un caso exitoso.</t>
  </si>
  <si>
    <t>GUN-10033</t>
  </si>
  <si>
    <t>¿Te has enterado? Golpe de Estado en Myanmar</t>
  </si>
  <si>
    <t>Exponer la noticia del golpe de Estado en Myanmar, orquestado por miembros del Ejército Nacional.</t>
  </si>
  <si>
    <t>GUN-10034</t>
  </si>
  <si>
    <t>Cristian Andrés Torres Monterrosa , camonterroza@uninorte.edu.co - 3015467411</t>
  </si>
  <si>
    <t>Reunion interna comité de redacción</t>
  </si>
  <si>
    <t>Reunión interna para hablar sobre lo que se estará realizando en el subcomité de redacción a lo largo del semestre</t>
  </si>
  <si>
    <t>GUN-10035</t>
  </si>
  <si>
    <t>Camilo Andrés Acosta Mesa - cmesaa@uninorte.edu.co - 3235365741</t>
  </si>
  <si>
    <t>Reunión Junta Directiva 2021</t>
  </si>
  <si>
    <t xml:space="preserve">Reunión con los integrantes de la junta directiva para organizar eventos internos a realizar a lo largo de este mes. </t>
  </si>
  <si>
    <t>GUN-10036</t>
  </si>
  <si>
    <t>Actividad de integración</t>
  </si>
  <si>
    <t>El dpto de rr.hh realizará una integración con los miembros del grupo</t>
  </si>
  <si>
    <t>GUN-10037</t>
  </si>
  <si>
    <t xml:space="preserve">Reunion por subcomites </t>
  </si>
  <si>
    <t xml:space="preserve">Se realizará una reunion para explicar el funcionamiento de esta subdivision del grupo. </t>
  </si>
  <si>
    <t>GUN-10038</t>
  </si>
  <si>
    <t>uninortediverso@uninorte.edu.co</t>
  </si>
  <si>
    <t>UNINORTE DIVERSO</t>
  </si>
  <si>
    <t>Alberto Mario Solis Marte, amsolis@uninorte.edu.co, 3008685801</t>
  </si>
  <si>
    <t>Reunión junta directiva</t>
  </si>
  <si>
    <t>Reunión de organización y planeación entre los miembros de la junta.</t>
  </si>
  <si>
    <t>GUN-10039</t>
  </si>
  <si>
    <t>Yuliana Martínez
ybmartinez@uninorte.edu.co
3015351109</t>
  </si>
  <si>
    <t xml:space="preserve">Reunión comité de Relaciones Públicas </t>
  </si>
  <si>
    <t xml:space="preserve">Primera reunión del comité de Relaciones públicas. </t>
  </si>
  <si>
    <t>GUN-10040</t>
  </si>
  <si>
    <t>vmorelo@uninorte.edu.co</t>
  </si>
  <si>
    <t>CREATEC</t>
  </si>
  <si>
    <t>Danna Guzmán, dannaguzman@uninorte.edu.co
3016663470</t>
  </si>
  <si>
    <t xml:space="preserve">Challenge Createc </t>
  </si>
  <si>
    <t>dibujar a partir de un objeto particular, mostrando el proceso.</t>
  </si>
  <si>
    <t>GUN-10041</t>
  </si>
  <si>
    <t>Isabella Gonzalez, isabellatorres@uninorte.edu.co, 3135806828</t>
  </si>
  <si>
    <t>Asamblea general</t>
  </si>
  <si>
    <t xml:space="preserve">La reunión del viernes se basara en contar los planes para este semestre de cada uno de los dptos. </t>
  </si>
  <si>
    <t>GUN-10042</t>
  </si>
  <si>
    <t>Ruth María Fontalvo Jiménez, rmfontalvo@uninorte.edu.co, 3043870920; Laura Jaramillo Rendon, laurarendon@uninorte.edu.co, 3008261933; Andrés David Ramirez Ruiz, randres@uninorte.edu.co, 3174328241</t>
  </si>
  <si>
    <t>¿Sabías qué? #Historia</t>
  </si>
  <si>
    <t xml:space="preserve">Post en Instagram sobre una recopilación de acontecimientos históricos ocurridos durante la semana. Se publica todos los viernes. </t>
  </si>
  <si>
    <t>GUN-10043</t>
  </si>
  <si>
    <t>Alvaro Enrique Pabuena Bello - apabuena@uninorte.edu.co - 3007150099</t>
  </si>
  <si>
    <t>Testimonios de esperanza</t>
  </si>
  <si>
    <t>La actividad se realizó con otras universidades aliadas, como Unilibre, Unisimón, Unisinú, Uninúñez, y consistía en que varias personas sobrevivientes de cáncer o cuyos familiares hayan padecido de cáncer contaran el testimonio de todo el proceso con esta enfermedad. Al finalizar, se hizo una charla con una psicóloga invitada sobre cáncer y salud mental.</t>
  </si>
  <si>
    <t>Eventos masivos</t>
  </si>
  <si>
    <t xml:space="preserve">APROBADO </t>
  </si>
  <si>
    <t>GUN-10044</t>
  </si>
  <si>
    <t>felinorte@uninorte.edu.co</t>
  </si>
  <si>
    <t>FELINORTE</t>
  </si>
  <si>
    <t>Juliana Rocio Pugliese Molinares</t>
  </si>
  <si>
    <t>Reunión de censo</t>
  </si>
  <si>
    <t>Actividad más retroalimentación</t>
  </si>
  <si>
    <t>GUN-10045</t>
  </si>
  <si>
    <t xml:space="preserve">
Conjunto de acontecimientos históricos relevantes que ocurrieron durante la semana </t>
  </si>
  <si>
    <t>GUN-10046</t>
  </si>
  <si>
    <t>innova@uninorte.edu.co</t>
  </si>
  <si>
    <t>INNOVA UN</t>
  </si>
  <si>
    <t>Nombre completo: Juan Carlos Ugarriza Verbel 
Correo Electrónico: jcugarriza@uninorte.edu.co
Teléfono: 3175128654</t>
  </si>
  <si>
    <t xml:space="preserve">Reunión Junta Directiva InNova </t>
  </si>
  <si>
    <t xml:space="preserve">Evento realizado con el fin de darle la bienvenida a los Auxiliares InNova 2021-10 y finiquitar la planificación del stand virtual para la Feria Vive Uninorte </t>
  </si>
  <si>
    <t>GUN-10047</t>
  </si>
  <si>
    <t>Andrea Lucia Paternina Tordecilla
tordecillaa@uninorte.edu.co
3013493143</t>
  </si>
  <si>
    <t xml:space="preserve">Reunión por comité </t>
  </si>
  <si>
    <t>Cada comité se reunirá por separado para socializar el plan de acción detallado de cada uno y resolver las dudas existentes.</t>
  </si>
  <si>
    <t>GUN-10048</t>
  </si>
  <si>
    <t>Post en Facebook</t>
  </si>
  <si>
    <t>Meme relacionado con asuntos de nuestra carrera para atraer mayor público a la pagina de Facebook.</t>
  </si>
  <si>
    <t>GUN-10049</t>
  </si>
  <si>
    <t>amsolis@uninorte.edu.co</t>
  </si>
  <si>
    <t>Alberto Mario Solis Martes, amsolis@uninorte.edu.co, 3008685801</t>
  </si>
  <si>
    <t>Publicidad feria</t>
  </si>
  <si>
    <t xml:space="preserve">Publicidad para la feria Vive uninorte cuyo objetivo es atraer a los estudiantes para que se interesen por el grupo. </t>
  </si>
  <si>
    <t>GUN-10050</t>
  </si>
  <si>
    <t>GUN-10051</t>
  </si>
  <si>
    <t>Conócenos y contágiate de la emoción de ser parte de JC</t>
  </si>
  <si>
    <t>Invitar a los estudiantes a asistir a la Feria Vive Uninorte y visitar el stand de Juventudes Críticas</t>
  </si>
  <si>
    <t>GUN-10052</t>
  </si>
  <si>
    <t>alissona@uninorte.edu.co</t>
  </si>
  <si>
    <t>Alisson Abello Escorcia - alissona@uninorte.edu.co, 3113858638</t>
  </si>
  <si>
    <t>Reunión general de planeación 2021-10</t>
  </si>
  <si>
    <t xml:space="preserve">Se realizó la primera reunión del grupo en donde se trataron diversos temas como la nueva estructuración del grupo, nuevos cargos, líderes, comités, y lluvia de ideas para el semestre. </t>
  </si>
  <si>
    <t>GUN-10053</t>
  </si>
  <si>
    <t>Cristian Andres Torres Monterroza , 3015467411 -  camonterroza@uninorte.edu.co</t>
  </si>
  <si>
    <t>Publicación en Gazeta</t>
  </si>
  <si>
    <t xml:space="preserve">Análisis sobre la situación de las vacunas en la region caribe </t>
  </si>
  <si>
    <t>GUN-10054</t>
  </si>
  <si>
    <t>Invitación a la Feria Vive Uninorte</t>
  </si>
  <si>
    <t>Un mosaico en Instagram invitando a los estudiantes a visitar el stand de Juventudes Críticas</t>
  </si>
  <si>
    <t>GUN-10055</t>
  </si>
  <si>
    <t>Nayelis Meléndez Bertel; mnayelis@uninorte.edu.co; 3003963505</t>
  </si>
  <si>
    <t xml:space="preserve">Infografía tema especifico </t>
  </si>
  <si>
    <t xml:space="preserve">Publicación en redes sociales sobre un tema especifico, un personaje histórico o un dato curioso el cual se relaciona con la carrera. Esto permite analizar y reflexionar desde las bases y conceptos de las RR.II  </t>
  </si>
  <si>
    <t>GUN-10056</t>
  </si>
  <si>
    <t>Valentina Montes Osorio, vimontes@uninorte.edu.co, 3228369150</t>
  </si>
  <si>
    <t xml:space="preserve">Publicidad de la feria </t>
  </si>
  <si>
    <t>Subir historias y publicidad para que la gente se una a nuestro Stand en la feria.</t>
  </si>
  <si>
    <t>GUN-10057</t>
  </si>
  <si>
    <t>Jovana Cristina Velazco Hernandez</t>
  </si>
  <si>
    <t>Reunión de junta directiva 2021-I</t>
  </si>
  <si>
    <t>Preparación y socialización de la dinámica del stand de Cosmopolítica para la Feria Vive Uninorte</t>
  </si>
  <si>
    <t>GUN-10058</t>
  </si>
  <si>
    <t>Ruth María Fontalvo Jiménez, rmfontalvo@uninorte.edu.co, 3043870920
Marlon Camilo Barros Herrera, marloncb@uninorte.edu.co, 3175714852</t>
  </si>
  <si>
    <t xml:space="preserve">Vacunación y transparencia </t>
  </si>
  <si>
    <t>La incertidumbre acerca el proceso de inmunización en Colombia ha generado un ambiente de preocupación a lo largo del país. El evento "Vacunación y transparencia" busca brindar más claridad en cuanto al plan de vacunación y lo que se conoce sobre fechas y contratos para las vacunas contra el Covid-19.</t>
  </si>
  <si>
    <t>Sí</t>
  </si>
  <si>
    <t>https://drive.google.com/open?id=19-fuG-Le7D_76n2LOBYEcbmwPs1gBp_t</t>
  </si>
  <si>
    <t>GUN-10059</t>
  </si>
  <si>
    <t>lmtinoco@uninorte.edu.co</t>
  </si>
  <si>
    <t>Laura Tinoco - 3015042428
Juliana Martínez - 3233630369</t>
  </si>
  <si>
    <t xml:space="preserve">Conversatorio Medios de Comunicación y Violencia Basada en Género </t>
  </si>
  <si>
    <t>Se trata de un conversatorio que busca concientizar a la población estudiantil y la población en general sobre el impacto del lenguaje en los medios de comunicación y el fenómeno de la violencia de género que experimentan día a día mujeres y niñas en el mundo y especialmente en Colombia.</t>
  </si>
  <si>
    <t>https://drive.google.com/open?id=1L8ZaoHmyabtVB5lNMfr95L2I20qOE2OA</t>
  </si>
  <si>
    <t>GUN-10060</t>
  </si>
  <si>
    <t>Juan Pablo Perez Royero</t>
  </si>
  <si>
    <t>Flash giveaway</t>
  </si>
  <si>
    <t>Giveaway con la finalidad de atraer más personas al Stand de Felinorte. Si cumplen con los debidos pasos (seguirnos, subir a historias y etiquetar a dos amigos)</t>
  </si>
  <si>
    <t>GUN-10061</t>
  </si>
  <si>
    <t>Samantha Sofía de Jesús Castro Granados, samanthac@uninorte.edu.co, 3016202938
Xenia Paola Arellano Tamayo, xarellano@uninorte.edu.co, 3054706367</t>
  </si>
  <si>
    <t>Feria Bienestar</t>
  </si>
  <si>
    <t xml:space="preserve">Stand de Bienestar en el que FeminUN se presentó como grupo estudiantil. </t>
  </si>
  <si>
    <t>GUN-10062</t>
  </si>
  <si>
    <t>Daniel Marún Villanueva, marund@uninorte.edu.co, 3002408009</t>
  </si>
  <si>
    <t>Reunion STAND CEIM - Feria Vive Bienestar Uninorte</t>
  </si>
  <si>
    <t>Espacio en el que CEIM le da la bienvenida a sus nuevos y antiguos miembros para este semestre 2021-10</t>
  </si>
  <si>
    <t>GUN-10063</t>
  </si>
  <si>
    <t>STAND CEIM - Feria Vive Bienestar</t>
  </si>
  <si>
    <t>Es el espacio en el que recibimos a todos los estudiantes de nuestro programa e introducirlos a nuestro grupo, ademas nos recreamos mediante actividades virtuales</t>
  </si>
  <si>
    <t>GUN-10064</t>
  </si>
  <si>
    <t>cearq@uninorte.edu.co</t>
  </si>
  <si>
    <t>CEARQ</t>
  </si>
  <si>
    <t>Marysol Palomino
causadom@uninorte.edu.co
3005564392</t>
  </si>
  <si>
    <t>FERIA VIVE UNINORTE CEARQ</t>
  </si>
  <si>
    <t xml:space="preserve">Se llevaran a cabo las siguientes actividades: 
Tablero de Estudiantes: Un tablero donde los estudiantes pueden agregar imágenes o textos sobre ellos y lo que esperan de su participación en el grupo.
https://miro.com/welcomeonboard/b9A6AtpPMeq8qdTmVY2mO3wYpp67p1cAmTz3zDnJIwpy6eCR4c8Wo1kHAhmNOhXq
Kahoot: PopQuiz sobre datos importantes de la arquitectura y de la participación del grupo en la universidad. </t>
  </si>
  <si>
    <t>GUN-10065</t>
  </si>
  <si>
    <t>Jennys Jhoanna Herrera Quiroz - hyennys@uninorte.edu.co - 3004823669
Juliana Paola Martínez Rivera - pjrivera@uninorte.edu.co - 3233630369</t>
  </si>
  <si>
    <t>Feria vive uninorte 2021-1</t>
  </si>
  <si>
    <t>CEM Uninorte participó de la Feria Vive Uninorte, con el objetivo de invitar a los estudiantes a hacer parte del comité. Por tanto, se brindaba información de la estructura y función del comité, y se realizaron actividades en el transcurso de las jornadas como la ruleta médida para compartir experiencias y expectativas.</t>
  </si>
  <si>
    <t>GUN-10066</t>
  </si>
  <si>
    <t>zaratustra@uninorte.edu.co</t>
  </si>
  <si>
    <t>ZARATUSTRA</t>
  </si>
  <si>
    <t>Santiago De Jesus Mercado Castro, dsmercado@uninorte.edu.co 3008196382</t>
  </si>
  <si>
    <t>¿Conoces el autor?</t>
  </si>
  <si>
    <t>Utilizando la herramienta Kahoot los coordinadoras, presidente y vicepresidenta realizarán una trivia que consistirá en mostrar diferentes autores de, pinturas, obras literarias y filosóficas. Además, de realizar una retroalimentación para por introducir la temática de cada obra o autor que se me muestre y que en las diferentes coordinaciones se trabaja.</t>
  </si>
  <si>
    <t>GUN-10067</t>
  </si>
  <si>
    <t>bk2@uninorte.edu.co</t>
  </si>
  <si>
    <t>BK2</t>
  </si>
  <si>
    <t>Catalina Navarro Santos (presidente del grupo) // catalinanavarro@uninorte.edu.co // 3165320824</t>
  </si>
  <si>
    <t>Feria Vive Uninorte - Stand Grupo Estudiantil BK2</t>
  </si>
  <si>
    <t xml:space="preserve">Enmarcado en la Feria Vive Uninorte 2021-10, el grupo estudiantil BK2 tendrá un stand donde participará mostrando a los estudiantes de la Universidad de qué se trata el grupo, quiénes somos, qué hacemos, con el fin de poder motivarlos a que no solo conozcan del grupo y nuestro labor, también de inspirarlos a que puedan inscribirse al grupo y hacer parte de la visión y los proyectos que se tienen planeados así como apropiarse de esa identidad de "un Becado es un Líder" y ser parte de la comunidad. </t>
  </si>
  <si>
    <t>GUN-10068</t>
  </si>
  <si>
    <t>ludysf@uninorte.edu.co</t>
  </si>
  <si>
    <t>Ludys María Fontalvo Escorcia, ludysf@uninorte.edu.co, 3003249844</t>
  </si>
  <si>
    <t>Feria de bienestar universitario</t>
  </si>
  <si>
    <t xml:space="preserve">Stand virtual en la Feria de bienestar universitario Uninorte donde se dará a conocer la rama estudiantil y los beneficios que trae consigo ser parte de ella. </t>
  </si>
  <si>
    <t>GUN-10069</t>
  </si>
  <si>
    <t>w-stem@uninorte.edu.co</t>
  </si>
  <si>
    <t>W-STEM</t>
  </si>
  <si>
    <t>Lina Marcela Díaz Vitola - mlvitola@uninorte.edu.co - 3218501209
María Camila Amador Sanabria - amadorcm@uninorte.edu.co - 3015924548
Natalia Paola Cotes Mozo	- mozon@uninorte.edu.co - 3043588331
Aleina Sofia Gazabon Barros - aleinag@uninorte.edu.co - 3148196214</t>
  </si>
  <si>
    <t>Feria Vive Uninorte del periodo semestral 2021-01, actividad que Bienestar Universitario desarrolla cada semestre con el fin de fomentar la participación de estudiantes en grupos estudiantiles.</t>
  </si>
  <si>
    <t>https://drive.google.com/open?id=1L2jv6OWRuAJT1B5q8QSuD_v2yyuDmqIT</t>
  </si>
  <si>
    <t>GUN-10070</t>
  </si>
  <si>
    <t>Ludys Maria Fontalvo escorcia, ludysf@uninorte.edu.co, 3003249844</t>
  </si>
  <si>
    <t>Feria de Bienestar Universitario</t>
  </si>
  <si>
    <t>Stand virtual en la feria de bienestar universitario Uninorte donde se dará a conocer la rama estudiantil y los beneficios que trae consigo ser parte de ella.</t>
  </si>
  <si>
    <t>GUN-10071</t>
  </si>
  <si>
    <t>Sofía María Martinez Quintero; sofiaq@uninorte.edu.co; 3043869773.
Nayelis Esther Meléndez Bertel; mnayelis@uninorte.edu.co; 3003963505
Yuliana Martínez Vergara; ybmartinez@uninorte.edu.co
Valentina Isabel Montes Osorio; vimontes@uninorte.edu.co
Cristian Andrés Torres Monterrosa; camonterroza@uninorte.edu.co</t>
  </si>
  <si>
    <t>FERIA VIVE UNINORTE</t>
  </si>
  <si>
    <t xml:space="preserve">En este espacio en el cual vamos a presentar la visión y misión de nuestro grupo estudiantil. Recibiremos a los y las interesadas en pertenecer al grupo con una serie de actividades en meet. Tenemos un juego de ruletas y de preguntas para romper el hielo. </t>
  </si>
  <si>
    <t>GUN-10072</t>
  </si>
  <si>
    <t>makedakahina@uninorte.edu.co</t>
  </si>
  <si>
    <t>MAKEDA KAHINA</t>
  </si>
  <si>
    <t>Eliana García Maestre, ecmaestre@uninorte.edu.co, 3013993197</t>
  </si>
  <si>
    <t>FERIA BIENESTAR 2021-10</t>
  </si>
  <si>
    <t>Feria de bienestar para los nuevos ingresos a los grupos</t>
  </si>
  <si>
    <t>GUN-10073</t>
  </si>
  <si>
    <t xml:space="preserve">Feria Vive Uninorte </t>
  </si>
  <si>
    <t>Participaremos en la feria con un stand virtual, en el cual presentaremos el grupo a las personas interesadas. Contaremos con actividades e informacion relevante de PANGEA</t>
  </si>
  <si>
    <t>GUN-10074</t>
  </si>
  <si>
    <t>Valentina Isabel Montes Osorio, vimontes@uninorte.edu.co, 3228369150</t>
  </si>
  <si>
    <t>Subir Hablemos de a Instagram.</t>
  </si>
  <si>
    <t>Se subirá un corto donde un estudiante expresa su opinion con respecto a un tema de interés para el grupo.</t>
  </si>
  <si>
    <t>GUN-10075</t>
  </si>
  <si>
    <t>faunaticosun@uninorte.edu.co</t>
  </si>
  <si>
    <t>FAUNATICOS</t>
  </si>
  <si>
    <t>Se subirán historias de intsgram invitando a los estudiantes a visitar nuestro stand.</t>
  </si>
  <si>
    <t>GUN-10076</t>
  </si>
  <si>
    <t>Reunión Coordinación publicidad</t>
  </si>
  <si>
    <t>La coordinación de publicidad se reunirá con sus miembros para establecer los temáticas y diseños que será implementados durante este semestre en las redes sociales.</t>
  </si>
  <si>
    <t>GUN-10077</t>
  </si>
  <si>
    <t>grupoestgens@uninorte.edu.co</t>
  </si>
  <si>
    <t>GEN'S</t>
  </si>
  <si>
    <t>Maria Jose Ramos Gómez mariaj@uninorte.edu.co 3217753193</t>
  </si>
  <si>
    <t>Feria de Bienestar</t>
  </si>
  <si>
    <t>Participación en el stand de la Feria de Bienestar</t>
  </si>
  <si>
    <t>GUN-10078</t>
  </si>
  <si>
    <t>marianacastano@uninorte.edu.co</t>
  </si>
  <si>
    <t>GEEUN</t>
  </si>
  <si>
    <t>Mariana Castaño Lozada, marianacastano@uninorte.edu.co , 3116241769</t>
  </si>
  <si>
    <t xml:space="preserve">FERIA DONDE TODOS LOS ESTUDIANTES DE LA UNIVERSIDAD ASISTEN DE MANERA VIRTUAL Y PUEDEN UNIRSE A CUALQUIER GRUPO ESTUDIANTIL O CURSOS EXTRACURRICULARES </t>
  </si>
  <si>
    <t>GUN-10079</t>
  </si>
  <si>
    <t>mclinero@uninorte.edu.co</t>
  </si>
  <si>
    <t>ÁGORA</t>
  </si>
  <si>
    <t>Esteban Hernández / Pedro Acosta/ Maria Camila Linero / Santiago Heras/Paula redondo, Adán López/Jorge Pulgarin /Gonzalo Saenz/Luis Alarcon/ Michelle Pinedo</t>
  </si>
  <si>
    <t>Stand Feria Vive Uninorte</t>
  </si>
  <si>
    <t xml:space="preserve">Durante la jornada se realizará una actividad por día, adicional a la presentación del grupo. Así, para el primer día hemos preparado un crucigrama económico, que consiste en adivinar palabras relacionadas con economía. El segundo día pensamos realizar el juego de memoria con ilustraciones de economistas famosos. Y por último, para el tercer día tenemos un juego sobre cultura general titulado "El ahorcado". </t>
  </si>
  <si>
    <t>GUN-10080</t>
  </si>
  <si>
    <t>Josué David Manjarrés</t>
  </si>
  <si>
    <t>Descubre las diferencias</t>
  </si>
  <si>
    <t>Pequeño juego en el que el publico puede interactuar con los moderadores</t>
  </si>
  <si>
    <t>GUN-10081</t>
  </si>
  <si>
    <t>Nayelis Esther Meléndez Bertel, mnayelis@uninorte.edu.co; 3003963505</t>
  </si>
  <si>
    <t xml:space="preserve">Reunión comité de infografías </t>
  </si>
  <si>
    <t xml:space="preserve">Se presentará el plan de acción interno del comité y además, se determinará la forma de trabajo. </t>
  </si>
  <si>
    <t>GUN-10082</t>
  </si>
  <si>
    <t>santiagobertel@uninorte.edu.co</t>
  </si>
  <si>
    <t>Santiago Bertel Mercado, santiagobertel@uninorte.edu.co, 3012288598</t>
  </si>
  <si>
    <t>COSMO GIVEAWAY</t>
  </si>
  <si>
    <t xml:space="preserve">Giveaway realizado en el marco de la feria de Bienestar Universitario con apoyo de Bienestar Universitario, Departamento de Ciencia Política y Relaciones Internacionales, para incentivar a nuestros nuevos asociados. Los resultados fueron revelados a través de un Instagram Live el día jueves 11 de febrero. </t>
  </si>
  <si>
    <t>GUN-10083</t>
  </si>
  <si>
    <t>Makeda Kahina</t>
  </si>
  <si>
    <t>Conociendo mis raíces:  Identidad afro y Tips para cabello.</t>
  </si>
  <si>
    <t>Es un espacio de conversación con una Peluquera afro sobre la identidad de la cultura afro y como el cabello influye en esa construcción de esa identidad personal.</t>
  </si>
  <si>
    <t>GUN-10084</t>
  </si>
  <si>
    <t>Subir cortos en Facebook</t>
  </si>
  <si>
    <t xml:space="preserve">Se subirá un corto que fue producido por los estudiantes para una asignatura (ya contamos con el permiso de la profesora para usar el material).
El tiempo que colocamos en finalización es el tiempo que estimamos que se demora en subir, la publicación quedara allí. </t>
  </si>
  <si>
    <t>GUN-10085</t>
  </si>
  <si>
    <t>cafta@uninorte.edu.co</t>
  </si>
  <si>
    <t>CAFTA</t>
  </si>
  <si>
    <t>Freddy Jose Regino Montalvo / fregino@uninorte.edu.co/3148345811</t>
  </si>
  <si>
    <t>Rol e Importancia del contador publico en las empresas</t>
  </si>
  <si>
    <t xml:space="preserve">El profesor Elkin Mario Martinez dará una charla acerca del rol de los contadores en las empresas así como su importancia en ellas. La charla la transmitirá el profesor desde la Universidad del Norte y los estudiantes participarán de manera virtual. </t>
  </si>
  <si>
    <t>GUN-10086</t>
  </si>
  <si>
    <t>Luisa Fernanda Morales</t>
  </si>
  <si>
    <t>Charla de apadrinamientos</t>
  </si>
  <si>
    <t>Charla acerca de los beneficios de apadrinar tanto para el gatito como para la persona que lo apadrina. El objetivo es invitar a los asistentes a que apadrinen gatitos.</t>
  </si>
  <si>
    <t>GUN-10087</t>
  </si>
  <si>
    <t>Luis Alberto Moreno Rivera</t>
  </si>
  <si>
    <t>Charla de medicina: Lenguaje Corporal</t>
  </si>
  <si>
    <t>La charla consiste en enseñar como podemos interpretar el lenguaje corporal de los gatos y como actuar antes este. También se hará una dinámica donde se mostraran fotos de gatos y se interpretará el estado en el que se encuentra el gato.</t>
  </si>
  <si>
    <t>GUN-10088</t>
  </si>
  <si>
    <t>Raúl Fernando Vega Alvear - alvearr@uninorte.edu.co - 3178802555</t>
  </si>
  <si>
    <t>Mujeres en Ciencia</t>
  </si>
  <si>
    <t xml:space="preserve">Se realizó una publicación en la cuenta de Instagram de CEM UNINORTE en conmemoración del Día Internacional de la Mujer y la Niña en Ciencia, celebrado cada 11 de febrero. Se destacó una docente de la facultad y se comentó brevemente la historia de Rosalind Franklin. </t>
  </si>
  <si>
    <t>GUN-10089</t>
  </si>
  <si>
    <t>Juliana Rocio Pugliese</t>
  </si>
  <si>
    <t>Colores y patrones de los gatos.</t>
  </si>
  <si>
    <t xml:space="preserve">Charla sobre colores y patrones, más dinámica para la feria bienestar. </t>
  </si>
  <si>
    <t>GUN-10090</t>
  </si>
  <si>
    <t>Conociendo mis raíces: Charla sobre la afrocolombianidad, ¿Es una raza? ¿Es una identidad? ¿Qué es?</t>
  </si>
  <si>
    <t>En esta charla se pretende enseñar e informar sobre lo que es la afrocolombianidad, resolviendo preguntas relacionadas con esta.</t>
  </si>
  <si>
    <t>GUN-10091</t>
  </si>
  <si>
    <t>yeimisong@uninorte.edu.co</t>
  </si>
  <si>
    <t>ASTRONORTE</t>
  </si>
  <si>
    <t>Yeimison González, yeimisong@uninorte.edu.co, 3013999737. Diego Higuera, dhiguera@uninorte.edu.co, 311 6150982.</t>
  </si>
  <si>
    <t>La astronomía en el desarrollo de la humanidad.</t>
  </si>
  <si>
    <t>Charla de Astronomía a cargo de nuestro invitado especial Alfonso Hirám</t>
  </si>
  <si>
    <t>https://drive.google.com/open?id=1PsJTepZXiBuM3fIq1GLfReAeAdLfPaTr</t>
  </si>
  <si>
    <t>GUN-10092</t>
  </si>
  <si>
    <t>Top 3</t>
  </si>
  <si>
    <t xml:space="preserve">Publicación en redes sociales sobre un tema especifico, un personaje historico o un dato curioso el cual se relaciona con la carrera. Esto permite analizar y reflexionar desde las bases y conceptos de las RR.II  </t>
  </si>
  <si>
    <t>GUN-10093</t>
  </si>
  <si>
    <t>revistaagora@uninorte.edu.co</t>
  </si>
  <si>
    <t xml:space="preserve"> Maria Camila Linero Rueda, Paula Redondo</t>
  </si>
  <si>
    <t>Super lectura y expresión oral para alcanzar el éxito</t>
  </si>
  <si>
    <t>Charla con la influencer, egresada de Economía de Uninorte y expresidente de nuestro grupo grupo; Laura Gutiérrez (@lausuperlectura), en la cual se hablará acerca de la creación de hábitos de lectura, estrategias para aumentar la velocidad y comprensión lectora, tips de expresión oral y demás herramientas para alcanzar el éxito personal y académico.</t>
  </si>
  <si>
    <t>https://drive.google.com/open?id=1XhIC25GXvqSE-chh5KeUCyYavCPt_mB3</t>
  </si>
  <si>
    <t>GUN-10094</t>
  </si>
  <si>
    <t>dhiguera@uninorte.edu.co</t>
  </si>
  <si>
    <t>Diego Higuera, dhiguera@uninorte.edu.co, 3116150982</t>
  </si>
  <si>
    <t>Colombianas Investigando en Astronomía</t>
  </si>
  <si>
    <t>En esta charla la  PhD Luz Ángela García Peñaloza nos hablara de su carrea een la astronomía. Una diciplina dominda por hombres, situación que el colectivo Colombianas Haciendo Investigación en Astronomía (CHIA) planean ayudar a cambiar.</t>
  </si>
  <si>
    <t>https://drive.google.com/open?id=17iTw_69QXj-y29716ebJFNfOY48pca0l</t>
  </si>
  <si>
    <t>GUN-10095</t>
  </si>
  <si>
    <t>Valentina Morelo</t>
  </si>
  <si>
    <t xml:space="preserve">Reunión junta directiva </t>
  </si>
  <si>
    <t>Reunión para planeacion y proyección de semana.</t>
  </si>
  <si>
    <t>GUN-10096</t>
  </si>
  <si>
    <t>Cristian Andres Torres Monterrosa - camonterroza@uninorte.edu.co - 3015467411</t>
  </si>
  <si>
    <t>Coffe meet</t>
  </si>
  <si>
    <t xml:space="preserve">Espacio interno para debatir sobre temas de coyontura </t>
  </si>
  <si>
    <t>GUN-10097</t>
  </si>
  <si>
    <t>Proyecto ERASMUS (W-STEM) y día internacional de la mujer científica</t>
  </si>
  <si>
    <t>El 11 de febrero es el día internacional de las mujeres y niñas en la ciencia, por lo que las líderes del proyecto de la unión europea “W-STEM”, que tiene como cofundador el programa ERASMUS, harán un homenaje a la mujer en la ciencia y explicarán más a fondo el objetivo de este gran proyecto, la metodología implementada y los logros obtenidos.</t>
  </si>
  <si>
    <t>https://drive.google.com/open?id=1NZ9bHg3hXcDvR3TPl7dUwFITV7htrXMt</t>
  </si>
  <si>
    <t>GUN-10098</t>
  </si>
  <si>
    <t>Publicación en redes sociales</t>
  </si>
  <si>
    <t>Reel en Instagram sobre asuntos relacionados con la carrera.</t>
  </si>
  <si>
    <t>GUN-10099</t>
  </si>
  <si>
    <t>Reunión de los miembros de la junta directiva en la que se discutirán las actividades a futuro del grupo.</t>
  </si>
  <si>
    <t>GUN-10100</t>
  </si>
  <si>
    <t xml:space="preserve">Reunión semanal </t>
  </si>
  <si>
    <t xml:space="preserve">Reunión semanal a cargo del dpto de finanzas. Casos de exitos financieros	</t>
  </si>
  <si>
    <t>GUN-10101</t>
  </si>
  <si>
    <t>Conociendo mis raíces: Raíces afros en el carnaval de Barranquilla</t>
  </si>
  <si>
    <t>Finalizando la sección de conociendo mis raíces se pretende ahondar un poco sobre las raíces afrocolombianas presentes en el carnaval de barranquilla.</t>
  </si>
  <si>
    <t>GUN-10102</t>
  </si>
  <si>
    <t xml:space="preserve">Reunión miembros </t>
  </si>
  <si>
    <t>Reunión con los miembros activos del grupo. En esta se dará a conocer los cambios y actividades que habrán en el grupo.</t>
  </si>
  <si>
    <t>GUN-10103</t>
  </si>
  <si>
    <t>grupoestsignun@uninorte.edu.co</t>
  </si>
  <si>
    <t>SIGN-UN</t>
  </si>
  <si>
    <t>María Andrea Burgos Petro. mpetroa@uninorte.edu.co. +57 304 387 3130</t>
  </si>
  <si>
    <t>Preparación ''Gran Lanzamiento SIGN-UN e IMIG-UN''</t>
  </si>
  <si>
    <t>Reunión de mesa directiva para ajustar detalles del lanzamiento de los 2 grupos de interés del departamento de Medicina</t>
  </si>
  <si>
    <t>GUN-10104</t>
  </si>
  <si>
    <t>Inducción IEEE</t>
  </si>
  <si>
    <t>Inducción a la rama IEEE- Jornada informativa.</t>
  </si>
  <si>
    <t>GUN-10105</t>
  </si>
  <si>
    <t>Hablemos de ... Las chicas de "The Big Bang Theory"</t>
  </si>
  <si>
    <t>¿Eres fan de la serie o la detestas? ¿Crees que los estereotipos de las chicas de "The Big Bang Theory" desalienta la participación de las jóvenes en carreras STEM? Te invitamos a dialogar sobre el papel de las chicas en esta renombrada serie con la ingeniera Lucy García, profesor del Departamento de Ingeniería de Sistemas de la Universidad del Norte e investigadora del proyecto W-STEM.</t>
  </si>
  <si>
    <t>https://drive.google.com/open?id=1jtqIkNZLlqLrSWF1UWEbhlCE6--zg8Ye</t>
  </si>
  <si>
    <t>GUN-10106</t>
  </si>
  <si>
    <t>geronimoj@uninorte.edu.co</t>
  </si>
  <si>
    <t>IMIG-UN</t>
  </si>
  <si>
    <t>Jonathan Geronimo geronimoj@uninorte.edu.co 3046433718</t>
  </si>
  <si>
    <t>Presentación de grupos estudiantiles (SING-UN y IMIG-UN)</t>
  </si>
  <si>
    <t>Se realizará un evento colaborativo entre SING-UN e IMIG-UN con el fin de presentar nuestros grupos estudiantiles a la comunidad uninorte.</t>
  </si>
  <si>
    <t>GUN-10107</t>
  </si>
  <si>
    <t>camiloguerra@uninorte.edu.co</t>
  </si>
  <si>
    <t>PARTNERS CAMPUS</t>
  </si>
  <si>
    <t>Camilo Andrés Ruiz Guerra; camiloguerra@uninorte.edu.co ; 3005082285</t>
  </si>
  <si>
    <t>Inducción Partners Campus Nuevos</t>
  </si>
  <si>
    <t>Durante esta inducción, realizaremos actividades que motiven a los nuevos interesados al grupo a participar y hacer parte de él. Durante la primera hora haremos una pequeña introducción de los miembros de junta y en la segunda hora realizaremos una recreación donde hablaremos también de nuestros próximos eventos de este semestre. Contaremos tanto como nuestros miembros activos como los nuevos miembros.</t>
  </si>
  <si>
    <t>GUN-10108</t>
  </si>
  <si>
    <t>partnerscampus@uninorte.edu.co</t>
  </si>
  <si>
    <t>Camilo Andrés Ruiz Guerra ; camiloguerra@uninorte.edu.co ; 3005082285</t>
  </si>
  <si>
    <t>Camilo Andrés Ruiz Guerra</t>
  </si>
  <si>
    <t>Inducción a los nuevos miembros de Partners Campus</t>
  </si>
  <si>
    <t>GUN-10109</t>
  </si>
  <si>
    <t>INDUCCIÓN NUEVOS MIEMBROS PARTNERS CAMPUS</t>
  </si>
  <si>
    <t>Durante esta jornada de 10:30 a 12:30, estaremos realizando la inducción de nuevos miembros donde nos dedicaremos una hora para presentar a la junta y una breve descripción e introducción, hablaremos de como pertenecer a las diferentes coordinaciones. Durante la segunda hora realizaremos recreaciones que permitan que los nuevos miembros aprendan algo nuevo mientras pasan un buen rato</t>
  </si>
  <si>
    <t>GUN-10110</t>
  </si>
  <si>
    <t>Partners Campus, partnerscampus@uninorte.edu.co</t>
  </si>
  <si>
    <t xml:space="preserve">Bienvenida a los nuevos miembros </t>
  </si>
  <si>
    <t>Presentación e integración de los nuevos miembros del grupo estudiantil Partners Campus</t>
  </si>
  <si>
    <t>GUN-10111</t>
  </si>
  <si>
    <t>Subir meme a Facebook</t>
  </si>
  <si>
    <t xml:space="preserve">Se subirá un meme a la pagina de Facebook. 
El tiempo que colocamos en finalización es el tiempo que estimamos que se demora en subir, la publicación quedara allí. </t>
  </si>
  <si>
    <t>GUN-10112</t>
  </si>
  <si>
    <t>Nombre: Juan Jose Campanella De Oro
Correo: campanellaj@uninorte.edu.co
Teléfono: 3183163328</t>
  </si>
  <si>
    <t>Reunión Junta Directiva InNova</t>
  </si>
  <si>
    <t>Desarrollar tópicos para primeras actividades, tareas asignadas, inducción a los estudiantes inscritos, alianzas y documentación para Bienestar.</t>
  </si>
  <si>
    <t>GUN-10113</t>
  </si>
  <si>
    <t>Pride entre décadas: una mirada en retrospectiva</t>
  </si>
  <si>
    <t>Tomando como referencia los inicios del pride y como este se ha modificado en la actualidad, este evento  busca exponer y analizar los cambios que ha tenido la celebración del mes del orgullo en Colombia a través del tiempo.</t>
  </si>
  <si>
    <t>https://drive.google.com/open?id=1g3XFHJQuSPV91a85s90unh9YshULn3Lx</t>
  </si>
  <si>
    <t>GUN-10114</t>
  </si>
  <si>
    <t>greengeneration@uninorte.edu.co</t>
  </si>
  <si>
    <t>GREEN GENERATION</t>
  </si>
  <si>
    <t>Sharon Andrea Varelo Martínez, svarelo@uninorte.edu.co, 3008854432</t>
  </si>
  <si>
    <t>Semana de la energía</t>
  </si>
  <si>
    <t>Green en conjunto a IEEE, CESG, ANEIAP y Volta realizará una serie de publicaciones y actividades para resaltar la importancia de la energía en nuestras vidas</t>
  </si>
  <si>
    <t>https://drive.google.com/open?id=1XXFPZlAYpAFejEeRb6CtJXEecmfzvRWA</t>
  </si>
  <si>
    <t>GUN-10115</t>
  </si>
  <si>
    <t>Ana Milena Álvarez Sanes.
asanes@uninorte.edu.co
Tél: 3016439114</t>
  </si>
  <si>
    <t>Lanzamiento SIGN-UN e IMIG-UN</t>
  </si>
  <si>
    <t xml:space="preserve">Este será el evento de lanzamiento oficial a la comunidad Uninorteña de los grupos SIGN-UN e IMIG-UN. Presentaremos los grupos a los asistentes, realizaremos una actividad tipo trivia utilizando casos clínicos de Medicina Interna y Neurología y finalizaremos con palabras de un Tutor de cada grupo y preguntas y respuestas con el auditorio. </t>
  </si>
  <si>
    <t>Reporte recibido, recuerden que al ser un evento masivo, deben enviar la lista de asistencia para confirmar que estuvieron más de 130 personas</t>
  </si>
  <si>
    <t>GUN-10116</t>
  </si>
  <si>
    <t>Este será el evento de lanzamiento oficial a la comunidad Uninorteña de los grupos SIGN-UN e IMIG-UN. Presentaremos los grupos a los asistentes, realizaremos una actividad tipo trivia utilizando casos clínicos de Medicina Interna y Neurología y finalizaremos con palabras de un Tutor de cada grupo y preguntas y respuestas con el auditorio.</t>
  </si>
  <si>
    <t>GUN-10117</t>
  </si>
  <si>
    <t xml:space="preserve">Reunión de los miembros de junta directiva del grupo. </t>
  </si>
  <si>
    <t>GUN-10118</t>
  </si>
  <si>
    <t>Marysol Palomino Causado
causadom@uninorte.edu.co
3005564392</t>
  </si>
  <si>
    <t>MERCADILLO VIRTUAL</t>
  </si>
  <si>
    <t>Es un espacio donde los estudiantes pueden intercambiar información acerca de la venta de materiales u objetos académicos de la carrera, que estén un buen estado y ya no utilicen. Esto se realiza con el objetivo de crear redes entre los estudiantes que estén interesados en comprar materiales necesarios de la carrera y a su vez, quieran darle una segunda oportunidad a esos materiales de otros estudiantes que se encuentran en buen estado pero que ya no le dan uso</t>
  </si>
  <si>
    <t>GUN-10119</t>
  </si>
  <si>
    <t>brianl@uninorte.edu.co</t>
  </si>
  <si>
    <t>ANEIAP UNINORTE</t>
  </si>
  <si>
    <t>Brian Llinás Marimón, uninorte@aneiap.co, 3006269643</t>
  </si>
  <si>
    <t>SE</t>
  </si>
  <si>
    <t>Actividad para las personas que se registraron en el stand y realizar dinámicas que muestren sus habilidades</t>
  </si>
  <si>
    <t>GUN-10120</t>
  </si>
  <si>
    <t>Trivia Logistica</t>
  </si>
  <si>
    <t xml:space="preserve">Se hara una trivia con temas relacionados a la logistica para enseñarle a los pangeos </t>
  </si>
  <si>
    <t>GUN-10121</t>
  </si>
  <si>
    <t xml:space="preserve">Tik Tok semanal </t>
  </si>
  <si>
    <t xml:space="preserve">Se subirá un tik tok en donde un estudiante se referirá a un tema de interés para el grupo de manera académica, graciosa o una combinación de las dos sin ser sarcástico ni caer en contenido gráfico. </t>
  </si>
  <si>
    <t>GUN-10122</t>
  </si>
  <si>
    <t>Campaña #1: reciclaje y buen manejo de residuos.</t>
  </si>
  <si>
    <t>Campaña: reflexionar y crear conciencia en torno a un tema especifico que se relacione con la carrera.</t>
  </si>
  <si>
    <t>GUN-10123</t>
  </si>
  <si>
    <t>Mentes y cuerpos libres</t>
  </si>
  <si>
    <t xml:space="preserve">Se busca informar y hacer conciencia sobre  los body issues a trasvés de una campaña en nuestras redes sociales. </t>
  </si>
  <si>
    <t>GUN-10124</t>
  </si>
  <si>
    <t>Carlos Ricardo Jimenez, cjimenezr@uninorte.edu.co</t>
  </si>
  <si>
    <t>Segunda Reunión miembros división Capitulo ASME</t>
  </si>
  <si>
    <t>Reunion extraordinaria con referencia a el gran evento internacional E-FEST desarrollado en el mes de Abril</t>
  </si>
  <si>
    <t>GUN-10125</t>
  </si>
  <si>
    <t>grupoestcreatec@uninorte.edu.co</t>
  </si>
  <si>
    <t xml:space="preserve">Danna Guzmán </t>
  </si>
  <si>
    <t>Publicación en Instagram.</t>
  </si>
  <si>
    <t>Publicación tipo STORIE, de la junta directiva.</t>
  </si>
  <si>
    <t>GUN-10126</t>
  </si>
  <si>
    <t>Video en instagram</t>
  </si>
  <si>
    <t>Hablemos de es un video que se sube a Instagram con la explicación de una problemática de coyuntura actual relacionada con las relaciones internacionales y en la que se presenta un análisis u opinión por parte de un miembro.</t>
  </si>
  <si>
    <t>GUN-10127</t>
  </si>
  <si>
    <t>Danna Guzmán.</t>
  </si>
  <si>
    <t>Publicación en Instagram</t>
  </si>
  <si>
    <t xml:space="preserve">Publicación tipo STORIE, de lo que piensan los estudiantes qué es el DI. </t>
  </si>
  <si>
    <t>2/16/0221 14:00:00</t>
  </si>
  <si>
    <t>GUN-10128</t>
  </si>
  <si>
    <t>Reunión de bienvenida nuevos miembros CREATEC</t>
  </si>
  <si>
    <t>Reunión en la cual jugaremos, y pondremos las reglas del juego.</t>
  </si>
  <si>
    <t>GUN-10129</t>
  </si>
  <si>
    <t xml:space="preserve"> 
Valentina Montes Osorio, vimontes@uninorte.edu.co, 3228369150</t>
  </si>
  <si>
    <t>GUN-10130</t>
  </si>
  <si>
    <t>Publicación en Facebook</t>
  </si>
  <si>
    <t xml:space="preserve">Se subirá un corto elaborado por los miembros del grupo para la asignatura Teoría de las Relaciones Internacionales 2. </t>
  </si>
  <si>
    <t>GUN-10131</t>
  </si>
  <si>
    <t>Danna Guzmán</t>
  </si>
  <si>
    <t>Publicación de Instagram</t>
  </si>
  <si>
    <t xml:space="preserve">Publicación tipo post del bingo CREATEC. </t>
  </si>
  <si>
    <t>GUN-10132</t>
  </si>
  <si>
    <t>Carlos Jiménez, cjimenezr@uninorte.edu.co, 3002408009</t>
  </si>
  <si>
    <t>Reunion con Julio Guerrero "CEIM ASME WEBINAR SERIES"</t>
  </si>
  <si>
    <t>Logística para el primer webinar de la serie de webinars CEIM ASME</t>
  </si>
  <si>
    <t>GUN-10133</t>
  </si>
  <si>
    <t>cesguninorte@uninorte.edu.co</t>
  </si>
  <si>
    <t>CESG UNINORTE</t>
  </si>
  <si>
    <t>David De Jesús Vargas Camargo
ddvargas@uninorte.edu.co
3013397840</t>
  </si>
  <si>
    <t>Evento masivo realizado por la semana de la energía entre los grupos CESG, IEEE, ANEIAP, Volta y Green Generation. Se estará realizando de domingo a martes un movimiento por redes, y de miércoles a viernes conferencias, entre otro tipo de eventos.</t>
  </si>
  <si>
    <t>GUN-10134</t>
  </si>
  <si>
    <t>Alberto Mario Solis Martes</t>
  </si>
  <si>
    <t>Publicaciones en redes</t>
  </si>
  <si>
    <t>Grupo de publicaciones dando a conocer la nueva junta directiva y los cambios de nombre en los nidos.</t>
  </si>
  <si>
    <t>GUN-10135</t>
  </si>
  <si>
    <t>Yuliana Martínez Vergara</t>
  </si>
  <si>
    <t xml:space="preserve">Manejo de residuos solidos y código de colores </t>
  </si>
  <si>
    <t xml:space="preserve">Capacitación en conjunto con el grupo estudiantil "Juventudes Criticas", sobre el manejo de residuos solidos y la nueva campaña de Barranquilla verde sobre los nuevos códigos de colores para las vacunas. </t>
  </si>
  <si>
    <t>https://drive.google.com/open?id=1wcDP_Izgtyu5yOc3UgdnlvfKQQEMRtKJ</t>
  </si>
  <si>
    <t>GUN-10136</t>
  </si>
  <si>
    <t>Andrés Guillermo Galvis Galvis
galvisga@uninorte.edu.co
3008402324</t>
  </si>
  <si>
    <t>Semana de la Energia</t>
  </si>
  <si>
    <t>Los grupos CESG, Green Generation, Volta, ANEIAP y IEEE se unen para celebrar una semana dedicada a la importancia de la energía eléctrica en nuestra vida diaria, acompañada de trabajo en redes sociales y actividades en conjunto a varios grupos.</t>
  </si>
  <si>
    <t>GUN-10137</t>
  </si>
  <si>
    <t>Carolay Jaylin Cabrales, cjcabrales@uninorte.edu.co</t>
  </si>
  <si>
    <t>Reunión AR (SEMANAL)</t>
  </si>
  <si>
    <t xml:space="preserve">Reunion para acordar y organizar todos los eventos de gran alcance realizados por el CEIM. lo largo de la noche. </t>
  </si>
  <si>
    <t>GUN-10138</t>
  </si>
  <si>
    <t>OPORTUNIDADES ASME</t>
  </si>
  <si>
    <t>Se busca que la comunidad tenga presente todas las oportunidades que trae ser miembro de esta nueva división como lo es ASME</t>
  </si>
  <si>
    <t>GUN-10139</t>
  </si>
  <si>
    <t>POP QUIZ</t>
  </si>
  <si>
    <t>Se busca una mayor interacción entre la comunidad y la página de instagram de CEIM en la cual se motiva a responder una pregunta relacionada a conocimiento adquiridos en el programa académico</t>
  </si>
  <si>
    <t>GUN-10140</t>
  </si>
  <si>
    <t xml:space="preserve">SABÍAS QUE... </t>
  </si>
  <si>
    <t>Se busca traer nuevos conocimientos a la comunidad de manera creativa y relacionados con temas de interés del programa académico</t>
  </si>
  <si>
    <t>GUN-10141</t>
  </si>
  <si>
    <t>Inducciones</t>
  </si>
  <si>
    <t>Se le presentará la información sobre el grupo y el plan de acción del semestre a los nuevos miembros</t>
  </si>
  <si>
    <t>GUN-10142</t>
  </si>
  <si>
    <t>Camilo Andrés Ruiz Guerra : camiloguerra@uninorte.edu.co ; 3005082285</t>
  </si>
  <si>
    <t>Reunión Junta Partners #1</t>
  </si>
  <si>
    <t>Durante esta reunión se hablarán de los temas y proyectos para la reunión semanal del sábado siguiente.</t>
  </si>
  <si>
    <t>GUN-10143</t>
  </si>
  <si>
    <t>Ruth María Fontalvo Jiménez, rmfontalvo@uninorte.edu.co, 3043870920; Laura Jaramillo Rendon, laurarendon@uninorte.edu.co, 3008261933; Andrés David Ramírez Ruz, randres@uninorte.edu.co, 3174328241</t>
  </si>
  <si>
    <t>JUVENTUDES SE EXPRESA</t>
  </si>
  <si>
    <t xml:space="preserve">Blog destinado para que los miembros de Juventudes Críticas se expresen, ya sea a través de palabras o imágenes. Las entradas se publican los jueves, cada dos semanas. </t>
  </si>
  <si>
    <t>GUN-10144</t>
  </si>
  <si>
    <t>Yuliana Martinez, ybmartinez@uninorte.edu.co, 3015351109. Ruth Fontalvo, rmfontalvo@uninorte.edu.co, 3043970920.</t>
  </si>
  <si>
    <t>Manejo de residuos sólidos y nuevo código de colores</t>
  </si>
  <si>
    <t xml:space="preserve">CERI y Juventudes Críticas organizan "Manejo de residuos sólidos y código de colores" con el fin de dar a conocer las medidas necesarias en cuanto al tratamiento y desecho de residuos. </t>
  </si>
  <si>
    <t>https://drive.google.com/open?id=1Va0ZqG12IJcJtXlfqYnVTrEA_56aS3rQ</t>
  </si>
  <si>
    <t>GUN-10145</t>
  </si>
  <si>
    <t>Ana Milena Álvarez Sanes
asanes@uninorte.edu.co
3016439114</t>
  </si>
  <si>
    <t>Entrevista con Miembros Activos SIGN-UN</t>
  </si>
  <si>
    <t>Se llevará a cabo un entrevista individual, dirigida por la mesa directiva del grupo, a cada estudiante que se haya inscrito al SIGN-UN como Miembro Activo, con el objetivo de conocernos un poco y charlar sobre sus expectativas acerca del grupo o sobre algún aporte que consideren pertinentes para el mejor desarrollo de nuestras actividades. También se intentarán resolver todas las dudas que persistan y les daremos oficialmente la bienvenida.</t>
  </si>
  <si>
    <t>GUN-10146</t>
  </si>
  <si>
    <t>voltaunorte@uninorte.edu.co</t>
  </si>
  <si>
    <t>VOLTA</t>
  </si>
  <si>
    <t xml:space="preserve">Beatriz Elena Castro Pacheco </t>
  </si>
  <si>
    <t xml:space="preserve">Semana De La Energia </t>
  </si>
  <si>
    <t>se llevarán diversas actividades para conmemorar la semana de la energía, serán charlas y actividades en redes sociales.</t>
  </si>
  <si>
    <t>https://drive.google.com/open?id=1N72eFFycSsS3rovQdljVPwqlF3vfPxAC</t>
  </si>
  <si>
    <t>GUN-10147</t>
  </si>
  <si>
    <t>INSCRIPCIONES CEIM NATIONAL CHAMPIONSHIP 2021</t>
  </si>
  <si>
    <t>Se realiza un torneo de videojuegos en el que pueden participar estudiantes de pregado de esta y otras universidades del país. El dinero que se recaude será destinado a premios para un concurso de SolidWorks que se realizará. Las inscripciones serán hasta el 26 de Febrero y torneo será todo el mes de  Marzo.</t>
  </si>
  <si>
    <t>GUN-10148</t>
  </si>
  <si>
    <t>ceounorte@uninorte.edu.co</t>
  </si>
  <si>
    <t>CEO</t>
  </si>
  <si>
    <t>• Nombre: Santiago José Castro Montealegre
• Correo: sjmontealegre@uninorte.edu.co
• Celular: 3124667634
• Nombre: Osvaldo José Díaz Ricardo
• Correo: rosvaldo@uninorte.edu.co
• Celular: 3185218801</t>
  </si>
  <si>
    <t>Primera jornada de entrevista a candidatos.</t>
  </si>
  <si>
    <t>Realizaremos una serie de entrevistas a los candidatos que se postularon para ingresar al grupo estudiantil.</t>
  </si>
  <si>
    <t>GUN-10149</t>
  </si>
  <si>
    <t xml:space="preserve">Miniserie en Instagram. </t>
  </si>
  <si>
    <t xml:space="preserve">Se subirá el primer capitulo  de una miniserie acerca de la aporofobia. </t>
  </si>
  <si>
    <t>GUN-10150</t>
  </si>
  <si>
    <t>Publicación Instagram</t>
  </si>
  <si>
    <t xml:space="preserve">Publicación tipo post de tips para estudio remoto </t>
  </si>
  <si>
    <t>GUN-10151</t>
  </si>
  <si>
    <t>Catalina Navarro Santos
catalinanavarro@uninorte.edu.co
3165320824</t>
  </si>
  <si>
    <t xml:space="preserve">Reunión Junta Directiva </t>
  </si>
  <si>
    <t>Reunión con los directores y subdirectores de cada dirección para ajustar detalles de cara a la jornada de inducción para nuevos miembros.</t>
  </si>
  <si>
    <t>GUN-10152</t>
  </si>
  <si>
    <t>vimontes@uninorte.edu.co</t>
  </si>
  <si>
    <t>Miniserie en Facebook</t>
  </si>
  <si>
    <t xml:space="preserve">Se subirá un corto realizado en la materia TRRII2. Ya contamos con el permiso de la profesora Angelica Rodriguez. </t>
  </si>
  <si>
    <t>GUN-10153</t>
  </si>
  <si>
    <t xml:space="preserve">Alberto Mario Solis Martes, amsolis@uninorte.edu.co, 3008685801. </t>
  </si>
  <si>
    <t>Reunión con los miembros de la junta directiva con el objetivo de presentar los avances de las responsabilidades correspondientes para cada miembro.</t>
  </si>
  <si>
    <t>GUN-10154</t>
  </si>
  <si>
    <t>cdiep@uninorte.edu.co</t>
  </si>
  <si>
    <t>CDIEP</t>
  </si>
  <si>
    <t>Laura Sofia Cujia Molina
315 4452985
lscujia@uninorte.edu.co</t>
  </si>
  <si>
    <t xml:space="preserve">ASAMBLEA GENERAL </t>
  </si>
  <si>
    <t>Reunión semanal del grupo en la que se le informa a todos los miembros sobre las próximas actividades que se van a realizar, se toman decisiones, entre otros puntos</t>
  </si>
  <si>
    <t>GUN-10155</t>
  </si>
  <si>
    <t>Isabella Gonzalez, isabellatorres@uninorte.edu.co, 31135806828</t>
  </si>
  <si>
    <t>Reunión semanal a cargo del dpto Pangea Social</t>
  </si>
  <si>
    <t>GUN-10156</t>
  </si>
  <si>
    <t xml:space="preserve">• Nombre: Santiago José Castro Montealegre
• Correo: sjmontealegre@uninorte.edu.co
• Celular: 3124667634
• Nombre: Osvaldo José Díaz Ricardo
• Correo: rosvaldo@uninorte.edu.co
• Celular: 3185218801
</t>
  </si>
  <si>
    <t>Segunda jornada de entrevista a candidatos</t>
  </si>
  <si>
    <t>GUN-10157</t>
  </si>
  <si>
    <t>Capacitación sobre el reclutamiento</t>
  </si>
  <si>
    <t>Realizaremos una capacitación a los miembros del grupo que nos apoyarán en la actividad del reclutamiento.</t>
  </si>
  <si>
    <t>GUN-10158</t>
  </si>
  <si>
    <t>Catalina La Grand Salazar Pedraza, csalazarl@uninorte.edu.co</t>
  </si>
  <si>
    <t>COSMOCINE: Pelicula El Dictador</t>
  </si>
  <si>
    <t>Estaremos llevando a cabo nuestro primer cineforo, en el cual veremos la pelicula del dictador a traves de meet proyectando la antalla de netflix</t>
  </si>
  <si>
    <t>GUN-10159</t>
  </si>
  <si>
    <t>csalazarl@uninorte.edu.co</t>
  </si>
  <si>
    <t>Catalina La Grand Salazar Pedraza</t>
  </si>
  <si>
    <t>LLEGARON LAS VACUNAS! QUE PASA CON LA GESTION DE LAS VACUNAS EN COLOMBIA?</t>
  </si>
  <si>
    <t xml:space="preserve">Abordaremos la gestión del gobierno con respecto a la vacuna, teniendo en cuenta la disponibilidad de esta, los distintos acuerdos para el acceso y el mercado internacional de las mismas, las patentes, explicando las razones porque todavía no se han adquirido y  voy similitud y diferencias de nuestro país respecto a los demás países incluyendo en el análisis las relaciones multilaterales de la región y el mundo además de las dinámicas de poder en cuanto su adquisición
</t>
  </si>
  <si>
    <t>https://drive.google.com/open?id=1U5qlxx-MSJ9WRYwRbgrg27ik8zNt0Q0L</t>
  </si>
  <si>
    <t>GUN-10160</t>
  </si>
  <si>
    <t>sofiaag@uninorte.edu.co</t>
  </si>
  <si>
    <t>Samantha Sofia de Jesús Castro Granados, samanthac@uninorte.edu.co, 3016202938
Xenia Paola Arellano Tamayo, xarellano@uninorte.edu.co,  3054706367</t>
  </si>
  <si>
    <t>Inducción FeminUN</t>
  </si>
  <si>
    <t xml:space="preserve">Primera reunión con las personas inscritas para comentarles más acerca del grupo y su organización y para romper el hielo e ir conociéndonos. </t>
  </si>
  <si>
    <t>GUN-10161</t>
  </si>
  <si>
    <t>Samantha Sofia de Jesus Castro Granados, samanthac@uninorte.edu.co, 3016202938
Xenia Paola Arellano Tamayo, xarellano@uninorte.edu.co, 3054706367</t>
  </si>
  <si>
    <t xml:space="preserve">Primera reunión con las personas que se inscribieron para comentarles más acerca del grupo y actividades para romper el hielo. </t>
  </si>
  <si>
    <t>GUN-10162</t>
  </si>
  <si>
    <t>colorhouse@uninorte.edu.co</t>
  </si>
  <si>
    <t>COLOR HOUSE</t>
  </si>
  <si>
    <t xml:space="preserve">Noor Hamid Rada Bendek
Isabella Montes Peñaranda
Sara Suarez Berdugo
Mauricio Mendoza Lopez
Maria Carolina Torres 
</t>
  </si>
  <si>
    <t>Integración de Nuevos Miembros</t>
  </si>
  <si>
    <t xml:space="preserve">El objetivo del evento fue Integrar, conocer, compartir y generar una nueva relación con los nuevos miembros del grupo de Color House, además de pasar un rato divertido donde todos nos lográramos despejarnos un poco. 
Se compartió con los nuevos integrantes en un padlet del cual surgieron conversaciones graciosas de las cuales todos fuimos participes.
Se llegó a un acuerdo de las actividades que se llevarán a cabo durante el semestre 2021-1 con los nuevos integrantes, donde todos aportaron su idea para las diferentes actividades puestas en el plan de acción de Color House. </t>
  </si>
  <si>
    <t>GUN-10163</t>
  </si>
  <si>
    <t>Maria Jose Ramos Gómez Mariaj@uninorte.edu.co</t>
  </si>
  <si>
    <t xml:space="preserve"> ¿Qué esperar de la universidad?</t>
  </si>
  <si>
    <t>Juegos, dinamicas y un pequeños conversatorio sobre nuestras expectativas sobre la universidad.</t>
  </si>
  <si>
    <t>GUN-10164</t>
  </si>
  <si>
    <t>Alberto Mario Solis Martes, amsolis@uninorte.edu.co, 3008685801.</t>
  </si>
  <si>
    <t>Reunión grupo</t>
  </si>
  <si>
    <t>Reunión con los miembros activos del grupo en la que se discutirán nuevas propuestas de eventos y actividades del grupo.</t>
  </si>
  <si>
    <t>GUN-10165</t>
  </si>
  <si>
    <t>Cristian Andres Torres Monterrosa</t>
  </si>
  <si>
    <t xml:space="preserve">Capacitación con el centro de escritura </t>
  </si>
  <si>
    <t xml:space="preserve">Capacitación sobre el uso de normas APA y habilidades de redacción </t>
  </si>
  <si>
    <t>https://drive.google.com/open?id=1-OFdLgacBtvCZHoTlgSxJI6WMcmC5nkL91vm-51MVH4</t>
  </si>
  <si>
    <t>GUN-10166</t>
  </si>
  <si>
    <t>Inducciones Felinorte</t>
  </si>
  <si>
    <t>Se realizará una breve inducción a los registrados en la feria para después proceder a entrevistarlos, con el fin de conocer con cuál equipo estarán este semestre.</t>
  </si>
  <si>
    <t>GUN-10167</t>
  </si>
  <si>
    <t>Beatriz Elena Castro Pacheco</t>
  </si>
  <si>
    <t>Live energias</t>
  </si>
  <si>
    <t xml:space="preserve">será un live en instagram desde la cuenta de un grupo estudiantil que trabaja en conjunto con volta para esta actividad </t>
  </si>
  <si>
    <t>https://drive.google.com/open?id=1qeFGV7d7-Xw7ffyzr2lykYSOmn6GYSa6</t>
  </si>
  <si>
    <t>GUN-10168</t>
  </si>
  <si>
    <t>Catalina La Grand Salazar Pedraza, csalazarl@uninorte.edu.co, 3217548635</t>
  </si>
  <si>
    <t>LLEGARON LAS VACUNAS! QUE PASA CON LAS GESTION DE LAS VACNAS EN COLOMBIA?</t>
  </si>
  <si>
    <t>https://drive.google.com/open?id=1kLKELTOuvSkei8uTEpcpauzRb23Tcjfh</t>
  </si>
  <si>
    <t>GUN-10169</t>
  </si>
  <si>
    <t>Jovana Cristina Velazco Hernandez
jovanav@uninorte.edu.co
305 3521515</t>
  </si>
  <si>
    <t>Reunión de coordinación de logística y presidencia</t>
  </si>
  <si>
    <t>Para el mes de marzo tendremos distintos espacios con respecto al tema del mes, el cual es La Mujer (de acuerdo al día de la mujer de 8M). Se planea comenzar con los podcasts nuevamente y se busca concretar todos los eventos para el mes con los invitados.</t>
  </si>
  <si>
    <t>GUN-10170</t>
  </si>
  <si>
    <t>Reclutamiento</t>
  </si>
  <si>
    <t xml:space="preserve">Realizaremos una serie de actividades donde se pondrán a prueba las habilidades de los candidatos a pertenecer al grupo estudiantil.
</t>
  </si>
  <si>
    <t>GUN-10171</t>
  </si>
  <si>
    <t xml:space="preserve">Valentina Montes Osorio, vimontes@uninorte.edu.co, 3228369150
</t>
  </si>
  <si>
    <t>Meme en Facebook</t>
  </si>
  <si>
    <t xml:space="preserve">se subirá un meme a Facebook sin contenido gráfico ni ofensivo. </t>
  </si>
  <si>
    <t>GUN-10172</t>
  </si>
  <si>
    <t>GUN-10173</t>
  </si>
  <si>
    <t>Inducción nuevos voluntarios 2021-10</t>
  </si>
  <si>
    <t xml:space="preserve">Se realizará una reunión con los voluntarios que se inscribieron durante la feria, se le explicará todo a detalle, se les asignará un comité y se harán actividades </t>
  </si>
  <si>
    <t>GUN-10174</t>
  </si>
  <si>
    <t>Proyecto cartillas 2021-10</t>
  </si>
  <si>
    <t>Se iniciará el proyecto de las cartillas, se asignarán los grados que le corresponden a cada comité y se establecerá la materia con la que se comenzará este semestre.</t>
  </si>
  <si>
    <t>GUN-10175</t>
  </si>
  <si>
    <t>Jornada de inducción 2021 - 10</t>
  </si>
  <si>
    <t xml:space="preserve">Evento destinado a los nuevos miembros del grupo, inscritos durante la feria. Se realizarán pequeñas actividades virtuales pensadas para integrar a los miembros y brindarles un mayor conocimiento acerca del grupo estudiantil a los recién inscritos. </t>
  </si>
  <si>
    <t>GUN-10176</t>
  </si>
  <si>
    <t xml:space="preserve">Meme en Facebook relacionado con asuntos de nuestra carrera, para atraer mayor público a la pagina. </t>
  </si>
  <si>
    <t>GUN-10177</t>
  </si>
  <si>
    <t xml:space="preserve"> Meme en Facebook</t>
  </si>
  <si>
    <t>GUN-10178</t>
  </si>
  <si>
    <t>María Andrea Burgos Petro
mpetroa@gmail.com
3043873130</t>
  </si>
  <si>
    <t>Reunión Mesa directiva SIGN-UN</t>
  </si>
  <si>
    <t>Se realiza reunión interna con los miembros de la mesa directiva para conversar y discutir eventos próximos, como los relacionados con el día de la mujer y nuestra primera reunión oficial con todos los miembros del grupo.</t>
  </si>
  <si>
    <t>GUN-10179</t>
  </si>
  <si>
    <t>Santiago De Jesús Mercado Castro, dsmercado@uninorte.edu.co</t>
  </si>
  <si>
    <t>Evento inaugural</t>
  </si>
  <si>
    <t>Evento inaugural del grupo estudiantil Zaratustra.
El evento está diseñado por tres secciones correspondientes a cada una de las coordinaciones del grupo, Filosofía, Literatura y Arte, en cada sección cada una de las coordinadoras va a mostrar tanto a los miembros viejos como a los antiguos lo que se hace en cada coordinación, esto con el fin de que cada uno de los miembros pueda escoger en cual de las tres coordinaciones va a estar trabajando a lo largo del semestre.</t>
  </si>
  <si>
    <t>GUN-10180</t>
  </si>
  <si>
    <t>Reunión decisión final del reclutamiento</t>
  </si>
  <si>
    <t>Realizaremos una reunión dónde se discutirán los candidatos que pasarán a ser parte del grupo estudiantil</t>
  </si>
  <si>
    <t>GUN-10181</t>
  </si>
  <si>
    <t>Asamblea de Bienvenida</t>
  </si>
  <si>
    <t>Asamblea de bienvenida del grupo estudiantil ANEIC Uninorte, donde se realizará la inducción a los nuevos miembros del grupo.</t>
  </si>
  <si>
    <t>GUN-10182</t>
  </si>
  <si>
    <t xml:space="preserve">Inducción nuevos miembros </t>
  </si>
  <si>
    <t>Inducción para los inscritos en la Feria VIVE UN.</t>
  </si>
  <si>
    <t>GUN-10183</t>
  </si>
  <si>
    <t>Inducción nuevos miembros</t>
  </si>
  <si>
    <t>Se planea realizar Inducción para los nuevos miembros inscritos en la feria a través de actividades, desafíos y charlas.</t>
  </si>
  <si>
    <t>GUN-10184</t>
  </si>
  <si>
    <t>Inducción Nuevos miembros 2021-10</t>
  </si>
  <si>
    <t>Reunión para darle la bienvenida a los nuevos miembros que formaran parte del grupo a partir de este semestre.</t>
  </si>
  <si>
    <t>GUN-10185</t>
  </si>
  <si>
    <t xml:space="preserve">Reunión con la junta directiva del grupo en la que discutirán los últimos detalles para la inducción de los nuevos miembros y trabajos del grupo. </t>
  </si>
  <si>
    <t>GUN-10186</t>
  </si>
  <si>
    <t>Daniel Marún, marund@uninorte.edu.co, 3002408009</t>
  </si>
  <si>
    <t xml:space="preserve"> "15 días en..." Primera temática: Diseño e innovación</t>
  </si>
  <si>
    <t>Primera temática del proyecto "15 días en", en esta se publicará contenido variado (blogs, videos, charla, entrevista), relacionadas con el diseño y la innovación por diferentes medios con la colaboración de varias divisiones.</t>
  </si>
  <si>
    <t>GUN-10187</t>
  </si>
  <si>
    <t xml:space="preserve">Comentando la realidad internacional </t>
  </si>
  <si>
    <t xml:space="preserve">Publicación en la Gazeta del departamento de Ciencia Política y Relaciones Internacionales </t>
  </si>
  <si>
    <t>GUN-10188</t>
  </si>
  <si>
    <t>Daniel Marún, marund@uninorte.edu.co</t>
  </si>
  <si>
    <t>Proyecto temáticas "15 días en..." general</t>
  </si>
  <si>
    <t>El evento consiste en que durante 15 días se estará publicando contenido variado (blogs, videos, charlas, entrevistas, etc.) por diferentes medios con la colaboración de varias divisiones, con respecto a una temática general en específico, por ejemplo: diseño e innovación, industria aeroespacial y automotriz, energías alternativas, materiales y aplicaciones, etc. Pero cambiando la temática general principal cada 15 días, repitiéndose así hasta la semana #14 del calendario académico 2021-10.</t>
  </si>
  <si>
    <t>GUN-10189</t>
  </si>
  <si>
    <t>Sabías que...</t>
  </si>
  <si>
    <t xml:space="preserve">publicación en redes sociales sobre un tema especifico, un personaje historico o un dato curioso el cual se relaciona con la carrera. Esto permite analizar y reflexionar desde las bases y conceptos de las RR.II  </t>
  </si>
  <si>
    <t>GUN-10190</t>
  </si>
  <si>
    <t>Recorrido por la actualidad de la inteligencia artificial.</t>
  </si>
  <si>
    <r>
      <rPr/>
      <t xml:space="preserve">De parte de SIGHT🙌, EMBS🧠 y CEIM⚙️, te invitamos a conocer más sobre la inteligencia artificial en este viaje general a través de ella. Este 22 de febrero el Ing. Randy Consuegra hablará sobre aspectos generales de AI, Machine Learning y Deep Learning. ¡Te esperamos! Link de Meet: </t>
    </r>
    <r>
      <rPr>
        <color rgb="FF1155CC"/>
        <u/>
      </rPr>
      <t>https://meet.google.com/poc-cohf-afa</t>
    </r>
  </si>
  <si>
    <t>GUN-10191</t>
  </si>
  <si>
    <t>Nombre completo: Juan Jose Campanella De Oro
Correo Electrónico: campanellaj@uninorte.edu.co
Celular: 3183163328</t>
  </si>
  <si>
    <t xml:space="preserve">Inducción InNova 2021-10 </t>
  </si>
  <si>
    <t xml:space="preserve">Inducción a los estudiantes inscritos de InNova para este semestre académico. La actividad estuvo acompañada de actividades muy dinámicas que los estudiantes disfrutaron. Así mismo, se realizó una pequeña charla de las futuras actividades en el grupo estudiantil. </t>
  </si>
  <si>
    <t>GUN-10192</t>
  </si>
  <si>
    <t>dsmercado@uninorte.edu.co</t>
  </si>
  <si>
    <t>Santiago De Jesús Mercado Castro dsmercado@uninorte.edu.co 3008196382
(Este reporte es una corrección a un evento anteriormente reportado y dicha corrección fue notificada a la señorita Orieta)</t>
  </si>
  <si>
    <t xml:space="preserve">Evento inaugural </t>
  </si>
  <si>
    <t>https://drive.google.com/open?id=1VP_JNsWk0PdRrzm88409HGL1cjG_bJ4Z</t>
  </si>
  <si>
    <t>Se aprueba evento, recuerden que al ser un evento masivo, deben enviar la lista de asistencia para confirmar que estuvieron más de 130 personas.</t>
  </si>
  <si>
    <t>GUN-10193</t>
  </si>
  <si>
    <t>Apagaton</t>
  </si>
  <si>
    <t xml:space="preserve">consistirá en 15 minutos de conciencia del uso responsable de la energía, compartiendo sus experiencias en redes sociales. La idea es que no utilicen dispositivos electricos en esos 15 minutos. </t>
  </si>
  <si>
    <t>GUN-10194</t>
  </si>
  <si>
    <t>Carolay Cabrales, cjcabrales@uninorte.edu.co</t>
  </si>
  <si>
    <t>EXPERIENCIA CEIM</t>
  </si>
  <si>
    <t xml:space="preserve">Se realiza el recibimiento a todos los miembros antiguos y nuevos del ceim para así hacer la selección de la división en la cual se quiera desempeñar a lo largo del semestre. </t>
  </si>
  <si>
    <t>GUN-10195</t>
  </si>
  <si>
    <t>Carolay Cabrales, cjcabrales@uninorte.edu.co, 3008395070</t>
  </si>
  <si>
    <t xml:space="preserve">PRIMERA REUNION AR </t>
  </si>
  <si>
    <t xml:space="preserve">Delegar trabajo de los eventos próximos, presentar la nueva subdirectora y presentar los nuevos cambios. </t>
  </si>
  <si>
    <t>GUN-10196</t>
  </si>
  <si>
    <t>CONOCE A TU FACULTAD</t>
  </si>
  <si>
    <t>Se desea que la comunidad conozca los profesores del departamento de Ingeniería Mecánica en Uninorte</t>
  </si>
  <si>
    <t>GUN-10197</t>
  </si>
  <si>
    <t xml:space="preserve">Yomely Cantillo Herrera, yomelyc@uninorte.edu.co, </t>
  </si>
  <si>
    <t>Primera división tesorería</t>
  </si>
  <si>
    <t>Dar a conocer las actividades a realizar durante el semestre a los miembros antiguos y asignar tareas</t>
  </si>
  <si>
    <t>GUN-10198</t>
  </si>
  <si>
    <t>Keren Jemima Sarmiento Pérez
kerens@uninorte.edu.co
3003374444</t>
  </si>
  <si>
    <t>Post sobre la primera reunión oficial</t>
  </si>
  <si>
    <t>Se realizará publicación en Instagran y Twitter promocionando la primera reunión oficial del grupo</t>
  </si>
  <si>
    <t>GUN-10199</t>
  </si>
  <si>
    <t>ENTREVISTAS EGRESADOS</t>
  </si>
  <si>
    <t>Se desea motivar a la comunidad de Ingeniería Mecánica por medio de entrevistas a egresados en la que se evidencie la formación y las oportunidades que han tenido desde su paso por uninorte</t>
  </si>
  <si>
    <t>GUN-10200</t>
  </si>
  <si>
    <t>Efraín Andrés Cardozo Arrieta, eacardozo@uninorte.edu.co, 3023770399</t>
  </si>
  <si>
    <t>Blog: Diseño de drones en la agricultura</t>
  </si>
  <si>
    <t>El blog tratará sobre el diseño y las aplicaciones de los drones en la agricultura dado a el incremento del uso de estos y que diferencias tienen con los drones normales.</t>
  </si>
  <si>
    <t>GUN-10201</t>
  </si>
  <si>
    <t>Sofia De La Hoz, delahozasuninorte.edu.co</t>
  </si>
  <si>
    <t>Actividad (Feria, visita virtual/presencial, celebración, experiencia CEIM, conmemoración, etc.)</t>
  </si>
  <si>
    <t>Difusión encuesta semanas temáticas proyecto 15 días en...</t>
  </si>
  <si>
    <t>GUN-10202</t>
  </si>
  <si>
    <t xml:space="preserve">Publicación Blog de bienestar </t>
  </si>
  <si>
    <t xml:space="preserve">Envió de texto de opinión a bienestar universitario para su revisión y publicación en el blog de bienestar uninorte </t>
  </si>
  <si>
    <t>GUN-10203</t>
  </si>
  <si>
    <t>Carlos Jimenez, cjimenezr@uninorte.edu.co, 3002408009</t>
  </si>
  <si>
    <t>Reunion con Carlos Lasarte CEIM ASME WEBINAR SERIES</t>
  </si>
  <si>
    <t>Logística segundo webinar de la serie de webinars CEIM ASME</t>
  </si>
  <si>
    <t>GUN-10204</t>
  </si>
  <si>
    <t>Reunión Carlos Lasarte CEIM ASME WEBINAR SERIES</t>
  </si>
  <si>
    <t>Logística segundo webinar de la serie de webinar CEIM ASME</t>
  </si>
  <si>
    <t>GUN-10205</t>
  </si>
  <si>
    <t>Resumen del mes</t>
  </si>
  <si>
    <t>GUN-10206</t>
  </si>
  <si>
    <t xml:space="preserve">Hilo de Twitter. </t>
  </si>
  <si>
    <t>Hacer hilos explicando fenómenos de coyuntura.</t>
  </si>
  <si>
    <t>GUN-10207</t>
  </si>
  <si>
    <t>CEIM ASME WEBINAR SERIES</t>
  </si>
  <si>
    <t xml:space="preserve">Serie de Webinars con ponentes nacionales e internacionales organizada por la división capitulo ASME del CEIM. Algunos webinars tienen apoyo logístico de otras secciones estudiantiles ASME. </t>
  </si>
  <si>
    <t>GUN-10208</t>
  </si>
  <si>
    <t>Sé Crítico</t>
  </si>
  <si>
    <t xml:space="preserve">Video breve, publicado en Instagram, cada dos semanas, en el cual se expone una noticia o evento coyuntural con una visión crítica que invita a los estudiantes a reflexionar. </t>
  </si>
  <si>
    <t>GUN-10209</t>
  </si>
  <si>
    <t xml:space="preserve">Primera reunión oficial </t>
  </si>
  <si>
    <t xml:space="preserve">Esta será la primera reunión oficial del SIGN-UN con todos los miembros inscritos, servirá como introducción hacia las actividades del grupo y para presentarnos formalmente ante todos nuestros miembros. Se hablará de la dinámica que llevaremos y sobre los derechos y responsabilidades que tendrá cada inscrito de acuerdo al tipo de miembro que este eligió. </t>
  </si>
  <si>
    <t>GUN-10210</t>
  </si>
  <si>
    <t>Blog: "Horología: el diseño detrás de los relojes y sus mecanismos"</t>
  </si>
  <si>
    <t>En este blog se resumirán las etapas de diseño de los mecanismos de los relojes y su evolución en el tiempo, desde las máquinas más finas hasta relojes más accesibles, se explicará el detalle detrás de su funcionamiento.</t>
  </si>
  <si>
    <t>GUN-10211</t>
  </si>
  <si>
    <t xml:space="preserve">Charla: Un recorrido por la actualidad de la IA </t>
  </si>
  <si>
    <t xml:space="preserve">Charla enfocada en un recorrido general por la inteligencia artificial de la actualidad. Será dada por el ingeniero Randy Consuegra. </t>
  </si>
  <si>
    <t>https://drive.google.com/open?id=1ozpDS-uS-qT8xNkorIWEld1IPdSr3V4a</t>
  </si>
  <si>
    <t>GUN-10212</t>
  </si>
  <si>
    <t>Webinar 1: Consejos para estudiantes por graduarse y recientes graduados de ingeniería</t>
  </si>
  <si>
    <t>Charla impartida por PhD Julio Guerrero dirigida a estudiantes de ingeniería</t>
  </si>
  <si>
    <t>https://drive.google.com/open?id=1-bCDFAStQZ9dolHnBV5lTvADkimNKqSK</t>
  </si>
  <si>
    <t>GUN-10213</t>
  </si>
  <si>
    <t>Catalina Navarro Santos
catalinanavarro@uninorte.Edu.co
3165320824</t>
  </si>
  <si>
    <t>Reunión con Brandon Hernández para comentar todas las actividades que vienen por parte de Bienestar Universitario y otros proyectos por parte del grupo estudiantil.</t>
  </si>
  <si>
    <t>GUN-10214</t>
  </si>
  <si>
    <t>DESCÚBRELO EN NUESTRO BLOG Y CANAL DE YT</t>
  </si>
  <si>
    <t>Se motiva a la comunidad por medio de breves datos llamativos a que se informen más en nuestro Blog y Canal de Youtube</t>
  </si>
  <si>
    <t>GUN-10215</t>
  </si>
  <si>
    <t>becastro@uninorte.edu.co</t>
  </si>
  <si>
    <t>beatriz castro</t>
  </si>
  <si>
    <t>Egresado Invitado</t>
  </si>
  <si>
    <t xml:space="preserve">charla virtual con un ingeniero que trabaja en australia </t>
  </si>
  <si>
    <t>https://drive.google.com/open?id=1rPRbM6Xd7BnMDZ09KBlJc7xybNKo8zCi</t>
  </si>
  <si>
    <t>GUN-10216</t>
  </si>
  <si>
    <t>Marcela Serrano</t>
  </si>
  <si>
    <t>Bingo CREATEC</t>
  </si>
  <si>
    <t>Bingo para recolección de recursos internos del grupo.</t>
  </si>
  <si>
    <t>GUN-10217</t>
  </si>
  <si>
    <t>GUN-10218</t>
  </si>
  <si>
    <t>isabella Gonzalez, isabellatorres@uninorte.edu.co, 3135806828</t>
  </si>
  <si>
    <t>Reunión semanal</t>
  </si>
  <si>
    <t xml:space="preserve">Reunión semanal a cargo de logistica en donde </t>
  </si>
  <si>
    <t>GUN-10219</t>
  </si>
  <si>
    <t>Daniel Marún. marund@uninorte.edu.co, 3002408009</t>
  </si>
  <si>
    <t>REUNIÓN DIVISION CONEXIONES CON LA INDUSTRIA</t>
  </si>
  <si>
    <t xml:space="preserve">Primera reunión de la división. Informar como llevaremos la división durante el desarrollo del semestre. </t>
  </si>
  <si>
    <t>GUN-10220</t>
  </si>
  <si>
    <t>Osvaldo José Díaz Ricardo, rosvaldo@uninorte.edu.co, 318 5218801 
Santiago José Castro Montealegre, sjmontealegre@uninorte.edu.co, 3124667634</t>
  </si>
  <si>
    <t>Primera Asamblea</t>
  </si>
  <si>
    <t>Se expondrán temas importantes a todos los miembros del grupo estudiantil relacionados a actividades, integraciones, presentación de nuevos miembros y  distintos objetivos que se quieren llevar a cabo durante el semestre, cada miembro de la junta tendrá la oportunidad de presentar dichos temas de suma importancia, al final se abrirá un espacio para que los miembros del grupo expresen su opinión y dudas respecto a lo expuesto en esta actividad.</t>
  </si>
  <si>
    <t>GUN-10221</t>
  </si>
  <si>
    <t>Robótica aplicada en la industria</t>
  </si>
  <si>
    <t>Se hablará sobre las diferentes aplicaciones de la robótica en la industria con ejemplos que se pueden desarrollar desde casa.</t>
  </si>
  <si>
    <t>GUN-10222</t>
  </si>
  <si>
    <t>Maria Jose Ramos</t>
  </si>
  <si>
    <t>Serie: Dile, Hola al Cambio. Tema: La revancha</t>
  </si>
  <si>
    <t>Hablaremos sobre ¿Cómo fue nuestro 2020? Y ¿Cómo cambio nuestra vida? Todo con el objetivo de reflexionar sobre los cambios que ocurrieron en nuestra vida y animarnos a tener expectativas para este 2021.</t>
  </si>
  <si>
    <t>GUN-10223</t>
  </si>
  <si>
    <t xml:space="preserve">Capacitacion con el centro de escritura </t>
  </si>
  <si>
    <t xml:space="preserve">Capacitación para el comité de redacción dictada por el centro de escritura ECO de la universidad </t>
  </si>
  <si>
    <t>https://drive.google.com/open?id=1s8oDj8So9UvJVTYsBt4wxaQmwOaDVGu-GJZ8ELvlV0I</t>
  </si>
  <si>
    <t>GUN-10224</t>
  </si>
  <si>
    <t>Alisson Andrea Abello Escorcia - alissona@uninorte.edu.co - 3113858638</t>
  </si>
  <si>
    <t xml:space="preserve">Inducciones EQUN </t>
  </si>
  <si>
    <t>Se realizará la inducción correspondiente al periodo 2021-10. Será dirigida para miembros antiguos y nuevos ya que se hablará de todos los cambios y el proceso de reestructuración interna por la que grupo está haciendo parte.</t>
  </si>
  <si>
    <t>GUN-10225</t>
  </si>
  <si>
    <t>Samantha Castro, samanthac@uninorte.edu.co, 3016202938</t>
  </si>
  <si>
    <t>Inducción FemiLogistics</t>
  </si>
  <si>
    <t xml:space="preserve">Reunión con los miembros del comité y explicación de la estructura del comité y sus actividades. </t>
  </si>
  <si>
    <t>GUN-10226</t>
  </si>
  <si>
    <t xml:space="preserve">Andrea Lucía Paternina Tordecilla
3013493143
tordecillaa@uninorte.edu.co </t>
  </si>
  <si>
    <t xml:space="preserve">Charla de estrategias pedagógicas </t>
  </si>
  <si>
    <t>Se hablará desde la experiencia práctica estrategias pedagógicas inspiradas en Reggio Emilia aplicadas a nuestro contexto, desde espacios diversificados (escuela y casa)</t>
  </si>
  <si>
    <t>https://drive.google.com/open?id=1sBq80Vqx1bMnuXXlqBRRvyWFHvR1yEgO</t>
  </si>
  <si>
    <t>GUN-10227</t>
  </si>
  <si>
    <t>Freddy Jose Regino fregino@uninorte.edu.co 3148345811</t>
  </si>
  <si>
    <t>Una Auditoria Emocionalmente Efectiva</t>
  </si>
  <si>
    <t>Charla donde se hablara sobre la experiencia laboral y concejos sobre auditoria.</t>
  </si>
  <si>
    <t>https://drive.google.com/open?id=1K93I4gaNZaDoc4-U4EXCufTezUAPQG3m</t>
  </si>
  <si>
    <t>GUN-10228</t>
  </si>
  <si>
    <t>Actividad de integración y bienvenida del grupo</t>
  </si>
  <si>
    <t>Actividad de integración que busca familiarizarnos con los miembros del grupo y así crear un mejor ambiente de trabajo. Se compartirán las especificaciones del grupo y proyecto W-STEM, se realizará la presentación del consejo, explicación de actividades y se conformarán los grupos de las nuevas divisiones.</t>
  </si>
  <si>
    <t>GUN-10229</t>
  </si>
  <si>
    <t>Vanessa Picalúa Parra,vpicalua@uninorte.edu.co,3016985883</t>
  </si>
  <si>
    <t>Capacitación de ZOOM.</t>
  </si>
  <si>
    <t>Se realizará una capacitación de la plataforma ZOOM a cargo del ingeniero Julián Yepes.</t>
  </si>
  <si>
    <t>GUN-10230</t>
  </si>
  <si>
    <t>Najwa Muhieddine, nmuhieddine@uninorte.edu.co, 3014403234</t>
  </si>
  <si>
    <t>Inducción Femingram</t>
  </si>
  <si>
    <t xml:space="preserve">Reunión con los miembros del comité para explicar la estructura del comité y sus actividades. </t>
  </si>
  <si>
    <t>GUN-10231</t>
  </si>
  <si>
    <t>Conferencia: Adaptación de la Ciénaga de Mallorquín Frente al Cambio Climático</t>
  </si>
  <si>
    <t>Conferencia a cargo del Ingeniero German Rivillas Ospina donde hablara de los problemas encontrado en sus múltiples investigaciones en la ciénaga de mallorquín.</t>
  </si>
  <si>
    <t>GUN-10232</t>
  </si>
  <si>
    <t>iise@uninorte.edu.co</t>
  </si>
  <si>
    <t>IISE</t>
  </si>
  <si>
    <t>Isabella Peña Lazaro, lazaroi@uninorte.edu.co, 3188199981</t>
  </si>
  <si>
    <t>Inducción 2021-10</t>
  </si>
  <si>
    <t>Inducción dirigida a los estudiantes inscritos al grupo en el semestre 2021-10</t>
  </si>
  <si>
    <t>GUN-10233</t>
  </si>
  <si>
    <t>Jesús David López Espinosa
despinosaj@uninorte.edu.co
3137608323</t>
  </si>
  <si>
    <t>Reunión Logística</t>
  </si>
  <si>
    <t>Reunión con todos los miembros de la dirección para realizar una integración y hablar sobre los proyectos que se van a llevar a cabo durante este semestre</t>
  </si>
  <si>
    <t>GUN-10234</t>
  </si>
  <si>
    <t>Xenia Arellano, xarellano@uninorte.edu.co, 3054706367</t>
  </si>
  <si>
    <t>Inducción FemiBlogs</t>
  </si>
  <si>
    <t>GUN-10235</t>
  </si>
  <si>
    <t>Bingo</t>
  </si>
  <si>
    <t>Se realizará un bingo con el fin de recaudar fondos junto a CK Dharma.
Población beneficiada: estudiantes del colegio El Mundo de los Estudiantes</t>
  </si>
  <si>
    <t>GUN-10236</t>
  </si>
  <si>
    <t>Andrea Lucía Paternina Tordecilla</t>
  </si>
  <si>
    <t>¿Qué gato debería adoptar según mi estilo de vida?</t>
  </si>
  <si>
    <t>Realizar unas preguntas sobre el estilo de vida de las personas que desean adoptar un gatito y sugerir adoptar un gato en la etapa de la vida (Gatito, Junior, Adulto, Senior) que más se adapte a la dinámica de la familia.</t>
  </si>
  <si>
    <t>GUN-10237</t>
  </si>
  <si>
    <t>MECMEMES</t>
  </si>
  <si>
    <t>GUN-10238</t>
  </si>
  <si>
    <t>Video “Diseño generativo: una herramienta de innovación”</t>
  </si>
  <si>
    <t xml:space="preserve">El Video a continuación es una breve explicación sobre lo que es el diseño generativo y lo que nos ha ayudado a los ingenieros para simplificar los métodos de elaboración de piezas, mecanismos, diseños y demás. Trae además, detalles sobre cómo funciona y en breve ejemplo aplicado a un modelo antiguo de furgoneta Volkswagen modificada. </t>
  </si>
  <si>
    <t>GUN-10239</t>
  </si>
  <si>
    <t>Lanzamiento trámite de adopciones</t>
  </si>
  <si>
    <t>Se da a conocer el proceso mejorado de adopciones a toda la comunidad, estaremos en una sala de meet para asesorar a posibles adoptantes</t>
  </si>
  <si>
    <t>GUN-10240</t>
  </si>
  <si>
    <t>CATALINA LA GRAND SALAZAR PEDRAZA, CSALAZARL@UNINORTE.EDU.CO</t>
  </si>
  <si>
    <t>REUNION COMITE DE LOGISTICA Y EVENTOS</t>
  </si>
  <si>
    <t xml:space="preserve">se presentaran las propuestas de la junta directiva relativos a los eventos del grupo estudiantila, a los integrantes del comite </t>
  </si>
  <si>
    <t>GUN-10241</t>
  </si>
  <si>
    <t>grupoestudiantilcru@uninorte.edu.co</t>
  </si>
  <si>
    <t>CRU</t>
  </si>
  <si>
    <t>Isabella Meza Viana- isabellaviana@uninorte.edu.co - 3147924397</t>
  </si>
  <si>
    <t>Comunidad misional-ONE</t>
  </si>
  <si>
    <t>Reunión de junta directiva equipo Cru Uninorte.</t>
  </si>
  <si>
    <t>GUN-10242</t>
  </si>
  <si>
    <t>Día Nacional del Reciclador</t>
  </si>
  <si>
    <t>Post en instagram para resaltar la importancia de los recicladores</t>
  </si>
  <si>
    <t>GUN-10243</t>
  </si>
  <si>
    <t>Campaña introductoria Semana de la mujer</t>
  </si>
  <si>
    <t>Se realizará una campaña por redes sociales (vía Instagram) subiendo piezas diarias desde el 1 de marzo hasta el 8 de marzo, día en que comienza la Semana de la mujer, evento organizado por la Universidad. La idea es aportar con un preámbulo en el marco de este importante día</t>
  </si>
  <si>
    <t>GUN-10244</t>
  </si>
  <si>
    <t>Dato curioso: Producción de neuronas en el cerebro.</t>
  </si>
  <si>
    <t>Publicación de contenido en nuestra sección de "Dato Curioso" a través de historias de instagram e hilo en twtter. Se comentará sobre la producción de neuronas en el cerebro.</t>
  </si>
  <si>
    <t>GUN-10245</t>
  </si>
  <si>
    <t>Sofia De La Hoz Escorcia, delahozas@uninorte.edu.co, 3024247347</t>
  </si>
  <si>
    <t>Publicación video: "China innovando en electromovilidad"</t>
  </si>
  <si>
    <t>Publicación video titulado "China innovando en electromovilidad" en el canal de Youtube</t>
  </si>
  <si>
    <t>GUN-10246</t>
  </si>
  <si>
    <t>GUN-10247</t>
  </si>
  <si>
    <t>Alberto Mario Solis Martes, amsolis@unorte.edu.co, 3008685801</t>
  </si>
  <si>
    <t>Campaña de la semana de la mujer</t>
  </si>
  <si>
    <t>Por medio de publicaciones de Instagram se resaltará el trabajo y aportes de mujeres lgbt en la historia</t>
  </si>
  <si>
    <t>GUN-10248</t>
  </si>
  <si>
    <t>Sharon Andrea Varelo Martínez, svarelo@uninorte.edu.co</t>
  </si>
  <si>
    <t>Día mundial de la vida silvestre</t>
  </si>
  <si>
    <t>Post en redes sobre la importancia de la vida silvestre</t>
  </si>
  <si>
    <t>GUN-10249</t>
  </si>
  <si>
    <t>alfayomega@uninorte.edu.co</t>
  </si>
  <si>
    <t>ALFA Y OMEGA</t>
  </si>
  <si>
    <t>Vanessa de la Cruz villalba, vpdelacruz@uninorte.edu.co, 3126552561</t>
  </si>
  <si>
    <t xml:space="preserve">JUNTA </t>
  </si>
  <si>
    <t>Junta mensual con los miembros de Alfa</t>
  </si>
  <si>
    <t>GUN-10250</t>
  </si>
  <si>
    <t>Dato curioso Corazón y Cerebro</t>
  </si>
  <si>
    <t>Publicación en Historias de Instagram e hilo en Twitter sobre un dato curioso con el tema Corazón y Cerebro.</t>
  </si>
  <si>
    <t>GUN-10251</t>
  </si>
  <si>
    <t xml:space="preserve">Charla: Ciclo de vida de un proyecto. </t>
  </si>
  <si>
    <t xml:space="preserve">Charla con el ingeniero Alvin Henao, docente de tiempo completo del departamento de ingeniería industrial. Doctor en Ingeniería Industrial de la Universidad del Norte. Especialista en Diseño y Evaluación de Proyectos (Universidad del Norte) </t>
  </si>
  <si>
    <t>https://drive.google.com/open?id=1SZI-PHjvIGI6UAkOdbLCwOo-JHNwcONj</t>
  </si>
  <si>
    <t>GUN-10252</t>
  </si>
  <si>
    <t>¿Qué hay detrás de los pensamientos anti-ciencia?</t>
  </si>
  <si>
    <t>Estamos en un momento de la actualidad en donde estamos rodeados de mucha información y no toda es verídica, por lo que el tema a tratar en este evento son los pensamientos anticiencias, y teniendo en cuenta el contexto social de vacunación en el que nos encontramos, se abordará la nueva perspectiva escéptica, que de ella surge, la antivacunación. Este conversatorio se llevará acabo con la participación de el profesor y psicólogo Anthony Millan.</t>
  </si>
  <si>
    <t>GUN-10253</t>
  </si>
  <si>
    <t>Efraín Andrés Cardozo Arrieta, eacardozo@uninorte.edu.co</t>
  </si>
  <si>
    <t>Video Interview: "Automotive Engineer: Jerry Lavine"</t>
  </si>
  <si>
    <t>"Se publicará en el canal de YouTube del CEIM un video en donde se mostrará una entrevista realizada al Ingeniero Automotriz Jerry Lavine, la cual se enfocará en el diseño y la innovación aplicada a la industria automotriz, así como la eficiencia en la producción. Cabe resaltar de que la entrevista será realizada en INGLÉS. 
"</t>
  </si>
  <si>
    <t>https://drive.google.com/open?id=16mPcoWgkUpau14fG4_IiI7Zs99b3H-Fi</t>
  </si>
  <si>
    <t>GUN-10254</t>
  </si>
  <si>
    <t xml:space="preserve">Se publicará en el canal de YouTube del CEIM un video en donde se mostrará una entrevista realizada al Ingeniero Automotriz Jerry Lavine, la cual se enfocará en el diseño y la innovación aplicada a la industria automotriz, así como la eficiencia en la producción. Cabe resaltar de que la entrevista será realizada en INGLÉS. 
</t>
  </si>
  <si>
    <t>https://drive.google.com/open?id=1mqzJMSyOhgMl9mHR6zPWuwMBxXTmkCL3</t>
  </si>
  <si>
    <t>GUN-10255</t>
  </si>
  <si>
    <t>Publicación en Twitter</t>
  </si>
  <si>
    <t xml:space="preserve">Hilo en Twitter en el que nuestros miembros explican de forma breve temas de coyuntura actual pertinentes a las Relaciones Internacionales. </t>
  </si>
  <si>
    <t>GUN-10256</t>
  </si>
  <si>
    <t>Noor Hamid Rada Bendek (bendekn@uninorte.edu.co)</t>
  </si>
  <si>
    <t>Reunion de OLO</t>
  </si>
  <si>
    <t>Se hizo una reunión donde se discutieron y acordaron fechas para la iniciación y ejecución de los eventos programados en el plan de acción del grupo estudiantil.</t>
  </si>
  <si>
    <t>GUN-10257</t>
  </si>
  <si>
    <t>Capacitación: Registro y tratamiento de la información y consentimiento informado en el ejercicio de la psicología</t>
  </si>
  <si>
    <t xml:space="preserve">Capacitación interna para miembros del grupo con la participación de la profesora y psicóloga Ana María Trejos en el que se tocarán temas relacionados con la ética y la confidencialidad en el campo profesional de la psicología </t>
  </si>
  <si>
    <t>GUN-10258</t>
  </si>
  <si>
    <t>Ana Maria Teherán
3017874089
mateheran@uninorte.edu.co
Natalia Barrera
3043756793
npulgar@uninorte.edu.co</t>
  </si>
  <si>
    <t>Bingo party</t>
  </si>
  <si>
    <t>1er bingo pro fondos en colaboración con el grupo estudiantil Pangea, para ayudar a los niños más necesitados</t>
  </si>
  <si>
    <t>GUN-10259</t>
  </si>
  <si>
    <t>ayepesm@uninorte.edu.co</t>
  </si>
  <si>
    <t xml:space="preserve">Marzo: Mes de la Construcción </t>
  </si>
  <si>
    <t>En el mes de Marzo el grupo estudiantil ANEIC Uninorte destaca al área de la construcción en la ingeniería civil por medio de conferencias, salidas de campo virtuales y demás.</t>
  </si>
  <si>
    <t>GUN-10260</t>
  </si>
  <si>
    <t>ybmartinez@uninorte.edu.co</t>
  </si>
  <si>
    <t>Mujeres en el conflicto armado</t>
  </si>
  <si>
    <t xml:space="preserve">Conversatorio en el marco del mes de la mujer sobre el papel de la mujer en el conflicto armado en Colombia. </t>
  </si>
  <si>
    <t>https://drive.google.com/open?id=19blqB9i-Y0skkvE5qQWktOYWlDYRReWR</t>
  </si>
  <si>
    <t>GUN-10261</t>
  </si>
  <si>
    <t xml:space="preserve">Yuliana Martínez Vergara </t>
  </si>
  <si>
    <t>Conversatorio en donde se discutirá desde un enfoque de genero el papel de la mujer en medio del conflicto armado.</t>
  </si>
  <si>
    <t>https://drive.google.com/open?id=1waY6yr1Fkn_fuOhC80zCcwpggm24UkG1</t>
  </si>
  <si>
    <t>GUN-10262</t>
  </si>
  <si>
    <t>Conversatorio en alianza con el CERI sobre las mujeres en el conflicto armado</t>
  </si>
  <si>
    <t>https://drive.google.com/open?id=1v5plU7JXauS4iE1q_uvDmCx-LH700ZXv</t>
  </si>
  <si>
    <t>GUN-10263</t>
  </si>
  <si>
    <t>Día de la Mujer: Mujeres Voluntarias por el Mundo</t>
  </si>
  <si>
    <t>Durante esta actividad, los miembros del grupo harán grupos de 4 y a cada uno se les dará una mujer activista y voluntaria famosa, los miembros deberán contarnos sobre ella y sobre sus aportes a nivel social, académico y personal. Al final de la actividad, se realizará un Kahoot sobre lo que aprendimos sobre cada una de ellas y la importancia del papel de la mujer en el activismo internacional.
Alguna de las mujeres: Shakira, Dolores Huerta, Malala, Alice Paul, Eva Perón entre otras.</t>
  </si>
  <si>
    <t>GUN-10264</t>
  </si>
  <si>
    <t>GUN-10265</t>
  </si>
  <si>
    <t>Isabella Gonzalez Torres, isabellatorres@uninorte.edu.co, 3135806828</t>
  </si>
  <si>
    <t xml:space="preserve">Reunión semanal a cargo del dpto de marketing. </t>
  </si>
  <si>
    <t>GUN-10266</t>
  </si>
  <si>
    <t>Ana Milena Manjarrés Santiago, anamanjarres@uninorte.edu.co, 3116659138</t>
  </si>
  <si>
    <t>Capacitación Redes Sociales y Creación de Contenido</t>
  </si>
  <si>
    <t>Se busca tener un espacio donde se capacite a los miembros del CEIM, especialmente los nuevos miembros de la división de redes sociales en creación de imágenes, publicidades, videos, presentaciones, etc y se les permita un acercamiento a las plataformas y aplicaciones a utilizar.</t>
  </si>
  <si>
    <t>GUN-10267</t>
  </si>
  <si>
    <t>Charla con Alfresco</t>
  </si>
  <si>
    <t>Charla con la empresa colombiana  Alfresco, productora y distribuidora de alimentos. En esta nos hablará la directora de logística de la compañía sobre la logística de distribución y cómo manejan las exportaciones e importaciones. Adicionalmente, se dejará un espacio para preguntas por parte de los miembros.</t>
  </si>
  <si>
    <t>https://drive.google.com/open?id=1LWNakUfwsNbk_1X1OHrG0VMsI22Sn5TO</t>
  </si>
  <si>
    <t>GUN-10268</t>
  </si>
  <si>
    <t xml:space="preserve">Nepotismo en Colombia: ¿Una realidad por debajo de la mesa? </t>
  </si>
  <si>
    <t xml:space="preserve">Conversatorio en donde haremos un análisis sobre el nepotismo, sus causas y consecuencias en un país. </t>
  </si>
  <si>
    <t>https://drive.google.com/open?id=12fH7aZKUzP6NzmrikYPEkzQ-WkEDZsjF</t>
  </si>
  <si>
    <t>GUN-10269</t>
  </si>
  <si>
    <t xml:space="preserve">Nepotismo en Colombia: ¿una realidad por debajo de la mesa? </t>
  </si>
  <si>
    <t xml:space="preserve">Realizaremos un análisis sobre el nepotismo, su significado, causas y consecuencias enfocados en el caso Colombia. </t>
  </si>
  <si>
    <t>https://drive.google.com/open?id=1AMuVziJ4PHAuYssPWgqdbPCo64SyoeDl</t>
  </si>
  <si>
    <t>GUN-10270</t>
  </si>
  <si>
    <t>Spill the FeminTea</t>
  </si>
  <si>
    <t>Abarcaremos el tema de la carga mediática a las que están expuestas artistas femeninas y para ello analizaremos el ejemplo de Britney Spears.</t>
  </si>
  <si>
    <t>GUN-10271</t>
  </si>
  <si>
    <t>María Isabella Guardo Vargas, miguardo@uninorte.edu.co, 3045231800</t>
  </si>
  <si>
    <t xml:space="preserve">Reunión Logística </t>
  </si>
  <si>
    <t xml:space="preserve">En nuestra primera reunión con los miembros vamos a asignar funciones de logistica, hablaremos sobre la charla de alfresco y les comentaremos noticias sobre el grupo. Esta reunión será la primera reunión con los nuevos y antiguos integrantes. </t>
  </si>
  <si>
    <t>GUN-10272</t>
  </si>
  <si>
    <t>Maria Jose Ramos. rmariaj@uninorte.edu.co</t>
  </si>
  <si>
    <t>Serie I. Dile Hola al cambio. Tema. La desilución</t>
  </si>
  <si>
    <t xml:space="preserve">En el marco de la serie Dile Hola al cambio, pasaremos a reflexionar acerca del sentimiento de desilución que podemos experimentar cuando las cosas no pasan como las planeamos o ocurren situaciones que cambian por completo nuestra vida. ¿Cómo manejar la desilución y tener actitudes positivas sobre el cambio? </t>
  </si>
  <si>
    <t>GUN-10273</t>
  </si>
  <si>
    <t>Dato Curioso: Tamaño del cerebro</t>
  </si>
  <si>
    <t>Publicación en historias de instagram e hilo de twitter de un dato curioso sobre el tamaño del cerebro.</t>
  </si>
  <si>
    <t>GUN-10274</t>
  </si>
  <si>
    <t>Charla con egresadxs</t>
  </si>
  <si>
    <t xml:space="preserve">Charla informativa sobre la carrera y la vida profesional con la participación de una o un egresado(a) del programa de relaciones Internacionales. </t>
  </si>
  <si>
    <t>https://drive.google.com/open?id=1bf0ZGUcvuekBDruv5nzYvEEYH-mwKKjJ</t>
  </si>
  <si>
    <t>GUN-10275</t>
  </si>
  <si>
    <t xml:space="preserve">Charla con egresadxs </t>
  </si>
  <si>
    <t xml:space="preserve">Este es un espacio en donde tendremos la posibilidad de hablar con algún/a egresadx de la carrera de Relaciones Internacionales de la Universidad del Norte. La idea es tener una cercamiento sobre la vida laboral al salir de la Universidad. </t>
  </si>
  <si>
    <t>https://drive.google.com/open?id=1w4PRB7n5wQLPzdJag1owN5NFa4LYOrvw</t>
  </si>
  <si>
    <t>GUN-10276</t>
  </si>
  <si>
    <t>Día de la vida silvestre con enfoque uninorteño</t>
  </si>
  <si>
    <t>Publicaremos una serie de videos junto a Faunaticos en honor a la vida silvestre</t>
  </si>
  <si>
    <t>GUN-10277</t>
  </si>
  <si>
    <t>Proyecto de Cartillas</t>
  </si>
  <si>
    <t>Se continuará con el proyecto de las cartillas, cada comité se reunirá para desarrollar las cartillas de Ciencias Naturales.</t>
  </si>
  <si>
    <t>GUN-10278</t>
  </si>
  <si>
    <t>Andrés Romero, aromerof@uninorte.edu.co, 3004476066</t>
  </si>
  <si>
    <t>Reunión de área Innovación</t>
  </si>
  <si>
    <t>Se explicará el plan de acción interno del área, se repartirán las funciones de asesorías y consultorías del semestre; y se asignarás las temáticas de las actividades semanales internas (debates).</t>
  </si>
  <si>
    <t>GUN-10279</t>
  </si>
  <si>
    <t>GUN-10280</t>
  </si>
  <si>
    <t>Campaña día de la mujer</t>
  </si>
  <si>
    <t xml:space="preserve">Post de Instagram en el que se destaquen diferentes aportes de biólogas colombianas </t>
  </si>
  <si>
    <t>GUN-10281</t>
  </si>
  <si>
    <t>tordecillaa@uninorte.edu.co</t>
  </si>
  <si>
    <t>Daniela Barrios Caballeros, danielacaballero@uninorte.edu.co</t>
  </si>
  <si>
    <t>Inducción dpto de Marketing</t>
  </si>
  <si>
    <t>Reunión con los nuevos integrantes del dpto para explicarles cómo funciona Canva y qué deben saber para poder comenzar sus tareas como miembros.</t>
  </si>
  <si>
    <t>GUN-10282</t>
  </si>
  <si>
    <t>Daniela Barrios Caballero, danielacaballero@uninorte.edu.co</t>
  </si>
  <si>
    <t>GUN-10283</t>
  </si>
  <si>
    <t>Campaña semana de la mujer</t>
  </si>
  <si>
    <t xml:space="preserve">Campaña de la semana de la mujer, estuvo dividida en los eventos de la FEMINWEEK, La campaña “Mujer en la ciencia: el gran ayer y el nuevo mañana” (Post en conjunto con Zaratustra, CDIEP, WIE, FAUNATICOS) y video con CEM. </t>
  </si>
  <si>
    <t>GUN-10284</t>
  </si>
  <si>
    <t>Reunión de Cosmopolítica y AECIP</t>
  </si>
  <si>
    <t>La presidente y directora de logística y eventos se reunieron con la coordinadora logística de AECIP (ICESI) para planificar un evento para el viernes 26 de marzo. El tema será la participación política de la mujer en Latinoamérica y ambas partes quedaron pendientes en buscar a 2 ponentes para crear un panel</t>
  </si>
  <si>
    <t>GUN-10285</t>
  </si>
  <si>
    <t>Carlos Ricardo Jiménez Gómez, cjimenezr@uninorte.edu.co, 3014862960</t>
  </si>
  <si>
    <t>¿Por qué la alta frecuencia de accidentes en calderas en nuestros países de Latam?</t>
  </si>
  <si>
    <t>2do Webinar CEIM ASME WEBINAR SERIES</t>
  </si>
  <si>
    <t>GUN-10286</t>
  </si>
  <si>
    <t>Semana de la Mujer</t>
  </si>
  <si>
    <t xml:space="preserve">Campaña en redes sociales sobre el día de la mujer, durante la semana del 8 al 12 de marzo </t>
  </si>
  <si>
    <t>GUN-10287</t>
  </si>
  <si>
    <t>Cristian Andrés Torres Monterrosa - camonterroza@uninorte.edu.co -3015467411</t>
  </si>
  <si>
    <t>Comentando la realidad internacional</t>
  </si>
  <si>
    <t>Publicación de articulo de opinión en la gazeta del departamento de Ciencias Políticas y Relaciones Internacionales</t>
  </si>
  <si>
    <t>GUN-10288</t>
  </si>
  <si>
    <t>Partners Campus Uninorte</t>
  </si>
  <si>
    <t xml:space="preserve">La mujer y la educación en la semana de la mujer </t>
  </si>
  <si>
    <t xml:space="preserve">Campaña por redes sociales donde se hablo un poco sobre la historia de las mujeres y la lucha por el derecho a la educación </t>
  </si>
  <si>
    <t>GUN-10289</t>
  </si>
  <si>
    <t>Campaña día de la mujer "Mujeres y ciencia, el nuevo mañana y el gran ayer"</t>
  </si>
  <si>
    <t>Junto a la participación de los grupos estudiantiles Faunaticos, FeminUn, Zaratrustra, y WIE, se realizará una campaña educativa que busca resaltar a mujeres en la historia que han aportado a la ciencia desde sus diferentes campos disciplinares. Para ello, se tiene pensado que cada grupo realice un post en su página de instagram con dichas mujeres, teniendo en cuenta su área de trabajo.</t>
  </si>
  <si>
    <t>GUN-10290</t>
  </si>
  <si>
    <t>Carolay Jailyn Cabrales Castro, cjcabrales@uninorte.edu.co, 3008395070</t>
  </si>
  <si>
    <t>DIA DE LA MUJER 2021</t>
  </si>
  <si>
    <t>Se realizaran dinámicas por las historias de ig que incluyen preguntas sobre mujeres de la historia, espacio para mandar mensajes a otras mujeres, videos entre otras cosas.</t>
  </si>
  <si>
    <t>GUN-10291</t>
  </si>
  <si>
    <t>¿Quiénes son ellas?</t>
  </si>
  <si>
    <t>Actividad en homenaje al día de la mujer, por medio de un foro con invitados hombres se hablará de la perspectiva de cada uno sobre las mujeres que han compartido en el área laboral en el que ellos se desempeñan, con la dirección de una mujer en la actividad.</t>
  </si>
  <si>
    <t>GUN-10292</t>
  </si>
  <si>
    <t>Santiago de Jesús Mercado Castro dsmercado@uniorte.edu.co 3008196382</t>
  </si>
  <si>
    <t>¿El fin justifica los medios?</t>
  </si>
  <si>
    <t>El grupo estudiantil Zaratustra, más exactamente el departamento de Filosofía realizará un evento con la modalidad de debate, un evento clásico del grupo estudiantil, que lleva por nombre: ¿El fin justifica los medios? y pregunta central es ¿Por qué se llega a el uso de la violencia para la resolución de conflictos? 
La metodología es la siguiente: habrá dos profesores invitados cada, profesor que en una presentación de 30 minutos exponga sus reflexiones acerca de las preguntas ¿El fin justifica los medios? y ¿Por qué se llega al uso de la violencia para la resolución de conflictos?
El evento estará dividido en dos secciones. Una en donde ambos profesores planteen sus posiciones frente a los cuestionamientos. Y otra, en la cual se abre espacio para una posterior discusión de forma ordenada y sistemática donde los miembros del grupo invitados, puedan en la hora siguiente de la presentación de ambos profesores, debatir sobre sus posturas particulares frente a las dos preguntas y sobre los cuestionamientos presentados los dos profesores.</t>
  </si>
  <si>
    <t>https://drive.google.com/open?id=1i7C0X8rKuApZbu2Q6eiK6BPKbdEpk0wS</t>
  </si>
  <si>
    <t>GUN-10293</t>
  </si>
  <si>
    <t>Santiago De Jesús Mercado Castro dsmercado@uninorte.edu.co 3008196382
(Este es un evento previamente reportado del cual ya se reportó a Orieta la modificaciones)</t>
  </si>
  <si>
    <t>El grupo estudiantil Zaratustra, más exactamente el departamento de Filosofía realizará un evento con la modalidad de debate, un evento clásico del grupo estudiantil, que lleva por nombre: ¿El fin justifica los medios? y pregunta central ¿Por qué se llega a el uso de la violencia para la resolución de conflictos? 
La metodología es la siguiente: habrá dos profesores invitados cada, profesor que en una presentación de 30 minutos exponga sus reflexiones acerca de las preguntas ¿El fin justifica los medios? y ¿Por qué se llega al uso de la violencia para la resolución de conflictos?
El evento estará dividido en dos secciones. Una en donde ambos profesores planteen sus posiciones frente a los cuestionamientos. Y otra, en la cual se abre espacio para una posterior discusión de forma ordenada y sistemática donde los miembros del grupo invitados, puedan en la hora siguiente de la presentación de ambos profesores, debatir sobre sus posturas particulares frente a las dos preguntas y sobre los cuestionamientos presentados los dos profesores</t>
  </si>
  <si>
    <t>https://drive.google.com/open?id=1HcYVcVq9afT-xU6JeXdGVJ3AmnzmcX_e</t>
  </si>
  <si>
    <t>GUN-10294</t>
  </si>
  <si>
    <t>En el marco del día internacional de la mujer, se realizara un foro en homenaje a la participación de la mujer en las carreras STEM, con invitados de diferentes áreas que con compartirán su experiencia y conocimiento en la inclusión y reconocimiento de las mujeres en entornos equivalentes.</t>
  </si>
  <si>
    <t>GUN-10295</t>
  </si>
  <si>
    <t>Descripción: En el marco del día internacional de la mujer, se realizara un foro en homenaje a la participación de la mujer en las carreras STEM, con invitados de diferentes áreas que con compartirán su experiencia y conocimiento en la inclusión y reconocimiento de las mujeres en entornos equivalentes.</t>
  </si>
  <si>
    <t>GUN-10296</t>
  </si>
  <si>
    <t xml:space="preserve">Nayelis Meléndez </t>
  </si>
  <si>
    <t xml:space="preserve">Campaña #2 Derechos de las mujeres </t>
  </si>
  <si>
    <t xml:space="preserve">Se realizará la campaña durante toda la semana por medio de las redes con el motivo de la conmemoración del día de la mujer. Siendo así, el día lunes se publicará un video y una infografía con dicha temática. Luego, el martes se montaran historias interactivas sobre la convención sobre la Eliminación de Todas las Formas de Discriminación contra la Mujer y, posteriormente, el miércoles una infografía sobre derechos de la mujer en la vida pública y política y rol de las mujeres en las cooperación internacional. Además, el jueves se publicará acerca de "la violencia sobre la mujer: tipos de violencia". Finalmente, el viernes se publicará sobre la Convención Interamericana para prevenir, sancionar y erradicar la violencia y el sábado se harán historias sobre la temática respectiva.
</t>
  </si>
  <si>
    <t>GUN-10297</t>
  </si>
  <si>
    <t>Neurohistory: Día de la mujer</t>
  </si>
  <si>
    <t xml:space="preserve">En nuestra sección de Neurohistrory en Instagram y Twitter se resaltará el papel de Marian Cleeves Diamond a través de una publicación en la que abordaremos algunos de sus logros como mujer en la ciencia. </t>
  </si>
  <si>
    <t>GUN-10298</t>
  </si>
  <si>
    <t>Semana conmemorativa a la mujer</t>
  </si>
  <si>
    <t xml:space="preserve">Desarrollaremos una campaña en redes sociales en conmemoración a la mujer mediante la realización y publicación de contenido informativo sobre las mujeres en la ciencia y en específico en el área de la neurología. </t>
  </si>
  <si>
    <t>GUN-10299</t>
  </si>
  <si>
    <t xml:space="preserve">Mujer y Diplomacia </t>
  </si>
  <si>
    <t xml:space="preserve">De manera breve se hará una contextualización sobre la mujer en el ejercicio de la diplomacia y, a su vez, discutiremos sobre esos desafíos a las que estas se tienen que enfrentar en su labor. </t>
  </si>
  <si>
    <t>https://drive.google.com/open?id=1uMNepHU1MdjASfSH1OvPwA2-CbIoBz6f</t>
  </si>
  <si>
    <t>GUN-10300</t>
  </si>
  <si>
    <t xml:space="preserve">Maria Alejandra Caballero Russi
russim@uninorte.edu.co
+57 317 6696704
</t>
  </si>
  <si>
    <t>Foro en homenaje a la participación de la mujer en las carreras STEM, con invitados de diferentes áreas que compartirán su experiencia y conocimiento en la inclusión y reconocimiento de las mujeres en entornos equivalentes.</t>
  </si>
  <si>
    <t>https://drive.google.com/open?id=1KcKHxNzZgJ5MAwwH_lZkiN6wgoO6FfZw</t>
  </si>
  <si>
    <t>GUN-10301</t>
  </si>
  <si>
    <t>Marianella Gutierrez Ortega - marianellagutierrez@uninorte.edu.co - 3135713017</t>
  </si>
  <si>
    <t>Foro en homenaje a la participación de la mujer en las carreras STEM, con invitados de diferentes áreas que con compartirán su experiencia y conocimiento en la inclusión y reconocimiento de las mujeres en entornos equivalentes.</t>
  </si>
  <si>
    <t>GUN-10302</t>
  </si>
  <si>
    <t>Paula Andrea Briceño Carrillo
pabriceno@uninorte.edu.co
3043832775</t>
  </si>
  <si>
    <t>CONVERSATORIO: ¡DE ELLAS PARA EL MUNDO! AVANCES INIGUALABLES</t>
  </si>
  <si>
    <t>Tema general: Se analizará el papel fundamental de la mujer en los distintos campos investigativos de Ingeniería, dejando una huella de profesionalismo e innovación ante el desarrollo de proyectos y prácticas para la solución de problemáticas dentro de la sociedad.</t>
  </si>
  <si>
    <t>https://drive.google.com/open?id=1Y6mpETOsQQj9bVTnRkbH2HYJxxHyYsSw</t>
  </si>
  <si>
    <t>GUN-10303</t>
  </si>
  <si>
    <t>Gabriela Maria Castillo Solano, mgcastillo@uninorte.edu.co, 304 6761406</t>
  </si>
  <si>
    <t>Liderazgo ambiental femenino: ¿un reto?</t>
  </si>
  <si>
    <t>EQUN y Felinorte se unen para dar una óptica de liderazgo feminismo diferente: activismo ambiental. Estas mujeres diariamente desde sus laborales, realizan distintas actividades que demuestran su empoderamiento, ¿qué tan difícil es realizar esta labor siendo mujeres?</t>
  </si>
  <si>
    <t>GUN-10304</t>
  </si>
  <si>
    <t>Miguel Ángel Terán Romero, teranma@uninorte.edu.co, 3154534912</t>
  </si>
  <si>
    <t>Reuniones semanales de Foros y Conferencias</t>
  </si>
  <si>
    <t xml:space="preserve">Se llevará a cabo una reunión por semana hasta que se acabe el semestre </t>
  </si>
  <si>
    <t>GUN-10305</t>
  </si>
  <si>
    <t>Post Revisión de tema: Surcos y lóbulos cerebrales</t>
  </si>
  <si>
    <t>Se realizará una publicación en Instagram y en Twitter para difusión de nuestra próxima actividad: Revisión de tema: Surcos y lóbulos cerebrales.</t>
  </si>
  <si>
    <t>GUN-10306</t>
  </si>
  <si>
    <t>Mission Mars 2020</t>
  </si>
  <si>
    <t>El día de mañana 9 de Marzo, se llevará a cabo una conferencia con el Ingeniero electrónico y astrónomo aficionado Rafael Camerano, quien hace parte de IEEE desde el año 1975. Donde se hará una descripción de la tecnología mecánica, telecomunicaciones, balística, cohetería y otros elementos que coadyuvaron a llevar al Perseverance-Rover a la superficie de Marte, el segundo planeta más pequeño del sistema solar.</t>
  </si>
  <si>
    <t>GUN-10307</t>
  </si>
  <si>
    <t>Diversidad y feminismo: El rol de la mujer en la educación</t>
  </si>
  <si>
    <t>Panel abierto en el que se tendrá mujeres diversas de diferentes  contextos, con el objetivo de dar a reconocer los desafíos y desigualdades que enfrentan en la educación y la academia.</t>
  </si>
  <si>
    <t>https://drive.google.com/open?id=1k6rb7QX14ApAef645TCtHR4zIFZArkVU</t>
  </si>
  <si>
    <t>GUN-10308</t>
  </si>
  <si>
    <t>Diversidad y feminismo: el rol de la mujer en la educación</t>
  </si>
  <si>
    <t>Conversatorio en alianza con Uninorte Diverso sobre el rol de la mujer en la educación</t>
  </si>
  <si>
    <t>https://drive.google.com/open?id=1AjSa8iG7ByVYGSuonRgDJNx0VKxgP7Vp</t>
  </si>
  <si>
    <t>GUN-10309</t>
  </si>
  <si>
    <t>Reunión inicial nuevos miembros División Capítulo ASME</t>
  </si>
  <si>
    <t>Conocernos y socializar las actividades de este semestre.</t>
  </si>
  <si>
    <t>GUN-10310</t>
  </si>
  <si>
    <t>IISE La misión Lucy: Explorando lo Inexplorado</t>
  </si>
  <si>
    <t>Foro con la geóloga planetaria Adriana Ocampo directora del programa de ciencias de la NASA en el que nos profundizará sobre su historia, descubrimientos y labor en la NASA.</t>
  </si>
  <si>
    <t>GUN-10311</t>
  </si>
  <si>
    <t>Post: Mujeres en la ciencia</t>
  </si>
  <si>
    <t>Se realizará una publicación en Instagram y en Twitter sobre 5 mujeres y sus aportes a la ciencia, en el marco de la Semana conmemorativa a la Mujer.</t>
  </si>
  <si>
    <t>GUN-10312</t>
  </si>
  <si>
    <t>Mariana Castaño Lozada, marianacastano@uninorte.edu.co, 3116241769</t>
  </si>
  <si>
    <t xml:space="preserve">DONACIÓN PARA LOS NIÑOS CON CÁNCER DE LA FUNDACIÓN "RETO" </t>
  </si>
  <si>
    <t xml:space="preserve">Recoger dinero de manera virtual o juguetes en todo el departamento de enfermería, profesores, profesionales de salud y familiares. Se le entregarán de manera presencial a algunos niños de la fundación juguetes y kits de aseos personales. </t>
  </si>
  <si>
    <t>GUN-10313</t>
  </si>
  <si>
    <t>Alisson Abello Escorcia, Gabriela Castillo Solano - alissona@uninorte.edu.co - 3113858638</t>
  </si>
  <si>
    <t>Será un evento virtual conjunto a Felinorte, en el marco de la semana de la mujer de la Universidad. Tendrá una parte en las redes sociales de cada uno de los grupos estudiantiles, y contará con la presencia de invitados externos. Será un Instagram Live (en @felinorte) y un IGTV (en @equidaduninorte)</t>
  </si>
  <si>
    <t>GUN-10314</t>
  </si>
  <si>
    <t>Mujer y ciencia: construyendo el futuro, recordando el pasado.</t>
  </si>
  <si>
    <t>Se hablará sobre los aportes de las mujeres en la biología y su experiencia en ella.</t>
  </si>
  <si>
    <t>https://drive.google.com/open?id=13PhRpJsChvdLR_Hm2nNvU6Ez9Zc6isH2</t>
  </si>
  <si>
    <t>GUN-10315</t>
  </si>
  <si>
    <t>Mujer y ciencia: construyendo el futuro, recordamos el pasado</t>
  </si>
  <si>
    <t xml:space="preserve">Se hablará sobre los aportes de las mujeres en la biología y su experiencia en ella. </t>
  </si>
  <si>
    <t>https://drive.google.com/open?id=1Mp0OAAOhy_o07CV7bSm4UFdrrJfrDYIm</t>
  </si>
  <si>
    <t>GUN-10316</t>
  </si>
  <si>
    <t>lazaroi@uninorte.edu.co</t>
  </si>
  <si>
    <t>IISE La misión Lucy</t>
  </si>
  <si>
    <t>Un foro con la directora del programa de ciencia de la NASA Adriana Ocampo en el que hablaremos acerca de su historia, cómo llegó ahí, sus descubrimientos y su próximo proyecto.</t>
  </si>
  <si>
    <t>https://drive.google.com/open?id=1a6ColGcGVukS7rGm0dWbvREho8eS69ng</t>
  </si>
  <si>
    <t>GUN-10317</t>
  </si>
  <si>
    <t xml:space="preserve">Comité estudiantil de Relaciones Internacionales y Grupo estudiantil Juventudes Criticas </t>
  </si>
  <si>
    <t xml:space="preserve">Alcaldia para todos: mecanismos de participacion ciudadana. </t>
  </si>
  <si>
    <t xml:space="preserve">Este espacio servirá como capacitación en ambos grupos estudiantiles para que nuestros miembros conozcan un poco mas sobre los diferentes mecanismos de participación ciudadana que existen y de que manera pueden acceder a ellos. </t>
  </si>
  <si>
    <t>https://drive.google.com/open?id=1ydA4b0dh4GqXKmSZvixPIGzCkILPIFQi</t>
  </si>
  <si>
    <t>GUN-10318</t>
  </si>
  <si>
    <t>Un foro con la directora de ciencias de la NASA Adriana Ocanpo en el que hablemos de su historia, sus descubrimientos, próximas misiones y como llego ahi.</t>
  </si>
  <si>
    <t>https://drive.google.com/open?id=13bG_KGDsr7Npn-oSUwBiqqnJLG4OnIWI</t>
  </si>
  <si>
    <t>GUN-10319</t>
  </si>
  <si>
    <t>Sebastián David Iriarte Espeleta, espeletas@uninorte.edu.co, 3159287545</t>
  </si>
  <si>
    <t>Colombiano envía una cámara a la estratósfera</t>
  </si>
  <si>
    <t>En este se publicará el link donde los estudiantes puedan acceder al video para saber la historia y la documentación de este hecho. Se realizará la publicidad el mismo día y el link permanecerá abierto a los estudiantes hasta finalizar el evento 15 días en industria aeroespacial</t>
  </si>
  <si>
    <t>GUN-10320</t>
  </si>
  <si>
    <t>¡Bienvenidos a la PROGRAMACIÓN!</t>
  </si>
  <si>
    <t>En el marco de la feria POP se realizará un taller introductorio a la programación para su formación en ingeniería.</t>
  </si>
  <si>
    <t>GUN-10321</t>
  </si>
  <si>
    <t>santiago De Jesús Mercado Castro 
dsmercado@uninorte.edu.co 
3008196382
Samantha Sofia De Jesús Castro Granados 
samanthac@uninorte.edu.co
3003711347</t>
  </si>
  <si>
    <t>Marvel Moreno: introducción y reflexiones sobre el género</t>
  </si>
  <si>
    <t>En representación de una alianza entre el grupo estudiantil Zaratustra y FeminUN. Por medio de la presente nos permitimos reportar el evento que lleva por título Marvel Moreno: introducción y reflexiones sobre el género.
El cual estará dividido en tres secciones: la primera siendo una entrevista a la profesora Mercedes Ortega, en donde se abordarán distintos aspectos de la escritora Marvel Moreno, esto a modo de introducción de la misma. En la segunda sección se hará una lectura conjunta del cuento, La muerte de la acacia, para en la tercera sección poder realizar un análisis en conjunto por parte de los miembros e invitados de ambos grupos estudiantiles. Dicho análisis girará en torno a la reflexión sobre el género y también a su presencia en lo literario.</t>
  </si>
  <si>
    <t>https://drive.google.com/open?id=1mPe6VqWoRTdQpmZgbrBDjq4u1Cm0_Fdd</t>
  </si>
  <si>
    <t>GUN-10322</t>
  </si>
  <si>
    <t>Ruth María Fontalvo Jiménez, rmfontalvo@uninorte.edu.co, 3043870920; Raul Samuel Lugo Lozano, rslugo@uninorte.edu.co, 3014456690</t>
  </si>
  <si>
    <t>Alcaldía para todos: mecanismos de participación ciudadana</t>
  </si>
  <si>
    <t xml:space="preserve">En colaboración con el CERI, se buscará realizar una capacitación en la que se detalle a grandes rasgos como está estructurada la gestión pública de nuestra ciudad y el papel de los ediles dentro de esta. Asimismo, cómo los ciudadanos del común pueden interactuar en estas estructuras y las experiencias alrededor de ello. </t>
  </si>
  <si>
    <t>https://drive.google.com/open?id=1vapq_lT7vCrqcMvx0GXB8K710p1csrox</t>
  </si>
  <si>
    <t>GUN-10323</t>
  </si>
  <si>
    <t>Reading's club</t>
  </si>
  <si>
    <t>Vamos a discutir la lectura sobre "Feminism is for everyone" de la autora Bell Hooks.</t>
  </si>
  <si>
    <t>https://drive.google.com/open?id=1kI1Ka_TJUnmEvJ7dymOtAsipPviI0Mg5</t>
  </si>
  <si>
    <t>GUN-10324</t>
  </si>
  <si>
    <t>¡Bienvenidos al mundo de los CIRCUITOS!</t>
  </si>
  <si>
    <t>En el marco de la feria POP se realizará un taller introductorio en herramientas necesarias para su aprendizaje inicial de los circuitos eléctricos.</t>
  </si>
  <si>
    <t>GUN-10325</t>
  </si>
  <si>
    <t>Manuela Andrade, manuelaandrade@uninorte.edu.co, 3017626760
Luisa Vélez, velezlf@uninorte.edu.co, 3172232778</t>
  </si>
  <si>
    <t>Reunión de Área People</t>
  </si>
  <si>
    <t>Se realizará una actividad rompe hielo y se hará la presentación de los nuevos miembros del área, después se presentará el plan de acciones y el manual de funciones para este semestre.</t>
  </si>
  <si>
    <t>GUN-10326</t>
  </si>
  <si>
    <t>Consultorías de Innovación</t>
  </si>
  <si>
    <t>Se diseñará un plan de acción de actividades de corte social y ambiental, que promueva el compromiso y las acciones sociales en los CEO members. El objetivo es que desde la virtualidad, se siga profundizando en la RSE y se logre impactar positivamente a comunidades o entornos afectados.</t>
  </si>
  <si>
    <t>GUN-10327</t>
  </si>
  <si>
    <t>BIENVENIDA</t>
  </si>
  <si>
    <t>Bienvenida a los nuevos integrantes del grupo y presentación de plan de acción de este semestre</t>
  </si>
  <si>
    <t>GUN-10328</t>
  </si>
  <si>
    <t>Eder Cadrazco Gil
3014673544
cadrazcoe@uninorte.edu.co
Raúl Vega 
3178802555
alvearr@uninorte.edu.co</t>
  </si>
  <si>
    <t>Surcos y lóbulos cerebrales: Revisión de tema.</t>
  </si>
  <si>
    <t>Se hará una revisión del tema Surcos y Lóbulos cerebrales con todos los miembros del grupo y nuestros tutores académicos.</t>
  </si>
  <si>
    <t>GUN-10329</t>
  </si>
  <si>
    <t>catalina la grand salazar pedraza, csalazarl@uninorte.edu.co, 3217548635</t>
  </si>
  <si>
    <t>Reunion oreganizacion de pensando desde el caribe</t>
  </si>
  <si>
    <t>Cosmopolitica se reunira con Ceri y Juventudes criticas ara organizar un espacio intercomunicativo de los tres grupo estudiantiles</t>
  </si>
  <si>
    <t>GUN-10330</t>
  </si>
  <si>
    <t>Samantha castro, samanthac@uninorte.edu.co, 3016202938</t>
  </si>
  <si>
    <t>Conversatorio en alianza con Zaratustra. El cual estará dividido en tres secciones: la primera siendo una entrevista a la profesora Mercedes Ortega, en donde se abordarán distintos aspectos de la escritora Marvel Moreno, esto a modo de introducción de la misma. En la segunda sección se hará una lectura conjunta del cuento, La muerte de la acacia, para en la tercera sección poder realizar un análisis en conjunto por parte de los miembros e invitados de ambos grupos estudiantiles. Dicho análisis girará en torno a la reflexión sobre el género y también a su presencia en lo literario.</t>
  </si>
  <si>
    <t>https://drive.google.com/open?id=1qXQRO9qpMgg1tSxvQCEvjbUoRuk3_5rT</t>
  </si>
  <si>
    <t>GUN-10331</t>
  </si>
  <si>
    <t>María Camila Linero (mclinero@uninorte.edu.co, 3166204826)</t>
  </si>
  <si>
    <t xml:space="preserve">Feria Pop: Reto economista </t>
  </si>
  <si>
    <t xml:space="preserve">Una serie de desafíos virtuales para dar a conocer mejor la labor del economista </t>
  </si>
  <si>
    <t>Eventos institucionales</t>
  </si>
  <si>
    <t>Feria Pop</t>
  </si>
  <si>
    <t>GUN-10332</t>
  </si>
  <si>
    <t>Sharon Andrea Varelo Martínez, svarelo@uninorte.edu.co,  3008854432</t>
  </si>
  <si>
    <t>Conoce a la nueva junta de Green Generation</t>
  </si>
  <si>
    <t>Se hará una publicación en redes para dar a conocer a los nuevos miembros de la junta directiva del grupo.</t>
  </si>
  <si>
    <t>GUN-10333</t>
  </si>
  <si>
    <t>Miguel Ángel Terán Romero, teranma@uninorte.edu.co , 3154534912</t>
  </si>
  <si>
    <t>Foro: "Una charla fuera del planeta: conoce a Jorge Moreno, uno de los ingenieros detrás del Perseverance de la NASA"</t>
  </si>
  <si>
    <t xml:space="preserve">El evento consiste en una charla con el ingeniero Jorge Alejandro Moreno en la que se responderán dudas de interés general acerca de su labor en la NASA. </t>
  </si>
  <si>
    <t>https://drive.google.com/open?id=13292dhgbkl8YAy9ytx_1SeQ95z33FBzh</t>
  </si>
  <si>
    <t>GUN-10334</t>
  </si>
  <si>
    <t>Bienvenida a los nuevos miembros del grupo y presentación del plan de acción</t>
  </si>
  <si>
    <t>GUN-10335</t>
  </si>
  <si>
    <t xml:space="preserve">Maria Camila Linero Rueda, Paula Redondo </t>
  </si>
  <si>
    <t>Conoce más de Ágora</t>
  </si>
  <si>
    <t xml:space="preserve">Espacio en la feria pop para conocer más acerca del grupo estudiantil </t>
  </si>
  <si>
    <t>GUN-10336</t>
  </si>
  <si>
    <t xml:space="preserve">CERI-EQUN (comités estudiantiles) </t>
  </si>
  <si>
    <t>La mujer y su impacto en el Sistema Internacional: ¿un camino difícil?</t>
  </si>
  <si>
    <t xml:space="preserve">Hablaremos de la importancia que ha tenido la mujer en el sistema internacional y la política a lo largo de los años. </t>
  </si>
  <si>
    <t>https://drive.google.com/open?id=1Bl_taCuplvKZ4tEJNjfjwiS540LyScnk</t>
  </si>
  <si>
    <t>GUN-10337</t>
  </si>
  <si>
    <t>Conferencia: Sistemas de Bombeo: Redes de tubería, bombas centrífugas, puntos de operación.</t>
  </si>
  <si>
    <t>Conferencia dictada por el Msc. Ing. Jesús Pérez Meza a cerca de los avances en los sistemas de bombeos.</t>
  </si>
  <si>
    <t>GUN-10338</t>
  </si>
  <si>
    <t>grupoestgeoenergia@uninorte.edu.co</t>
  </si>
  <si>
    <t>GEO-ENERGÍA</t>
  </si>
  <si>
    <t>Maria Alejandra Restrepo Perez, restrepomaria@uninorte.edu.co, cel. 3005119666
Carlos Quintana, acquintana@uninorte.edu.co, cel. 3128039313</t>
  </si>
  <si>
    <t>¡Yo Soy Geóloga!</t>
  </si>
  <si>
    <t xml:space="preserve">Conversatorio con Clemencia Gómez, Vicepresidenta de la Asociación Colombiana de Geólogos y Geofísicos del Petróleo. 
El evento será realizado por medio de Instagram Live y constará de un conversatorio en el que Clemencia nos cuente su experiencia como geocientífica en Colombia, sus cargos, sus intereses, su trabajo y sus aspiraciones en el campo. Nosotros/as crearemos un pool de preguntas para ir encaminando la conversación en torno al rol de la mujer. La duración será una hora máximo y tendrá lugar el día viernes 12 de marzo a las 10:00 am. El evento contará con su debido material publicitario, que se estará divulgando días antes. </t>
  </si>
  <si>
    <t>GUN-10339</t>
  </si>
  <si>
    <t>Mujeres en Ingeniería: Empoderamiento Femenino</t>
  </si>
  <si>
    <t>En esta charla dictada por la Ingeniera Carolina Escudero se discutirán mitos asociados a la participación de las mujeres en carreras STEM.</t>
  </si>
  <si>
    <t>GUN-10340</t>
  </si>
  <si>
    <t>Capacitación coordinación de comunicación</t>
  </si>
  <si>
    <t xml:space="preserve">Instrucción a los miembros sobre los diferentes métodos de edición </t>
  </si>
  <si>
    <t>GUN-10341</t>
  </si>
  <si>
    <t>Reunión junta</t>
  </si>
  <si>
    <t>Reunión de la junta directiva para discutir los proyectos y avances del grupo.</t>
  </si>
  <si>
    <t>GUN-10342</t>
  </si>
  <si>
    <t>ASAMBLEA GENERAL</t>
  </si>
  <si>
    <t>GUN-10343</t>
  </si>
  <si>
    <t>Isabella Gonzalez Torres, isabellatorres@uninorte.edu.co , 3135806828</t>
  </si>
  <si>
    <t>Reunión semanal a cargo del dpto de RR.HH</t>
  </si>
  <si>
    <t>GUN-10344</t>
  </si>
  <si>
    <t xml:space="preserve">Marcela serrano </t>
  </si>
  <si>
    <t xml:space="preserve">Taller de pintura </t>
  </si>
  <si>
    <t xml:space="preserve">Taller de pintura a los estudiantes, la dictara un profesor de arte (local). (No llenamos la siguiente parte de la encuesta pues no contamos con su cédula) </t>
  </si>
  <si>
    <t>GUN-10345</t>
  </si>
  <si>
    <t xml:space="preserve">Nombre: Andrés Romero
Correo: aromerof@uninorte.Edu.co
Número de Teléfono: 3004476066
</t>
  </si>
  <si>
    <t>Charla “El poder de la innovación abierta”</t>
  </si>
  <si>
    <t xml:space="preserve">Presentación liderada por Nicolás Villa de la empresa Channge, en la cual se abordará el tema de Procesos sistemáticos de innovación en las empresas. Se profundizará la metodología Design Thinking utilizada por la mayoría de las startups y aceleradoras, y una metodología propia de la empresa Channge denominada OpenChannge.
</t>
  </si>
  <si>
    <t>https://drive.google.com/open?id=1NV-j6ZKVvtFbiDOhbA7S1p_pZpadpJqe</t>
  </si>
  <si>
    <t>GUN-10346</t>
  </si>
  <si>
    <t>Subestaciones digitales y los sistemas de potencia modernos</t>
  </si>
  <si>
    <t>¡Hola hola!. ¡Esperamos que te encuentres muy bien, de parte de IAS tenemos una charla ideal para ti!.¡Queremos que conozcas por qué son importantes las Subestaciones Digitales en el mundo moderno de los Sistemas de Potencia! Acompáñanos en este día y aprende para el futuro💥💥⚡</t>
  </si>
  <si>
    <t>GUN-10347</t>
  </si>
  <si>
    <t xml:space="preserve"> Ingeniería de Sistema + Analítica de Datos</t>
  </si>
  <si>
    <t>¡Hola a todos! 
Queremos invitarte a la charla brindada por el ingeniero Elias Niño, director del programa de Ingeniería de Sistemas y Computación, en donde se abordará la temática del análisis de datos aplicados en la Ingeniería de Sistemas. 
📅Fecha: Mañana 12/03/2021
⏰Hora: 2:30 pm
🔗Link: meet.google.com/ptg-bzht-gmb
¡No te lo pierdas!</t>
  </si>
  <si>
    <t>GUN-10348</t>
  </si>
  <si>
    <t xml:space="preserve">Marianella Gutierrez Ortega - marianellagutierrez@uninorte.edu.co - </t>
  </si>
  <si>
    <t>Conversatorio: Mujeres en la Ingeniería.</t>
  </si>
  <si>
    <t>Conversatorio sobre el papel  de la mujer en la ingeniería. A través de la experiencia de diferentes ingenieras, hablaremos sobre cómo han luchado con el mito de que la ingeniería es algo de hombres, mujeres que hacen ciencia y tópicos relacionados.</t>
  </si>
  <si>
    <t>GUN-10349</t>
  </si>
  <si>
    <t>ANEIC, CEIM, IISE, ANEIAP, CESG.</t>
  </si>
  <si>
    <t xml:space="preserve">Conversatorio: Mujeres en la Ingeniería. </t>
  </si>
  <si>
    <t>https://drive.google.com/open?id=18GwHnX4jcvPnyX12HLHD9qtttqkq3gri</t>
  </si>
  <si>
    <t>GUN-10350</t>
  </si>
  <si>
    <t>¡Bienvenidos a la ROBOTICA!</t>
  </si>
  <si>
    <t>En este taller aprenderán cosas básicas, su primer robot como él e- punk, montar un programa en el robot, aprenderán usar los sensores de distancia, los motores y si da tiempo presentar el giroscopio del robot.</t>
  </si>
  <si>
    <t>GUN-10351</t>
  </si>
  <si>
    <t>e-sports@uninorte.edu.co</t>
  </si>
  <si>
    <t>E-SPORTS</t>
  </si>
  <si>
    <t>Sebastián Jesús Sayago González. ssayago@uninorte.edu.co. 3017792748
Jesus David Salcedo Sánchez. dsjesus@uninorte.edu.co. 3008754069</t>
  </si>
  <si>
    <t>Torneo de League of Legends: 1 vs 1</t>
  </si>
  <si>
    <t>Se convoca a todos los estudiantes de la Universidad del Norte a que participen en un torneo corto en el videojuego League of Legends. Cada participante jugará desde sus casas, usando sus propios computadores, en un torneo donde cada participante deberá pasar por llaves de 1 vs 1, en el que para pasar a la siguiente ronda, por medio del modelo de doble eliminación, se debe completar alguna de las 3 condiciones para poder ganar: vencer al rival 3 veces, derrotar a 120 aliados del rival (minions), o destruir una torre del rival.</t>
  </si>
  <si>
    <t>GUN-10352</t>
  </si>
  <si>
    <t>*Abuso en mujeres:* _secuelas neuropsicológicas y acciones jurídicas_</t>
  </si>
  <si>
    <t xml:space="preserve">Conversatorio realizado en el marco de la semana de la mujer en conjunto con el grupo estudiantil FeminUn, con la participación de la psicóloga Natalia Quiroz y la abogada penalista en derecho administrativo Natasha Bustamante, en el que se compartirán los resultados de la investigación realizada por la psicóloga y la abogada realizará un acercamiento al plano legal, luego se abrirá un espacio para resolver las preguntas del público 
</t>
  </si>
  <si>
    <t>GUN-10353</t>
  </si>
  <si>
    <t>El abuso en mujeres: secuelas neuropsicológicas y acciones jurídicas.</t>
  </si>
  <si>
    <t xml:space="preserve">Conversatorio en alianza con CDIEP sobre las secuelas neuropsicológicas del abuso en mujeres y las acciones jurídicas en compañía de 2 invitadas. </t>
  </si>
  <si>
    <t>https://drive.google.com/open?id=1aOcsAmd6-z3xmWBqc2wNP4zp2PfJkX-f</t>
  </si>
  <si>
    <t>GUN-10354</t>
  </si>
  <si>
    <t xml:space="preserve">Reunión comité de Responsabilidad Social - Innovación </t>
  </si>
  <si>
    <t>GUN-10355</t>
  </si>
  <si>
    <t>Maria Fernanda Vargas Barrera, mbarreraf@uninorte.edu.co, 3045332065</t>
  </si>
  <si>
    <t>Reunión General Faunaticos</t>
  </si>
  <si>
    <t>Se realiza una reunión con todos los integrantes del grupo para conversar respecto a eventos realizados y futuras actividades del grupo.</t>
  </si>
  <si>
    <t>GUN-10356</t>
  </si>
  <si>
    <t>TERTULIEMOS</t>
  </si>
  <si>
    <t>Reunión periódica de todos los miembros de Juventudes Críticas con el fin de discutir sobre un tema en específico, a través de Google Meet o Zoom.</t>
  </si>
  <si>
    <t>GUN-10357</t>
  </si>
  <si>
    <t>Ludys Maria Fontalvo Escorcia, ludysf@uninorte.edu.co</t>
  </si>
  <si>
    <t>Python para Análisis de Datos</t>
  </si>
  <si>
    <t>La rama COM&amp;COM te invita a participar en la charla de "Python para Análisis de Datos", dictada por el Ingeniero Luis Carcamo, en donde se abordará en esta primera sesión temas como estructuras de datos nativas de Python, Bootstraping, búsqueda y gráficas. 
Fecha: Jueves 12/03/2021
Hora: 4:30-6:30 pm
Link: meet.google.com/ugf-wrtm-aqu
¡No te lo pierdas!</t>
  </si>
  <si>
    <t>GUN-10358</t>
  </si>
  <si>
    <t>Capacitación coordinación proyectos</t>
  </si>
  <si>
    <t>Instrucción y planeación de las actividades a llevar a cabo por el grupo</t>
  </si>
  <si>
    <t>GUN-10359</t>
  </si>
  <si>
    <t xml:space="preserve">Sharon Andrea Varelo Martínez, Svarelo@uninorte.edu.co, 3008854432 </t>
  </si>
  <si>
    <t xml:space="preserve">¿Cómo tener paz mental? </t>
  </si>
  <si>
    <t xml:space="preserve">Post en Instagram </t>
  </si>
  <si>
    <t>GUN-10360</t>
  </si>
  <si>
    <t>Documental accidente del transbordador espacial Challenger</t>
  </si>
  <si>
    <t>Se publicará un link donde los estudiantes puedan acceder libremente al video para aprender mucho más de este accidente. El link permanecerá abierto hasta culminar el evento de 15 días en la industria aeroespacial</t>
  </si>
  <si>
    <t>GUN-10361</t>
  </si>
  <si>
    <t>Se terminarán las cartillas de Ciencias Naturales, cada comité se reunirá para terminar las cartillas del grado correspondiente.</t>
  </si>
  <si>
    <t>GUN-10362</t>
  </si>
  <si>
    <t>Secuelas neuropsicológicas del abuso en las mujeres</t>
  </si>
  <si>
    <t xml:space="preserve">Junto con el grupo estudiantil FeminUn se realizará un conversatorio en el marco de la semana de la mujer en el que se expondrán los resultados de la investigación realizada por Natalia Quiroz, se realizarán una serie de preguntas referentes a la temática y luego se abrirá un espacio para resolver dudas de los participantes. </t>
  </si>
  <si>
    <t>GUN-10363</t>
  </si>
  <si>
    <t>Mujeres en SIGN: Lilia Sánchez</t>
  </si>
  <si>
    <t>Se realizará y publicará contenido en redes sociales en el marco de la semana de conmemoración a la mujer, esta vez destacando a una de las tutoras académicas del grupo, la Dra Lilia Sánchez. El post será un reconocimiento a la labor y al recorrido que la doctora ha hecho hasta la actualidad.</t>
  </si>
  <si>
    <t>GUN-10364</t>
  </si>
  <si>
    <t>Capacitación gestión humana</t>
  </si>
  <si>
    <t xml:space="preserve">Reunión de planeación e instrucción para los miembros de esta coordinación. </t>
  </si>
  <si>
    <t>GUN-10365</t>
  </si>
  <si>
    <t>eriosj@uninorte.edu.co</t>
  </si>
  <si>
    <t>Edwin Jesús Ríos Díaz, eriosj@uninorte.edu.co, 3004499357</t>
  </si>
  <si>
    <t>Primera reunión general: IMIG-UN</t>
  </si>
  <si>
    <t>Breve reunión con el fin de explicarles derechos y deberes a los miembros inscritos, así como mostrarles las posibles actividades que realizaremos en el semestre.</t>
  </si>
  <si>
    <t>GUN-10366</t>
  </si>
  <si>
    <t>Reunión Equipo Comunicaciones</t>
  </si>
  <si>
    <t>Se realiza una reunión liderada por la coordinadora de comunicaciones para coordinar todo lo relacionado a publicaciones y temas concernientes con la publicidad del grupo.</t>
  </si>
  <si>
    <t>GUN-10367</t>
  </si>
  <si>
    <t>Reunión de SyRP (reporte tardío)</t>
  </si>
  <si>
    <t>Reunión de los miembros de SyRP</t>
  </si>
  <si>
    <t>GUN-10368</t>
  </si>
  <si>
    <t>Reunión Junta Directiva Faunaticos</t>
  </si>
  <si>
    <t>Reunión semanal junta directiva de Faunaticos, se discuten temáticas relacionadas con la organización del grupo, actividades próximas, etc.</t>
  </si>
  <si>
    <t>GUN-10369</t>
  </si>
  <si>
    <t>Andrés Galvis G.
3008402324
galvisgaquninorte.edu.co</t>
  </si>
  <si>
    <t>Grabación video BU</t>
  </si>
  <si>
    <t>Para la realización de lo pedido por bienestar universitario, en un grupo de 3 miembros queremos ir a realizar las grabaciones en lugares de la universidad para el rodaje del video que sirva para los resúmenes semanales.</t>
  </si>
  <si>
    <t>GUN-10370</t>
  </si>
  <si>
    <t xml:space="preserve">Jorge cuello </t>
  </si>
  <si>
    <t xml:space="preserve">Actividad amigos </t>
  </si>
  <si>
    <t xml:space="preserve"> Consiste en subir fotos con amigos o de momentos que los hagan felices.
Las fotos las podrás subir en la siguiente carpeta de drive, y estás </t>
  </si>
  <si>
    <t>GUN-10371</t>
  </si>
  <si>
    <t xml:space="preserve">Conociendo Createc </t>
  </si>
  <si>
    <t xml:space="preserve">Tendrás que llenar una plantilla con información de un integrante de CREATEC (adjunto a este correo encontrarás el formato de la plantilla).
¿Cómo sé a quién debo hacerle la plantilla? Los directores de cada comité estarán avisando quién se te ha sido asignado.
¿Cuándo y dónde debo subir la plantilla?  Los días viernes 19 de marzo y sábado 20 de marzo estaremos compartiendo las plantillas.
</t>
  </si>
  <si>
    <t>GUN-10372</t>
  </si>
  <si>
    <t>Andrés David Abello Herrera, aabellod@uninorte.edu.co, 3005379576
Sebastián Jesús Sayago González, ssayago@uninorte.edu.co, 3017792748
Fabian Andrés Torralba Bonet, ftorralba@uninorte.edu.co, 3165848211</t>
  </si>
  <si>
    <t>Encuesta sobre preferencias de videojuegos para las Olimpiadas</t>
  </si>
  <si>
    <t>E-Sports Uninorte, en su labor para mejorar mucho más la calidad y el atractivo de las Olimpiadas que se realizan cada año, ha decidido preguntarle a la comunidad uninorteña sobre sus preferencias en videojuegos para competir en dichas gestas, para posteriormente presentarle los resultados a Bienestar y a el resto de la comunidad mencionada.</t>
  </si>
  <si>
    <t>GUN-10373</t>
  </si>
  <si>
    <t>Blog: "Ingeniería Aeroespacial: una mirada al futuro de los viajes espaciales”</t>
  </si>
  <si>
    <t>El siguiente blog abarca una temas que van desde la historia y el pasado de la ingeniería aeroespacial y su importancia en los viajes espaciales así como el futuro cercano y lejano de estos. Es bien sabido que en años recientes se han realizado grandes avances en el campo aeroespacial y que cada día nuevas tecnologías son desarrolladas por agencias como la NASA, SpaceX, Boeing, entre otras. Además, estas tecnologías no solo se centran en el desarrollo de nuevas naves sino también en el equipamiento necesario para la exploración y futuro asentamiento del ser humano en fronteras más allá de nuestro planeta.</t>
  </si>
  <si>
    <t>GUN-10374</t>
  </si>
  <si>
    <t>Alisson Abello Escorcia, alissona@uninorte.edu.co, 3113858638</t>
  </si>
  <si>
    <t xml:space="preserve">Será un evento conjunto con el grupo estudiantil CERI en el marco de la semana de la mujer, por la Universidad del Norte. El espacio será virtual vía Google Meet (enlace: https://meet.google.com/hjm-amuw-hps) Se abarcarán temáticas de diplomacia de género, el papel de la mujer dentro de la política, el sistema internacional, etc. Contaremos con la participación de invitadas profesoras de la U, e invitadas externas especiales. </t>
  </si>
  <si>
    <t>GUN-10375</t>
  </si>
  <si>
    <t>María José Ramos Gómez, rmariaj@uninorte.edu.co, 3217753193</t>
  </si>
  <si>
    <t>Supervivencia.</t>
  </si>
  <si>
    <t>En esta ocasión hablaremos de cómo adaptarnos a las situaciones difíciles que nos cambian el día a día, así como hemos sobrevivido al covid-19 y todo lo que vino con él, vendrán otros problemas a los que debemos superponernos!</t>
  </si>
  <si>
    <t>GUN-10376</t>
  </si>
  <si>
    <t>Nicole Sierra Callejas
Correo: ncallejas@uninorte.edu.co
Número de Teléfono: 3104482129</t>
  </si>
  <si>
    <t xml:space="preserve">Debate </t>
  </si>
  <si>
    <t xml:space="preserve">Se realizará un debate entre los miembros del área de finanzas con el propósito de reforzar habilidades blandas como la como la comunicación asertiva y el pensamiento crítico. </t>
  </si>
  <si>
    <t>GUN-10377</t>
  </si>
  <si>
    <t>Nicole Sierra Callejas, ncallejas@uninorte.edu.co, 3104482129</t>
  </si>
  <si>
    <t xml:space="preserve">Rifa </t>
  </si>
  <si>
    <t xml:space="preserve">Se realizará una rifa con el propósito de recaudar fondos para el grupo estudiantil. </t>
  </si>
  <si>
    <t>GUN-10378</t>
  </si>
  <si>
    <t>Coordinación Tecnologia</t>
  </si>
  <si>
    <t>Se busca instruir a los miembros de la coordinación proporcionándoles información enfocada en el desarrollo de paginas y datos informaticos</t>
  </si>
  <si>
    <t>GUN-10379</t>
  </si>
  <si>
    <t>Consultorías en Desarrollo Organizacional</t>
  </si>
  <si>
    <t>Es una actividad que se realiza mediante un grupo focal y un formulario o encuesta para conocer la percepción de los miembros respecto a los líderes y co-lideres de su área correspondiente.</t>
  </si>
  <si>
    <t>GUN-10380</t>
  </si>
  <si>
    <t>¿Como superar un bloqueo creativo?</t>
  </si>
  <si>
    <t xml:space="preserve">Post para motivación de los estudiantes </t>
  </si>
  <si>
    <t>GUN-10381</t>
  </si>
  <si>
    <t>Juan Trujillo - Luis Londoño</t>
  </si>
  <si>
    <t>Artículo de Blog - Mitos Sobre la Innovación</t>
  </si>
  <si>
    <t>Se trata de un creativo articulo que nos habla de los mitos que muchos empresarios han asumido como verdaderos sobre la innovación y da una explicación clara de cual es el verdadero significado de la innovación.</t>
  </si>
  <si>
    <t>GUN-10382</t>
  </si>
  <si>
    <t>¿Por qué el 8M se conmemora y no se celebra?</t>
  </si>
  <si>
    <t xml:space="preserve">Conversatorio en el que tres invitadas explican su punto de vista en cuanto al Día Internacional de la Mujer. </t>
  </si>
  <si>
    <t>https://drive.google.com/open?id=1LGul6OoADbJwZCMUVfo5Fl_aJBHdj_DY</t>
  </si>
  <si>
    <t>GUN-10383</t>
  </si>
  <si>
    <t>valeriabarrios@uninorte.edu.co</t>
  </si>
  <si>
    <t>Hacia una visión holística de la ingeniería de ríos</t>
  </si>
  <si>
    <t>Conferencia informativa realizada por el ingeniero Ronald R. Gutierrez, actual profesor de la Pontificia Universidad Católica del Perú. El evento no está siendo organizado por el grupo estudiantil CESG, pero se está prestando apoyo publicitario.</t>
  </si>
  <si>
    <t>GUN-10384</t>
  </si>
  <si>
    <t>Conferencia informativa dictada por el ingeniero Ronald D. Gutierrez, actual profesor de la Pontificia Universidad Católica del Perú. El grupo estudiantil CESG no está a cargo de la organización de este evento, sólo está brindando apoyo publicitario.</t>
  </si>
  <si>
    <t>GUN-10385</t>
  </si>
  <si>
    <t>Ludys Maria Fontalvo Escorcia, ludysf@unonorte.edu.co, 3003241944</t>
  </si>
  <si>
    <t>Bioingeniería, experiencia y oportunidades laborales.</t>
  </si>
  <si>
    <r>
      <rPr/>
      <t xml:space="preserve">✨  Charlemos con el Ingeniero Biomédico Pedro Villalba.  ✨
¿Te llama la atención la medicina y eres ingeniero?  ¿Alguna vez has pensado en enfocarte en Ingeniería Médica?  ¿Te has preguntado qué hay que hacer para ser Ingeniero Biomédico? ✅
Te invitamos a conocer cómo fue la experiencia del Ing. Pedro Villalba, quién se graduó del programa de Ing. Mecánica , y hoy es profesor del Departamento de Medicina , coordinador de Maestría en Ciencias Biomédicas  y parte del Grupo de Investigación en Biotecnología. Si tienes curiosidad, no te lo pierdas!!
📆 Fecha: Martes 16 de Febrero.
🕟 Hora: 4:30 p.m.
📌 Link: </t>
    </r>
    <r>
      <rPr>
        <color rgb="FF1155CC"/>
        <u/>
      </rPr>
      <t>https://uninorte.zoom.us/s/87674130956</t>
    </r>
  </si>
  <si>
    <t>GUN-10386</t>
  </si>
  <si>
    <t>Jovana Velazco: jovanav@uninorte.edu.co, 
Samantha Castro: grupoestfeminun@uninorte.edu.co</t>
  </si>
  <si>
    <t xml:space="preserve">En el marco del día de la mujer se torna imperante realizar la aclaración sobre por qué el 8M se conmemora y no se celebra </t>
  </si>
  <si>
    <t>https://drive.google.com/open?id=1PbH6jckEy7oOn4EF3jbkqN2LeC3EKAjR</t>
  </si>
  <si>
    <t>GUN-10387</t>
  </si>
  <si>
    <t>Margarita De Caro</t>
  </si>
  <si>
    <t xml:space="preserve">Pincel de la imaginación </t>
  </si>
  <si>
    <t>Es un concurso que premia la creatividad, técnica y pasión de los estudiantes.
Pueden participar con pinturas, esculturas o dibujos.</t>
  </si>
  <si>
    <t>GUN-10388</t>
  </si>
  <si>
    <t xml:space="preserve">Entrada en el blog de bienestar </t>
  </si>
  <si>
    <t xml:space="preserve">Envió de articulo para su revisión y publicación en el blog de bienestar </t>
  </si>
  <si>
    <t>GUN-10389</t>
  </si>
  <si>
    <t>Charla con título: "Campos eólicos en el mar: Descubre lo muevo de la ingeniería offshore"</t>
  </si>
  <si>
    <t xml:space="preserve">Consiste en una charla dictada por el ingeniero civil Germán Rivillas con el tema de ingeniería offshore, más específicamente acerca de parques eólicos en el mar. El ponente tiene maestría y doctorado en ingeniería civil. </t>
  </si>
  <si>
    <t>https://drive.google.com/open?id=1ThR1NPduMvPXU0Oda2SVqV6LXE9LnfrX</t>
  </si>
  <si>
    <t>GUN-10390</t>
  </si>
  <si>
    <t>Isabela Urrego Rodriguez - iurrego@uninorte.edu.co - 9293164949</t>
  </si>
  <si>
    <t>Biblioteca SCOME- CEM UNINORTE</t>
  </si>
  <si>
    <t>Con el objetivo de facilitar la vida del estudiante se crea una biblioteca de libros para cuando necesiten y/o no encuentren en ninguna parte, puedan tener fácil acceso a este drive donde encuentran una variedad de libros en diferentes materias, este Drive es uno de los regalos que quiero dejar en mi gestión. La idea es irlo actualizando y que también siga para las próximas gestiones.</t>
  </si>
  <si>
    <t>GUN-10391</t>
  </si>
  <si>
    <t>Efraín Andrés Cardozo Arrieta, eacardozo@uninorte.edu.co,3023770399</t>
  </si>
  <si>
    <t>Blog: "Starship, una promesa interplanetaria"</t>
  </si>
  <si>
    <t>El blog tratará sobre el análisis de la nueva nave espacial de SpaceX, sus especificaciones, su poder y sus grandes expectativas.</t>
  </si>
  <si>
    <t>GUN-10392</t>
  </si>
  <si>
    <t>Post: Neuropediatría</t>
  </si>
  <si>
    <t>Creación y Publicación de contenido en Instagram y Twitter sobre la neuropediatría, una de las subespecialidades que tiene el área de la neurología.</t>
  </si>
  <si>
    <t>GUN-10393</t>
  </si>
  <si>
    <t>Maria Fernanda Vargas Barrera - mbarreraf@uninorte.edu.co - 3045332065</t>
  </si>
  <si>
    <t>Campaña Reptilia</t>
  </si>
  <si>
    <t>Campaña a través de redes a cargo del Nido de Reptiles</t>
  </si>
  <si>
    <t>GUN-10394</t>
  </si>
  <si>
    <t>Primer taller Webots</t>
  </si>
  <si>
    <r>
      <rPr/>
      <t xml:space="preserve">¿Te gustaría aprender a programar tu primer robot? 💻
El capítulo de Ras te invita a que hagas parte de nuestro primer taller de Webots. Este es un software de simulación donde hay diferentes tipos de robots, los cuales puedes programar para realizar diferentes funciones, además de ofrecer la posibilidad de alterar las físicas del mundo y mucho más. 
¡Anímate y atrévete a usar y configurar tu primer robot! 🕹️⚙️
Puedes ingresar desde este link: </t>
    </r>
    <r>
      <rPr>
        <color rgb="FF1155CC"/>
        <u/>
      </rPr>
      <t>https://meet.google.com/rtq-frse-ufg</t>
    </r>
  </si>
  <si>
    <t>GUN-10395</t>
  </si>
  <si>
    <t xml:space="preserve">Entremos en contexto </t>
  </si>
  <si>
    <t xml:space="preserve">Nos reuniremos para hablar sobre problemas ambientales actuales (globales, nacionales y regionales). </t>
  </si>
  <si>
    <t>GUN-10396</t>
  </si>
  <si>
    <t xml:space="preserve">PROCESO DE FABRICACION DEL ACERO </t>
  </si>
  <si>
    <t>Charla virtual realizada con el fin de conocer e informarse acerca del proceso de fabricación del acero. Será apoyada por el ingeniero Ricardo Rebolledo.</t>
  </si>
  <si>
    <t>GUN-10397</t>
  </si>
  <si>
    <t xml:space="preserve">Manuela Andrade y Luisa Vélez </t>
  </si>
  <si>
    <t>Reunión de Área</t>
  </si>
  <si>
    <t xml:space="preserve">Se planificarán todos los detalles y especificarán los encargados por actividades del evento Home training para el día 27 de marzo. </t>
  </si>
  <si>
    <t>GUN-10398</t>
  </si>
  <si>
    <t>En la boca de una poeta</t>
  </si>
  <si>
    <t>Conversatorio con dos invitadas en alianza entre FeminUN y el grupo Las Ciruelas de Tomasa. Las poetas invitadas nos estarán recitando algunos de sus poemas y nos hablaran desde su experiencia sobre ser mujeres poetas.</t>
  </si>
  <si>
    <t>https://drive.google.com/open?id=14VxBmyEc1lkfp_YGZq0ZHqUmp6UH8hC2</t>
  </si>
  <si>
    <t>Al ser catalogado como evento másivo, es necesario enviar evidencia de asistencia mayor o igual a 130 asistentes</t>
  </si>
  <si>
    <t>GUN-10399</t>
  </si>
  <si>
    <t>Oportunidades emergentes de las tecnologías cuánticas</t>
  </si>
  <si>
    <t>El día de hoy queremos invitarles al primer evento del capítulo VTS. ¡No te lo puedes perder!
La física cuántica avanza constantemente y permite disfrutar de mejores tecnologías. El profesor Rafael González,   Ph. D. de la Universidad Nacional, brindará uns charla donde se abordarán los principales campos de acción de la física cuántica en las ingenierías. Así mismo, mencionará cómo desde la Universidad del Norte se trabaja en este campo.
Fecha: 18/03/2021
Hora: 4:30 pm
https://meet.google.com/qkn-ykmd-bty</t>
  </si>
  <si>
    <t>GUN-10400</t>
  </si>
  <si>
    <t>El día de hoy queremos invitarles al primer evento del capítulo VTS. ¡No te lo puedes perder!
La física cuántica avanza constantemente y permite disfrutar de mejores tecnologías. El profesor Rafael González,   Ph. D. de la Universidad Nacional, brindará uns charla donde se abordarán los principales campos de acción de la física cuántica en las ingenierías. Así mismo, mencionará cómo desde la Universidad del Norte se trabaja en este campo.
Fecha: 18/03/2021
Hora: 4:30 pm
 https://meet.google.com/qkn-ykmd-bty</t>
  </si>
  <si>
    <t>GUN-10401</t>
  </si>
  <si>
    <t>Vanessa de la cruz Villalba, vpdelacruz@uninorte.edu.co, 3126552561</t>
  </si>
  <si>
    <t>DIME QUÉ PIENSAS Y TE DIRÉ QUIÉN ERES</t>
  </si>
  <si>
    <t>Autoestima y amor propio</t>
  </si>
  <si>
    <t>GUN-10402</t>
  </si>
  <si>
    <t>cardenascj@uninorte.edu.co</t>
  </si>
  <si>
    <t>Julio Cesar Cárdenas Caballero, cardenascj@unirnote.edu.co, 3013592178</t>
  </si>
  <si>
    <t>Conceptos básicos de electrocardiografía y EKG normal.</t>
  </si>
  <si>
    <t>Revisión académica, reunión con el motivo de describir los conceptos básicos en electrofisiología, la importancia del electrocardiograma y su interpretación, con el apoyo de diversos docentes con enfoque en el área y una presentación por y para estudiante y miembros del grupo interesados en el tema.</t>
  </si>
  <si>
    <t>GUN-10403</t>
  </si>
  <si>
    <t>Andrés Felipe Canchila Benitez, afcanchila@uninorte.edu.co, 300 4123919</t>
  </si>
  <si>
    <t>Tour virtual por NASA Jet Propulsion Laboratory (JPL)</t>
  </si>
  <si>
    <t>Se realizará un tour virtual de JPL exclusivo para los inscritos en el evento (En inglés)</t>
  </si>
  <si>
    <t>GUN-10404</t>
  </si>
  <si>
    <t>GIVEAWAY DIA DEL HOMBRE</t>
  </si>
  <si>
    <t>Se realizara un giveaway que iniciara el lunes de esa semana y se realizará una dinámica el mismo día del sorteo</t>
  </si>
  <si>
    <t>GUN-10405</t>
  </si>
  <si>
    <t>CAPACITACIÓN SPSS STATICS</t>
  </si>
  <si>
    <t xml:space="preserve">Capacitación teórica sobre SPSS para miembros del grupo a cargo de la docente Karen Cabarcas. Se brindará información acerca de qué es el programa, cómo se utiliza, cuáles son los conocimientos básicos necesarios para hacer un uso adecuado de esta y luego se abrirá un espacio de pregunta para resolver cualquier duda </t>
  </si>
  <si>
    <t>GUN-10406</t>
  </si>
  <si>
    <t>Cada quién en su lugar</t>
  </si>
  <si>
    <t>Enseñar los roles que tenemos dentro de la Familia</t>
  </si>
  <si>
    <t>GUN-10407</t>
  </si>
  <si>
    <t>CERI-FEMINUN</t>
  </si>
  <si>
    <t xml:space="preserve">El empoderamiento de las mujeres en el Caribe </t>
  </si>
  <si>
    <t xml:space="preserve">En este espacio compartiremos con Indhira Serrano sobre el respeto a las diferencias y el orgullo por la herencia afro-latina a manera de reflexion para empoderar a las mujeres del caribe colombiano. </t>
  </si>
  <si>
    <t>https://drive.google.com/open?id=1Gkf9cCXvdxwvXmq3zHxI6id6HLAjYNvK</t>
  </si>
  <si>
    <t>GUN-10408</t>
  </si>
  <si>
    <t>Reunión coordinación comunicaciones</t>
  </si>
  <si>
    <t>Reunión con los miembros del grupo para desarrollar las campañas de las redes.</t>
  </si>
  <si>
    <t>GUN-10409</t>
  </si>
  <si>
    <t>Reunión de los miembros que conforman la junta directiva para informar los avances de las diferentes coordinaciones.</t>
  </si>
  <si>
    <t>GUN-10410</t>
  </si>
  <si>
    <t>GUN-10411</t>
  </si>
  <si>
    <t>Alberto Mario Solís Martes, amsolis@uninorte.edu.co, 3008685801.</t>
  </si>
  <si>
    <t xml:space="preserve">Reunión nido </t>
  </si>
  <si>
    <t>Reunión con los miembros que conforman el nido de aves en la que se discutirá las siguientes campañas de redes.</t>
  </si>
  <si>
    <t>GUN-10412</t>
  </si>
  <si>
    <t>Andrés Romero</t>
  </si>
  <si>
    <t>1er Debate semanal de Innovación</t>
  </si>
  <si>
    <t>Se decide un tema de interés en el cual los estudiantes y se divide el grupo en equipos. Cada equipo deberá defender su posición u objetivo establecido. Al final, los organizadores escogen el equipo ganador.</t>
  </si>
  <si>
    <t>GUN-10413</t>
  </si>
  <si>
    <t>Reunión semanal a cargo del dpto de finanzas</t>
  </si>
  <si>
    <t>GUN-10414</t>
  </si>
  <si>
    <t>El empoderamiento de las mujeres del Caribe</t>
  </si>
  <si>
    <t xml:space="preserve">Conversatorio sobre las realidades de las mujeres en el Caribe y la importancia de empoderarse por el bien de la comunidad. </t>
  </si>
  <si>
    <t>https://drive.google.com/open?id=1FrWLVVJLJ5qghp_w0biRKB3jRebktaqk</t>
  </si>
  <si>
    <t>GUN-10415</t>
  </si>
  <si>
    <t>Cero Parloteo</t>
  </si>
  <si>
    <t>Miembros de Juventudes Críticas, de manera individual, en pareja o en grupos (a su elección), realizarán una exposición sobre un tema de su interés. Esta actividad es mensual.</t>
  </si>
  <si>
    <t>GUN-10416</t>
  </si>
  <si>
    <t xml:space="preserve">Isabella Gonzalez , isabellatorres@uninorte.edu.co, 3135806828 </t>
  </si>
  <si>
    <t xml:space="preserve">Pange &amp; Google co - creando ideas </t>
  </si>
  <si>
    <t xml:space="preserve">Workshop grupo estudiantil pangea por el día del profesional en Negocios Internacionales </t>
  </si>
  <si>
    <t>GUN-10417</t>
  </si>
  <si>
    <t xml:space="preserve">Lideres y lideresas, reconocimiento, protección y riesgo en Colombia. </t>
  </si>
  <si>
    <t xml:space="preserve">Ponencia de parte de FeminUN dirigida a una fundación sobre el reconocimiento de lideres y lideresas y su situación en Colombia. </t>
  </si>
  <si>
    <t>GUN-10418</t>
  </si>
  <si>
    <t>Vanessa Picalúa Parra, vpicalua@uninorte.edu.co, 3016985883</t>
  </si>
  <si>
    <t>Reunión de división STAFF</t>
  </si>
  <si>
    <t>Se realizará una reunión en donde se verán las actividades próximas a apoyar y explicación de algunas herramientas en los softwares.</t>
  </si>
  <si>
    <t>GUN-10419</t>
  </si>
  <si>
    <t>Él sigue siendo Dios</t>
  </si>
  <si>
    <t>Para finalizar la serie "dile hola al cambio" hablaremos de cómo a pesar de todo lo que vivimos, Dios sigue estando con nosotros y nos ayuda a salir de las diversas situaciones.</t>
  </si>
  <si>
    <t>GUN-10420</t>
  </si>
  <si>
    <t>mbarreraf@uninorte.edu.co</t>
  </si>
  <si>
    <t>María Fernanda Vargas Barrera - mbarreraf@uninorte.edu.co - 3045332065</t>
  </si>
  <si>
    <t>Reunión Marsualia</t>
  </si>
  <si>
    <t xml:space="preserve">Reunión del nido de Marsualia para definir temas sobre el nido. </t>
  </si>
  <si>
    <t>GUN-10421</t>
  </si>
  <si>
    <t>Capacitación proyectos</t>
  </si>
  <si>
    <t>Capacitación a los miembros en la planeación de los futuros eventos que llevará a cabo el grupo.</t>
  </si>
  <si>
    <t>GUN-10422</t>
  </si>
  <si>
    <t>Andrea Lucía Paternina Tordecilla, tordecillaauninorte.edu.co, 3013493143</t>
  </si>
  <si>
    <t>Reunión de Asamblea</t>
  </si>
  <si>
    <t>Se reunirá la asamblea del grupo en una pequeña dinámica y se dará información específica importante</t>
  </si>
  <si>
    <t>GUN-10423</t>
  </si>
  <si>
    <t>Video “Llegamos a Marte… ¿y ahora?, entrevista a físico Daniel Parra”</t>
  </si>
  <si>
    <t>En el video entrevistamos al físico y divulgador Daniel Parra, con quien hablaremos acerca del Rover Perseverance de la NASA. Conociendo a profundo su misión, aquellos implementos que lleva, y cuáles son los resultados que ha obtenido, entre otras cosas.</t>
  </si>
  <si>
    <t>https://drive.google.com/open?id=1w2Haer2Thu1ac6FdBw_8EGSDCrmVfJLn</t>
  </si>
  <si>
    <t>GUN-10424</t>
  </si>
  <si>
    <t>Reunión Reptilia</t>
  </si>
  <si>
    <t xml:space="preserve">Reunión organizada por el Nido Reptilia para conversar respecto al próximo evento a realizarse. </t>
  </si>
  <si>
    <t>GUN-10425</t>
  </si>
  <si>
    <t>Proyecto cartillas</t>
  </si>
  <si>
    <t xml:space="preserve">Se empezará con las cartillas de Ciencias Sociales </t>
  </si>
  <si>
    <t>GUN-10426</t>
  </si>
  <si>
    <t>corredorv@uninorte.edu.co</t>
  </si>
  <si>
    <t>Valeria I. Oliveros Corredor - corredorv@uninorte.edu.co - 3023822054</t>
  </si>
  <si>
    <t xml:space="preserve">Reunión planificación semanal </t>
  </si>
  <si>
    <t>En la reunión cada participante de la junta reporto su trabajo de la semana 8 y los avances de dicha semana, y se fijaron los trabajos de la semana siguiente.</t>
  </si>
  <si>
    <t xml:space="preserve">Reporte recibido </t>
  </si>
  <si>
    <t>GUN-10427</t>
  </si>
  <si>
    <t>Capacitación para los miembros de la coordinación enfocada en la planeación de actividades internas del grupo.</t>
  </si>
  <si>
    <t>GUN-10428</t>
  </si>
  <si>
    <t>Charla: "Campos eólicos marinos: Ingeniería Offshore a tu alcance"</t>
  </si>
  <si>
    <t xml:space="preserve">Charla acerca del tema ingeniería offshore brindada por el ingeniero Germán Rivillas. Profesor de tiempo completo de la Universidad del Norte del departamento de Ingeniería Civil. Hizo pregrado, maestría y doctorado en ingeniería Civil. Su última investigación es de ingeniería offshore. </t>
  </si>
  <si>
    <t>https://drive.google.com/open?id=1pNIwZEVvnURk8p6sjdOdH3sXjylxZw8o</t>
  </si>
  <si>
    <t>GUN-10429</t>
  </si>
  <si>
    <t>Charla de Finanzas Personales</t>
  </si>
  <si>
    <t>Charla con experto sobre el tema de finanzas personales con énfasis en temas como: Tácticas de Ahorro y manejo de tarjetas débito, presupuesto, fondo para emergencias, y vida crediticia. Temas de interés para las personas que están prontas a iniciar su vida laboral</t>
  </si>
  <si>
    <t>https://drive.google.com/open?id=1fj5fqJAra6z2jfHgMiCRlkkWt8Pl3RSi</t>
  </si>
  <si>
    <t>GUN-10430</t>
  </si>
  <si>
    <t>Catalina Navarro santos
 catalinanavarro@uninorte.edu.co
 3165320824</t>
  </si>
  <si>
    <t>Debates y Capsula de gritos</t>
  </si>
  <si>
    <t xml:space="preserve">Este proyecto consiste en crear un espacio en la plataforma “Padlet” para que los miembros del grupo puedan dar y recibir recomendaciones, ideas o ayudas para algunos temas en específico, además puede ser una actividad en donde los miembros de las distintas áreas se puedan desahogar de cierta manera en momentos en que el semestre de verdad lo amerite. Creando así un lugar donde los miembros puedan expresarse libremente. </t>
  </si>
  <si>
    <t>GUN-10431</t>
  </si>
  <si>
    <t>Lina Marcela Díaz Vitola - mlvitola@uninorte.edu.co - 3218501209
María Camila Amador Sanabria - amadorcm@uninorte.edu.co - 3015924548
Natalia Paola Cotes Mozo	- mozon@uninorte.edu.co - 3043588331</t>
  </si>
  <si>
    <t>Integración W-STEM "CINE FORUM" (sesión 1)</t>
  </si>
  <si>
    <t>El grupo estudiantil W-STEM está listo para realizar su segunda integración en el semestre 2021-10, en el cual se visualizará la película "Shakuntala Devi", como primera sesión de la actividad. Shakuntala Devi es la persona considerada como la "calculadora humana" y ¡su historia acaba de llegar a la pantalla grande!</t>
  </si>
  <si>
    <t>GUN-10432</t>
  </si>
  <si>
    <t>Integración del dpto. de Marketing</t>
  </si>
  <si>
    <t>Reunión donde los miembros del departamento podrán divertirse un rato.</t>
  </si>
  <si>
    <t>GUN-10433</t>
  </si>
  <si>
    <t>Publicación de artículo en la Gazeta del Departamento de Ciencias Políticas y Relaciones Internacionales</t>
  </si>
  <si>
    <t>GUN-10434</t>
  </si>
  <si>
    <t>eacardozo,eacardozo@uninorte.edu.co,3023770399</t>
  </si>
  <si>
    <t>"15 días en..." Tercera temática: Energías Alternativas</t>
  </si>
  <si>
    <t>Tercera temática del proyecto "15 días en", en esta se publicará contenido variado (blogs, videos, charla, entrevista), relacionadas con la ingeniería aplicada a La búsqueda de energías alternativas, se realizará  por diferentes medios con la colaboración de varias divisiones.</t>
  </si>
  <si>
    <t>GUN-10435</t>
  </si>
  <si>
    <t>Blog: “Un zoom a las energías renovables”</t>
  </si>
  <si>
    <t>Este blog trata sobre un enfoque generalizado de las implicaciones que traen las energías renovables, ya que no siempre las alternativas innovadoras son la solución más viable para los interrogantes sobre el sostenimiento energético en Colombia, dado que se debe hacer un contraste entre la viabilidad para la sociedad al igual que dicha solución tenga el más mínimo impacto sobre el medio ambiente que como ingenieros debemos garantizar ambas perspectivas.</t>
  </si>
  <si>
    <t>GUN-10436</t>
  </si>
  <si>
    <t>GUN-10437</t>
  </si>
  <si>
    <t>Juan Trujillo</t>
  </si>
  <si>
    <t>Artículo People</t>
  </si>
  <si>
    <t>Este artículo nos relata el cambio 360º que dieron las empresas a la hora de entrevistar a un candidato durante la pandemia.</t>
  </si>
  <si>
    <t>GUN-10438</t>
  </si>
  <si>
    <t>Día mundial del agua</t>
  </si>
  <si>
    <t xml:space="preserve">Campaña virtual vía redes sociales para concientizar sobre la importancia de este liquido vital </t>
  </si>
  <si>
    <t>GUN-10439</t>
  </si>
  <si>
    <t>Campaña Marsualia</t>
  </si>
  <si>
    <t xml:space="preserve">Campaña en redes sociales a cargo del Nido de mamíferos sobre especies en vía de extinción. </t>
  </si>
  <si>
    <t>GUN-10440</t>
  </si>
  <si>
    <t>Reunión coordinación tecnologia</t>
  </si>
  <si>
    <t>Reunión de los miembros de la coordinación la cual estará enfocada en la capacitación sobre los softwars</t>
  </si>
  <si>
    <t>GUN-10441</t>
  </si>
  <si>
    <t>Daniela Barrios Caballero, danielacaballero@uninorte.edu.co, 3002567129</t>
  </si>
  <si>
    <t>Día del agua</t>
  </si>
  <si>
    <t>Post en instagram para conmemorar el día del agua.</t>
  </si>
  <si>
    <t>GUN-10442</t>
  </si>
  <si>
    <t>Reunión general</t>
  </si>
  <si>
    <t>Reunión para hablar sobre la agenda y las dinámicas internas del grupo.</t>
  </si>
  <si>
    <t>GUN-10443</t>
  </si>
  <si>
    <t>Nombre: Andrés Romero
Correo: aromerof@uninorte.Edu.co
Número de Teléfono: 3004476066</t>
  </si>
  <si>
    <t>Caso de plataformas de videoconferencias - Actividad por historias de Instagram</t>
  </si>
  <si>
    <t xml:space="preserve"> Por medio de las historias del Instagram de CEO, lograr que los miembros propongan soluciones innovadoras ante la futura caída en el uso de aplicaciones para videoconferencias como Zoom o Meet, producto del retorno a la educación y al trabajo de manera presencial en colegios, universidades y empresas. 
</t>
  </si>
  <si>
    <t>GUN-10444</t>
  </si>
  <si>
    <t>Post Revisión de tema: Pares craneales</t>
  </si>
  <si>
    <t>Se realizará publicación en redes sociales para informar y promocionar nuestro próximo evento que será una revisión de tema el día jueves 25 de marzo-2021.</t>
  </si>
  <si>
    <t>GUN-10445</t>
  </si>
  <si>
    <t>Cristian Andres Torres monterrosa - camonterroza@uninorte.edu.co - 3015467411</t>
  </si>
  <si>
    <t xml:space="preserve">Articulo para el blog de bienestar </t>
  </si>
  <si>
    <t>Envío de articulo para su revisión y publicación en el blog de bienestar universitario</t>
  </si>
  <si>
    <t>GUN-10446</t>
  </si>
  <si>
    <t>Efraín Andrés Cardozo Arrieta,eacardozo@uninorte.edu.co, 3023770399</t>
  </si>
  <si>
    <t>Blog: "Hidrógeno: del elemento más simple, al combustible del mañana"</t>
  </si>
  <si>
    <t>"Una breve y amigable acercamiento, a una alternativa revolucionaria que promete cambiar la forma en que nos transportamos, trayendo consigo la posibilidad de hacerlo sin contaminar.
Un corto articulo, que presenta esta alternativa, expone su nacimiento, y las enormes posibilidades que tiene para cambiar el mundo"</t>
  </si>
  <si>
    <t>GUN-10447</t>
  </si>
  <si>
    <t>Ciclo de conferencias sobre los Recursos Hídricos</t>
  </si>
  <si>
    <t>Ciclo de conferencias, dictadas por profesores del área de los recursos hídricos, acerca de diversos temas que se relacionan a esta rama de la ingeniería.</t>
  </si>
  <si>
    <t>GUN-10448</t>
  </si>
  <si>
    <t>giraldomd@uninorte.edu.co</t>
  </si>
  <si>
    <t>Diana Marcela Giraldo Duque giraldomd@uninorte.Edu.co 3202664098</t>
  </si>
  <si>
    <t>Papel e importancia de los contadores en las organizaciones.</t>
  </si>
  <si>
    <t>Charla a cargo del docente Carlos Vitola, teniendo en cuenta su experiencia profesional le contará a los contadores los distintos roles en los que se puede desempeñar el contador público y la importancia que tienen en la organizaciones.</t>
  </si>
  <si>
    <t>GUN-10449</t>
  </si>
  <si>
    <t>Eder Cadrazco Gil
3014673544.
cadrazcoe@uninorte.edu.co
Raúl Vega Alvear
3178802555
alvearr@uninorte.edu.co</t>
  </si>
  <si>
    <t>Revisión de tema: Pares craneales.</t>
  </si>
  <si>
    <t>Se hará una reunión con todos los miembros del grupo para realizar una revisión de tema sobre Pares craneales (Origen, función y alteraciones más frecuentes) dirigido por estudiantes de medicina y supervisado por nuestros tutores académicos.</t>
  </si>
  <si>
    <t>GUN-10450</t>
  </si>
  <si>
    <t>Catalina Salazar: csalazarluninorte.edu.co .
 Carlos Guerrero : guerrerocarlos@uninorte.edu.co</t>
  </si>
  <si>
    <t xml:space="preserve">La protección de menores de edad en los conflictos armados: El caso de Colombia a la luz del DIH </t>
  </si>
  <si>
    <t>La protección de los menores de edad en los conflictos bélicos es de suma importancia, más en un país como Colombia, en el que es frecuente el reclutamiento forzado de menores por grupos al margen de la ley, presentamos un conversatorio sobre esto, conforme al DIH</t>
  </si>
  <si>
    <t>https://drive.google.com/open?id=1SgaBVlDN0Z5AsNH-3gDnYh_Wk75SEZOY</t>
  </si>
  <si>
    <t>GUN-10451</t>
  </si>
  <si>
    <t>Santiago De Jesús Mercado Castro 
dsmercado@uninorte.edu.co 
3008196382
Samantha Sofia De Jesús Castro Granados 
samanthac@uninorte.edu.co
3003711347</t>
  </si>
  <si>
    <t>Cineforo: Artemisia Gentileschi, fascinación en el arte</t>
  </si>
  <si>
    <t xml:space="preserve">En representación de una alianza entre el grupo estudiantil Zaratustra y FeminUN se realizara un Cineforo el día 10 de marzo que lleva por titulo Cineforo: Artemisia Gentileschi, fascinación en el arte. 
El evento estará dividido en 4 secciones, la primera sera una introducción a la pintora Artemisia Gentileschi, por parte de la coordinadora del departamento de arte de Zaratustra.
En segundo lugar, la visualización de la película Artemisia la cual tiene la duración de 1h y 42m, seguido de ello vendrían las reflexiones de la misma, por parte del grupo estudiantil FeminUN para seguir a la sección final y conclusiones junto a la reflexión de los miembros de ambos grupos e invitados del evento  </t>
  </si>
  <si>
    <t>GUN-10452</t>
  </si>
  <si>
    <t>Spill The FeminTea: Selling bodies online</t>
  </si>
  <si>
    <t xml:space="preserve">Charla interna del grupo FeminUN para discutir la cosificación del cuerpo femenino, que lleva por título "Selling bodies online". </t>
  </si>
  <si>
    <t>GUN-10453</t>
  </si>
  <si>
    <t>Samantha Castro, samanthac@uninorte.edu.co, 3016202938
Santiago De Jesús Mercado Castro 
dsmercado@uninorte.edu.co 
3008196382</t>
  </si>
  <si>
    <t xml:space="preserve">Cineforo: Artemisia Gentileschi, fascinación en el arte. </t>
  </si>
  <si>
    <t xml:space="preserve">Cineforo en alianza con Zaratustra en donde se verá una película en conjunto para posteriormente analizarla y discutirla entre todxs. </t>
  </si>
  <si>
    <t>GUN-10454</t>
  </si>
  <si>
    <t xml:space="preserve">CAPACITACIÓN SPSS - PRÁCTICA </t>
  </si>
  <si>
    <t>Capacitación práctica del programa SPSS a cargo de la docente Karen Cabarcas. Se realizaran ejercicios en el programa para poner en práctica lo aprendido en la sesión anterior. Al final se resolverán dudas acerca de lo aprendido</t>
  </si>
  <si>
    <t>GUN-10455</t>
  </si>
  <si>
    <t xml:space="preserve"> Jovana Velazco: jovanav@uninorte.edu.co
catalina Salazar: csalazarl@uninorte.edu.co</t>
  </si>
  <si>
    <t>Movimientos sociales y la conquista de derechos</t>
  </si>
  <si>
    <t>Los movimientos sociales a lo largo historia han sido la manera mediante la cual se han conquistado diversos derechos que han mejorado la calidad de vida de las personas</t>
  </si>
  <si>
    <t>https://drive.google.com/open?id=1W5fVe09Sj0OEFSny-g0BaN7YTmHGLpTy</t>
  </si>
  <si>
    <t>GUN-10456</t>
  </si>
  <si>
    <t>Día Internacional de la Epilepsia</t>
  </si>
  <si>
    <t>En el marco de nuestra sección NeuroDays, este evento cuenta con la creación y publicación de contenido en redes sociales (Instagram y Twitter) sobre el Día Internacional de la Epilepsia, que se conmemora el 26 de marzo. La publicación recoge información sobre esta condición médica, entre estas, definiciones, epidemiología, abordaje de mitos y también la importancia de la conmemoración de este día.</t>
  </si>
  <si>
    <t>GUN-10457</t>
  </si>
  <si>
    <t>GUN-10458</t>
  </si>
  <si>
    <t>Andrés Romero, aromerof@uninorte.Edu.co, 3004476066</t>
  </si>
  <si>
    <t>Primer Debate semanal Innovación - Caso</t>
  </si>
  <si>
    <t>GUN-10459</t>
  </si>
  <si>
    <t xml:space="preserve">Reunion Avelia </t>
  </si>
  <si>
    <t xml:space="preserve">Reunión programa por el Nido Avelia </t>
  </si>
  <si>
    <t>GUN-10460</t>
  </si>
  <si>
    <t xml:space="preserve">Reunión semanal a cargo del dpto logistica </t>
  </si>
  <si>
    <t>GUN-10461</t>
  </si>
  <si>
    <t>Aprende sobre inclusión (colaboración)</t>
  </si>
  <si>
    <t>Se llevará a cabo una colaboración (pequeña campaña) entre Uninorte Incluyente y EQUN, en donde mediante redes sociales se publicarán dinámicas e información acerca de la visibilización de las «mujeres trans».</t>
  </si>
  <si>
    <t>GUN-10462</t>
  </si>
  <si>
    <t>Ruth Fontalvo, rmfontalvo@uninorte.edu.co, 3043870920; Samantha Castro, samanthac@uninorte.edu.co</t>
  </si>
  <si>
    <t>Normalización de la violencia de género: ¿una problemática que nos concierne a todos?</t>
  </si>
  <si>
    <t xml:space="preserve">La violencia de género es una problemática generalizada en nuestro ambiente cultural. Al hablar de responsabilidad y culpabilidad se debe tener en cuenta que un sin número de personas replican estas acciones de manera no consciente, considerándolo algo natural en su diario vivir y actuando de manera hostil ante aquellos que se niegan a seguir perpetuando estas conductas. En el presente evento se considerará, a través de un conversatorio, cómo, tanto hombres como mujeres, son parte activa en el proceso de violencia de género, tanto como de víctimas como de victimarios, procurando generar conciencia en la comunidad uninorteña para desnormalizar la violencia y apoyar a aquellos que luchan activamente contra esta. </t>
  </si>
  <si>
    <t>https://drive.google.com/open?id=1ba9P_9fSCEIl85uhPxfqh6J28hrOkILR</t>
  </si>
  <si>
    <t>GUN-10463</t>
  </si>
  <si>
    <t>Caso "En el papel del Exportador"</t>
  </si>
  <si>
    <t>Un taller donde tendremos de invitado especial al directora de logistica de la empresa Aceites S.A. Nos compartirá sobre la gestión de transporte y manejo de inventario en la empresa. Después haremos un caso con dos grupos que se ponen en el papel del exportador. Se les presentará un problema y ambos grupos deben aportar una solución. Para finalizar la invitada hará una retroalimentación a cada grupo.</t>
  </si>
  <si>
    <t>https://drive.google.com/open?id=1CkfazP20ydO0CKfdoV9uIeZTyz-77W36</t>
  </si>
  <si>
    <t>GUN-10464</t>
  </si>
  <si>
    <t>Gabriela Cervantes Gamez, gabrielagamez@uninorte.edu.co</t>
  </si>
  <si>
    <t>Charla obesidad en los gatos</t>
  </si>
  <si>
    <t>Es una charla en la cual vamos a hacer una introducción sobre el tema de la obesidad en los gatos para los asistentes.</t>
  </si>
  <si>
    <t>GUN-10465</t>
  </si>
  <si>
    <t>Fe en tiempos de crisis</t>
  </si>
  <si>
    <t xml:space="preserve">Conversemos sobre nuestros momentos buenos y no tan buenos. Es importante reflexionar sobre lo que creemos y por qué  lo creemos. Animate y comparte tu historia con nosotros. </t>
  </si>
  <si>
    <t>GUN-10466</t>
  </si>
  <si>
    <t>Reunión para discutir la agenda y dinámicas del grupo.</t>
  </si>
  <si>
    <t>GUN-10467</t>
  </si>
  <si>
    <t>Tips para ahorrar agua en el hogar</t>
  </si>
  <si>
    <t>GUN-10468</t>
  </si>
  <si>
    <t>Integración W-STEM "CINE FORUM" (sesión 2)</t>
  </si>
  <si>
    <t>Tras visualizar la película "Shakuntala Devi", como segunda sesión de la actividad Integración W-STEM "CINE FORUM", se llevará a cabo un cine foro. En dicha actividad los integrantes del grupo estudiantil W-STEM y participantes externos podrán hacer parte de un análisis de la película, además de responder preguntas relevantes del papel que cumple la mujer en carreras STEM y su relación con escenas de la película, todo esto a través de una dinámica interactiva.</t>
  </si>
  <si>
    <t>GUN-10469</t>
  </si>
  <si>
    <t>Isabella Cantillo</t>
  </si>
  <si>
    <t xml:space="preserve">Reunión de subcomité </t>
  </si>
  <si>
    <t xml:space="preserve">En la reunión se definirá las dinámicas a manejar en la red social de Twitter </t>
  </si>
  <si>
    <t>GUN-10470</t>
  </si>
  <si>
    <t>GUN-10471</t>
  </si>
  <si>
    <t xml:space="preserve">Comité de Relaciones Públicas y logística de eventos. </t>
  </si>
  <si>
    <t>Coffee meet</t>
  </si>
  <si>
    <t xml:space="preserve">El coffee meet es un espacio en donde nos encontramos todxs lxs que conformamos el comité estudiantil de Relaciones Internacionales para debatir sobre temas concernientes a la carrera con el fin de motivar la participación de los estudiantes, el pensamiento critico y la argumentación. </t>
  </si>
  <si>
    <t>GUN-10472</t>
  </si>
  <si>
    <t>Tertulia entre las letras:  Alas para lanzarme de un puente y volar</t>
  </si>
  <si>
    <t>Un espacio para sumergirse en la obra de César Mora "Alas para lanzarme de un puente y volar" que busca retratar a través de una serie de relatos las vivencias de lo cotidiano, del desamor, el dolor y la pasión de las personas LGBT en la región caribe.</t>
  </si>
  <si>
    <t>https://drive.google.com/open?id=1UqJVY7ikmunjVLJACLcek3m3BLqdq729</t>
  </si>
  <si>
    <t>GUN-10473</t>
  </si>
  <si>
    <t>Comité de relaciones públicas y logística, en conjunto con el grupo estudiantil FeminUN</t>
  </si>
  <si>
    <t xml:space="preserve">Women in the middle east </t>
  </si>
  <si>
    <t xml:space="preserve">En este espacio conversaremos sobre la mujer en la región del medio oriente, haciendo un análisis sobre el papel de esta en la sociedad y los roles que cumple.  </t>
  </si>
  <si>
    <t>https://drive.google.com/open?id=1_U3U0Xw9d2NYAv2y4rENk9gd2KfXqH4s</t>
  </si>
  <si>
    <t>GUN-10474</t>
  </si>
  <si>
    <t>Tips claves para el desarrollo de los niños</t>
  </si>
  <si>
    <t>Será una charla centrada en los tips claves para el desarrollo de los niños desde una perspectiva de la experiencia.</t>
  </si>
  <si>
    <t>https://drive.google.com/open?id=1oKKsApt1q6H49_EEQm8fwmieKj3LNdlH</t>
  </si>
  <si>
    <t>GUN-10475</t>
  </si>
  <si>
    <t>Valeria Sierra Dávila</t>
  </si>
  <si>
    <t>ALCANCIA PARTNERS</t>
  </si>
  <si>
    <t>Recaudar todo el dinero que podamos para al final de semestre donarlo a nuestra comunidad indígena objetivo Mokana. La donación se hará por medio de una cuenta nequi y Bancolombia.</t>
  </si>
  <si>
    <t>GUN-10476</t>
  </si>
  <si>
    <t xml:space="preserve">
Alexander Villarraga Orjuela &lt;avillarraga@uninorte.edu.co&gt;	Maria Camila Linero Rueda &lt;mclinero@uninorte.edu.co&gt;,
Paula Andrea Redondo Lengua &lt;plengua@uninorte.edu.co&gt;,
Michelle Andrea Pinedo Montes &lt;pinedoam@uninorte.edu.co&gt;</t>
  </si>
  <si>
    <t>Foro Ágora: Problemáticas económicas en estudios de género</t>
  </si>
  <si>
    <t>El Grupo, en compañía del departamento de economía,  pretende proporcionar un espacio académico de diálogo interdisciplinar, que permita a docentes e Investigadores de la Facultad y externos, pensar, exponer y debatir la labor que se está llevando al interior de sus programas frente a la visualización de las dimensiones de género de la dinámica económica y sus implicancias para la vida de las mujeres.</t>
  </si>
  <si>
    <t>https://drive.google.com/open?id=1T5YAZLDP1dfXP52c6yFIBcAg2PXCI_Xx</t>
  </si>
  <si>
    <t>GUN-10477</t>
  </si>
  <si>
    <t>Calentamiento global</t>
  </si>
  <si>
    <t>Video en instagram para concientizar sobre el calentamiento global.</t>
  </si>
  <si>
    <t>GUN-10478</t>
  </si>
  <si>
    <t>Blog: "Aplicaciones de plasma"</t>
  </si>
  <si>
    <t>En el blog se profundiza acerca de las aplicaciones de plasmas, sobre todo en aplicaciones ingenieriles.</t>
  </si>
  <si>
    <t>GUN-10479</t>
  </si>
  <si>
    <t xml:space="preserve">Reunión publicidad </t>
  </si>
  <si>
    <t xml:space="preserve">Reunión organizada por el equipo de comunicaciones del grupo para discutir y planear las próximas campañas que se realizarán en redes. </t>
  </si>
  <si>
    <t>GUN-10480</t>
  </si>
  <si>
    <t>Caso clínico NeuroRad</t>
  </si>
  <si>
    <t>Creación y publicación de contenido con un caso clínico de interés, en Twitter e Instagram, como parte de nuestra sección en redes sociales "NeuroRad".
Se hará una dinámica de preguntas y respuestas en Historias y posteriormente se hará publicación en el feed con todos los datos del caso clínico.</t>
  </si>
  <si>
    <t>GUN-10481</t>
  </si>
  <si>
    <t>Video: "Temperaturas Extremas: Una de las problemáticas que afecta a las energías renovables"</t>
  </si>
  <si>
    <t>En este video se aborda una de las problemáticas que enfrentan las energías renovables, las temperaturas extremas, explicando los acontecimientos que se dieron recientemente en el estado de Texas, Estados Unidos.</t>
  </si>
  <si>
    <t>GUN-10482</t>
  </si>
  <si>
    <t>Capacitación equipo de comunicaciones</t>
  </si>
  <si>
    <t>Reunión organizada por la coordinadora del equipo de comunicaciones para realizar una capacitación a los miembros sobre el uso y manejo de aplicaciones para edición, diseño, manejo de redes, etc.</t>
  </si>
  <si>
    <t>GUN-10483</t>
  </si>
  <si>
    <t xml:space="preserve">Conversatorio con Natalie Ackermann: Reinvención de Miss Universe en Pandemia </t>
  </si>
  <si>
    <t>Se abrirá un espacio donde se traerá a la actual presidente de Miss Universe Colombia: Natalie Ackermann. La ponente expondrá sobre su organización y después se realizará un conversatorio con los miembros del grupo (se abrirá un espacio de preguntas y respuestas), los cuales buscarán resolver sus dudas con respecto a la reinvención organizacional.</t>
  </si>
  <si>
    <t>https://drive.google.com/open?id=1f3ynj__Nav2ZFkQFfL3ApHZiZhT2uoHz</t>
  </si>
  <si>
    <t>GUN-10484</t>
  </si>
  <si>
    <t>Cosmopolítica en 1 minuto</t>
  </si>
  <si>
    <t xml:space="preserve">Post de Cosmopolítica en 1 minuto </t>
  </si>
  <si>
    <t>GUN-10485</t>
  </si>
  <si>
    <t>Laura Betancourt Mercado.
laurabetancourt@uninorte.edu.co
3116858841</t>
  </si>
  <si>
    <t>Artículo recomendado del mes</t>
  </si>
  <si>
    <t>Selección, lectura y creación de infografías sobre un artículo científico neurológico, como parte de nuestra sección del Artículo del mes. Las infografías se publican en Instagram y Twitter, y también el enlace al artículo completo para que quienes así lo prefieran puedan acceder a él. El artículo de este mes tiene por nombre "Documento de revisión y actualización de la cefalea por uso excesivo de medicación (CUEM)".</t>
  </si>
  <si>
    <t>GUN-10486</t>
  </si>
  <si>
    <t>Isabella Gonzalez Torres, isabellatorres@uninorte.edu.co</t>
  </si>
  <si>
    <t>Pangea Academy</t>
  </si>
  <si>
    <t xml:space="preserve">Planificación &amp; sistematización de contenido para redes sociales por parte del equipo de marketing </t>
  </si>
  <si>
    <t>GUN-10487</t>
  </si>
  <si>
    <t>Ofidiofobia: más allá de la fobia</t>
  </si>
  <si>
    <t>Conversatorio sobre los ofidios, en donde se divulgará información concerniente a estos,  su importancia y el origen de las fobias hacia ellas desde una perspectiva psicopatológica.</t>
  </si>
  <si>
    <t>https://drive.google.com/open?id=1D7My0uFIZy6pDNTK9zE79jbXWj_eGeeE</t>
  </si>
  <si>
    <t>GUN-10488</t>
  </si>
  <si>
    <t>Sofía Alejandra De La Hoz Escorcia, delahozas@uninorte.edu.co, 3024247347</t>
  </si>
  <si>
    <t>Publicación video: Recuperación Geotermica de energía en pozos de petroleo agotados</t>
  </si>
  <si>
    <t>Se publicará en el canal de YOUTUBE el video de Capturadora de CO2</t>
  </si>
  <si>
    <t>GUN-10489</t>
  </si>
  <si>
    <t xml:space="preserve"> Jovana Velazco: jovanav@uninorte.edu.co,
catalina Salazar: csalazarl@uninorte.edu.co</t>
  </si>
  <si>
    <t xml:space="preserve">Participación política de la mujer, una visión histórica y contemporánea de la participación política de la mujer en Colombia   </t>
  </si>
  <si>
    <t xml:space="preserve">La participación activa de la mujer en la política Colombiana ha venido cambiando a lo largo del tiempo, mostrando un avance en posibilidades y representación por parte de las mujeres  </t>
  </si>
  <si>
    <t>https://drive.google.com/open?id=1ZZo4YTsb3Kj4H7ksIMpF5p23d3_xjufd</t>
  </si>
  <si>
    <t>GUN-10490</t>
  </si>
  <si>
    <t>Women in The Middle East</t>
  </si>
  <si>
    <t xml:space="preserve">Conversatorio con dos invitadas sobre las mujeres en el Medio Oriente y su papel en la sociedad. </t>
  </si>
  <si>
    <t>https://drive.google.com/open?id=1b4wbzAAvBIc34cc8YDDG2sojbiGISpGK</t>
  </si>
  <si>
    <t>GUN-10491</t>
  </si>
  <si>
    <t xml:space="preserve">Catalina Navarro santos
 catalinanavarro@uninorte.edu.co
 3165320824
</t>
  </si>
  <si>
    <t>BK2 Speed Dating</t>
  </si>
  <si>
    <t xml:space="preserve">Este proyecto se basa en formar nuevas amistades dentro del grupo estudiantil, pues consideramos que es algo que mejoraría mucho más la motivación de los miembros de todas las direcciones, la dinámica consiste en realizar una reunión en Zoom donde se dividan a los asistentes en grupos de 3 y que tengan aproximadamente 10 minutos para presentarse, conocerse y formar lazos de amistad. </t>
  </si>
  <si>
    <t>GUN-10492</t>
  </si>
  <si>
    <t>Sebastian Londoño, sebastianlondono@uninorte.edu.co,3164696825</t>
  </si>
  <si>
    <t xml:space="preserve">ASME E fest elevator pitch </t>
  </si>
  <si>
    <t xml:space="preserve">Participación de estudiantes Uninorte en el evento internacional de Elevator pitch de la ASME </t>
  </si>
  <si>
    <t>GUN-10493</t>
  </si>
  <si>
    <t xml:space="preserve">Home training </t>
  </si>
  <si>
    <t>Es una alternativa a la actividad anteriormente realizada llamada outdoor training, en donde los miembros del grupo estudiantil compartían un espacio lleno de dinámicas y actividades al aire libre pero con la diferencia de que será en casa, atendiendo con los protocolos de bioseguridad.</t>
  </si>
  <si>
    <t>GUN-10494</t>
  </si>
  <si>
    <t>aprenth@uninorte.edu.co</t>
  </si>
  <si>
    <t>Grupo estudiantil Geo-Energía: Presidente (Carlos Arturo Quintana Cera, acquintana@uninorte.edu.co, 3128039313). Vicepresidenta (Maria Alejandrina Restrepo Perez, restrepomaria@uninorte.edu.co,3005119666).</t>
  </si>
  <si>
    <t xml:space="preserve">Curso de modelamiento de sistemas petrolíferos </t>
  </si>
  <si>
    <t>Es un curso en el cuál aprenderemos la manera de modelar sistemas petrolíferos aplicados a la evaluación de plays convencionales y no convencionales que nos ayudarán y nos aportarán grandes conocimientos para nuestra vida profesional y laboral.</t>
  </si>
  <si>
    <t>https://drive.google.com/open?id=1PVc5jEifmjY7oLcWdvQs-CuqSoufD2ME</t>
  </si>
  <si>
    <t>GUN-10495</t>
  </si>
  <si>
    <t>Brigith Ramos</t>
  </si>
  <si>
    <t>¿Cómo gestionar mi método de estudio?</t>
  </si>
  <si>
    <t>Introducción sobre cómo estudiar mejor y consejos para ello. Presentación de técnicas de aprendizaje: Realización de test. Explicación y consejos sobre las técnicas de aprendizaje</t>
  </si>
  <si>
    <t>GUN-10496</t>
  </si>
  <si>
    <t>Carolay Cabrales Castro, cjcabrales@uninorte.edu.co, 3008395070</t>
  </si>
  <si>
    <t>Ceim Championship Warzone Edition</t>
  </si>
  <si>
    <t>Torneo rápido de Warzone modo Battle royale en el que podrá participar cualquier persona que quiera poner a prueba sus habilidades y ganar grandes premios! La fecha de inscripción va del 25 al 31 de Marzo y el torneo se jugará del 31 de marzo al 2 de abril.</t>
  </si>
  <si>
    <t>GUN-10497</t>
  </si>
  <si>
    <t>Reunión de área</t>
  </si>
  <si>
    <t xml:space="preserve">Se realizará una reunión de área para hablar acerca de las actividades y las funciones para el mes de Abril. </t>
  </si>
  <si>
    <t>GUN-10498</t>
  </si>
  <si>
    <t>partners campus uninorte, partnerscampus@uninorte.edu.co</t>
  </si>
  <si>
    <t>Rifa solidaria día del niño</t>
  </si>
  <si>
    <t xml:space="preserve">Campaña publicitaria promocionando la rifa solidaria para recaudar fondos y con ello obsequiar juguetes a los niños de la comunidad indígena Mokaná </t>
  </si>
  <si>
    <t>GUN-10499</t>
  </si>
  <si>
    <t>Andrés Felipe Canchila Benitez, afcanchila@uninorte.edu.co, 3004123919</t>
  </si>
  <si>
    <t>Visita industrial a Plásticos Fayco S.A.</t>
  </si>
  <si>
    <t>Visita industrial presencial a la empresa Plásticos Fayco S.A. con capacidad máxima de 10 personas. Los estudiantes deben llevar botas de seguridad y seguir protocolos de seguridad contra el COVID-19.</t>
  </si>
  <si>
    <t>GUN-10500</t>
  </si>
  <si>
    <t>Andrea Lucía Paternina Tordecilla, tordecillaa@uninorte.edu.co, 3013493143</t>
  </si>
  <si>
    <t>Feliweek</t>
  </si>
  <si>
    <t>Estaremos celebrando la semana felinorte debido a que es el aniversario #11 del grupo. Se estarán realizando charlas, actividades y otros eventos para festejarlo.</t>
  </si>
  <si>
    <t>GUN-10501</t>
  </si>
  <si>
    <t>Comite de relaciones publicas y logisitica</t>
  </si>
  <si>
    <t>Practicas profesionales</t>
  </si>
  <si>
    <t xml:space="preserve">Este será un espacio para aclarar dudas y conocer un poco mas sobre nuestras practicas profesionales en la carrera de relaciones internacionales e interesados. </t>
  </si>
  <si>
    <t>https://drive.google.com/open?id=1Lgx_n_pzetx_4r5SBRSr0ON2-ZnvYpJ7</t>
  </si>
  <si>
    <t>GUN-10502</t>
  </si>
  <si>
    <t>Reunión con los miembros del grupo</t>
  </si>
  <si>
    <t>GUN-10503</t>
  </si>
  <si>
    <t>Resumen académico: Surcos y lóbulos cerebrales.</t>
  </si>
  <si>
    <t xml:space="preserve">Creación y publicación de resumen académico enfocado en los aspectos claves tratados en la charla de Surcos y Lóbulos cerebrales. Se realizará infografía y se publicará en Instagram para que el público general tenga acceso a él. </t>
  </si>
  <si>
    <t>GUN-10504</t>
  </si>
  <si>
    <t>Conoce al dpto de medicina</t>
  </si>
  <si>
    <t>Se presentará al dpto de Medicina explicando todas las funciones que hace como forma de aclarar que no solo somos quienes medican a los gatos y ya, sino que también nos encargamos de su salud emocional, las jornadas de captura y salud que hacemos, las charlas, actividades, etc.</t>
  </si>
  <si>
    <t>GUN-10505</t>
  </si>
  <si>
    <t>Alteraciones genéticas en los gatos.</t>
  </si>
  <si>
    <t>En esta charla se pretende hablar de cómo el ser humano ha alterado genéticamente a los gatos para obtener razas con características específicas</t>
  </si>
  <si>
    <t>GUN-10506</t>
  </si>
  <si>
    <t>Andrea Lucía Paternina Tordecilla, tordecillaa@uninorte.edu.co</t>
  </si>
  <si>
    <t>Algoritmo de instagram</t>
  </si>
  <si>
    <t>Introducción al departamento o sus funciones y dar por ejemplo una parte de backstage y decir "en el departamento de marketing hacemos esto y esto, planeamos las piezas así y así", e introducir al algoritmo"</t>
  </si>
  <si>
    <t>GUN-10507</t>
  </si>
  <si>
    <t xml:space="preserve">¿Te distraes fácilmente? </t>
  </si>
  <si>
    <t xml:space="preserve">Post en instagram con tips para mantener la concentración. </t>
  </si>
  <si>
    <t>GUN-10508</t>
  </si>
  <si>
    <t>Alteraciones genéticas en los gatos</t>
  </si>
  <si>
    <t>En esta charla se pretende hablar sobre como el ser humano a alterado genéticamente a los gatos para obtener razas con características específicas.</t>
  </si>
  <si>
    <t>GUN-10509</t>
  </si>
  <si>
    <t>Ingeniería Costera y Modelación Numérica en la Dirección de Obras Portuarias de Chile</t>
  </si>
  <si>
    <t>Evento desarrollado en el marco del mes de la construcción en ANEIC Uninorte. Está basado en tópicos relacionados al desarrollo de proyectos costeros en la Dirección de Obras Portuarias.</t>
  </si>
  <si>
    <t>GUN-10510</t>
  </si>
  <si>
    <t>Noor Hamid Rada Bendek (Bendekn@uninorte.edu.co)
Mauricio David Mendoza Lopez (Mauriciodm@uninorte.edu.co)
Sara Suarez Berdugo (sarasuarez@uninorte.edu.co)
Maria Carolina Torres Restrepo (cmariat@uninorte.edu.co)</t>
  </si>
  <si>
    <t>Design Talks con Color House</t>
  </si>
  <si>
    <t>Design Talks será una serie de charlas de diseñadores gráficos, ilustradores, especialistas en imagen de marca y freelancers de la industria los cuales compartirán sus experiencias a modo de conversación con nuestros asistentes acerca de como es trabajar de freelancer siendo diseñador o estudiante de diseño gráfico, pues la idea es brindar un espacio REAL donde nuestros invitados motivaran a nuestros estudiantes con charlas que llegan al corazón, no solo dirigido a estudiantes de diseño si no a cualquiera que este interesado en asistir.</t>
  </si>
  <si>
    <t>https://drive.google.com/open?id=1-wedFiHQt6p5fWmwcEjYdSGYgUD1bBRo</t>
  </si>
  <si>
    <t>GUN-10511</t>
  </si>
  <si>
    <t>Campaña #MakeClimateAClass</t>
  </si>
  <si>
    <t>Desde el 7 de abril, alrededor del mundo, nos unimos cerca de 125 universidades y más de 30 países, para desarrollar webinars, para hablar sobre el cambio climático. ANEIC Uninorte se suma a la campaña #HablemosDelClimaEnClase - #MakeClimateAClass y nos unimos al diálogo global sobre el clima.</t>
  </si>
  <si>
    <t>GUN-10512</t>
  </si>
  <si>
    <t>Post informativo de la próxima revisión de tema: Médula espinal y vías nerviosas.</t>
  </si>
  <si>
    <t>Publicación en Instagram y Twitter de infografía con la información concerniente a la próxima reunión del grupo, que será una revisión de tema sobre Médula espinal y Vías nerviosas.</t>
  </si>
  <si>
    <t>GUN-10513</t>
  </si>
  <si>
    <t xml:space="preserve">Arte como estrategia de regulación emocional </t>
  </si>
  <si>
    <t xml:space="preserve">En el marco de la semana de la salud organizada por el grupo estudiantil CDIEP, se realizará un conversatorio/entrevista a la profesional Tania Iglesias hablará acerca de cómo el arte influye en la regulación emocional y la salud, finalmente se abrirá un espacio de preguntas para resolver las dudas del público. </t>
  </si>
  <si>
    <t>GUN-10514</t>
  </si>
  <si>
    <t>Luis Alberto Moreno Rivera, luismoreno@uninorte.edu.co</t>
  </si>
  <si>
    <t>Charla: Condición Corporal de los gatos</t>
  </si>
  <si>
    <t>Se explicaran los diferentes tipos de cuerpos en gatos y como identificarlos para saber en que condiciones el gato se encuentra enfermo o no.</t>
  </si>
  <si>
    <t>GUN-10515</t>
  </si>
  <si>
    <t>Abril: Mes de la Ingenieria de Vías y Transporte</t>
  </si>
  <si>
    <t>Durante este mes se llevará a cabo el simposio de transporte, el cual tendrá como tema principal la seguridad vial. Este evento contará con diferentes actividades encaminadas a nutrir de conocimentos a todos los partícipes, se pretende contar con  las secretarías de tránsito de las ciudades de  Barranquilla y Cartagena.  Todo esto se realizará con la colaboración del Ing. Alfredo Ojeda</t>
  </si>
  <si>
    <t>GUN-10516</t>
  </si>
  <si>
    <t>RIVER DYNAMICS AND ITS EFFECTS ON ACTIVITIES IN THE FLOODPLAIN</t>
  </si>
  <si>
    <t>Conferencia basada en el análisis de la dinámica fluvial de ríos como el el Magdalena, Cauca y Meta y su relación con las inundaciones.</t>
  </si>
  <si>
    <t>GUN-10517</t>
  </si>
  <si>
    <t>IISE,CDIEP</t>
  </si>
  <si>
    <t>Bienestar laboral : tipos para un empleado satisfecho</t>
  </si>
  <si>
    <t>Charla respecto al impacto del bienestar laboral en la salud mental en alianza con el grupo CDIEP</t>
  </si>
  <si>
    <t>https://drive.google.com/open?id=1BhNkf_Do6oBRMi7dFZN_km-0kJFYVkZt</t>
  </si>
  <si>
    <t>GUN-10518</t>
  </si>
  <si>
    <t>Bienestar laboral: Tips para un empleado satisfecho</t>
  </si>
  <si>
    <t>En el marco de la semana de la salud organizada por el grupo estudiantil CDIEP, se realizará un conversatorio en alianza con el grupo estudiantil IISE de ingenierías. En este espacio contaremos con la participación de los profesionales Jean David Polo y Sergio Andrés Ferreiros, cada uno tendrá un espacio para exponer sus puntos desde su campo profesional y luego se abrirá un espacio para las preguntas del público.</t>
  </si>
  <si>
    <t>GUN-10519</t>
  </si>
  <si>
    <t>Manuela Andrade, manuelaandrade@uninorte.edu.co, 3017626760 
Luisa Vélez, velezlf@uninorte.edu.co, 3172232778</t>
  </si>
  <si>
    <t>Capacitación Pensando en Ti</t>
  </si>
  <si>
    <t>Esta actividad consiste en realizar una capacitación sobre cómo armar hoja de vida y preparación para entrevistas de trabajo.</t>
  </si>
  <si>
    <t>GUN-10520</t>
  </si>
  <si>
    <t>Carlos Jimenez, cjimenezr@uninorte.edu.co, 3014862960</t>
  </si>
  <si>
    <t>"Mitos y verdades de elementos finitos y su real aplicación en la industria "</t>
  </si>
  <si>
    <t>Cuarto webinar del CEIM ASME Webinar Series</t>
  </si>
  <si>
    <t>https://drive.google.com/open?id=1UFiaLOyQZJFpA4A85wUO7bkEJU5ZA9g9</t>
  </si>
  <si>
    <t>GUN-10521</t>
  </si>
  <si>
    <t>Vanessa de la Cruz Villalba, vpdelacruz, 3126552561</t>
  </si>
  <si>
    <t>EN LA GUERRA POR ESTE AMOR TODO SE VALE</t>
  </si>
  <si>
    <t>En este evento hablaremos temas como el amor propio</t>
  </si>
  <si>
    <t>GUN-10522</t>
  </si>
  <si>
    <t>Tronco, medula espinal y vías nerviosas: Revisión de tema.</t>
  </si>
  <si>
    <t>Todos los miembros del grupo nos reuniremos para hacer una revisión de tema sobre el Tronco, médula espinal y vías nerviosas. El encuentro será virtual, a través de la plataforma de zoom.</t>
  </si>
  <si>
    <t>GUN-10523</t>
  </si>
  <si>
    <t>NeuroHistory: Korbinian Brodmann</t>
  </si>
  <si>
    <t>Creación y publicación de infografías en nuestra sección de NeuroHistory en redes sociales. El turno esta vez es para el neurólogo Alemán Korbinian Brodmann. Se hará énfasis en su aporte sobre la configuración cerebral con las Áreas de Brodmann.</t>
  </si>
  <si>
    <t>GUN-10524</t>
  </si>
  <si>
    <t>Andrés David Abello Herrera, aabellod@uninorte.edu.co, 3005379576
Sebastián Jesús Sayago González, ssayago@uninorte.edu.co, 3017702748</t>
  </si>
  <si>
    <t>Reunión de la directiva del grupo estudiantil</t>
  </si>
  <si>
    <t>Se hablará sobre el tema del cambio generacional, y si recordará sobre la importancia de trabajar en la idea de grupo estudiantil en un futuro corto y medio</t>
  </si>
  <si>
    <t>GUN-10525</t>
  </si>
  <si>
    <t>Concurso de dibujo</t>
  </si>
  <si>
    <t xml:space="preserve">Concurso de dibujo sobre plantas </t>
  </si>
  <si>
    <t>GUN-10526</t>
  </si>
  <si>
    <t>El arte de la resiliencia</t>
  </si>
  <si>
    <t>Explicación de la resiliencia e importancia en nuestras vidas</t>
  </si>
  <si>
    <t>GUN-10527</t>
  </si>
  <si>
    <t>Visita virtual refinería de Cartagena</t>
  </si>
  <si>
    <t>Visita virtual a la refinería de Cartagena con capacidad máxima de 65 estudiantes.</t>
  </si>
  <si>
    <t>GUN-10528</t>
  </si>
  <si>
    <t>GUN-10529</t>
  </si>
  <si>
    <t xml:space="preserve">Debate semanal - Innovación </t>
  </si>
  <si>
    <t>GUN-10530</t>
  </si>
  <si>
    <t>GUN-10531</t>
  </si>
  <si>
    <t>GUN-10532</t>
  </si>
  <si>
    <t>Cuida tu cuerpo: Hábitos y comportamientos saludables</t>
  </si>
  <si>
    <t xml:space="preserve">En el marco de la semana de la salud organizada por el grupo estudiantil CDIEP, se realizará una café tertulia en compañía de los grupos estudiantiles GEEUN de la Universidad del Norte y el grupo CEM comité CPAIS de la Universidad Libre. Contaremos con la participación de los profesionales en el tema de hábitos y estilos de vida saludables. </t>
  </si>
  <si>
    <t>GUN-10533</t>
  </si>
  <si>
    <t>III Simposio del Transporte</t>
  </si>
  <si>
    <t>Serie de reuniones de especialistas expertos en ingeniería de transporte para tratar temas relacionados a la movilidad, seguridad vial, investigaciones recientes en materia de transporte y educación vial.</t>
  </si>
  <si>
    <t>GUN-10534</t>
  </si>
  <si>
    <t>Ruth María Fontalvo Jiménez, rmfontalvo@uninorte.edu.co, 3043870920; Raul Samuel Lugo Lozano, rslugo@uninorte.edu.co, 3012263801</t>
  </si>
  <si>
    <t>Inteligencia artificial: ¿un peligro latente?</t>
  </si>
  <si>
    <t>Se buscará realizar un análisis crítico de los beneficios de la inteligencia artificial en nuestras vidas y cómo estas mismas funcionalidades pueden ser usadas por regímenes autoritarios para controlar a poblaciones enteras. En ese sentido, se pretende concientizar a los invitados sobre las implicaciones de esta tecnología de gran relevancia en nuestro futuro próximo.</t>
  </si>
  <si>
    <t>https://drive.google.com/open?id=1vz5IjScVxYRH8hFI0elqSsOrEsijODZh</t>
  </si>
  <si>
    <t>GUN-10535</t>
  </si>
  <si>
    <t>Juliana Rocio Pugliese Molinares, jrmolinares@uninorte.edu.co</t>
  </si>
  <si>
    <t>Reunión capacitación + dinámica</t>
  </si>
  <si>
    <t>Se le realizara la primera revisión de actividades a los miembros nuevos y se escogerán al azar los grupos de trabajo.</t>
  </si>
  <si>
    <t>GUN-10536</t>
  </si>
  <si>
    <t>María José Ramos Gómez</t>
  </si>
  <si>
    <t>Serie abril-mayo-junio: identidad</t>
  </si>
  <si>
    <t>En los siguientes dos meses y una semana hablaremos de lo importante que es construir nuestra identidad con el fin de que las personas de nuestro alrededor, comentarios hirientes o cosas que nos hagan daño no influyan negativamente en el concepto que tenemos de nosotros mismos.</t>
  </si>
  <si>
    <t>GUN-10537</t>
  </si>
  <si>
    <t>Identidad: ¿Qué creo de mí mismo(a)?</t>
  </si>
  <si>
    <t>En la reunión hablaremos del concepto que tenemos de nosotros mismos, por qué, quién nos ayudó a construir ese concepto y a qué nos condiciona.</t>
  </si>
  <si>
    <t>GUN-10538</t>
  </si>
  <si>
    <t xml:space="preserve">Reunión de área - Innovación </t>
  </si>
  <si>
    <t>Socialización de la etapa de “identificación” del proceso de consultoría y presentación de los informes de las distintas áreas de CEO.</t>
  </si>
  <si>
    <t>GUN-10539</t>
  </si>
  <si>
    <t>Juan Trujillo, jetrujillo@uninorte.edu.co, 3135715385</t>
  </si>
  <si>
    <t>Reunión de área - Marketing</t>
  </si>
  <si>
    <t xml:space="preserve">Integración de fotografía, cada integrante mostrará una foto o álbum de fotos y explicará su significado. Además se hablaran varios temas a mejorar respecto al área. </t>
  </si>
  <si>
    <t>GUN-10540</t>
  </si>
  <si>
    <t>Julio Cárdenas, cardenascj@uninorte.edu.co, 3013592178</t>
  </si>
  <si>
    <t>Interpretación de un electrocardiograma anormal I.(Hipertrofia y bloqueos).</t>
  </si>
  <si>
    <t>Charla/revisión académica acerca de la interpretación en el EKG de dos patologías de gran impacto a nivel cardiovascular que son las hipertrofias y los bloqueos a nivel del sistema de conducción, se plantea realizar una sesión virtual para hablar del tema ya descrito.</t>
  </si>
  <si>
    <t>GUN-10541</t>
  </si>
  <si>
    <t>Jornada de Investigaciones en Transporte</t>
  </si>
  <si>
    <t>Jornada de Investigaciones en transporte a cargo del ingeniero Alfredo Ojeda, dónde distintos estudiantes de posgrados en ingeniería civil con énfasis en ingeniería de transporte compartirán sus avances e investigaciones con los estudiantes y miembros de la comunidad educativa interesados en el tema.</t>
  </si>
  <si>
    <t>GUN-10542</t>
  </si>
  <si>
    <t>Sharon Andrea Varelo Martínez, svarelo@uninorte.edu.co, 300885432</t>
  </si>
  <si>
    <t>Reunión de Junta</t>
  </si>
  <si>
    <t xml:space="preserve">Reunión para discutir sobre la agenda del grupo y las dinámicas internas. </t>
  </si>
  <si>
    <t>GUN-10543</t>
  </si>
  <si>
    <t>Capacitación e integración HT</t>
  </si>
  <si>
    <t xml:space="preserve">Reunión de capacitación sobre las labores del equipo de Hogares Temporales e integración </t>
  </si>
  <si>
    <t>GUN-10544</t>
  </si>
  <si>
    <t>Fabian Andrés Torralba Bonet, ftorralba@uninorte.edu.co, 3165848211
Sebastián Jesús Sayago González, ssayago@uninorte.edu.co, 3017792748</t>
  </si>
  <si>
    <t>Reunión del comité de RRHH</t>
  </si>
  <si>
    <t>Se hará un control de las responsabilidades del comité para el proyecto en curso para las Olimpiadas 2021</t>
  </si>
  <si>
    <t>GUN-10545</t>
  </si>
  <si>
    <t>David De Jesús Vargas Camargo
ddvargas@uninorte.edu.co
3013397840
Juan Fernando Alvarez Vertel
Vertelj@uninorte.edu.co
3006171442
Maria Lourdes Charris Ariza
charrisml@uninorte.edu.co
3148413630</t>
  </si>
  <si>
    <t>Sabados de ACI</t>
  </si>
  <si>
    <t>Evento recurrente en el cual se tratarán temas relacionados con el concreto. Se participa junto a los capítulos de ACI Latinoamérica. Se realiza todos los sábados.</t>
  </si>
  <si>
    <t>GUN-10546</t>
  </si>
  <si>
    <t>David De Jesús Vargas Camargo
ddvargas@uninorte.edu.co
3013397840
Juan Fernando Alvarez Vertel
vertelj@uninorte.edu.co
3006171442
Maria Lourdes Charris Ariza
charrisml@uninorte.edu.co
3148413630</t>
  </si>
  <si>
    <t>Sábados de ACI</t>
  </si>
  <si>
    <t>Evento recurrente, realizado los sábados, en los que se tocan temas relacionados al concreto. Se participa junto a los capítulos de ACI Latinoamérica.</t>
  </si>
  <si>
    <t>GUN-10547</t>
  </si>
  <si>
    <t>Mural para la Cangrejera</t>
  </si>
  <si>
    <t xml:space="preserve">Se irá para preparar las paredes que se van a pintar (pintándolas de blanco) </t>
  </si>
  <si>
    <t>GUN-10548</t>
  </si>
  <si>
    <t>Proyecto de manualidades</t>
  </si>
  <si>
    <t>Se realizarán varias manualidades en diferentes sesiones con el fin de desarrollar estas habilidades como voluntarios, pero también guardarlas para decorar el espacio donde nos reunimos presencialmente con los niños.</t>
  </si>
  <si>
    <t>GUN-10549</t>
  </si>
  <si>
    <t>Hábitos en la alimentación e higiene y su influencia en la salud mental</t>
  </si>
  <si>
    <t>En el marco de la semana de la salud, organizada por el grupo estudiantil CDIEP, se realizará una charla en aliaza con el grupo de Odontología GO sobre los hábitos de alimentación y la fluencia en la salud mental con un espacio para cada ponente y al final un espacio para preguntas. Contaremos con la participación de los profesionales Lady Delgado y Maria José Arteta</t>
  </si>
  <si>
    <t>GUN-10550</t>
  </si>
  <si>
    <t>Foro de Movilidad y Seguridad Vial en el Caribe Colombiano</t>
  </si>
  <si>
    <t>Foro de Movilidad y Seguridad Vial en el Caribe Colombiano en el marco del III Simposio del Transporte.
Invitados:
- Ing. Víctor Cantillo - PhD. Experto en transporte. 
- Ing. Julián Arellana - PhD. Experto en transporte. 
- Ing. Margareth Gutiérrez - Experta en bicimovilidad. 
- Ing. Marlown Alcaraz - Jefe de Oficina de Gestión de Tránsito Barranquilla.</t>
  </si>
  <si>
    <t>GUN-10551</t>
  </si>
  <si>
    <t>Reunión General</t>
  </si>
  <si>
    <t>Espacio para informar sobre la actualidad del grupo estudiantil</t>
  </si>
  <si>
    <t>GUN-10552</t>
  </si>
  <si>
    <t xml:space="preserve">Miguel Ángel Terán Romero, teranma@uninorte.edu.co, 3154534912 </t>
  </si>
  <si>
    <t xml:space="preserve">Capacitación en conceptos básicos de lubricación. </t>
  </si>
  <si>
    <t xml:space="preserve">Charla de una hora y media con el ingeniero Wbeimar Cabrera. Es ingeniero mecánico y tiene el cargo de ingeniero de lubricación en la empresa Biomax. </t>
  </si>
  <si>
    <t>https://drive.google.com/open?id=1t0LB3u1GjTegKB6DaRaChRMitEeKSzAU</t>
  </si>
  <si>
    <t>GUN-10553</t>
  </si>
  <si>
    <t>Julio Cesar Cárdenas Caballero, cardenascj@uninorte.edu.co, 3013592178</t>
  </si>
  <si>
    <t>Interpretación de un electrocardiograma anormal II. (Arritmias más frecuentes).</t>
  </si>
  <si>
    <t>Charla/revisión académica acerca de la interpretación en el EKG de un grupo de patologías de alta relevancia clínica a nivel cardiovascular que son las arritmias, se plantea realizar una sesión virtual para hablar del tema ya descrito.</t>
  </si>
  <si>
    <t>GUN-10554</t>
  </si>
  <si>
    <t>Día Internacional de la Enfermedad de Parkinson</t>
  </si>
  <si>
    <t>En nuestra sección NeuroDays, de Redes Sociales, se realizarán y publicarán infografías con información de la Enfermedad de Párkinson, en conmemoración a este día. Se hablará de por qué se conmemora, la definición, fisiopatología, clínica, actualización y temas de investigación.</t>
  </si>
  <si>
    <t>GUN-10555</t>
  </si>
  <si>
    <t>Post promocional Actividades de conmemoración Día internacional del Parkinson</t>
  </si>
  <si>
    <t xml:space="preserve">Publicación y difusión en redes sociales de información sobre los detalles logísticos y promocionales de la actividad de revisión sobre la Enfermedad de Párkinson. </t>
  </si>
  <si>
    <t>GUN-10556</t>
  </si>
  <si>
    <t>David De Jesús Vargas Camargo
ddvargas@uninorte.edu.co
3013397840
Kimberly Lucia Castro Cera
ckimberly@uninorte.edu.co
3013459539
Oscar Ivan Anaya Galvis
oianaya@uninorte.edu.co
3103779603</t>
  </si>
  <si>
    <t>Ciclo de conferencias ASCE Latinoamérica</t>
  </si>
  <si>
    <t>Los capítulos estudiantiles de ASCE en Latinoamérica se encuentran trabajando, por primera vez, en un evento que tratará temas referentes al desarrollo de ciudades sostenibles y a nuestro rol como ingenieros civiles.</t>
  </si>
  <si>
    <t>GUN-10557</t>
  </si>
  <si>
    <t>Cristian Andrés Torres Monterrosa - camonterroza@uninorte.edu.co - 3015467411</t>
  </si>
  <si>
    <t>Entrada en el blog de Bienestar</t>
  </si>
  <si>
    <t>Envio de artículo para su revisión y publicación en el blog de Bienestar universitario</t>
  </si>
  <si>
    <t>GUN-10558</t>
  </si>
  <si>
    <t>Publicación de artículo de opinión en la Gazeta del departamento de Ciencias Políticas y Relaciones Internacionales</t>
  </si>
  <si>
    <t>GUN-10559</t>
  </si>
  <si>
    <t>Caso de WhatsApp</t>
  </si>
  <si>
    <t>Exponer el caso de WhatsApp y lograr que los miembros propongan propuestas innovadoras para preservar el éxito de la aplicación y evitar la amenaza de nuevos competidores como Telegram. Ademas de solucionar el problema de desconfianza de los usuarios, producto de las nuevas políticas de privacidad de la App.</t>
  </si>
  <si>
    <t>GUN-10560</t>
  </si>
  <si>
    <t xml:space="preserve">El uso de la tecnología en la prevención del suicidio </t>
  </si>
  <si>
    <t xml:space="preserve">En el marco de la semana de la salud organizada por el grupo estudiantil CDIEP se realizará un conversatorio sobre qué es la prevención y la terapia DBT. Del mismo modo se expondrá sobre la aplicación CALMA y como se ha instalado la terapia DBT en la prevención del suicidio. Contamos con la participación de los profesionales Irma Baldovino y Demian Rodante. Al final de la conversación se abrirá us espacio para resolver las dudas y preguntas del público. </t>
  </si>
  <si>
    <t>GUN-10561</t>
  </si>
  <si>
    <t>Tierra, Identidad y Género en Palestina</t>
  </si>
  <si>
    <t xml:space="preserve">Cineforo para la campaña de "Mujeres y Medio Ambiente". En un primer momento se verá el documental Hijas de la Nakba y después haremos el análisis junto a la invitada. </t>
  </si>
  <si>
    <t>https://drive.google.com/open?id=1pgLbbbpqA7Spy3N7cK5ofWpKUYj6gUke</t>
  </si>
  <si>
    <t>GUN-10562</t>
  </si>
  <si>
    <t>Alberto MArio Solis Martes, amsolis@uninorte.edu.co, 3008685801</t>
  </si>
  <si>
    <t xml:space="preserve">Campaña: salud sexual, lo que no te contaron. </t>
  </si>
  <si>
    <t>Se trata de una serie de posts que exploran aquel contenido que historicamente se ha censurado en la educación sexual debido a diversos tabúes que rodean al tema. Esta campaña busca acabar estigmas, educar, dar visibilidad a problemáticas y   crear consciencia sobre el disfrute de la sexualidad de manera responsable.</t>
  </si>
  <si>
    <t>GUN-10563</t>
  </si>
  <si>
    <t>astronortegrupoest@uninorte.edu.co</t>
  </si>
  <si>
    <t>Jean Carlos Gutiérrez Romero</t>
  </si>
  <si>
    <t>Astrocine (interestelar)</t>
  </si>
  <si>
    <t>Será una jornada en la cual se proyectará una película (en esta ocasión interestelar), para posteriormente charlar sobre ella. Este evento será organizado netamente por Astronorte, y podrán asistir personas externas al grupo.</t>
  </si>
  <si>
    <t>GUN-10564</t>
  </si>
  <si>
    <t>Noor Hamid Rada Bendek (bendekn@uninorte.edu.co)
Sara Suarez Berdugo (sarasuarez@uninorte.edu.co)</t>
  </si>
  <si>
    <t>Reunion de Comite de Logistica</t>
  </si>
  <si>
    <t>Se hizo la plantación de un nuevo evento próximo en colorhouse</t>
  </si>
  <si>
    <t>GUN-10565</t>
  </si>
  <si>
    <t xml:space="preserve">Extrayendo información de señales a partir de inteligencia artificial </t>
  </si>
  <si>
    <r>
      <rPr/>
      <t xml:space="preserve">¡Buenos días, chicos! De parte de IAS en conjunto con EMBS le extendemos la invitación a participar en este espectacular evento el día Jueves 15 de Abril a las 9:30 A.M., en el cuál abordaremos la temática de procesamiento de señales a partir de inteligencia artificial y los distintos enfoques de aplicación de estas técnicas. 
¡Los esperamos!
Día: Jueves 15 de Abril
Hora: 9.30 A.M.
Enlace de la reunión: </t>
    </r>
    <r>
      <rPr>
        <color rgb="FF1155CC"/>
        <u/>
      </rPr>
      <t>https://uninorte.zoom.us/j/2018028267</t>
    </r>
  </si>
  <si>
    <t>https://drive.google.com/open?id=1heXkcoYvM8Ak_YOlz8nhnVrSb-9NMgXN</t>
  </si>
  <si>
    <t>GUN-10566</t>
  </si>
  <si>
    <t>Jornada de Capacitación en señales: Normatividad de las señales de tránsito.</t>
  </si>
  <si>
    <t>Jornada de Capacitación en señales: Normatividad de las señales de tránsito en el marco del III Simposio del Transporte a cargo de Juan Pablo Piedrahita - Gerente Seguridad y Sevicios Señalización S.A.</t>
  </si>
  <si>
    <t>GUN-10567</t>
  </si>
  <si>
    <t xml:space="preserve">Agentes de cambio </t>
  </si>
  <si>
    <t xml:space="preserve">Es una actividad de transformación que se hace durante todo el semestre en cada una de las áreas, para detectar problemas o situaciones que se presenten dentro de estas, que obstaculicen el desarrollo de las mismas.
</t>
  </si>
  <si>
    <t>GUN-10568</t>
  </si>
  <si>
    <t>M-SSSC- Un camino rápido y económico hacia una red limpia  y eficiente</t>
  </si>
  <si>
    <t>¡Buenas tardes a todos y todas! ☀️
El día de hoy les extendemos una invitación interesante preparada en colaboración con PES. Nuestro invitado para la ocasión es el ingeniero de Sistemas de potencia, Alejandro Duque, quien expondrá el tema de redes limpias y eficientes⚡️Además, el ingeniero Alejandro tiene maestría en ingeniería eléctrica en la Universidad Tecnológica de Pereira y maestría en Ciencias de la Computación en Georgia Tech🧑🏻‍💻
📆Los esperamos el día jueves 15 de abril a las 14:30
🔗Link: https://uninorte.zoom.us/j/85963821588
¡No faltes! 💫</t>
  </si>
  <si>
    <t>GUN-10569</t>
  </si>
  <si>
    <t>Trivia Pangea Social</t>
  </si>
  <si>
    <t>Por parte de pangea social se hará una trivia sobre temas relaciones con su dpto para poner a prueba los conocimientos de los miembros del grupo</t>
  </si>
  <si>
    <t>GUN-10570</t>
  </si>
  <si>
    <t>Valeria Sierra</t>
  </si>
  <si>
    <t>MOKANÁ</t>
  </si>
  <si>
    <t>Presentacion y foro para conocer mas a la comunidad objetivo de partners campus este semestre, en este caso los mokaná, actividad abierta al publico y con la compañia de un invitado (lider de la comunidad mokaná)</t>
  </si>
  <si>
    <t>GUN-10571</t>
  </si>
  <si>
    <t>Escalas de condición corporal gatunas y su uso en el censo gatuno</t>
  </si>
  <si>
    <t xml:space="preserve">En esta charla se hablara de manera simple sobre las escalas de condición corporal y además del uso que estás tienen en el equipo de censo. </t>
  </si>
  <si>
    <t>GUN-10572</t>
  </si>
  <si>
    <t>Rompiendo mitos de la industria de la moda.</t>
  </si>
  <si>
    <t>Post en instagram con la información del evento</t>
  </si>
  <si>
    <t>GUN-10573</t>
  </si>
  <si>
    <t>Julio Cesar Cárdenas Caballero, cardenasj@uninorte.edu.co, 3013592178</t>
  </si>
  <si>
    <t>Curso de Radiografía de Tórax</t>
  </si>
  <si>
    <t>Se plantea realizar una serie de revisiones académicas, suministrando la información para que la actividad se realice de forma asincrónica durante un periodo de (1) mes(es), en ella los estudiantes podrán ingresar a gran variedad de información y actividades de tipo taller que les permitan comprobar sus conocimientos adquiridos a lo largo del curso. 
El curso tiene como tema principal la radiografía de tórax, la cual es una herramienta diagnóstica de vital importancia para la evaluación del curso de gran variedad de patologías respiratorias y cardiovasculares.</t>
  </si>
  <si>
    <t>https://drive.google.com/open?id=1dkVs_-csTIvbMzn_31WlxXW2upHCvVoz</t>
  </si>
  <si>
    <t>GUN-10574</t>
  </si>
  <si>
    <t>De Niña a Ingeniera: Capítulo 1</t>
  </si>
  <si>
    <t>Conoce a María Paola Coba Morales, ganadora de medalla de plata de ingeniería industrial 2020-03. En este capítulo María Paola dará paso a la trayectoria de su vida, compartiendo consejos y próximas aspiraciones, haciendo énfasis en aquello que le permitió lograr las metas que se ha propuesto a lo largo de su vida.</t>
  </si>
  <si>
    <t>https://drive.google.com/open?id=1aotMwW2OvOF7ztwDRyRCUVJeXyYT_5p-</t>
  </si>
  <si>
    <t>GUN-10575</t>
  </si>
  <si>
    <t>Capacitación coordinación comunicaciones</t>
  </si>
  <si>
    <t>Reunión de los miembros pertenecientes a la coordinación. En esta se busca informar, explicar y distribuir las futuras campañas de redes del grupo.</t>
  </si>
  <si>
    <t>GUN-10576</t>
  </si>
  <si>
    <t>ASAMBLEA GENEFAL</t>
  </si>
  <si>
    <t>GUN-10577</t>
  </si>
  <si>
    <t>Reunión mensual mercadeo</t>
  </si>
  <si>
    <t>Espacio con los integrantes del departamento de IISE en la cual se discutirá el plan de acción y se socializarán los resultados obtenidos hasta la fecha.</t>
  </si>
  <si>
    <t>GUN-10578</t>
  </si>
  <si>
    <t xml:space="preserve">Reunión semanal a cargo del dpto de marketing con invitado especial </t>
  </si>
  <si>
    <t>GUN-10579</t>
  </si>
  <si>
    <t>Manuela Andrade y Luisa Vélez</t>
  </si>
  <si>
    <t xml:space="preserve">Charla “Diversidad en el contexto organizacional” </t>
  </si>
  <si>
    <t>Charla dictada por el Presidente de la Junta de la Cámara de Comerciantes LGTB de Colombia, Felipe Cárdenas, sobre diversidad en el contexto organizacional.</t>
  </si>
  <si>
    <t>https://drive.google.com/open?id=1A6Shjm5eeklEauuDyAxqYZFwapvQ9qzB</t>
  </si>
  <si>
    <t>GUN-10580</t>
  </si>
  <si>
    <t>IISE, WSTEM</t>
  </si>
  <si>
    <t>De niña a ingeniera</t>
  </si>
  <si>
    <t>Conversatorio con la ingeniera uninorteña y magister del Politecnico de Milan Maria Paola Coba Morales en el que nos hablará de su recorrido, desde su infancia hasta llegar a su importante puesto en ASML Holanda.</t>
  </si>
  <si>
    <t>https://drive.google.com/open?id=1Kxbg5vkIP_7LmcvXACiwvXlnbMLHjARt</t>
  </si>
  <si>
    <t>GUN-10581</t>
  </si>
  <si>
    <t>Conversatorio con la ingeniera uninorteña y magister del Politecnico de Milano Maria Paola Coba quien nos contará acerca de su recorrido, desde su infancia hasta llegar a su importante puesto en ASML Holanda.</t>
  </si>
  <si>
    <t>https://drive.google.com/open?id=15UOGce38U43qUciiZT8GrqMeNdoib3Bg</t>
  </si>
  <si>
    <t>GUN-10582</t>
  </si>
  <si>
    <t>¿Cómo te ven?</t>
  </si>
  <si>
    <t>Dentro de la serie identidad queremos hablar de todas las personas, cosas y situaciones que de alguna forma han influido en lo que pensamos que somos nosotros mismos y cómo realmente hay que aprender a definirnos por lo que Dios dice de nosotros, que es la voz más importante.</t>
  </si>
  <si>
    <t>GUN-10583</t>
  </si>
  <si>
    <t>Reunión con todos los miembros del grupo para hablar sobre las actividades del grupo.</t>
  </si>
  <si>
    <t>GUN-10584</t>
  </si>
  <si>
    <t>Conmemoración Día Mundial del Párkinson</t>
  </si>
  <si>
    <t>Con la ayuda de nuestros tutores y miembros activos, realizaremos una jornada en asociación con el CEM Uninorte, cuyo tema central será El Parkinson. SIGN UN se hará cargo de una charla sobre aspectos básicos y clínicos de la patología. y además, realizaremos una serie de infografías sobre el tema, que serán publicadas en nuestras redes sociales.</t>
  </si>
  <si>
    <t>GUN-10585</t>
  </si>
  <si>
    <t>Reunión de los miembros pertenecientes a la coordinación. En esta se busca organizar y planear los futuros eventos.</t>
  </si>
  <si>
    <t>GUN-10586</t>
  </si>
  <si>
    <t xml:space="preserve">Fabian Andrés Torralba Bonet, ftorralba@uninorte.edu.co, 3165848211
Francisco Enrique Guardiola Mejía, fguardiola@uninorte.edu.co, 3002256974
Sebastián Jesús	Sayago González, ssayago@uninorte.edu.co, 3017792748  </t>
  </si>
  <si>
    <t>Se hablará de:
-El futuro de nuestros espacios internos para desenvolvernos e integrarnos
-La intención de realizar nuevos estatutos para el grupo estudiantil</t>
  </si>
  <si>
    <t>GUN-10587</t>
  </si>
  <si>
    <t>Sharon Andrea Varelo Martínez</t>
  </si>
  <si>
    <t>Reunión de junta</t>
  </si>
  <si>
    <t>Reunión de los líderes de los departamentos de Green</t>
  </si>
  <si>
    <t>GUN-10588</t>
  </si>
  <si>
    <t xml:space="preserve">Julio Cesar Cárdenas Caballero, cardenascj@uninorte.edu.co, 3013592178 </t>
  </si>
  <si>
    <t>Preguntas y respuestas: Vacunación contra COVID-19</t>
  </si>
  <si>
    <t xml:space="preserve">Se planea hacer una revisión acerca de los aspectos técnicos de las vacunas que han surgido para el control de la Pandemia por COVID-19, así mismo se busca aclarar dudas sobre las condiciones de las vacunas, sus efectos adversos, beneficios y todo el proceso de vacunación </t>
  </si>
  <si>
    <t>GUN-10589</t>
  </si>
  <si>
    <t xml:space="preserve">Sebastian Londoño, sebastianlondono@uninorte.edu.co, 3164696825 </t>
  </si>
  <si>
    <t xml:space="preserve">ASME E-fest Oral Competition </t>
  </si>
  <si>
    <t xml:space="preserve">Evento internacional de la ASME de oral competition </t>
  </si>
  <si>
    <t>GUN-10590</t>
  </si>
  <si>
    <t>jovana velazco: jovanav@uninorte.edu.co
catalina salazar: csalazarl@uninorte.edu.co</t>
  </si>
  <si>
    <t xml:space="preserve">Dialogo de saberes sobre la reparación integral de las victimas del conflicto interno armado  en Colombia </t>
  </si>
  <si>
    <t>El conflicto armado interno en Colombia ha traído consigo muchos problemas, dejando numerosas victimas por el conflicto, este es un espacio en el cual se hablará acerca del proceso de reparación para estas victimas</t>
  </si>
  <si>
    <t>https://drive.google.com/open?id=1Wm9vULgOtXpsCF7hM7EldU6_ljkzFoDZ</t>
  </si>
  <si>
    <t>GUN-10591</t>
  </si>
  <si>
    <t>Se hará nuestro mural para los niños, cumpliendo con todos los protocolos de bioseguridad</t>
  </si>
  <si>
    <t>GUN-10592</t>
  </si>
  <si>
    <t>Explorando el Futuro 202X</t>
  </si>
  <si>
    <t>Las ramas estudiantiles y capítulos de aeroespacial de IEEE Universidad del Cauca e IEEE Universidad del Norte, tienen el muy grato placer de extenderles el día de hoy esta invitación para asistir al ciclo de conferencias 🚀 Explorando el Futuro 202X 🌱, a celebrarse desde el 15 de abril hasta el 29 de mayo de 2021 con modalidad virtual. 
El evento tendrá cobertura 🇨🇴nacional e 🌎internacional, con el objetivo de divulgar y visibilizar las 🔎investigaciones y 👩‍🔬desarrollos que contribuyen significativamente al futuro ♻️sostenible de la humanidad, principalmente destacando las experiencias de colombianas y colombianos a lo largo del territorio nacional.
Esperamos podamos contar con su presencia en cualquiera de los espacios de este especial evento. La inscripción sera mediante el sgte enlace:
🔗https://uninorte.zoom.us/meeting/register/tZYpf-qgrD4jGdOZ6XHn5Wx_igclh00sfQ_L</t>
  </si>
  <si>
    <t>https://drive.google.com/open?id=1J4VvypZmm3w3uNA2RkmGJ8gNW_9us4Kd</t>
  </si>
  <si>
    <t>GUN-10593</t>
  </si>
  <si>
    <t>La brecha de género en la crisis ambiental</t>
  </si>
  <si>
    <t>Los grupos estudiantiles FeminUN y Felinorte en conjunto al programa Ecocampus, te invitan a participar de este evento que estará compuesto por una conferencia y un taller acerca de cómo la crisis climática ha expuesto aún más las brechas de género.</t>
  </si>
  <si>
    <t>https://drive.google.com/open?id=1MW9M_-r1W00ujeQ11k-p7bxY5HuX6sFP</t>
  </si>
  <si>
    <t>GUN-10594</t>
  </si>
  <si>
    <t xml:space="preserve">Andrés David Abello Herrera, aabellod@uninorte.edu.co, 3005379576
Sebastián Jesús	Sayago González, ssayago@uninorte.edu.co, 3017792748  </t>
  </si>
  <si>
    <t>Reunión General del Grupo Estudiantil</t>
  </si>
  <si>
    <t>Se comentará lo relacionado con nuestra reunión con Bienestar Universitario del día viernes 16 de abril</t>
  </si>
  <si>
    <t>GUN-10595</t>
  </si>
  <si>
    <t>Ludys Maria Fontalvo Escorcia, ludysf@uninorte.edu.co, 33249844</t>
  </si>
  <si>
    <t>Ayudando a los niños  de la comunidad Mokaná</t>
  </si>
  <si>
    <t>¡Buenos días chicos! De parte de SIGHT🙌, junto con Partners Campus🫂, los queremos invitar a participar de esta rifa solidaria, con la cual buscamos recaudar fondos para comprar regalitos para los niños de la comunidad Mokaná 👐 
El valor de la boleta es 4000 pesos y serán 3 ganadores🌟 
Los premios son =
1er ganador: 
1 torta de brownie
1 pasadia de cabaña para 8 personas 
1 par de zapatos
1 granola
2do ganador:
1 torta de red velvet
1 tapaboca personalizado 
1 bandeja de congelados
3er ganador:
1 accesorios
1 comida árabes 
1 servicio de autos
Hay boletas suficientes para todos 🤗 Si tienen más dudas al respecto o si están interesados en aportar, pueden escribirme a mi, a @573108496868, a @573005642300 o a @573024143618 al privado.</t>
  </si>
  <si>
    <t>GUN-10596</t>
  </si>
  <si>
    <t>Capacitación coordinación gestión humana</t>
  </si>
  <si>
    <t>Reunión de los miembros pertenecientes a la coordinación, en la que se establecerá los roles para la siguiente integración.</t>
  </si>
  <si>
    <t>GUN-10597</t>
  </si>
  <si>
    <t xml:space="preserve"> La Brecha de género en la crisis ambiental</t>
  </si>
  <si>
    <t>https://drive.google.com/open?id=1KU0EHXTjaHRJgtjn8_E6eMvEIJMM6KqAZ1cqOtbrdAg</t>
  </si>
  <si>
    <t>GUN-10598</t>
  </si>
  <si>
    <t xml:space="preserve">Debates y capsula de gritos </t>
  </si>
  <si>
    <t>GUN-10599</t>
  </si>
  <si>
    <t>Nombre: Sebastian Enrique Perea Lopez
Correo electrónico: seperea@uninorte.edu.co 
Teléfono: 301 3416669</t>
  </si>
  <si>
    <t>Taller Web 2021-10</t>
  </si>
  <si>
    <t xml:space="preserve">Es un taller con duración de 1 mes para los miembros de InNOVA, donde podrán aprender acerca de programación Web. Los estudiantes inscritos se formarán por grupos para llevar a cabo el aprendizaje y el desarrollo de sus páginas web. </t>
  </si>
  <si>
    <t>GUN-10600</t>
  </si>
  <si>
    <t>Sharon Andrea Varelo Martínez, svarelo@uninorte.edu.co, 3008854432, Daniela Barrios Caballero, danielacaballero@uninorte.edu.co, 3002567129</t>
  </si>
  <si>
    <t>Rompiendo mitos sobre la industria de la moda - Resumen</t>
  </si>
  <si>
    <t>Post en instagram con los puntos importantes de la charla</t>
  </si>
  <si>
    <t>GUN-10601</t>
  </si>
  <si>
    <t>Diana Marcela Giraldo Duque
3202664098
giraldom@uninorte.edu.co
Allison Abello</t>
  </si>
  <si>
    <t>Conversatorio: Importancia de la mujer en la contabilidad colombiana.</t>
  </si>
  <si>
    <t xml:space="preserve">Este evento es en alianza con el grupo EQUN, en donde tendremos tres invitadas (Dos docentes y una egresada) y desarrollaremos un  conversatorio que logre resaltar la participación de las mujeres en la contabilidad a la vez que invite a concientizar acerca de la importancia de la equidad y la justicia en el contexto laboral. 
</t>
  </si>
  <si>
    <t>https://drive.google.com/open?id=1QpK2dfaOr2oJNEthi8tFI-PpCN7BDLJ6</t>
  </si>
  <si>
    <t>GUN-10602</t>
  </si>
  <si>
    <t>EXPO-WORKS</t>
  </si>
  <si>
    <t xml:space="preserve">Expo-works es un espacio para los estudiantes en donde pueden compartir con el resto de la comunidad sus trabajos y proyectos favoritos desarrollados en las asignaturas de la carrera. Una vez recolectados los proyectos, Cearq se encargará de divulgarlos por medio de sus cuentas. </t>
  </si>
  <si>
    <t>GUN-10603</t>
  </si>
  <si>
    <t>Andrea Lucía Paternina Tordecilla, tordecillaaquninorte.edu.co, 3013493143</t>
  </si>
  <si>
    <t>Semana de la vida: Mascotas como apoyo emocional</t>
  </si>
  <si>
    <t>Durante la semana se estarán publicando una serie de post dirigido a las mascotas como apoyo emocional</t>
  </si>
  <si>
    <t>GUN-10604</t>
  </si>
  <si>
    <t>Capacitación coordinación tecnología</t>
  </si>
  <si>
    <t>Reunión de los miembros pertenecientes a la coordinación, en la que se busca enseñar sobre el uso de diferentes software y paginas web.</t>
  </si>
  <si>
    <t>GUN-10605</t>
  </si>
  <si>
    <t>Mariana Castaño, marianacastano@uninorte.edu.co, 3116241769</t>
  </si>
  <si>
    <t>SEMANA DE LA VIDA</t>
  </si>
  <si>
    <t xml:space="preserve">*PREGUNTAS POR DÍA:
TRIVIAS POR REDES SOCIALES: FACEBOOK, TWITTER Y INSTAGRAM SOBRE:
-NUTRICIÓN (LUNES- 19 DE ABRIL)
¿Qué componentes crees que debe llevar tu plato balanceado?
(Pregunta abierta, colocar caja de pregunta)
¿Qué alimentos se consideran leguminosas?
Lenteja y frijoles
Brócolis 
Carnes rojas
Lácteos 
¿ Qué alimentos se consideran cereales?
Arroz, Maíz, trigo, quinua, avena
Lenteja, aguacate, arroz
Habichuelas,almendras, trigo
Pescado, mariscos, quinua
¿Cuántas veces es recomendado comer al día?
5 VECES
2 VECES
3 VECES
4 VECES 
¿Qué alimentos ayudan a tu sistema inmunológico?
Ajo, almendras, brócoli 
Almendras y arándanos
Champiñones y espinaca 
Todas las anteriores.
</t>
  </si>
  <si>
    <t>GUN-10606</t>
  </si>
  <si>
    <t>Noor Rada Bendek (bendekn@uninorte.edu.co)
Sara Suarez Berdugo (sarasuarez@uninorte.edu.co)
Maria Carolina Torres (cmariat@uninorte.edu.co)
Mauricio Mendoza Lopez (Mauriciodm@uninorte.edu.co)
Angela Morales Cervantes (moralessa@uninorte.edu.co)</t>
  </si>
  <si>
    <t>Fusion Challenge</t>
  </si>
  <si>
    <t>Angela, Mauricio y Maria Carolina dictaran una clase donde mezclaremos un objeto con un animal y lo volveremos un logo... todo los integrantes de color house asistirán y este será una prueba piloto para entender el próximo mes el evento a toda la universidad y personas de por fuera de la niversidad</t>
  </si>
  <si>
    <t>GUN-10607</t>
  </si>
  <si>
    <t>Geografía feminista</t>
  </si>
  <si>
    <t>El grupo estudiantil FeminUN en conjunto del grupo estudiantil GEOENERGIA les invitan a este evento donde conoceremos a fondo sobre la geografía feminista y su importancia.</t>
  </si>
  <si>
    <t>https://drive.google.com/open?id=1hdQWUPwpluYzWd7poVlaBs870ZLV-ceE</t>
  </si>
  <si>
    <t>GUN-10608</t>
  </si>
  <si>
    <t xml:space="preserve">Freddy Regino - fregino@uninorte.edu.co - 314 8345811 y Alisson Abello - alissona@uninorte.edu.co - 3113858638 </t>
  </si>
  <si>
    <t>Conversatorio: Importancia de la mujer en la contabilidad colombiana</t>
  </si>
  <si>
    <t>EQUN y CAFTA se unen para realizar este conversatorio con el cual se tiene el propósito de resaltar a las mujeres por todo su papel y contribución en el desarrollo de la contabilidad en Colombia, y señalar la importancia de fomentar la igualdad entre hombres y mujeres en el área profesional administrativa de las organizaciones.</t>
  </si>
  <si>
    <t>https://drive.google.com/open?id=14WO0FSjK2uK84_zAouakfJZU-c3p0lSt</t>
  </si>
  <si>
    <t>GUN-10609</t>
  </si>
  <si>
    <t>Rompiendo mitos de la industria de la moda</t>
  </si>
  <si>
    <t>Charla con Sofía Arias.</t>
  </si>
  <si>
    <t>https://drive.google.com/open?id=1Tb0LxYR0qeL0_tDsDyv5opk_ewSFxDYe8Yt-1UoOD9I</t>
  </si>
  <si>
    <t>GUN-10610</t>
  </si>
  <si>
    <t xml:space="preserve">Sebastián Londoño, sebastianlondono@uninorte.edu.co, 3164696825 </t>
  </si>
  <si>
    <t xml:space="preserve">Seminario de Calderas </t>
  </si>
  <si>
    <t>"¿Qué cuidados Operacionales debemos tener y que Fallas podrían ocurrir si no lo hiciéramos? Parte 1: Calderas Pirotubulares
"</t>
  </si>
  <si>
    <t>https://drive.google.com/open?id=1LW3HS01Ks8GYrac98FRES8zJgogJdh2z</t>
  </si>
  <si>
    <t>GUN-10611</t>
  </si>
  <si>
    <t>Marcela serrano</t>
  </si>
  <si>
    <t xml:space="preserve">Taller de Photoshop </t>
  </si>
  <si>
    <t xml:space="preserve">Taller donde se aprenderá sobre iluminación y retoque facial .
Invitada: Melissa Duque, estudiante de diseño de moda </t>
  </si>
  <si>
    <t>GUN-10612</t>
  </si>
  <si>
    <t>"15 días en..." Cuarta temática: Aplicaciones Generales</t>
  </si>
  <si>
    <t>Cuarta temática del proyecto "15 días en", en esta se publicará contenido variado (blogs, videos, charla, entrevista), relacionadas con aplicaciones generales multi-temas de la ingeniería mecánica, se realizará  por diferentes medios con la colaboración de varias divisiones.</t>
  </si>
  <si>
    <t>GUN-10613</t>
  </si>
  <si>
    <t>Video: "Campos eólicos en el mar: ingeniería offshore"</t>
  </si>
  <si>
    <t xml:space="preserve">El video será el obtenido a partir de la charla "Campos eólicos en el mar, Descubre lo nuevo de la ingeniería offshore" realizada por la división de foros y conferencias en el pasado, para que los alumnos puedan acceder a ella nuevamente. </t>
  </si>
  <si>
    <t>GUN-10614</t>
  </si>
  <si>
    <t>VIDEO SOBRE DE LA IMPORTANCIA DE REALIZAR PAUSAS ACTIVA, LOS BENEFICIO Y CADA CUANTO SE DEBE REALIZAR,  VA SER EXPLICADO POR UN MIEMBRO ACTIVO DE GEEUN, PARA PUBLICARLO EN TODAS LAS REDES SOCIALES: FACEBOOK, TWITTER, INSTAGRAM Y YOU TUBE.</t>
  </si>
  <si>
    <t>GUN-10615</t>
  </si>
  <si>
    <t xml:space="preserve">Marianella Gutiérrez Ortega - marianellagutierrez@uninorte.edu.co - 3135713017
</t>
  </si>
  <si>
    <t>Concurso de Señales de Transito</t>
  </si>
  <si>
    <t>Concurso dónde se pondrán a prueba los conocimientos sobre las señales de transito, al final el ganador tendrá un premio.</t>
  </si>
  <si>
    <t>GUN-10616</t>
  </si>
  <si>
    <t>Sebastian Londoño, sebastianlondono@uninorte.edu.co, 3164696825</t>
  </si>
  <si>
    <t>Reunión Semanal División Cap ASME</t>
  </si>
  <si>
    <t xml:space="preserve">Reunión semanal miembros ASME </t>
  </si>
  <si>
    <t>GUN-10617</t>
  </si>
  <si>
    <t>SEMANA DE LA VIDA- RECETA SALUDABLE EN CASA</t>
  </si>
  <si>
    <t xml:space="preserve">RECETA SALUDABLE EN CASA: UNO DE LOS MIEMBROS DE GEEUN SE GRABARÁ PREPARANDO UN SNACK SALUDABLE CON FRUTAS Y ALIMENTOS INTEGRALES, SE SUBIRÁ EN TODAS LAS REDES SOCIALES: YOUTUBE, INSTAGRAM, FACEBOOK, TWITTER 
</t>
  </si>
  <si>
    <t>GUN-10618</t>
  </si>
  <si>
    <t xml:space="preserve">SEMANA DE LA VIDA- TRIVIAS </t>
  </si>
  <si>
    <t xml:space="preserve">TRIVIAS SALUD MENTAL: 21 DE ABRIL (MIÉRCOLES)
¿Es normal realizar pausas activas? (SI O NO)
Respuesta: Si.
Las pausas activas son breves descansos durante la jornada laboral que sirven para recuperar energía, mejorar el desempeño y eficiencia en el trabajo, a través de diferentes técnicas y ejercicios que ayudan a reducir la fatiga laboral, trastornos osteomusculares y prevenir el estrés.
¿Es importante tener un buen bienestar físico, social y mental? (SI O NO)
Respuesta: Si
Entre la sociedad es importante que los habitantes mantenga buena salud mental, desde su niñez hasta los últimos días de vida, porque así el individuo tendrá la capacidad de pensar, manifestar sentimientos, interactuar con los demás, trabajar de forma productiva para contribuir con su comunidad y disfrutar de las cosas 
¿Me afecta a mi la salud mental? (SI O NO)
Respuesta: Si.
Es muy importante cuidar nuestra salud mental porque de ella depende nuestro pensar, sentir y actuar en nuestra vida cotidiana. También ayuda a determinar cómo manejamos el estrés, nos relacionamos con los demás y tomamos decisiones.
¿Es cierto que los trastornos mentales conducen a actos violentos?  (SI - NO)
Respuesta: No 
No es cierto que las personas con trastornos mentales sean más agresivas ni tengan más probabilidades de cometer actos violentos ni delictivos que las personas sin estos problemas.
Tampoco que sean peligrosas para la sociedad. De hecho, ocurre en más ocasiones que estas personas sean víctimas de agresiones, malos tratos y abusos que responsables de un acto violento.
</t>
  </si>
  <si>
    <t>GUN-10619</t>
  </si>
  <si>
    <t>etatis@uninorte.edu.co</t>
  </si>
  <si>
    <t>Eimys Portillo</t>
  </si>
  <si>
    <t>Gran rifa solidaria del día del niño</t>
  </si>
  <si>
    <t>Recolectar fondos a través de una rifa donde los premios son donados por las marcas patrocinadoras, esto con el objetivo de poder darle juguetes a los niños de la comunidad mokaná con razón del día del niño.</t>
  </si>
  <si>
    <t>GUN-10620</t>
  </si>
  <si>
    <t>Charla sobre primeros auxilios</t>
  </si>
  <si>
    <t>Charla donde se darán consejos de primeros auxilios que se le pueden dar a un gato en situaciones de emergencia que se pueden presentar en el día a día (reporte tardío)</t>
  </si>
  <si>
    <t>GUN-10621</t>
  </si>
  <si>
    <t>Cristian Andrés Torres Monterrosa - camonterroza@gmail.com - 3015467411</t>
  </si>
  <si>
    <t>GUN-10622</t>
  </si>
  <si>
    <t>Video: "Análisis de falla"</t>
  </si>
  <si>
    <t>En el video se explica un área de la ingeniería mecánica la cual se encarga de analizar estructuras y materiales que fallan e identificar sus causas, además  de identificar posibles futuras fallas para así prevenirlas, se abordarán algunos casos de fallas en estructuras</t>
  </si>
  <si>
    <t>GUN-10623</t>
  </si>
  <si>
    <t>aangiem@uninorte.edu.co</t>
  </si>
  <si>
    <t>CREATINN EDUCATION</t>
  </si>
  <si>
    <t>Angie Marcela Aguilar Torres</t>
  </si>
  <si>
    <t>Semana de la niñez</t>
  </si>
  <si>
    <t>Es un evento en alianza con el grupo K-Dharm. La intención es aprovechar el día del niño para darles a conocer diferentes temáticas entorno a los niños y niñas, al igual que un acercamiento virtual con ellos.</t>
  </si>
  <si>
    <t>https://drive.google.com/open?id=1-ozMPNtqL-nyP5x4XTJbZFVLY4tdECDn</t>
  </si>
  <si>
    <t>GUN-10624</t>
  </si>
  <si>
    <t>Melanie Michelle Pacheco Caballero - mpachecom@uninorte.edu.co - 3023504488</t>
  </si>
  <si>
    <t>Concurso de Arte</t>
  </si>
  <si>
    <t>Actividad en la que los participantes interesados realizarán infografías, imágenes y/o dibujos sobre tópicos médicos desde sus habilidades artísticas y explotando su creatividad para comunicar información, y además quien mejor se desempeñe será merecedor de un premio.</t>
  </si>
  <si>
    <t>DENEGADO</t>
  </si>
  <si>
    <t>GUN-10625</t>
  </si>
  <si>
    <t>Día mundial de la Tierra</t>
  </si>
  <si>
    <t>Post en instagram para conmemorar el día de la Tierra</t>
  </si>
  <si>
    <t>GUN-10626</t>
  </si>
  <si>
    <t>Cristian Andrés Torres Monterrosa - camonterrroza@uninorte.edu.co - 3015467411</t>
  </si>
  <si>
    <t>Comentando la realidad Internacional</t>
  </si>
  <si>
    <t>Envio de artículo para su publicación en la "Gazeta" del departamento de Ciencias Políticas y Relaciones Internacionales.</t>
  </si>
  <si>
    <t>GUN-10627</t>
  </si>
  <si>
    <t>Revisión de tema: Examen neurológico</t>
  </si>
  <si>
    <t>Reunión con todos los miembros en la que se hará una revisión de tema sobre Examen neurológico, esta incluirá Esfera mental, Pares craneales, Examen motor, reflejos, y examen sensitivo, coordinación. Contaremos con la presencia y asesoría de nuestros tutores académicos.</t>
  </si>
  <si>
    <t>GUN-10628</t>
  </si>
  <si>
    <t>Charla de Autocuidado</t>
  </si>
  <si>
    <t xml:space="preserve">Con motivo de la semana de la vida organizada por Bienestar Universitario, se hará una charla sobre el autocuidado. Esta será dictada por la psicóloga Yokazta Torres. </t>
  </si>
  <si>
    <t>https://drive.google.com/open?id=1piVjO1JKYJut3_MCu9G3_jp5sfzQo1Za</t>
  </si>
  <si>
    <t>GUN-10629</t>
  </si>
  <si>
    <t>Reunión de los miembros pertenecientes a la coordinación. En esta se busca explicar e informar los avances campañas de redes del grupo.</t>
  </si>
  <si>
    <t>GUN-10630</t>
  </si>
  <si>
    <t>Reunión a cargo del dpto de RR.HH</t>
  </si>
  <si>
    <t>GUN-10631</t>
  </si>
  <si>
    <t>Semana de la Niñez</t>
  </si>
  <si>
    <t>Se realizará junto al grupo Creatinn Education una semana para celebrar y conmemorar el día de la niñez por medio de eventos temáticos cada día de la semana.</t>
  </si>
  <si>
    <t>GUN-10632</t>
  </si>
  <si>
    <t xml:space="preserve">TRIVIAS SOBRE EJERCICIOS: 23 DE ABRIL (VIERNES)
¿Cuánto es el tiempo promedio de actividad física que recomienda la OMS?
150 MIN por semana
100 MIN por semana 
90 min por semana
200 min por semana 
¿ Cual es la razón que asocia masa y la talla de un individuo para saber su estado nutricional?
Porcentaje de masa muscular
Índice de masa corporal
Perímetro braquial
Índice cintura cadera
¿Qué beneficios trae para la salud el realizar actividad física?
(Pregunta abierta, colocar caja de pregunta)
Presentan menores tasas de mortalidad por todas las causas, cardiopatía coronaria, hipertensión, accidentes cerebrovasculares, diabetes de tipo 2, síndrome metabólico, cáncer de colon y mama, y depresión.
¿Existe alguna contraindicación para realizar ejercicios? (SI O NO)
Respuesta: SI
Existen algunas contraindicaciones absolutas:
Insuficiencia pulmonar y cardiaca, Enfermedades infecciosas agudas y crónicas, Enfermedades no controladas (como la anorexia nerviosa), Inflamaciones del sistema músculo-esquelético en fase aguda, Enfermedades que producen vértigos.
Por otro lado existen las contraindicaciones relativas:
Deportes de contacto: Retraso en el crecimiento o maduración, Enfermedades hemorrágicas, Hernias, Epilepsia
Si se tiene una enfermedad temporal (anginas, bronquitis, gripe..) es recomendable esperar hasta su completa curación para volver a la práctica física.
</t>
  </si>
  <si>
    <t>GUN-10633</t>
  </si>
  <si>
    <t>Manualidades con sentido</t>
  </si>
  <si>
    <t>Se dará una charla dictada por Eliana Peñaloza y Sindy Correa, en donde se tocaran temas como la motricidad fina: qué es, su importancia, tips para estimularla en confinamiento, problemas que desencadena no estimularla, su relación con las manualidades, entre otros aspectos.</t>
  </si>
  <si>
    <t>https://drive.google.com/open?id=1UPNGmG7_Q2AUZB8npWPpWGUjrkOX8ILf</t>
  </si>
  <si>
    <t>GUN-10634</t>
  </si>
  <si>
    <t xml:space="preserve">CONVERSATORIO SOBRE LA SALUD MENTAL PARA LOS JÓVENES DE LA UNINORTE, EN ESPECIAL LA DIVISIÓN CIENCIA SALUD. DIRIGIDO POR LA DOCTORA DOLORES VANESSA SERRANO, SERÁ TRANSMITIDA POR VÍA YOU TUBE 
</t>
  </si>
  <si>
    <t>https://drive.google.com/open?id=1MvgfNIj1M4jYOgXjt9_wU1VMpn7JzdfI</t>
  </si>
  <si>
    <t>GUN-10635</t>
  </si>
  <si>
    <t xml:space="preserve">Nombre: Juan Trujillo
Correo: jetrujillo@uninorte.edu.co 
Número de Teléfono: 3135715385
</t>
  </si>
  <si>
    <t xml:space="preserve">MasterClass Introducción Adobe Illustrator </t>
  </si>
  <si>
    <t xml:space="preserve">Se explicarán los conceptos básicos de Adobe Illustrator, sus funciones y secretos para hacer excelentes piezas gráficas. </t>
  </si>
  <si>
    <t>GUN-10636</t>
  </si>
  <si>
    <t xml:space="preserve">CONCURSO "Escritura como catarsis" </t>
  </si>
  <si>
    <t>Concurso en la red social instagram, donde se estarán regalando algunos libros de psicología, en el marco del día del libro, las personas podrán participar solo cumpliendo 3 requisitos. Asimismo éste, hace parte de una dupla de eventos en los que trataremos el TOC y la manera en que la escritura sirve como método para reducir los síntomas del mismo.</t>
  </si>
  <si>
    <t>GUN-10637</t>
  </si>
  <si>
    <t>Reunión de los miembros pertenecientes a la coordinación. Tiene como objetivo la distribución de los roles a llevar a cabo en los futuros evento.</t>
  </si>
  <si>
    <t>GUN-10638</t>
  </si>
  <si>
    <t xml:space="preserve">Mural para la Cangrejera </t>
  </si>
  <si>
    <t>Debido al Día del niño haremos una pequeña actividad en el barrio la Cangrejera. La actividad consiste en pintar un mural en el lugar donde regularmente nos reuníamos cuando estábamos de forma presencial. Esto se hará cumpliendo con todas las medidas de bioseguridad.</t>
  </si>
  <si>
    <t>GUN-10639</t>
  </si>
  <si>
    <t>Blog: "Ingeniería biomédica: el futuro de la medicina"</t>
  </si>
  <si>
    <t>En el presente blog se hablará sobre una de las ramas de la ingeniería mecánica,  que día a día es impulsada por las nuevas tecnologías; esta rama combina conocimientos de la medicina con la ingeniería mecánica para resolver problemáticas de salud y bienestar de los seres humanos. Se abarcarán temas como su definición,  estado actual de la biomedicina y una noción general de lo que se espera para el futuro de esta y su impacto en el campo de la salud.</t>
  </si>
  <si>
    <t>GUN-10640</t>
  </si>
  <si>
    <t>¡Es momento de divertirnos!</t>
  </si>
  <si>
    <t>Haremos una integración con los voluntarios, será organizada por el comité de Gestión Humana</t>
  </si>
  <si>
    <t>GUN-10641</t>
  </si>
  <si>
    <t>Reunión de los miembros pertenecientes a la coordinación, en la que se comentarán los avances que se tienen para la siguiente integración.</t>
  </si>
  <si>
    <t>GUN-10642</t>
  </si>
  <si>
    <t>Neurodesarrollo</t>
  </si>
  <si>
    <t>Como continuación de la semana de la niñez, tendremos una charla dictada por Alejandra Herdenez y Miguel Montañez acerca de temas de interés sobre el neurodesarrollo en los niños.</t>
  </si>
  <si>
    <t>https://drive.google.com/open?id=1xs1QZ4KFSMhigEUqwHhrfoYESiTG-s9o</t>
  </si>
  <si>
    <t>GUN-10643</t>
  </si>
  <si>
    <t>Cómo crear una empresa sostenible-Resumen</t>
  </si>
  <si>
    <t>Post con los puntos importantes en la charla</t>
  </si>
  <si>
    <t>GUN-10644</t>
  </si>
  <si>
    <t>Moda sostenible: ¿Cómo se fabrica? - Resumen</t>
  </si>
  <si>
    <t>Post en redes sociales con los puntos importantes de la charla</t>
  </si>
  <si>
    <t>GUN-10645</t>
  </si>
  <si>
    <t>GUN-10646</t>
  </si>
  <si>
    <t>Blog “¿Cómo ser ingeniero de Fórmula 1?”</t>
  </si>
  <si>
    <t>"En el siguiente blog hablaremos sobre cómo ser ingeniero de fórmula 1. Si eres amante del automovilismo y tienes esta meta, este es tu blog. Podrás conocer un poco más sobre las
oportunidades, obstáculos, cifras y muchas que tendrás que saber al momento de alcanzar este sueño."</t>
  </si>
  <si>
    <t>GUN-10647</t>
  </si>
  <si>
    <t>Ventana al futuro</t>
  </si>
  <si>
    <t>Evento en conjunto con Aneiap, createc, astro norte, aneic y green generation</t>
  </si>
  <si>
    <t>https://drive.google.com/open?id=1mXSPKoJNhCefA4yVcKrcQ1WV8P3tuKUV4hZP_d2KkWQ</t>
  </si>
  <si>
    <t>GUN-10648</t>
  </si>
  <si>
    <t>GUN-10649</t>
  </si>
  <si>
    <t xml:space="preserve">Reunión semanal a cargo de finanzas </t>
  </si>
  <si>
    <t>GUN-10650</t>
  </si>
  <si>
    <t>Reunión del equipo de censo</t>
  </si>
  <si>
    <t xml:space="preserve">Resumen del mes, nuevas actividades, módulos y demás. </t>
  </si>
  <si>
    <t>GUN-10651</t>
  </si>
  <si>
    <t>Reunión de los miembros pertenecientes a la coordinación. Tiene como objetivo actualizar los avances de los evento.</t>
  </si>
  <si>
    <t>GUN-10652</t>
  </si>
  <si>
    <t>Andrea Lucía Paternina Tordecilla
tordecillaa@uninorte.edu.co</t>
  </si>
  <si>
    <t>Manejo de las emociones</t>
  </si>
  <si>
    <t>En el marco de la semana de la niñez se dará una charla dictada por Daniela Maduro sobre el manejo de las emociones, enfocada en los niños.</t>
  </si>
  <si>
    <t>https://drive.google.com/open?id=1CbA3S4MrEfnj9qSn063OyD2R3iB7fTFQ</t>
  </si>
  <si>
    <t>GUN-10653</t>
  </si>
  <si>
    <t>Blog “Ingeniería mecánica en el séptimo arte”</t>
  </si>
  <si>
    <t>En este  blog se hablaran de las aplicaciones de la ingeniería en la industria cinematográfica, mas allá de los efectos especiales, centrándose en los diversos aportes que ha tenido la ingeniería mecánica en el desarrollo de este séptimo arte.</t>
  </si>
  <si>
    <t>GUN-10654</t>
  </si>
  <si>
    <t>GUN-10655</t>
  </si>
  <si>
    <t>GUN-10656</t>
  </si>
  <si>
    <t>GUN-10657</t>
  </si>
  <si>
    <t xml:space="preserve">Reunión final miembros ASME </t>
  </si>
  <si>
    <t>GUN-10658</t>
  </si>
  <si>
    <t>Reunión de los miembros pertenecientes a la coordinación. En esta se busca capacitar a los miembros en programas de edició.</t>
  </si>
  <si>
    <t>GUN-10659</t>
  </si>
  <si>
    <t>Reunión semanal Logistica</t>
  </si>
  <si>
    <t xml:space="preserve">Reunión a cargo del dpto de logistica </t>
  </si>
  <si>
    <t>GUN-10660</t>
  </si>
  <si>
    <t>Reunión de los miembros pertenecientes a la coordinación en la que se tocará el tema de los manifiestos lgbt.</t>
  </si>
  <si>
    <t>GUN-10661</t>
  </si>
  <si>
    <t>Reunión de los miembros pertenecientes a la coordinación. Se hará enfasis en la importancia de estatutos</t>
  </si>
  <si>
    <t>GUN-10662</t>
  </si>
  <si>
    <t>Reunión de los miembros pertenecientes a la coordinación, en la que se busca enseñar sobre el uso de diferentes software y pagina web.</t>
  </si>
  <si>
    <t>GUN-10663</t>
  </si>
  <si>
    <t>Reunión de los miembros pertenecientes a la coordinación. En esta se busca capacitar a los miembros en programas de edición.</t>
  </si>
  <si>
    <t>GUN-10664</t>
  </si>
  <si>
    <t>Reunión a cargo de Pangea Social</t>
  </si>
  <si>
    <t>GUN-10665</t>
  </si>
  <si>
    <t>Reunión de los miembros pertenecientes a la coordinación en el que se continuará con el estudio y explicación de los manifiestos lgbt</t>
  </si>
  <si>
    <t>GUN-10666</t>
  </si>
  <si>
    <t xml:space="preserve">Ingeniería de empaques e innovación por Nidia Alvarez, dentro del marco del evento " la ventana al futuro" </t>
  </si>
  <si>
    <t>"VENTANA AL FUTURO, es un evento piloto el cual convoca a multiples grupos estudiantiles pertenecientes a la universidad del norte con el objetivo de crear un marco de charlas y capacitaciones enfocadas a temáticas del futuro. Sus asistentes tendrán la posibilidad de escuchar a ponentes y expertos los cuales compartirán su experiencias y/o percepción de las industrias que tendrán alta relevancia en el futuro. También sobre temáticas de múltiples areas las cuales tengan prevalencia para el desarrollo del profesional, y así este podrá prever hacia donde se dirigen las tendencias del mercado, para que ajuste  su plan de estudios y logre adaptarse al futuro.
Esta sería la primera versión del evento. Se realizará entre el jueves 22 de abril y el jueves 29 del mismo mes. Contamos con la participación de los  grupos estudiantiles Astronorte, Aneic, ANEIAP, Innova, Green Gen y Createc. Te invitamos a ser pionero de Ventana al futuro, con tu participación apoyas a que este evento logre posicionarse y así podamos heredar a la comunidad uninorteña un espacio para visionar y comprender hacia donde se mueve el mundo a lo largo de los años venideros.</t>
  </si>
  <si>
    <t>GUN-10667</t>
  </si>
  <si>
    <t>Reunión de los miembros pertenecientes a la coordinación.</t>
  </si>
  <si>
    <t>GUN-10668</t>
  </si>
  <si>
    <t>Reunión de los miembros pertenecientes a la coordinación, en la que se busca enseñar sobre el uso de diferentes software .</t>
  </si>
  <si>
    <t>GUN-10669</t>
  </si>
  <si>
    <t xml:space="preserve">reunión a cargo del dpto de marketing </t>
  </si>
  <si>
    <t>GUN-10670</t>
  </si>
  <si>
    <t xml:space="preserve">Despedida de semestre </t>
  </si>
  <si>
    <t xml:space="preserve">Reunión de despedida a cargo de RR.HH y presidencia </t>
  </si>
  <si>
    <t>GUN-10671</t>
  </si>
  <si>
    <t>Enfoque social del diseño, perspectivas para el futuro disciplinar por Edgard Rincon, dentro del marco de "La ventana al futuro"</t>
  </si>
  <si>
    <t xml:space="preserve">"VENTANA AL FUTURO, es un evento piloto el cual convoca a multiples grupos estudiantiles pertenecientes a la universidad del norte con el objetivo de crear un marco de charlas y capacitaciones enfocadas a temáticas del futuro. Sus asistentes tendrán la posibilidad de escuchar a ponentes y expertos los cuales compartirán su experiencias y/o percepción de las industrias que tendrán alta relevancia en el futuro. También sobre temáticas de múltiples areas las cuales tengan prevalencia para el desarrollo del profesional, y así este podrá prever hacia donde se dirigen las tendencias del mercado, para que ajuste  su plan de estudios y logre adaptarse al futuro.
Esta sería la primera versión del evento. Se realizará entre el jueves 22 de abril y el jueves 29 del mismo mes. Contamos con la participación de los  grupos estudiantiles Astronorte, Aneic, ANEIAP, Innova, Green Gen y Createc. Te invitamos a ser pionero de Ventana al futuro, con tu participación apoyas a que este evento logre posicionarse y así podamos heredar a la comunidad uninorteña un espacio para visionar y comprender hacia donde se mueve el mundo a lo largo de los años venideros. </t>
  </si>
  <si>
    <t>GUN-10672</t>
  </si>
  <si>
    <t>Camilo Ruiz</t>
  </si>
  <si>
    <t>Voluntariado: Misión y Visión</t>
  </si>
  <si>
    <t>Durante esta reunión se hablará de la importancia del voluntariado y su objetivo final.</t>
  </si>
  <si>
    <t>GUN-10673</t>
  </si>
  <si>
    <t xml:space="preserve">Comité de Relaciones Públicas y logística de eventos </t>
  </si>
  <si>
    <t xml:space="preserve">Control de emociones: un camino de aprendizaje. </t>
  </si>
  <si>
    <t>En medio de esta nueva realidad y lo que estamos viviendo día a día, nuestro objetivo principal es brindarle una ayuda a los estudiantes y demás para que aprendan sobre sus emociones y logren encontrar ese punto de equilibrio en donde sean capaces de tener control de ellas.</t>
  </si>
  <si>
    <t>https://drive.google.com/open?id=18coVokzp7__WpnKcTvKaKQBXGtDBnq7W</t>
  </si>
  <si>
    <t>GUN-10674</t>
  </si>
  <si>
    <t>I Asamblea General</t>
  </si>
  <si>
    <t>Primera asamblea general del Grupo Estudiantil Aneic Uninorte</t>
  </si>
  <si>
    <t>GUN-10675</t>
  </si>
  <si>
    <t>Alisson Abello Escorcia  - alissona@uninorte.edu.co - 3113858638</t>
  </si>
  <si>
    <t>Reunión del Departamento de Planeación - EQUN</t>
  </si>
  <si>
    <t xml:space="preserve">Se realizó una reunión interna del departamento de planeación del grupo, para organizar y delegar actividades y eventos a lo largo del semestre. </t>
  </si>
  <si>
    <t>GUN-10676</t>
  </si>
  <si>
    <t>Motivación estudiantil y covid: Claves para mantenerte motivadx.</t>
  </si>
  <si>
    <t xml:space="preserve">Debido a la pandemia los estudiantes han perdido motivación para estudiar y seguir con sus actividades. Desde Pangea queremos llevarles un conversatorio en donde una psicóloga invitada nos habla de las claves para mantenernos motivados. </t>
  </si>
  <si>
    <t>https://drive.google.com/open?id=1AHwE6oRXfSiTRW-BQ6wfq4rmfck24A9D-fZ0Wi_A1jQ</t>
  </si>
  <si>
    <t>GUN-10677</t>
  </si>
  <si>
    <t>Andrés David Abello Herrera, aabellod@uninorte.edu.co, 3005379576
Sebastián Jesús Sayago González, ssayago@uninorte.edu.co, 3017792748</t>
  </si>
  <si>
    <t>se hablará del desarrollo del proyecto de las olimpiadas, y se escucharán otras propuestas</t>
  </si>
  <si>
    <t>GUN-10678</t>
  </si>
  <si>
    <t>Sesión de Mindfulness</t>
  </si>
  <si>
    <t>Se realizará una sesión de mindfulness para todos los participantes.</t>
  </si>
  <si>
    <t>GUN-10679</t>
  </si>
  <si>
    <t>La violencia de género en el sector ambiental</t>
  </si>
  <si>
    <t>Conversatorio junto a una experta sobre la violencia de género en el sector ambiental, expondremos un caso y aprenderemos tips para identificar estas situaciones en el ambiente laboral.</t>
  </si>
  <si>
    <t>https://drive.google.com/open?id=1uL7eTlzmXexoFj_lRxRHSzLhqNvjtamQ</t>
  </si>
  <si>
    <t>GUN-10680</t>
  </si>
  <si>
    <t>Importancia del juego</t>
  </si>
  <si>
    <t>Con motivo de la semana de la niñez se dará una charla dictada por Sara Rodríguez y Luisa López, en donde hablaran de la importancia del juego en los niños.</t>
  </si>
  <si>
    <t>https://drive.google.com/open?id=1195Hqda1FLZzlywO8Gck2xA2mAF3JXb8</t>
  </si>
  <si>
    <t>GUN-10681</t>
  </si>
  <si>
    <t xml:space="preserve">Nayelis Esther Melendez Bertel
Mnayelis@uninorte.edu.co 
3003963505 </t>
  </si>
  <si>
    <t xml:space="preserve">Campaña sobre el multilateralismo y la diplomacia para la paz </t>
  </si>
  <si>
    <t xml:space="preserve">Se realizarán unas series de publicaciones en torno al tema de la diplomacia para la paz y el multilateralismo en el sistema internacional. Las publicaciones se harán en Instagram y constarán de 3 post y 3 historias interactivas. Se hablará del papel de la ONU, convenios sobre la paz, multilateralismo en colombia, etc. Lo anterior con el fin de entender la importancia de las acciones en cooperación internacional en materia de paz y derechos humanos. </t>
  </si>
  <si>
    <t>GUN-10682</t>
  </si>
  <si>
    <t>GUN-10683</t>
  </si>
  <si>
    <t>De Niña a Ingeniera: Capítulo 2</t>
  </si>
  <si>
    <t>Conoce a Karla Fajardo Neira, ganadora de medalla de plata de ingeniería mecánica 2020-03. En este capítulo Karla dará paso a la trayectoria de su vida, compartiendo consejos y próximas aspiraciones, haciendo énfasis en aquello que le permitió lograr las metas que se ha propuesto a lo largo de su vida.</t>
  </si>
  <si>
    <t>https://drive.google.com/open?id=1Lzn755wf5eqzPALbP5nGUcedw6NqyP1D</t>
  </si>
  <si>
    <t>GUN-10684</t>
  </si>
  <si>
    <t>Comité de relaciones publicas y logística</t>
  </si>
  <si>
    <t>Pensando desde el caribe</t>
  </si>
  <si>
    <t>Pensando desde el caribe es un espacio creado por los grupos estudiantiles Juventudes Criticas, CERI y Cosmopolitica, dedicado al debate en donde los estudiantes podrán, de manera abierta y bajo normas del respeto, expresar su posición de manera argumentada sobre distintos temas de coyuntura nacional e internacional.</t>
  </si>
  <si>
    <t>GUN-10685</t>
  </si>
  <si>
    <t>Centrales Hidroeléctricas: Un Enfoque desde los Componentes Principales.</t>
  </si>
  <si>
    <t xml:space="preserve">Centrales Hidroeléctricas: Un Enfoque desde los Componentes Principales. 
Ponente(s): Frank Ibarra
Link: https://uninorte.zoom.us/j/89791949390
</t>
  </si>
  <si>
    <t>GUN-10686</t>
  </si>
  <si>
    <t>PES WEEK</t>
  </si>
  <si>
    <t>Semana dedicada a eventos organizados por el capítulo PES. Para ver la descripción de las actividades, por favor mirar el archivo adjunto en la sección de información de invitados.
Eventos PES DAY
Miércoles 21 de abril:
Nombre: Centrales Hidroeléctricas: Un Enfoque desde los Componentes Principales.
Link: https://uninorte.zoom.us/j/89791949390
Jueves 22 de abril
Nombre: Panel: retos de la energía eólica
Link: https://uninorte.zoom.us/j/81629599779
Nombre: Charla Allianz Energy: Conoce el panorama actual de la energía eólica en Colombia y en el mundo
Link: https://uninorte.zoom.us/meeting/register/tZcld-mtrD4rGtLEe4Ko1xSpxAik0Lvwn4gE
Nombre: Sistemas de recarga para vehículos eléctricos y su impacto en la red
Hora: 4:30pm-5:30pm
Link: https://uninorte.zoom.us/j/84980061099
Viernes 23 de abril
Nombre: Incorporación del almacenamiento en mercados de energía
Link: https://uninorte.zoom.us/j/81506751317
Nombre: Sistemas de potencia
Link: https://uninorte.zoom.us/j/81719554325
Nombre: Women in power = conversatorio de renovables de distintos países
Link: (Por confirmar)</t>
  </si>
  <si>
    <t>https://drive.google.com/open?id=1rlBJlak2HqdBNk7Z_V-e1pDeZ2sn3h8T</t>
  </si>
  <si>
    <t>GUN-10687</t>
  </si>
  <si>
    <t>Mentes perdidas, futuro incierto</t>
  </si>
  <si>
    <r>
      <rPr/>
      <t xml:space="preserve">¡Buenos días, chicos! De parte de IAS te extendemos la invitación a nuestra maravillosa charla sobre ciertas emociones que podemos estar experimentando los estudiantes en estos semestres virtuales. Puede asistir cualquier estudiante de cualquier carrera este Viernes 23 de Abril a las 3:30P.M.
PONENTE: Jaime Andrés García Vilaró, psicólogo egresado Uninorte
¡Los esperamos!
Por el siguiente enlace: </t>
    </r>
    <r>
      <rPr>
        <color rgb="FF1155CC"/>
        <u/>
      </rPr>
      <t>https://meet.google.com/ire-qbqn-gcj?authuser=1</t>
    </r>
  </si>
  <si>
    <t>GUN-10688</t>
  </si>
  <si>
    <t>¿Qué enseñan los archivos naturales? Una reflexión para el futuro</t>
  </si>
  <si>
    <t>En el marco del evento "Ventana al futuro" el profesor Jaime Escobar dictará esta charla partiendo de su experiencia trabajando con sedimentos para elaborar una reflexión sobre el futuro.</t>
  </si>
  <si>
    <t>https://drive.google.com/open?id=1j9_Vi_Rm1S3fpe-AQ-An4a-SKnnUF-i1yngbZ-Hor8A</t>
  </si>
  <si>
    <t>GUN-10689</t>
  </si>
  <si>
    <t xml:space="preserve">Maria Fernanda Vargas Barrera </t>
  </si>
  <si>
    <t xml:space="preserve">Reunión comité publicidad </t>
  </si>
  <si>
    <t xml:space="preserve">Reunión organizada por la coordinadora de publicidad para discutir y conversar sobre las futuras capacitaciones y actividades a desarrollar. </t>
  </si>
  <si>
    <t>GUN-10690</t>
  </si>
  <si>
    <t xml:space="preserve">Concurso fotografía Faunaticos </t>
  </si>
  <si>
    <t xml:space="preserve">Concurso de fotografía realizado a través de Instagram de Faunaticos abierto al público. El ganador será nombrado y premiado a través de la cuenta de Instagram. 
</t>
  </si>
  <si>
    <t>GUN-10691</t>
  </si>
  <si>
    <t>Publicacion de artículo en la Gazeta del departamento de Ciencias Políticas y Relaciones Internacionales</t>
  </si>
  <si>
    <t>GUN-10692</t>
  </si>
  <si>
    <t>Integración</t>
  </si>
  <si>
    <t xml:space="preserve">Espacio en el que se espera que los miembros participar en una serie de actividades que buscan fortalecer los lazos entre ellos. </t>
  </si>
  <si>
    <t>GUN-10693</t>
  </si>
  <si>
    <t>Campaña Semana de la Vida</t>
  </si>
  <si>
    <t>En el marco de semana por la vida, cada día estaremos compartiendo un poco sobre la gestión de las emociones, cómo identificarlas e ideas sanas de cómo sobrellevarlo</t>
  </si>
  <si>
    <t>GUN-10694</t>
  </si>
  <si>
    <t xml:space="preserve">VIDEO SOBRE LA IMPORTANCIA DE DE TENER BUENOS HABITOS ALIMENTICIOS EN LOS JOVENES DE LA DIVISIÓN DE LA CIENCIA DE LA SALUD. </t>
  </si>
  <si>
    <t xml:space="preserve">Se grabará un video de aproximadamente 2 min por una estudiante y miembro activo de GEEUN que explique la importancia de tener buenos hábitos alimenticios en los jóvenes de la división de la ciencia de la salud. Se publicará por todas las redes sociales de GEEUN; facebook, Youtube, Twitter y instagram. </t>
  </si>
  <si>
    <t>GUN-10695</t>
  </si>
  <si>
    <t>Juan Fernando Alvarez Vertel 
Vertelj@uninorte.edu.co
3006171442
Maria Lourdes Charris Ariza
charrisml@uninorte.edu.co
3148413630</t>
  </si>
  <si>
    <t>Sábados Latinoamericanos de Concreto</t>
  </si>
  <si>
    <t>Evento realizado semanalmente los sábados, en el cual se desarrollan espacios en los que se tratan temas relacionados al concreto.</t>
  </si>
  <si>
    <t>GUN-10696</t>
  </si>
  <si>
    <t>Salud sexual y mental en la comunidad LGBTQ</t>
  </si>
  <si>
    <t>A través de un conversatorio se busca educar y eliminar estigmas relacionados con la salud mental que afectan a los miembros de la comunidad lgbt. También se busca explicar como las ITS y el vih afectan el la salud mental.</t>
  </si>
  <si>
    <t>https://drive.google.com/open?id=1Q-41zfjA_0DDxnieLtNeN3rMVi29liH0</t>
  </si>
  <si>
    <t>GUN-10697</t>
  </si>
  <si>
    <t>¿Deberiamos seguir edificando en concreto?</t>
  </si>
  <si>
    <t>El cemento es el ingrediente principal en la producción del concreto (el material más usado en el sector de la construcción a nivel mundial). En esta charla aprenderás sobre cuál es el impacto real que tienen el cemento y el concreto en el calentamiento global y cuales son las estrategias para reducir las emisiones de gases de efecto invernadero a lo largo de su cadena de producción.</t>
  </si>
  <si>
    <t>GUN-10698</t>
  </si>
  <si>
    <t>Nombre: Nicole Sierra Callejas
Correo: ncallejas@uninorte.edu.co
Número de Teléfono: 3104482129</t>
  </si>
  <si>
    <t xml:space="preserve">Charla de Liderazgo y Trabajo en Equipo </t>
  </si>
  <si>
    <t>Se realizará una charla con el propósito de desarrollar habilidades que permitan a los miembros del grupo sobresalir como líderes y desempeñarse satisfactoriamente dentro de un grupo de trabajo.</t>
  </si>
  <si>
    <t>GUN-10699</t>
  </si>
  <si>
    <t>Andrés Romero, aromero@uninorte.edu.co, 3004476066</t>
  </si>
  <si>
    <t>Integración del Area de Innovación</t>
  </si>
  <si>
    <t>Espacio para reforzar la cohesión y confianza entre los miembros del área, mediante actividades interactivas y de trabajo grupal.</t>
  </si>
  <si>
    <t>GUN-10700</t>
  </si>
  <si>
    <t>Julio César Berrocal Pacheco</t>
  </si>
  <si>
    <t>Ventana al futuro - "capacítate para el mañana"</t>
  </si>
  <si>
    <t>"VENTANA AL FUTURO, es un evento piloto el cual convoca a multiples grupos estudiantiles pertenecientes a la universidad del norte con el objetivo de crear un marco de charlas y capacitaciones enfocadas a temáticas del futuro. Sus asistentes tendrán la posibilidad de escuchar a ponentes y expertos los cuales compartirán su experiencias y/o percepción de las industrias que tendrán alta relevancia en el futuro. También sobre temáticas de múltiples áreas las cuales tengan prevalencia para el desarrollo del profesional, y así este podrá prever hacia dónde se dirigen las tendencias del mercado, para que ajuste  su plan de estudios y logre adaptarse al futuro. Esta sería la primera versión del evento. Se realizará entre el jueves 22 de abril y el jueves 29 del mismo mes. Contamos con la participación de los  grupos estudiantiles Astronorte, Aneic, ANEIAP, Innova, Green Gen y Createc. Te invitamos a ser pionero de Ventana al futuro, con tu participación apoyas a que este evento logre posicionarse y así podamos heredar a la comunidad uninorteña un espacio para visionar y comprender hacia dónde se mueve el mundo a lo largo de los años venideros. Bienvenid@! ".</t>
  </si>
  <si>
    <t>https://drive.google.com/open?id=1NbqBuyWgX8A0wbL_wRzUjvQ2CrKVHlFE</t>
  </si>
  <si>
    <t>GUN-10701</t>
  </si>
  <si>
    <t>"La importancia de la ciencia de datos en la actualidad" por el Ponente Daniel Romero. Esta charla está contenida en el evento Ventana al Futuro.</t>
  </si>
  <si>
    <t>"VENTANA AL FUTURO, es un evento piloto el cual convoca a multiples grupos estudiantiles pertenecientes a la universidad del norte con el objetivo de crear un marco de charlas y capacitaciones enfocadas a temáticas del futuro. Sus asistentes tendrán la posibilidad de escuchar a ponentes y expertos los cuales compartirán su experiencias y/o percepción de las industrias que tendrán alta relevancia en el futuro. También sobre temáticas de múltiples areas las cuales tengan prevalencia para el desarrollo del profesional, y así este podrá prever hacia donde se dirigen las tendencias del mercado, para que ajuste  su plan de estudios y logre adaptarse al futuro.
Esta sería la primera versión del evento. Se realizará entre el jueves 22 de abril y el jueves 29 del mismo mes. Contamos con la participación de los  grupos estudiantiles Astronorte, Aneic, ANEIAP, Innova, Green Gen y Createc. Te invitamos a ser pionero de Ventana al futuro, con tu participación apoyas a que este evento logre posicionarse y así podamos heredar a la comunidad uninorteña un espacio para visionar y comprender hacia donde se mueve el mundo a lo largo de los años venideros. Bienvenid@! ".</t>
  </si>
  <si>
    <t>https://drive.google.com/open?id=1J85o04EftlS9rwnrt8sju2wsgr2QVYH-</t>
  </si>
  <si>
    <t>GUN-10702</t>
  </si>
  <si>
    <t>uninortecapaz@uninorte.edu.co</t>
  </si>
  <si>
    <t>UNINORTE CAPAZ</t>
  </si>
  <si>
    <t>José Miguel Herrera Acuña, jmacuna,@uninorte.edu.co, 3154908789</t>
  </si>
  <si>
    <t>Reunióm</t>
  </si>
  <si>
    <t>Se comentará todo lo que se ha hecho durante el semestre y se tocará el cambio de liderazgo que se aproxima.</t>
  </si>
  <si>
    <t>GUN-10703</t>
  </si>
  <si>
    <t>aneiap@uninorte.edu.co</t>
  </si>
  <si>
    <t>https://drive.google.com/open?id=1EzeT5G_G-gvoPGBeM24BBINsaDYamiNW</t>
  </si>
  <si>
    <t>GUN-10704</t>
  </si>
  <si>
    <t>Jose Miguel Herrera Acuña, jmacuna@uninorte.edu.co, 3154908789</t>
  </si>
  <si>
    <t>Reunión</t>
  </si>
  <si>
    <t>GUN-10705</t>
  </si>
  <si>
    <t xml:space="preserve"> Julio César Berrocal Pacheco, julio.berrocal@aneiap.co, 3017349274</t>
  </si>
  <si>
    <t xml:space="preserve"> Ventana al futuro - "capacítate para el mañana"</t>
  </si>
  <si>
    <t>"VENTANA AL FUTURO, es un evento piloto el cual convoca a multiples grupos estudiantiles pertenecientes a la universidad del norte con el objetivo de crear un marco de charlas y capacitaciones enfocadas a temáticas del futuro. Sus asistentes tendrán la posibilidad de escuchar a ponentes y expertos los cuales compartirán su experiencias y/o percepción de las industrias que tendrán alta relevancia en el futuro. También sobre temáticas de múltiples áreas las cuales tengan prevalencia para el desarrollo del profesional, y así este podrá prever hacia dónde se dirigen las tendencias del mercado, para que ajuste  su plan de estudios y logre adaptarse al futuro.
Esta sería la primera versión del evento. Se realizará entre el jueves 22 de abril y el jueves 29 del mismo mes. Contamos con la participación de los  grupos estudiantiles Astronorte, Aneic, ANEIAP, Innova, Green Gen y Createc. Te invitamos a ser pionero de Ventana al futuro, con tu participación apoyas a que este evento logre posicionarse y así podamos heredar a la comunidad uninorteña un espacio para visionar y comprender hacia dónde se mueve el mundo a lo largo de los años venideros. Bienvenid@! ".</t>
  </si>
  <si>
    <t>https://drive.google.com/open?id=1Zy_QBgzwZwZknLGAN216DLCIxRBhNc3R</t>
  </si>
  <si>
    <t>GUN-10706</t>
  </si>
  <si>
    <t>Nombre completo: Juan Jose Campanella De Oro
Correo electrónico: campanellaj@uninorte.edu.co
Teléfono: 3183163328</t>
  </si>
  <si>
    <t>"El impacto de la inteligencia artificial y la robótica en el mercado laboral del futuro, Dr. Winston S. Percybrooks, contenida en el evento Ventana al futuro".</t>
  </si>
  <si>
    <t>https://drive.google.com/open?id=1oZsXQcTmWWU8hcrJ88tK07iV-YnTbrp0</t>
  </si>
  <si>
    <t>GUN-10707</t>
  </si>
  <si>
    <t>Charla sobre el Manejo de la emociones</t>
  </si>
  <si>
    <t>Con motivo de la Semana de la vida preparada por Bienestar Universitario, se hará una charla dictada por la psicóloga Liliana Vellojin. Se hablará de temas como control de emociones, inteligencia emocional a nivel personal y laboral.</t>
  </si>
  <si>
    <t>https://drive.google.com/open?id=1Gserz7pvOcpsy2LiaaqWcKImVZVHCzr8</t>
  </si>
  <si>
    <t>GUN-10708</t>
  </si>
  <si>
    <t>Partners Campus uninorte, partnerscampus@uninorte.edu.co</t>
  </si>
  <si>
    <t xml:space="preserve">Día de la tierra </t>
  </si>
  <si>
    <t xml:space="preserve">Conmemoración día de la tierra mediante posts de concientización en las redes sociales  </t>
  </si>
  <si>
    <t>GUN-10709</t>
  </si>
  <si>
    <t xml:space="preserve">Concurso Fotografía Faunaticos  </t>
  </si>
  <si>
    <t>Se deliberará y de dirán los ganadores del Concurso de fotografía Faunaticos</t>
  </si>
  <si>
    <t>GUN-10710</t>
  </si>
  <si>
    <t>Vanessa Paola De la cruz Viillalba, vpdelacruz@uninorte.edu.co, 3126552561</t>
  </si>
  <si>
    <t>Un camino de pocos</t>
  </si>
  <si>
    <t>Se hablarás aspectos tales como la importancia del esfuerzo para el cumplimiento de nuestras metas</t>
  </si>
  <si>
    <t>GUN-10711</t>
  </si>
  <si>
    <t>Vanessa De la cruz Villalba, vpdelacruz@uninorte.edu.co, 3126552561</t>
  </si>
  <si>
    <t>La verdadera Belleza</t>
  </si>
  <si>
    <t>Un evento dirigido a las mujeres, donde se verán aspectos tales como la belleza interior y cómo esta se ve reflejada en nuestro exterior</t>
  </si>
  <si>
    <t>GUN-10712</t>
  </si>
  <si>
    <t>Vanessa de la cruz Villalba, vpdelacruz@uninorte.edu.co</t>
  </si>
  <si>
    <t>FORGIVE</t>
  </si>
  <si>
    <t>Se tocará el tema del perdón y la importancia en nuestras vidas como jóvenes y el impacto que este trae</t>
  </si>
  <si>
    <t>GUN-10713</t>
  </si>
  <si>
    <t>Juan Pablo Pérez Royero, jproyero@uninorte.edu.co</t>
  </si>
  <si>
    <t>Reunión SyRP del mes de abril</t>
  </si>
  <si>
    <t>Reunión de los miembros de SyRP, con el fin de revisar las actividades del mes que está finalizando</t>
  </si>
  <si>
    <t>GUN-10714</t>
  </si>
  <si>
    <t>¡Celebremos el día de la niñez!</t>
  </si>
  <si>
    <t>Se hará un evento con el fin de celebrar y conmemorar el día del niño, este será el cierre de la semana de la niñez</t>
  </si>
  <si>
    <t>GUN-10715</t>
  </si>
  <si>
    <t>Reunión: Departamento de Censo</t>
  </si>
  <si>
    <t>Se hará un resumen de las actividades del mes y se hablará de las próximas actividades.</t>
  </si>
  <si>
    <t>GUN-10716</t>
  </si>
  <si>
    <t xml:space="preserve">ESCRITURA COMO CATARSIS </t>
  </si>
  <si>
    <t>En el marco del día del libro, se realizará un Live con la escritora Lee Candy , en donde hablaremos sobre como la escritura puede ser un buen tipo de catarsis y como esta puede ayudar a reducir los síntomas del TOC.</t>
  </si>
  <si>
    <t>GUN-10717</t>
  </si>
  <si>
    <t>Mitos y realidades sobre la salud mental.</t>
  </si>
  <si>
    <t>En el marco de la semana por la vida realizaremos una actividad interactiva con la Dra Laura Páez, médico psiquiatra de la universidad, en la que nos hará una pequeña presentación de cómo identificar trastornos de la salud mental tales como ansiedad, depresión, manía, en nosotros mismos y en quienes nos rodean y seguidamente daremos un espacio para que todos puedan hacerle preguntas relacionadas con el tema.</t>
  </si>
  <si>
    <t>https://drive.google.com/open?id=1qqArK43qmSihEqSz_7BobpYd2tm66Ulc</t>
  </si>
  <si>
    <t>GUN-10718</t>
  </si>
  <si>
    <t>Cómo crear una empresa sostenible</t>
  </si>
  <si>
    <t>Charla con con Ana, estudiante de finanzas (@kiru_modasostenible)</t>
  </si>
  <si>
    <t>https://drive.google.com/open?id=1SgjZk6QkODIp8736e5C1iKtuTbZ4K32pnJK1J7phxJQ</t>
  </si>
  <si>
    <t>GUN-10719</t>
  </si>
  <si>
    <t>¿Cómo vemos a otros?</t>
  </si>
  <si>
    <t>Siguiendo con nuestra serie "identidad" hablaremos de cómo el concepto que tenemos de nosotros mismos influye en nuestras relaciones interpersonales y cómo sobreponernos a ello con el fin de no hacer sentir mal a los demás y lograr una convivencia armoniosa</t>
  </si>
  <si>
    <t>GUN-10720</t>
  </si>
  <si>
    <t>rmfontalvo@uninorte.edu.co</t>
  </si>
  <si>
    <t>Descolonización del feminismo: la importancia de las historias para la emancipación femenina</t>
  </si>
  <si>
    <t xml:space="preserve"> El feminismo contemporáneo se difundió a nivel mundial con teorías europeas y norteamericanas. Tras décadas de expansión, la crítica apareció en sus propias filas. A saber, se cuestionaron estos orígenes europeos dado que desconocen las experiencias y los conocimientos de las mujeres de contextos no occidentales. A través de este evento, se busca conversar y profundizar sobre la apuesta dentro del movimiento feminista por producir un conocimiento descolonizador a través de la interculturalidad. </t>
  </si>
  <si>
    <t>https://drive.google.com/open?id=1vrrSJjIotw3U0eqEBD0kZX4b6z71xMoy</t>
  </si>
  <si>
    <t>GUN-10721</t>
  </si>
  <si>
    <t>Meeting Day</t>
  </si>
  <si>
    <t xml:space="preserve">Reunión mensual con los miembros del grupo en la que se realizan actividades que ayudan a la integración y al dinamismo. </t>
  </si>
  <si>
    <t>GUN-10722</t>
  </si>
  <si>
    <t>Ruth Fontalvo, rmfontalvo@uninorte.edu.co</t>
  </si>
  <si>
    <t>Descolonización del feminismo: la importancia de las historias para la emancipación de las mujeres</t>
  </si>
  <si>
    <t xml:space="preserve">El feminismo contemporáneo se difundió a nivel mundial con teorías europeas y norteamericanas. Tras décadas de expansión, la crítica apareció en sus propias filas. A saber, se cuestionaron estos orígenes europeos dado que desconocen las experiencias y los conocimientos de las mujeres de contextos no occidentales. A través de este evento, se busca conversar y profundizar sobre la apuesta dentro del movimiento feminista por producir un conocimiento descolonizador a través de la interculturalidad. </t>
  </si>
  <si>
    <t>https://drive.google.com/open?id=11IbmBRb75PpaYQ6XYv-9gwN09SugeJ7W</t>
  </si>
  <si>
    <t>GUN-10723</t>
  </si>
  <si>
    <t>jeancg@uninorte.edu.co</t>
  </si>
  <si>
    <t>Jean Carlos Gutierrez Romero
Jeancg@uninorte.edu.co
3016788307</t>
  </si>
  <si>
    <t>¿Cómo ser astrónoma y no morir en el intento?</t>
  </si>
  <si>
    <t>Lauren Flor Torres, PhD en astrofísica, divulgadora científica y Cofundadora de CHIA, hablará desde su experiencia los retos que ha tenido que afrontar al desenvolverse en el campo de la astronomía.</t>
  </si>
  <si>
    <t>GUN-10724</t>
  </si>
  <si>
    <t>Comité de relaciones públicas y logística</t>
  </si>
  <si>
    <t xml:space="preserve">Charla con lxs egresadxs </t>
  </si>
  <si>
    <t xml:space="preserve">En este espacio compartiremos con lxs egresadxs del programa de relaciones internacionales de la Universidad del Norte sobre las experiencias que vivieron a lo largo de la carrera, como fue su proceso cuando egresaron y como se han incorporado al mundo laboral. Además, esperamos que sirva de inspiración para los estudiantes y puedan despejar todas las dudas que tengan al respecto. </t>
  </si>
  <si>
    <t>https://drive.google.com/open?id=1RRBm4jmVOc8DVUMKFlICLeNwGnoN9PR_</t>
  </si>
  <si>
    <t>GUN-10725</t>
  </si>
  <si>
    <t>Manejo de las Emociones: Semana de la Vida</t>
  </si>
  <si>
    <t>Durante esta actividad tendremos a una psicóloga invitada que nos hablará sobre el manejo de las emociones en el contexto del voluntariado juvenil, especialmente en tiempos de pandemia.</t>
  </si>
  <si>
    <t>GUN-10726</t>
  </si>
  <si>
    <t>JUNTOS POR LOS NIÑOS</t>
  </si>
  <si>
    <t>Para conmemorar el día del niño, CDIEP se reunió con la PhD. Ana Rita Russo de Sánchez, la directora de Pisotón de la Universidad del Norte. Se habló sobre Pisotón, un programa enfocado en el trabajo con los infantes, una etapa de la vida muy importante en el desarrollo. Los invitamos a ver esta entrevista.</t>
  </si>
  <si>
    <t>GUN-10727</t>
  </si>
  <si>
    <t>Bailando por la vida</t>
  </si>
  <si>
    <t>Se realizará una sesión de zumba de 45 minutos de duración con ritmos latinos y folclore para fomentar la actividad física en nuestros participantes.</t>
  </si>
  <si>
    <t>GUN-10728</t>
  </si>
  <si>
    <t>Moda sostenible: ¿Cómo se fabrica?</t>
  </si>
  <si>
    <t>Charla con Ana Saltarín, estudiante de diseño de modas</t>
  </si>
  <si>
    <t>https://drive.google.com/open?id=1qt_dgbzzFAS0fXjYneIsJou-j1TRlEUbzmwizoOtQvI</t>
  </si>
  <si>
    <t>GUN-10729</t>
  </si>
  <si>
    <t>Comité de relaciones publicas y logistica</t>
  </si>
  <si>
    <t>Las empresas como actores del sistema internacional: el impacto en el medio ambiente.</t>
  </si>
  <si>
    <t xml:space="preserve">En esta charla conoceremos un poco mas sobre el papel que desempeñan las grandes empresas en el sistema internacional, haciendo especial énfasis en analizar de qué manera éstas pueden afectar positiva o negativamente al medio ambiente, cómo lo hacen y qué se podría mejorar a la luz de los distintos tratados internacionales en esta materia. </t>
  </si>
  <si>
    <t>https://drive.google.com/open?id=1lzuEMT_B5GoioAGAlDFxf5Czkzu_t0ZM</t>
  </si>
  <si>
    <t>GUN-10730</t>
  </si>
  <si>
    <t>Laura Betancourt Mercado
laurabetancourt@uninorte.edu.co
3116858841</t>
  </si>
  <si>
    <t>Conceptos básicos e importancia de la investigación en medicina</t>
  </si>
  <si>
    <t>Se realizará, en conjunto con el Grupo de Interés en Medicina Interna, una conferencia inaugural del módulo Investigativo del grupo, en el que abordaremos temas como Beneficios de la investigación, Trascendencia y relevancia, bases de datos, tipos de artículos, consentimiento informado, entre otros; con el fin de ir estableciendo las bases investigativas para los proyectos futuros del grupo. Esta reunión contará con la presencia de todos los miembros del SIGN-UN y también del IMIG_UN.</t>
  </si>
  <si>
    <t>GUN-10731</t>
  </si>
  <si>
    <t>Implementación de Infraestructura verde para mitigación de efectos erosivos, bajo el enfoque de adaptación basada en comunidades.</t>
  </si>
  <si>
    <t>Implementación de Infraestructura verde para mitigación de efectos erosivos, bajo el enfoque de adaptación basada en comunidades.
Conferencia a cargo de Graciela Serna quien viene haciendo proyectos de Infraestructura Verde en Arboletes</t>
  </si>
  <si>
    <t>GUN-10732</t>
  </si>
  <si>
    <t>Elección nueva junta</t>
  </si>
  <si>
    <t>Se realizara las elecciones para la nueva junta antes de acabar el semestre para que tengan un empalme completo</t>
  </si>
  <si>
    <t>GUN-10733</t>
  </si>
  <si>
    <t>Diana Marcela Giraldo Duque 
Correo: giraldomd@uninorte.edu.co
Teléfono: 3202664098
Freddy Jose Regino Montalvo
Correo: fregino@uninorte.edu.co
Teléfono: 3148345811</t>
  </si>
  <si>
    <t>Conoce al IFRS y IASB: Los creadores de las normas internacionales.</t>
  </si>
  <si>
    <t>Este evento se centra en los organismos encargados de crear las NIIF/NIC, es decir, la IFRS y el IASB.
Se explicará quienes son, donde están, su historia y demás.
Estará a cargo de un Contador público.</t>
  </si>
  <si>
    <t>https://drive.google.com/open?id=1EfuIea5lTHXp_ieZYXXBCa__j5dR3wl8</t>
  </si>
  <si>
    <t>GUN-10734</t>
  </si>
  <si>
    <t>Reunión académica: Fisiología del equilibrio ácido-base</t>
  </si>
  <si>
    <t>Se plantea realizar una reunión virtual, para hacer una revisión acerca de la fisiología del equilibrio acido base, la cual es fundamental para comenzar a entender las bases de los gases arteriales, un examen paraclínico de vital importancia que nos permite evaluar la condición del paciente frente a una gran variedad de condiciones medicas.</t>
  </si>
  <si>
    <t>GUN-10735</t>
  </si>
  <si>
    <t>Nombre: Juan Jose Campanella De Oro
Correo electrónico: campanellaj@uninorte.edu.co
Teléfono: 3183163328</t>
  </si>
  <si>
    <t>DIVERSIDAD E INCLUSIÓN: Tareas Pendientes En Las Profesiones STEM</t>
  </si>
  <si>
    <t>La diversidad y la inclusión es un tema que está presente cada vez con mayor frecuencia en los diferentes ámbitos de la sociedad, especialmente en lo referente a las profesiones STEM. Hay todo tipo de actividades que incluyen estos términos. Pero, ¿estamos ante una moda, o realmente la diversidad y la inclusión es un tema trascendental en las disciplinas STEM? Y si así fuera, ¿qué gana la sociedad con ello?</t>
  </si>
  <si>
    <t>https://drive.google.com/open?id=1Kszk9HnBHeRutRY6_jK7sV_NTyiOkc_M</t>
  </si>
  <si>
    <t>GUN-10736</t>
  </si>
  <si>
    <t xml:space="preserve">Corrupción e inestabilidad política: una mirada desde la política colombiana. </t>
  </si>
  <si>
    <t>La inestabilidad política es un fenómeno que ha estado presente desde el nacimiento de las frágiles democracias latinoamericanas. No obstante, el caso colombiano ha sido bastante singular por los problemas de gobernabilidad y los vacíos de poder que han existido a lo largo de la historia del país. A través de este evento, realizado en conjunto por CERI y Juventudes Críticas, se busca analizar cómo un factor tan extendido como la corrupción puede incitar a la inestabilidad política o empeorar los efectos producidos por esta.</t>
  </si>
  <si>
    <t>https://drive.google.com/open?id=1Jk8ar8WXOCxTZYM4ERuXvK7o-wj6xgQo</t>
  </si>
  <si>
    <t>GUN-10737</t>
  </si>
  <si>
    <t>Mariana Castaño Lozada, Marianacastano@uninorte.edu.co, 3116241769</t>
  </si>
  <si>
    <t xml:space="preserve">Curso corto: Generalidades de Mendeley, revisión bibliográficas y citas </t>
  </si>
  <si>
    <t xml:space="preserve">El presente curso se crea con la intención de brindar orientación básica para la elaboración de trabajos, proyectos y demás con la ayuda del gestor bibliográfico Mendeley. Dirigido a la comunidad de ciencias de la salud de la Universidad del Norte y miembros activos de ACOEEN (asociación colombiana de enfermeros). Tiene una duración de aproximadamente 5 horas, días 29 y 30 de abril.
Primera sesión
Introducción a Mendeley
Creando una cuenta en Mendeley
Instalando el software
Creando nuestra primera librería 
Manejando tu librería 
Lector de PDF
Utilizando los Plug-in
Crear y unirse a grupos para compartir referencias.
Segunda sesión 
Búsqueda bibliográficas y citas en ciencias de la salud
Bases de datos más utilizadas en salud (Elsevier, Epistemonikos, Scielo, WOS, etc.)
Citación normas Vancouver y APA 7ma edición)
</t>
  </si>
  <si>
    <t>GUN-10738</t>
  </si>
  <si>
    <t>Santiago De Jesus Mercado Castro dsmercado@uninorte.edu.co 3008196382</t>
  </si>
  <si>
    <t>M &amp; Chill</t>
  </si>
  <si>
    <t xml:space="preserve">M &amp; Chill es un espacio en donde los miembros del grupo estudiantil Zaratustra hacen recomendaciones de libros, películas, series, anime y manga. Todo esto con el fin de fomentar la discusión entre los miembros. </t>
  </si>
  <si>
    <t>GUN-10739</t>
  </si>
  <si>
    <t>GUN-10740</t>
  </si>
  <si>
    <t>GUN-10741</t>
  </si>
  <si>
    <t>GUN-10742</t>
  </si>
  <si>
    <t xml:space="preserve">Club de lectura las hojas de otoño </t>
  </si>
  <si>
    <t>El club de lectura las hojas de otoño es un espacio en donde los miembros del grupo Zaratustra se reúnen a hablar de literatura. Previamente habrá una selección de cuentos será y el más votado será analizado en cada sesión, un evento dirigido por el departamento de literatura de Zaratustra.</t>
  </si>
  <si>
    <t>GUN-10743</t>
  </si>
  <si>
    <t>Club de lectura las hojas de otoño</t>
  </si>
  <si>
    <t>GUN-10744</t>
  </si>
  <si>
    <t>GUN-10745</t>
  </si>
  <si>
    <t>GUN-10746</t>
  </si>
  <si>
    <t>GUN-10747</t>
  </si>
  <si>
    <t>Ruth Fontalvo, rmfontalvo@uninorte.edu.co; 3043870920; Raul Lugo, rslugo@uninorte.edu.co, 3012263801; Yuliana Martínez, ybmartinez@uninorte.edu.co, 3015351109</t>
  </si>
  <si>
    <t xml:space="preserve"> Corrupción e inestabilidad política: una mirada desde la política colombiana</t>
  </si>
  <si>
    <t xml:space="preserve">La inestabilidad política es un fenómeno que ha estado presente desde el nacimiento de las frágiles democracias latinoamericanas. No obstante, el caso colombiano ha sido bastante singular por los problemas de gobernabilidad y los vacíos de poder que han existido a lo largo de la historia del país. A través de este evento, se busca analizar cómo un factor tan extendido como la corrupción puede incitar a la inestabilidad política o empeorar los efectos producidos por esta. </t>
  </si>
  <si>
    <t>https://drive.google.com/open?id=1MTnRKSHdrT1szd3BH01qurCGQ4hwRnCN</t>
  </si>
  <si>
    <t>GUN-10748</t>
  </si>
  <si>
    <t xml:space="preserve">Charla: Exoesqueletos. Aplicaciones, investigaciones y retos a futuro. </t>
  </si>
  <si>
    <t>Una charla brindada por el profesor del departamento de ingeniería mecánica Jovanny Pacheco acerca de los exoesqueletos, abarcando sus aplicaciones y discutir su futuro.</t>
  </si>
  <si>
    <t>https://drive.google.com/open?id=1ndzy8Eaha8P8kLmU5fbBqNplNZRLG_6Z</t>
  </si>
  <si>
    <t>GUN-10749</t>
  </si>
  <si>
    <t>Despedida de semestre</t>
  </si>
  <si>
    <t xml:space="preserve">Reunión en la cual se hará el cierre del semestre y de la junta </t>
  </si>
  <si>
    <t>GUN-10750</t>
  </si>
  <si>
    <t>Intercambios en el internado.</t>
  </si>
  <si>
    <t>Con la invitación de la Ing. Laura Angarita Álvarez coordinadora del programa de medicina y en conjunto con el comité estudiantil de medicina (CEM), se planea realizar una reunión para conocer acerca de los requisitos, pasos a seguir y toda la información necesaria para llevar a cabo un intercambio durante el internado, un periodo de vital importancia para los estudiantes de medicina que culmina la carrera y nos consolida como médicos.</t>
  </si>
  <si>
    <t>GUN-10751</t>
  </si>
  <si>
    <t>De Niña a Ingeniera: Capítulo 3</t>
  </si>
  <si>
    <t>Conoce a las ingenieras civiles Yelenka Núñez, ganadora de medalla de plata, y Verónica Abuchar, ganadora de medalla de oro, en uninorte 2020-03. En este capítulo Verónica y Yelenka darán paso a la trayectoria de sus vidas, compartiendo consejos y próximas aspiraciones, haciendo énfasis en aquello que les permitió convertirse en la mujer que son ahora.</t>
  </si>
  <si>
    <t>https://drive.google.com/open?id=1cVcC5VuD7qSCqww67isdwKaK8hBNcLTj</t>
  </si>
  <si>
    <t>GUN-10752</t>
  </si>
  <si>
    <t>Andrea Lucía Paternina Tordecilla, 3013493143, tordecillaa@uninorte.edu.co</t>
  </si>
  <si>
    <t>Reunión del equipo de hogares temporales</t>
  </si>
  <si>
    <t>Reunión de socialización de ideas y actualización de actividades</t>
  </si>
  <si>
    <t>GUN-10753</t>
  </si>
  <si>
    <t xml:space="preserve">Osvaldo José Díaz Ricardo, rosvaldo@uninorte.edu.co, 318 5218801 
Santiago José Castro Montealegre, sjmontealegre@uninorte.edu.co, 3124667634 
</t>
  </si>
  <si>
    <t xml:space="preserve"> Inteligencia emocial </t>
  </si>
  <si>
    <t xml:space="preserve">Esta charla tiene como objetivo conocer sobre la inteligencia emocional  y cuan impresindible es en el area de los negocios. </t>
  </si>
  <si>
    <t>GUN-10754</t>
  </si>
  <si>
    <t>MED - Charla del dpto: Cuidados Generales</t>
  </si>
  <si>
    <t>Tips y consejos relevantes que se deben saber a la hora de adoptar un gato para que se pueda sentir cómodo en su nuevo hogar y tenga una vida plena y saludable</t>
  </si>
  <si>
    <t>GUN-10755</t>
  </si>
  <si>
    <t xml:space="preserve">Evento realizado semanalmente los sábados, en el cual se desarrollan espacios en los que se tratan temas relacionados al concreto.
</t>
  </si>
  <si>
    <t>GUN-10756</t>
  </si>
  <si>
    <t>comité de relaciones públicas y logistica</t>
  </si>
  <si>
    <t>Formando líderes desde la región caribe</t>
  </si>
  <si>
    <t>Este espacio creado por los grupos estudiantiles CERI y Juventudes Criticas, pretende apoyar esa formación enfocada en potenciar el liderazgo de los jóvenes en la región caribe, para que así logremos contribuir positivamente a la sociedad y ser agentes de transformación.</t>
  </si>
  <si>
    <t>https://drive.google.com/open?id=1vOcSNrgZdE2RKKB563NWUFhIcg3sZUBv</t>
  </si>
  <si>
    <t>GUN-10757</t>
  </si>
  <si>
    <t>Alisson Abello Escorcia - alissona@uninorte.edu.co - 3113858638</t>
  </si>
  <si>
    <t>Cineforo/integración interna</t>
  </si>
  <si>
    <t>Se tendrá un espacio de integración interna a manera de cineforo de reflexión con la película: Promising Young Woman</t>
  </si>
  <si>
    <t>GUN-10758</t>
  </si>
  <si>
    <t>Santiago De Jesus Mercado Castro 
dsmercado@uninorte.edu.co 
3008196382 
Saray José Cudris Fernández 
sarayf@uninorte.edu.co 
3002377034</t>
  </si>
  <si>
    <t>Reflexiones sobre el deber y el querer: Un vistazo a las negociaciones en la sociedad</t>
  </si>
  <si>
    <t>El departamento de Filosofía de Zaratustra invita a la reflexión que se va a partir de los esquemas de los personajes principales de la obra de teatro The importance of being Earnest, se van a abordar los conceptos de deber, entendido como obligación social y el deseo, como voluntad personal. Tendiendo en cuanto las distintas posiciones de autores como Platón y Hume</t>
  </si>
  <si>
    <t>GUN-10759</t>
  </si>
  <si>
    <t xml:space="preserve">Sebastian Londoño Gómez </t>
  </si>
  <si>
    <t xml:space="preserve">CEIM ASME webinar series </t>
  </si>
  <si>
    <t xml:space="preserve">5ta edición de nuestra serie de webinars </t>
  </si>
  <si>
    <t>https://drive.google.com/open?id=1f5Wg-Cc0Hxz2ROSogitydgIGgzI4yxoi</t>
  </si>
  <si>
    <t>GUN-10760</t>
  </si>
  <si>
    <t>Moda Circular</t>
  </si>
  <si>
    <t>Conversatorio entre Natali Paez y Ana Saltarín</t>
  </si>
  <si>
    <t>https://drive.google.com/open?id=1PRQoTO9wdcfbmRDy4kVNZ7MXUX9wfqIgJgLnmth58Zw</t>
  </si>
  <si>
    <t>GUN-10761</t>
  </si>
  <si>
    <t>Reunión del dpto de Medicina</t>
  </si>
  <si>
    <t>Se socializarán las actividades hechas en el mes y se hablarán sobre las actividades del mes siguiente.</t>
  </si>
  <si>
    <t>GUN-10762</t>
  </si>
  <si>
    <t>Integración del dpto de Medicina</t>
  </si>
  <si>
    <t>Un momento para conocernos entre los miembros del dpto y pasar un rato chévere con algunas dinámicas.</t>
  </si>
  <si>
    <t>GUN-10763</t>
  </si>
  <si>
    <t>Felicine</t>
  </si>
  <si>
    <t>Miembros de todo el grupo se reunirán a ver la película Interstelar</t>
  </si>
  <si>
    <t>GUN-10764</t>
  </si>
  <si>
    <t>isabella Gonzalez Torres, isabellatorres@uninorte.edu.co, 3135806828</t>
  </si>
  <si>
    <t xml:space="preserve">Semilla Emprende </t>
  </si>
  <si>
    <t xml:space="preserve">Se realizará la segunda versión de semilla emprede junto al programa de univoluntarios </t>
  </si>
  <si>
    <t>GUN-10765</t>
  </si>
  <si>
    <t>Campaña EQUN x Uninorte Incluyente: De todo un poco</t>
  </si>
  <si>
    <t>Durante una semana se estarán subiendo posts diarios en la cuenta de Uninorte Incluyente en instagram. Cada día, a manera de campaña, se tocará un tema importante a visibilizar, se compartirá una frase, y conoceremos mucho más acerca de estos dos grupos estudiantiles.</t>
  </si>
  <si>
    <t>GUN-10766</t>
  </si>
  <si>
    <t>After U: ¿Qué hay después de la U?</t>
  </si>
  <si>
    <t>Campaña organizada por ANEIC Uninorte para el mes de mayo, donde el eje temático de todos los eventos de este mes será la preparación para la vida profesional y que sucede después de terminar la carrera universitaria.</t>
  </si>
  <si>
    <t>GUN-10767</t>
  </si>
  <si>
    <t>Andrés Galvis G
3008402324
galvisga@uninorte.edu.co</t>
  </si>
  <si>
    <t>after U - Que hay después de la U</t>
  </si>
  <si>
    <t xml:space="preserve">Distintos grupos estudiantiles se unen a una campaña especial basada en la preparación de la vida profesional de los estudiantes. Razon por la cual en conjunto con Bienestar Universitario y la coordinación de preparación de la Vida Labora, se he denominado a mayo como "Que hay despues de la U", por lo cual se realizaran una serie de eventos transversales con esa tematica.
</t>
  </si>
  <si>
    <t>https://drive.google.com/open?id=1WBMQME7NmjzJnaOo0IQUK5W0j7mtkc2o</t>
  </si>
  <si>
    <t>GUN-10768</t>
  </si>
  <si>
    <t>¿Qué cuidados Operacionales debemos tener y que Fallas podrían ocurrir si no lo hiciéramos? Parte 2: Calderas Acuatubulares</t>
  </si>
  <si>
    <t>https://drive.google.com/open?id=12b-tRK4KnMPLxn1Wa8TfmtFw4uAdYylk</t>
  </si>
  <si>
    <t>GUN-10769</t>
  </si>
  <si>
    <t>Catalina Salazar (csalazarl@uninorte.edu.co - 321 7548635)
Diego Barragán (dbarragana@uninorte.edu.co - 317 5541636)</t>
  </si>
  <si>
    <t>Cosmocine: cine y política</t>
  </si>
  <si>
    <t xml:space="preserve">Evento en el cual se invita a la comunidad a participar de una jornada recreativa en donde se podrá entretener y aprender a la vez con la película Erin Brockovich, una mujer audaz. </t>
  </si>
  <si>
    <t>GUN-10770</t>
  </si>
  <si>
    <t>Qué hay después de la U? Afrontando el miedo al fracaso laboral</t>
  </si>
  <si>
    <t>Charla con especialistas en el mundo laboral y cómo afrontar este así como sus fracasos.</t>
  </si>
  <si>
    <t>GUN-10771</t>
  </si>
  <si>
    <t>Afrontando el miedo al fracaso laboral</t>
  </si>
  <si>
    <t>Evento en el marco de la campaña After U: ¿Qué hay Después de la U? en colaboración con los grupos estudiantiles CESG, InNOVA, CEIM, CEARQ</t>
  </si>
  <si>
    <t>GUN-10772</t>
  </si>
  <si>
    <t>AFRONTANDO EL MIEDO AL FRACASO LABORAL</t>
  </si>
  <si>
    <t>Evento en alianza con ANEIC en el marco de la campaña de "¿Qué hay después de la U?". Contaremos con la participación del profesional Carlos Arciniegas Trespalacios y la profesional Angélica Gonzales Blanco quienes abordarán temas tales como miedo al fracaso laboral, comunicación asertiva, mercado laboral, espectativas profesionales, etc</t>
  </si>
  <si>
    <t>GUN-10773</t>
  </si>
  <si>
    <t>Spill The FeminTea: Chapter 3</t>
  </si>
  <si>
    <t xml:space="preserve">Conversatorio interno con la invitada Valentina Hereira sobre fotos y consentimiento. </t>
  </si>
  <si>
    <t>https://drive.google.com/open?id=1gk9kIZ3zBNvB-llZnmbGkDgzRGhSAvR1</t>
  </si>
  <si>
    <t>GUN-10774</t>
  </si>
  <si>
    <t xml:space="preserve">Campaña de Mujer y Medio Ambiente </t>
  </si>
  <si>
    <t xml:space="preserve">Campaña en redes sociales sobre la mujer y el medio ambiente con conversatorios y talleres. </t>
  </si>
  <si>
    <t>GUN-10775</t>
  </si>
  <si>
    <t>Aprovechamiento de energías del Océano mediante Conversores de Oleaje</t>
  </si>
  <si>
    <t>Aprovechamiento de energías del Océano mediante Conversores de Oleaje
Conferencista: Profesor Gabriel Ruiz Martínez, Investigador del Instituto Mexicano de Tecnología del Agua (IMTA)</t>
  </si>
  <si>
    <t>GUN-10776</t>
  </si>
  <si>
    <t>Charla: Proceso de diseño y construcción de embarcaciones en Colombia</t>
  </si>
  <si>
    <t xml:space="preserve">Charla con Edwin Paipa Sanabria. Ingeniero Naval y Magister en Ingeniería Naval. En esta charla se hablará un poco acerca del proceso de diseño y construcción de embarcaciones. </t>
  </si>
  <si>
    <t>https://drive.google.com/open?id=1myZJnb0EXRGN6i0fAlMEQgNNGXCvQVpR</t>
  </si>
  <si>
    <t>GUN-10777</t>
  </si>
  <si>
    <t>GUN-10778</t>
  </si>
  <si>
    <t>¿Qué hay después de la u?</t>
  </si>
  <si>
    <t>Espacio en el que los estudiantes se podrán capacitar acerca la salida al mundo laboral de la mano de egresados uninorteños.</t>
  </si>
  <si>
    <t>GUN-10779</t>
  </si>
  <si>
    <t>Espacio en el que los estudiantes se podrán capacitar acerca de la salida al mundo laboral de la mano de egresados uninorteños.</t>
  </si>
  <si>
    <t>GUN-10780</t>
  </si>
  <si>
    <t>Ruth Fontalvo, rmfontalvo@uninorte.edu.co, 3043870920; Yuliana Martínez, ybmartinez@uninorte.edu.co, 3015351109; Raul Lugo, rslugo@uninorte.edu.co, 3012263801</t>
  </si>
  <si>
    <t>Formando líderes desde la Región Caribe</t>
  </si>
  <si>
    <t>Capacitación organizada por los grupos estudiantiles CERI y Juventudes Críticas con el fin de formar a los futuros líderes de la región Caribe</t>
  </si>
  <si>
    <t>https://drive.google.com/open?id=15wwJbfN5D2w62tN8f6TphCtU3q3MD9ll</t>
  </si>
  <si>
    <t>GUN-10781</t>
  </si>
  <si>
    <t>smcarbono@uninorte.edu.co</t>
  </si>
  <si>
    <t>SKETCH A ESCALA</t>
  </si>
  <si>
    <t>Desde el grupo estudiantil CEARQ queremos realizar una charla practica enfocada en fortalecer las habilidades de sketch y todos los retos que este trae, debido a que es una de las dificultades que más presentan los estudiantes de arquitectura y son habilidades necesarias para el desarrollo profesional. Pensando principalmente en cómo la práctica y el mejoramiento de estas habilidades en algún momento se vería evidenciado en las actividades de los ejercicios académicos "RAPIDOS", nace el espacio SKETCH A ESCALA.</t>
  </si>
  <si>
    <t>GUN-10782</t>
  </si>
  <si>
    <t xml:space="preserve">Desde el grupo estudiantil CEARQ queremos realizar una charla practica enfocada en fortalecer las habilidades de sketch y todos los retos que esto conlleva, debido a que se ha evidenciado que es una de las dificultades que los estudiantes de arquitectura más presentan y son habilidades necesarias para el desarrollo profesional. </t>
  </si>
  <si>
    <t>GUN-10783</t>
  </si>
  <si>
    <t>Catalina Salazar (csalazarl@uninorte.edu.co - 321 7548635)
Jovana Velazco (jovanav@uninorte.edu.co - 305 3521515)</t>
  </si>
  <si>
    <t>Voces 28A</t>
  </si>
  <si>
    <t xml:space="preserve">Es un evento cuyo propósito es escuchar las voces y experiencias que han vivido estudiantes de la comunidad universitario en el marco del paro nacional que inició el pasado 28 de abril, hablando sobre cómo ejercieron su derecho a la protesta y la represión policial que algunos(as) de ellos(as) vivieron. </t>
  </si>
  <si>
    <t>GUN-10784</t>
  </si>
  <si>
    <t>vpdelacruz@uninorte.edu.co</t>
  </si>
  <si>
    <t>Inquebrantable</t>
  </si>
  <si>
    <t xml:space="preserve">Es un evento que tratará el tema de cómo superar circunstancias difíciles, aprender de estas y crecer </t>
  </si>
  <si>
    <t>GUN-10785</t>
  </si>
  <si>
    <t>Vanessa de la cruz Villalba. vpdelacruz@uninorte.edu.co</t>
  </si>
  <si>
    <t>Cine foro de la película: Desafío sobre olas</t>
  </si>
  <si>
    <t xml:space="preserve">Luego de ver la película se realizará un foro donde se hablará de temas como la superación personal </t>
  </si>
  <si>
    <t>GUN-10786</t>
  </si>
  <si>
    <t>Grupo CERI</t>
  </si>
  <si>
    <t>Geopolítica en tiempos de pandemia</t>
  </si>
  <si>
    <t xml:space="preserve">Este evento será realizado en el marco de nuestro foro "Covid-19 en perspectiva de las Relaciones Internacionales", y hará parte del lanzamiento de la Sociedad de Relaciones Internacionales (SERI) por parte del Grupo estudiantil CERI en conjunto con 4 universidades mas del país. </t>
  </si>
  <si>
    <t>https://drive.google.com/open?id=1bNFZmxCH6P7cf8LMv2MHINguxqdRGgID</t>
  </si>
  <si>
    <t>GUN-10787</t>
  </si>
  <si>
    <t>Grupos estudiantiles CERI, Juventudes Críticas, Cosmopolítica, FeminUN, en conjunto con Resistencia Uninorte.</t>
  </si>
  <si>
    <t xml:space="preserve">Fundamentos del Paro Nacional y Garantías de la Protesta Social. </t>
  </si>
  <si>
    <t xml:space="preserve">El presente foro surge en la coyuntura del actual Paro Nacional impulsado por diversos sectores de la sociedad, con el objetivo de generar un espacio de pensamiento crítico y reflexión desde la academia respecto a los fundamentos y las garantías de la protesta social. </t>
  </si>
  <si>
    <t>https://drive.google.com/open?id=1Zi0kFMGfaVjAsfLh_oSAFGmxi7mvv_QU</t>
  </si>
  <si>
    <t>GUN-10788</t>
  </si>
  <si>
    <t xml:space="preserve">Ruth Maria Fontalvo Jimenez, rmfontalvo@uninorte.edu.co, +57 304 3870920, FeminUn, Cosmopolitica, CERI </t>
  </si>
  <si>
    <t>Fundamentos del Paro Nacional y Garantías de la Protesta Social</t>
  </si>
  <si>
    <t>https://drive.google.com/open?id=1TxJynPURsIqJx91wCKmfm5ouEXskNaS0</t>
  </si>
  <si>
    <t>GUN-10789</t>
  </si>
  <si>
    <t xml:space="preserve">Laura </t>
  </si>
  <si>
    <t>Artículo del mes</t>
  </si>
  <si>
    <t>Creación y publicación de infografías en redes sociales a partir de un nuevo artículo científico en nuestra sección del Artículo del Mes. Se hará una síntesis del artículo y se abordarán los tópicos más importantes, entre ellos el objetivo, marco teórico y conclusiones. También se dará acceso directo a dicho escrito para todo el que esté interesado en leerlo.</t>
  </si>
  <si>
    <t>GUN-10790</t>
  </si>
  <si>
    <t>Conceptos básicos e importancia de la investigación en medicina.</t>
  </si>
  <si>
    <t>Publicación en redes sociales sobre nuestra próxima reunión liderada por el eje investigativo del grupo.</t>
  </si>
  <si>
    <t>GUN-10791</t>
  </si>
  <si>
    <t xml:space="preserve">Este Foro se encuentra organizado por los grupos estudiantiles Cosmopolítica, Juventudes Críticas, CERI y Resistencia Uninorte; todos pertenecientes a la Universidad del Norte. El presente foro surge en la coyuntura del actual Paro Nacional impulsado por diversos sectores de la sociedad, con el objetivo de generar un espacio de pensamiento crítico y reflexión desde la academia respecto a los fundamentos y las garantías de la protesta social. </t>
  </si>
  <si>
    <t>https://drive.google.com/open?id=1iQbhVzngx7E3_Em1OcyP8JcWzZ2S_mbY</t>
  </si>
  <si>
    <t>GUN-10792</t>
  </si>
  <si>
    <t>Catalina Salazar (csalazarl@uninorte.edu.co - 321 7548635)
Jovana Velazco (jovanav@uninorte.edu.co - 305 3521515)
Samantha Castro (samanthac@uninorte.edu.co - 300 3711347)
Sofia Martínez (sofiaq@uninorte.edu.co - 304 3869773)</t>
  </si>
  <si>
    <t>Fundamentos del paro nacional y garantías de la protesta social</t>
  </si>
  <si>
    <t xml:space="preserve">Es un evento que nace de la unión de cosmopolítica con otros grupos estudiantiles (Juventudes Críticas, FemiUN, CERI y Resistencia Uninorte) con el fin de discutir sobre los fundamentos de los cuales surge el paro nacional, el derecho a la protesta en Colombia y las garantías que este derecho posee, entre otras inquietudes que puedan surgir. </t>
  </si>
  <si>
    <t>https://drive.google.com/open?id=1hOFy1lkDrvMgCtucjjMo0i0AMxZC2Q64</t>
  </si>
  <si>
    <t>GUN-10793</t>
  </si>
  <si>
    <t>Laura Mercedes Betancourt Mercado
laurabetancourt@uninorte.edu.co
3116858841</t>
  </si>
  <si>
    <t>Revisión de tema/taller de Lectura científica</t>
  </si>
  <si>
    <t>Actividad dirigida por el SIGN-UN en asociación con el Grupo estudiantil IMIG-UN. Reunión con todos los miembros de ambos grupos con el fin de hacer una revisión de tema y posteriormente un taller sobre la Lectura Científica, entre los tópicos a tratar se incluye: Niveles de evidencia, revistas científicas confiables, ¿Cómo leer un artículo científico?, partes de un artículo, gestores bibliográficos, etc.</t>
  </si>
  <si>
    <t>GUN-10794</t>
  </si>
  <si>
    <t>Panel de egresados: La verdadera cara del mundo laboral</t>
  </si>
  <si>
    <t>Evento en el marco de la campaña After U: ¿Qué hay Después de la U? en colaboración con los grupos estudiantiles PANGEA, VOLTA, IEEE, ANEIAP</t>
  </si>
  <si>
    <t>GUN-10795</t>
  </si>
  <si>
    <t>NeuroHistory: Santiago Ramón Y Cajal.</t>
  </si>
  <si>
    <t>Creación y publicación de contenido en redes sociales en nuestra sección de NeuroHistory, esta vez conmemorando otro año de natalicio de Santiago Ramón y Cajal. Se abordarán algunos aspectos de su vida y algunos de sus hallazgos más trascendentales para las neurociencias, así como uno de sus reconocimientos más importantes: El premio Nobel en Fisiología y Medicina en 1906.</t>
  </si>
  <si>
    <t>GUN-10796</t>
  </si>
  <si>
    <t xml:space="preserve"> Congreso Nacional de capitulos de Computer Society IEEE</t>
  </si>
  <si>
    <t>En esta oportunidad la Rama Estudiantil de la Universidad Distrital F.J.C.,  tiene el gusto de invitarl@s a la intervención de conferencias organizadas por el capítulo Computer Society, el cual en esta ocasión presenta:
"El Primer Congreso nacional de capítulos Computer Society IEEE Colombia 2021" 
Este evento será realizado de este Lunes 03 al Viernes 07 de mayo de 2021. 
Por favor inscríbete a todas las actividades organizadas para esta semana, a través del siguiente formulario:
https://docs.google.com/forms/d/e/1FAIpQLSfdpescyzMWVovs0ZyspIq2JUMCUlj8Xt_ziD9QYA5nI6ubzA/viewform</t>
  </si>
  <si>
    <t>GUN-10797</t>
  </si>
  <si>
    <t>Ciclo de Conferencias Académicas ACI Latinoamérica</t>
  </si>
  <si>
    <t>ACI Latinoamérica, en conjunto con diferentes capítulos estudiantiles ACI del continente, se encuentran organizando el "Ciclo de Conferencias Académicas", en el cual se tratarán temas relacionados al concreto.</t>
  </si>
  <si>
    <t>GUN-10798</t>
  </si>
  <si>
    <t xml:space="preserve"> Foro Con Quienes Nos Inspiran. Vol. 2</t>
  </si>
  <si>
    <t>-Título: Foro Con Quienes Nos Inspiran. Vol. 2
-Descripción: Foro que se enfocará en dar a conocer los proyectos y las experiencias de las docentes en su camino como ingenieras, al igual que discutir soluciones para la problemática de la desigualdad de género en este mismo campo. Con el fin de divulgar la influencia y el gran impacto que han tenido en nuestro día a día.
-Fecha y hora: viernes 7 de mayo, 10:30-12:30
-Enlace: https://www.youtube.com/watch?v=1fl_zqrCuMg
-Invitadas:
-Amparo Camacho (Ing. Sistemas)
-Maria Calle (Ing. Eléctrica y Electrónica)
-Daniela Charris (Ing. Eléctrica y Electrónica)
-Virginia Paredes (Ing. Mecánica)
-Ingrid Oliveros (Ing. Eléctrica y Electrónica)
-Adriana Arango (Ing. Eléctrica y Electrónica)</t>
  </si>
  <si>
    <t>https://drive.google.com/open?id=15gaGdjJ14yb_2FRpwyd9r6glwy8t3bEK</t>
  </si>
  <si>
    <t>GUN-10799</t>
  </si>
  <si>
    <t>Charla MED: Salud Emocional Felina</t>
  </si>
  <si>
    <t>Dar a conocer que los gatos no son animales insensibles que solo sufren de manera física, sino que también hay enfermedades mentales que pueden padecer y otras enfermedades relacionadas ligadas a las diversas emociones que ellos pueden sentir</t>
  </si>
  <si>
    <t>GUN-10800</t>
  </si>
  <si>
    <t xml:space="preserve">El proceso de vacunación: Multilateralismo vs nacionalismo. </t>
  </si>
  <si>
    <t>https://drive.google.com/open?id=1NHOA2nT3sGUfXKgwVszUy6V93pBPJIGx</t>
  </si>
  <si>
    <t>GUN-10801</t>
  </si>
  <si>
    <t>"15 días en..."Quinta temática: Proyectos</t>
  </si>
  <si>
    <t xml:space="preserve">Quinta temática del proyecto "15 días en", en esta se publicará contenido variado. La idea es crear una sección en la cual se publiquen proyectos de distintas asignaturas para que los estudiantes puedan acceder a ellos e investigarlos, y a su vez ser publicitados. Esto se hará en la página de Blogs del CEIM, y la dinámica será postear en ella un ‘preview’ de los proyectos partiendo de su resumen e introducción, seguido a ello se añadirá el enlace que dirija al texto completo. En el caso excepcional de que el proyecto no esté terminado o aprobado, en lugar del enlace, se mencionará que está próximo a publicar. </t>
  </si>
  <si>
    <t>GUN-10802</t>
  </si>
  <si>
    <t>Revisión académica: Gases arteriales: Indicaciones, valores normales e interpretación de sus alteraciones.</t>
  </si>
  <si>
    <t>Siguiendo con el módulo de gases arteriales, en esta reunión se busca hacer una revisión académica acerca de las indicaciones, valores normales e interpretaciones de los gases arteriales, un examen de vital importancia para la evaluación, diagnóstico y pronóstico de gran variedad de entidades clínicas.
La charla está a cargo de los(as) estudiantes: Adyefferys Rivera,	Daniela Rodríguez Sierra y Karmen Pugliese, miembros del grupo IMIG-UN</t>
  </si>
  <si>
    <t>GUN-10803</t>
  </si>
  <si>
    <t>Lina Marcela Díaz Vitola - mlvitola@uninorte.edu.co - 3218501209
María Camila Amador Sanabria - amadorcm@uninorte.edu.co - 3015924548
Natalia Paola Cotes Mozo - mozon@uninorte.edu.co - 3043588331
Aleina Sofia Gazabon Barros - aleinag@uninorte.edu.co - 3148196214</t>
  </si>
  <si>
    <t>Catedra Barranquilla</t>
  </si>
  <si>
    <t>Conoce los grupos estudiantiles encaminados a empoderar a la mujer en uninorte.</t>
  </si>
  <si>
    <t>Cátedra Barranquilla</t>
  </si>
  <si>
    <t>GUN-10804</t>
  </si>
  <si>
    <t>Rostros cubiertos y encubiertos: La protesta y el comportamiento grupal</t>
  </si>
  <si>
    <t xml:space="preserve">En el marco de la coyuntura nacional, se abrió un espacio para conversar acerca de las dinámicas sociales que se están dando en estos momentos. Contamos con la participación de Fabián David Buelvas y Jorge Palacios </t>
  </si>
  <si>
    <t>GUN-10805</t>
  </si>
  <si>
    <t>Nombre: Manuela Andrade y Luisa Vélez 
Correo: manuelaandrade@uninorte.edu.co y velezlf@uninorte.edu.co 
Número de Teléfono: Manuela 3017626760 - Luisa 3172232778</t>
  </si>
  <si>
    <t xml:space="preserve"> Reunión de área (explorando habilidades)</t>
  </si>
  <si>
    <t xml:space="preserve"> Se busca generar espacios en donde los miembros del grupo pongan a prueba sus habilidades y debilidades individuales y grupales. Se desarrollarán actividades lúdicas durante los espacios de reuniones semanales del área, en estos espacios se buscan desarrollar y potencializar habilidades como: trabajo en equipo, escucha, comunicación asertiva, liderazgo, etc</t>
  </si>
  <si>
    <t>GUN-10806</t>
  </si>
  <si>
    <t xml:space="preserve">Reunión de área Innovación </t>
  </si>
  <si>
    <t>socialización de la etapa de implementación y seguimiento de los procesos de consultoría de innovación, en las distintas áreas de CEO. Presentación de informes.</t>
  </si>
  <si>
    <t>GUN-10807</t>
  </si>
  <si>
    <t>Caso Innovación - Salva a Ralph   sin morir en el intento.</t>
  </si>
  <si>
    <t xml:space="preserve">Espacio para fomentar la capacidad creativa e innovadora de los CEO members, mediante la busqueda de soluciones y alternativas efectivas para las empresas que testean productos cosméticos en animales.
</t>
  </si>
  <si>
    <t>GUN-10808</t>
  </si>
  <si>
    <t>ACERCAMIENTO A ALGUNOS ASPECTOS GEOTÉCNICOS DE PROYECTOS HIDROELÉCTRICOS</t>
  </si>
  <si>
    <t>El grupo estudiantil ANEIC Uninorte en apoyo a la Ing. Lina Torregrosa, profesora catedrática del departamento de ingeniería civil y ambienta presentan la conferencia ACERCAMIENTO A ALGUNOS ASPECTOS GEOTÉCNICOS DE PROYECTOS HIDROELÉCTRICOS, a cargo del ING. MAURICIO JIMENEZ GARCIA, DIRECTOR DE LA SUPERVISIÓN INTEGRAL DEL MACRO PROYECTO PLAN JARILLÓN DE CALI.</t>
  </si>
  <si>
    <t>GUN-10809</t>
  </si>
  <si>
    <t>Evento realizado semanalmente los sábados, en el cual se desarrollan espacios en los que se tratan temas relacionados al concreto.\</t>
  </si>
  <si>
    <t>GUN-10810</t>
  </si>
  <si>
    <t>GUN-10811</t>
  </si>
  <si>
    <t>Construyendo un país de la mano de abogados</t>
  </si>
  <si>
    <t xml:space="preserve">Es un evento en el cual se busca conversar con abogados expertos sobre la crisis social y política que atraviesa Colombia, en el cual se da paso a exponer las razones o posibles razones del estallido social y las posibles soluciones y vías frente al tema. </t>
  </si>
  <si>
    <t>https://drive.google.com/open?id=1HvvQb7hmgZkREIJ1x1qo93Y76X0U9Eub</t>
  </si>
  <si>
    <t>GUN-10812</t>
  </si>
  <si>
    <t>Construyendo un país de la mano de politólogos e internacionalistas</t>
  </si>
  <si>
    <t xml:space="preserve">El evento como un espacio en el cual se exponen las razones o posibles razones por las que nace la problemática social que se ha vivido en Colombia desde el pasado 28 de abril, y las posibles soluciones a tomar. Así mismo, de la mano de nuestros profesores invitados, se intenta despejar las dudas surgidas a raíz de la situación actual del país. </t>
  </si>
  <si>
    <t>https://drive.google.com/open?id=1xBpGAzMBxrBNzAz8bEWyOxCoD_PhkGsn</t>
  </si>
  <si>
    <t>GUN-10813</t>
  </si>
  <si>
    <t>Ballroom 101</t>
  </si>
  <si>
    <t xml:space="preserve">El evento tiene como propósito realizar una contextualización sobre que es la cultura del ballroom, de donde viene y su conexión con el voguing. </t>
  </si>
  <si>
    <t>https://drive.google.com/open?id=1OTlgqZIk3gyqD64nMnrKTnZSKnze6Wqf</t>
  </si>
  <si>
    <t>GUN-10814</t>
  </si>
  <si>
    <t>Valentina Lee Perneth, vlee@uninorte.edu.co, 3023589991</t>
  </si>
  <si>
    <t>Día del profesor</t>
  </si>
  <si>
    <t>Reunión virtual en celebración a los maestros en su día</t>
  </si>
  <si>
    <t>GUN-10815</t>
  </si>
  <si>
    <t>Publicación de un video en Instagram en honor a los profesores. (@ceimuninorte)</t>
  </si>
  <si>
    <t>GUN-10816</t>
  </si>
  <si>
    <t>Violencia de género en el paro nacional</t>
  </si>
  <si>
    <t>Conversatorio sobre la violencia de género en el paro nacional con varias invitadas</t>
  </si>
  <si>
    <t>https://drive.google.com/open?id=1iwbaqDDT_POPp-RDIBpDlZjNRyOYExZE</t>
  </si>
  <si>
    <t>GUN-10817</t>
  </si>
  <si>
    <t>Catalina Salazar (csalazarl@uninorte.edu.co - 321 7548635)
Jovana Velazco (jovanav@uninorte.edu.co - 305 3521515)
Samantha Castro (samanthac@uninorte.edu.co)
José Guillermo Álvarez (jgalvarez@uninorte.edu.co)</t>
  </si>
  <si>
    <t xml:space="preserve">"Hágale lo que quiera" Violencias de genero en el paro </t>
  </si>
  <si>
    <t>Evento pensado para tratar temas relacionados con la violencia de género en el marco del Paro Nacional.</t>
  </si>
  <si>
    <t>https://drive.google.com/open?id=1iImuA1FEc3Lts_Co2lzLpWxwPWkfoi7M</t>
  </si>
  <si>
    <t>GUN-10818</t>
  </si>
  <si>
    <t>El facilitador de sueños</t>
  </si>
  <si>
    <t xml:space="preserve">Evento en el marco de la campaña After U: ¿Qué hay Después de la U? en colaboración con el grupo estudiantil IEEE </t>
  </si>
  <si>
    <t>GUN-10819</t>
  </si>
  <si>
    <t xml:space="preserve">Ballroom en Colombia y Latinoamérica </t>
  </si>
  <si>
    <t>El evento tiene como propósito resaltar la cultura del ballroom en Colombiana y Latinoamérica, escuchando de la boca de las "madres" de dos casa importante de Colombia y México.</t>
  </si>
  <si>
    <t>https://drive.google.com/open?id=1MPcgJWrdUdDpS3zRql2f9s9E_OIhu7ls</t>
  </si>
  <si>
    <t>GUN-10820</t>
  </si>
  <si>
    <t xml:space="preserve"> Cuéntaselo al mural </t>
  </si>
  <si>
    <t>La actividad consistía en un mural en Padlet, en el cual los miembros de CEM Uninorte encontraban preguntas tales como: “¿Cómo te has sentido últimamente? y si tuvieras que elegir 4 emociones que más te han visitado recientemente, ¿Cuáles serían?”. Las respuestas podían ser de forma anónima y además estas se podían responder para que en caso tal una persona le quisiera dejar un mensaje cariño o apoyo a otra persona pudiera hacerlo.</t>
  </si>
  <si>
    <t>GUN-10821</t>
  </si>
  <si>
    <t>Maria Linero- 3166204826- mclinero@uninorte.edu.co</t>
  </si>
  <si>
    <t xml:space="preserve"> Ágora conversa: perspectivas económicas de la coyuntura actual colombiana </t>
  </si>
  <si>
    <t>Colombia ha sido un país que prima por su biodiversidad, cultura y carisma de sus habitantes; no obstante, su densa historia ha dejado rezagos económicos, políticos y sociales que se han extendido e intensificado hasta la actualidad. 
Actualmente el país no solo atraviesa por los estragos que trajo consigo el coronavirus, sino también por una serie de manifestaciones, inestabilidad política, crisis económica y social junto a enfrentamientos entre ciudadanos y la fuerza pública como consecuencias de la Reforma Tributaria, Reforma a la Salud, y otras medidas del Gobierno colombiano. Ágora conversa: perspectivas económicas de la coyuntura actual colombiana busca exponer distintos puntos de vista de increíbles economistas sobre la situación que afronta el país, analizar los retos; por último, proponer y evaluar posibles soluciones que incentiven el crecimiento económico y la estabilidad del país.</t>
  </si>
  <si>
    <t>https://drive.google.com/open?id=1gknA8565xZCCGkh15INklq70DtqIeIen</t>
  </si>
  <si>
    <t>GUN-10822</t>
  </si>
  <si>
    <t>De Niña a Matemática: Capítulo Especial</t>
  </si>
  <si>
    <t>Conoce a las matemáticas Karen Cecilia Florez Lozano y Luz Adriana Mejía Castaño, docentes de la Universidad del Norte. En este capítulo especial Karen Cecilia y Luz Adriana darán paso a la trayectoria de sus vidas, haciendo énfasis en aquello que les permitió convertirse en las mujeres que son ahora.</t>
  </si>
  <si>
    <t>https://drive.google.com/open?id=1qWyaknLCSZXY0bsQlXT1uKvDqXsSSP5_</t>
  </si>
  <si>
    <t>GUN-10823</t>
  </si>
  <si>
    <t>Laura Margarita Tinoco Gloria -lmtinoco@uninorte.edu.co - 3015042428
Isabela Urrego Rodriguez - iurrego@uninorte.edu.co -9293164949
Melanie Michelle Pacheco Caballero - mpachecom@uninorte.edu.co - 3023504488</t>
  </si>
  <si>
    <t xml:space="preserve"> Día internacional de la Mujer y niña en ciencia</t>
  </si>
  <si>
    <t xml:space="preserve">
De acuerdo con los pilares de esta gestión se trabajo en conjunto con SCORA CEM UNINORTE y CEM UNILIBRE para celebrar este día Internacional con el fin de recordar la importancia de estas mujeres y niñas para la eduación médica. </t>
  </si>
  <si>
    <t>GUN-10824</t>
  </si>
  <si>
    <t>Juliana Paola Martínez Rivera	- pjrivera@uninorte.edu.co - 3233630369</t>
  </si>
  <si>
    <t>Reunión 002 - CEM Uninorte</t>
  </si>
  <si>
    <t>Se realizó una reunión con la asamblea general para la presentación de consejo directivo y junta directiva, y la feria de comités para que los miembros se familiaricen con la estructura del CEM y se integren a las actividades de estos.</t>
  </si>
  <si>
    <t>GUN-10825</t>
  </si>
  <si>
    <t>Alvaro Enrique Pabuena Bello	- apabuena@uninorte.edu.co	- 3007150099</t>
  </si>
  <si>
    <t xml:space="preserve"> Día mundial del implante coclear</t>
  </si>
  <si>
    <t>Se realizó una infografía en conmemoración al día mundial del implante coclear en el que se añadía información sobre el tema.</t>
  </si>
  <si>
    <t>GUN-10826</t>
  </si>
  <si>
    <t>Puericultura para todxs</t>
  </si>
  <si>
    <t>Se realizaron 3 entregas de vídeos informativos y educativos sobre temas de puericultura, específicamente:  lactancia materna, alimentación complementaria y sueño.</t>
  </si>
  <si>
    <t>GUN-10827</t>
  </si>
  <si>
    <t>Planifica Barranquilla</t>
  </si>
  <si>
    <t>Se abordó a las personas que transitaban en el Boulevard de Buenavista en la ciudad de Barranquilla dándoles información sobre planificación familiar, regalándoles preservativos donados por la fundación Oriéntame y además se les regaló una pequeña tarjeta con información sobre el tema.</t>
  </si>
  <si>
    <t>GUN-10828</t>
  </si>
  <si>
    <t>Alvaro Enrique Pabuena Bello	- apabuena@uninorte.edu.co	- c3007150099</t>
  </si>
  <si>
    <t>Muévete contra la obesidad</t>
  </si>
  <si>
    <t>Esta actividad consistió en un challenge en el que los participantes debían elaborar videos informativos sobre la obesidad bailando al ritmo de cualquier canción utilizando las plataformas de tik tok o instagram.</t>
  </si>
  <si>
    <t>GUN-10829</t>
  </si>
  <si>
    <t>Reunión 003 - CEM Uninorte</t>
  </si>
  <si>
    <t>Se realizó una reunión con asamblea general para brindar información sobre las actividades próximas a realizar y una capacitación sobre cultura científica.</t>
  </si>
  <si>
    <t>GUN-10830</t>
  </si>
  <si>
    <t>Sariana Pérez Salgado- sarianap@.uninorte.edu.co - 3104201106</t>
  </si>
  <si>
    <t>Vídeo 8M</t>
  </si>
  <si>
    <t xml:space="preserve">Realizamos un video junto al grupo estudiantil FeminUN en el que comentamos la historia del 8M y la importancia de la conmemoración de este dia </t>
  </si>
  <si>
    <t>GUN-10831</t>
  </si>
  <si>
    <t>Sariana Pérez Salgado	sarianap@.uninorte.edu.co	3104201106</t>
  </si>
  <si>
    <t>Día internacional de la felicidad</t>
  </si>
  <si>
    <t>Realizamos una actividad que consistió en compartir por historias de instagram un momento feliz etiquetando a @cemuninorte y usando el #HappinessDay</t>
  </si>
  <si>
    <t>GUN-10832</t>
  </si>
  <si>
    <t xml:space="preserve">Manual de hábitos para ahorrar agua </t>
  </si>
  <si>
    <t xml:space="preserve">Realizamos una infografía en la que dimos a conocer diferentes hábitos para disminuir el consumo de agua y como utilizarla o usarla de manera más consciente </t>
  </si>
  <si>
    <t>GUN-10833</t>
  </si>
  <si>
    <t>Sariana Pérez Salgado - sarianap@.uninorte.edu.co - 3104201106
Isabela Urrego Rodriguez - iurrego@uninorte.edu.co - 9293164949
Alvaro Enrique Pabuena Bello - apabuena@uninorte.edu.co - 3007150099
Laura Margarita Tinoco Gloria - lmtinoco@uninorte.edu.co - 3015042428
Raúl Fernando Vega Alvear - alvearr@uninorte.edu.co - 3178802555</t>
  </si>
  <si>
    <t>Actualización sobre cáncer de cérvix</t>
  </si>
  <si>
    <t>En este día conmemorativo, en conjunto con CEM UNILIBRE, se realizaron 2 charlas para hablar sobre el Cáncer de Cérvix en una transmisión vía Youtube live; la primera sobre epidemiología y promoción y prevención del cáncer de cuello uterino y la segunda sobre infección por virus del papiloma humano, vacunación y nuevos conceptos. La actividad contó con certificación.</t>
  </si>
  <si>
    <t>GUN-10834</t>
  </si>
  <si>
    <t xml:space="preserve">3ra Charla: Enfermedad de Huntington </t>
  </si>
  <si>
    <t>Con el objetivo de recordar la importancia de esta enfermedad, la charla se llevó a cabo en conjunto con LOMES de otras universidades cumpliendo con los principales objetivos de esta gestión: mejorar la educación médica.</t>
  </si>
  <si>
    <t>GUN-10835</t>
  </si>
  <si>
    <t>¿Qué tanto sabes sobre el autismo?</t>
  </si>
  <si>
    <t xml:space="preserve">Realizamos una trivia con preguntas a cerca de la incidencia, los síntomas y las generalidades del autismo  </t>
  </si>
  <si>
    <t>GUN-10836</t>
  </si>
  <si>
    <t>Publicación de artículo de opinión para la Gazeta del departamento de Ciencias Políticas y Relaciones Internacionales</t>
  </si>
  <si>
    <t>GUN-10837</t>
  </si>
  <si>
    <t>Reunión 004 - CEM Uninorte</t>
  </si>
  <si>
    <t>Se realizó una reunión con asamblea general con el objetivo de brindar información sobre próximas actividades y hacer un espacio de esparcimiento de salud mental.</t>
  </si>
  <si>
    <t>GUN-10838</t>
  </si>
  <si>
    <t>Katheryn Dayana Ely Padilla	kely@uninorte.edu.co	3012328552</t>
  </si>
  <si>
    <t>Reto saludable</t>
  </si>
  <si>
    <t>Se realizó una plantilla de Bingo virtual con retos para hacer diferentes actividades durante la semana, publicadas en la plataforma de Instagram y compartidas por Whatsapp.</t>
  </si>
  <si>
    <t>GUN-10839</t>
  </si>
  <si>
    <t>Sariana Pérez Salgado - sarianap@.uninorte.edu.co - 3104201106
Isabela Urrego Rodriguez - iurrego@uninorte.edu.co - 9293164949</t>
  </si>
  <si>
    <t>Como intentar ser vegano/a sin morir en el intento</t>
  </si>
  <si>
    <t xml:space="preserve">Realizamos una charla junto a SCOME, liderada por la Dra. Sindy Taborda Peña, sobre los mitos del veganismo, las maneras de incursionar en este estilo de vida, los alimentos y vitaminas que no pueden faltar en la dieta, entre otros  </t>
  </si>
  <si>
    <t>GUN-10840</t>
  </si>
  <si>
    <t>“Crash Course” en Infecciones de transmisión sexual. Todo lo que debes saber.</t>
  </si>
  <si>
    <t xml:space="preserve">Se realizó un conversatorio sobre las ITS más prevalentes, que son, como identificarlas y prevenirlas. </t>
  </si>
  <si>
    <t>GUN-10841</t>
  </si>
  <si>
    <t>Influencia del Ballroom en la cultura</t>
  </si>
  <si>
    <t>El evento  tendrá el propósito de resaltar el ballroom y el voguing, haciendo enfasis en el impacto ue ha tenido cultura del ballroom en la cultura pop, música, moda, arte, etc.</t>
  </si>
  <si>
    <t>https://drive.google.com/open?id=1dJXcaEJwRXffl-ZREc7ef6HAuz2LG87g</t>
  </si>
  <si>
    <t>GUN-10842</t>
  </si>
  <si>
    <t>https://drive.google.com/open?id=1RewcpNwDIDYhMmRbwc3NcgQBntlR7WMA</t>
  </si>
  <si>
    <t>GUN-10843</t>
  </si>
  <si>
    <t>beatriz elena castro pacheco, becastro@uninorte.edu.co, 3012028440</t>
  </si>
  <si>
    <t>charla con ingeniero</t>
  </si>
  <si>
    <t xml:space="preserve">fue una charla que se llevo a cabo con un ingeniero egresado de la u, con experiencia en configuración de proyectos de generación de la energía. </t>
  </si>
  <si>
    <t>https://drive.google.com/open?id=1JftRaGCPB7Qlae51lT57lOP-AUbSfeLb</t>
  </si>
  <si>
    <t>GUN-10844</t>
  </si>
  <si>
    <t>melyssas@uninorte.edu.co</t>
  </si>
  <si>
    <t>Melyssa Solano Diaz, melyssas@uninorte.edu.co, 3205353729</t>
  </si>
  <si>
    <t>¿Cómo y por qué iniciar una carrera en ciberseguridad?</t>
  </si>
  <si>
    <t xml:space="preserve">La demanda de profesionales de ciberseguridad sigue en aumento: se prevee que esta industria crecerá en un 31% en los próximos 10 años. Procesos acelerados de transformación digital y la adopción del teletrabajo como consecuencia de la pandemia causada por COVID-19 han creado nuevos desafíos y escenarios de ataque para las organizaciones. En esta charla se presentarán diversas estrategias para iniciar una carrera en ciberseguridad y múltiples campos de acción para los profesionales de esta industria. </t>
  </si>
  <si>
    <t>https://drive.google.com/open?id=16ewOaT3tInohcPuR1-lkiM__nUDAJXL_</t>
  </si>
  <si>
    <t>GUN-10845</t>
  </si>
  <si>
    <t>Acercamiento a algunos aspectos geotécnicos de proyectos hidroeléctricos</t>
  </si>
  <si>
    <t>Actividad organizada por la profesora Lina Torregroza, dictada por el ingeniero Mauricio Jiménez. La actividad es de ANEIC, nos encontramos haciendo una colaboración publicitaria con el fin de que la charla tenga mayor alcance.</t>
  </si>
  <si>
    <t>GUN-10846</t>
  </si>
  <si>
    <t>De Niña a Ingeniera</t>
  </si>
  <si>
    <t>Buen día para todos y todas☀️  En esta ocasión les invitamos al evento “De Niña a Ingeniera”, un espacio en el que junto al grupo estudiantil W-STEM hemos preparado para ti, donde podrás conocer sobre el asombroso recorrido y el origen de su pasión en la ingeniería de una de nuestras docentes de Uninorte, Adriana Arango, quien es Ingeniera Electricista y advisor en WIE, caracterizada por ser muy dedicada en su labor✨  Acompáñanos a conocer más sobre ella, el día Viernes 14 de Mayo a las 2:30 p.m., a través del siguiente link: 🔗 https://uninorte.zoom.us/meeting/register/tZUlf-qqqDwqGdJ8mJl3VSuQv5ahTd4K6l1t  ¡Te esperamos!😉</t>
  </si>
  <si>
    <t>GUN-10847</t>
  </si>
  <si>
    <t>Publicación en el blog de Bienestar universitario</t>
  </si>
  <si>
    <t>GUN-10848</t>
  </si>
  <si>
    <t>¿Cómo y por qué iniciar una carrera en Ciberseguridad?</t>
  </si>
  <si>
    <t xml:space="preserve">La demanda de profesionales de ciberseguridad sigue en aumento: se prevé que esta industria crecerá en un 31% en los próximos 10 años. Procesos acelerados de transformación digital y la adopción del teletrabajo como consecuencia de la pandemia causada por COVID-19 han creado nuevos desafíos y escenarios de ataque para las organizaciones. En esta charla se presentarán diversas estrategias para iniciar una carrera en ciberseguridad y múltiples campos de acción para los profesionales de esta industria. </t>
  </si>
  <si>
    <t>https://drive.google.com/open?id=1UaFToo17QrauYtTb57Dr27BxmCPnh_6F</t>
  </si>
  <si>
    <t>GUN-10849</t>
  </si>
  <si>
    <t>Proceso de selección: ¿Qué ven las empresas en mí?</t>
  </si>
  <si>
    <t>Evento en el marco de la campaña After U: ¿Qué hay Después de la U?</t>
  </si>
  <si>
    <t>GUN-10850</t>
  </si>
  <si>
    <t>Ruth Maria Fontalvo, rmfontalvo@uninorte.edu.co, 3043870920</t>
  </si>
  <si>
    <t>Banalidad del mal en los uniformados, ¿Manzanas podridas o una institución decadente?</t>
  </si>
  <si>
    <t>En la coyuntura del país se analizará las razones del actuar de la fuerza pública y posibles soluciones</t>
  </si>
  <si>
    <t>https://drive.google.com/open?id=1umy_Pn_w9_wNjA6wq4foJAkCZeESMy3K</t>
  </si>
  <si>
    <t>GUN-10851</t>
  </si>
  <si>
    <t>Isabella Peña Lazaro</t>
  </si>
  <si>
    <t>Movilidad internacional: Primeros pasos hacia tu futuro</t>
  </si>
  <si>
    <t>Conversatorio con los ingenieros industriales invitados Jorge Peña, Luis Barbosa, Maria Paola Coba y Tatiana Prada quienes nos hablarán acerca de sus distintas experiencias en las opciones de movilidad internacional y los retos que tuvieron que afrontar en sus países de destino.</t>
  </si>
  <si>
    <t>https://drive.google.com/open?id=1iEhRReEq0xgmz7Lc09d2xltaVwJiAQ9l</t>
  </si>
  <si>
    <t>GUN-10852</t>
  </si>
  <si>
    <t>X JORNADA DE AVANCES EN PSICOLOGÍA: FORENSE</t>
  </si>
  <si>
    <t>Jornada de Avances en Psicología, siendo la temática de este año la psicología forense, focalizada a la conducta criminal. Contará con la participación de ponentes locales, nacionales e internacionales, que ofrecerán 8 ponencias, los días 14 y 15 de mayo. Es un evento apoyado por el departamento de psicología, la universidad del Norte, ASCOFAPSI, Y COLPSIC. Jornada con certificación.</t>
  </si>
  <si>
    <t>GUN-10853</t>
  </si>
  <si>
    <t xml:space="preserve">De Niña a Ingeniera: Capítulo Final </t>
  </si>
  <si>
    <t>Conoce a la doctora Adriana Arango Manrique, ingeniera eléctrica y docente de la Universidad del Norte. En este capítulo Adriana dará paso a la trayectoria de su vida y compartiendo consejos, haciendo énfasis en aquello que le permitió lograr las metas que se ha propuesto a lo largo de su vida.</t>
  </si>
  <si>
    <t>https://drive.google.com/open?id=1MiMHVJH2XMmEJVBi5w0-J3kTzH3tPz0_</t>
  </si>
  <si>
    <t>GUN-10854</t>
  </si>
  <si>
    <t>Capacitación: Técnicas de escritura de e-mails y expresión oral</t>
  </si>
  <si>
    <t xml:space="preserve">Capacitación para miembros de la división dictada por la docente del departamento de español Emiluz Jaraba Ospino. La capacitación será acerca de técnicas para escribir correos electrónicos y para expresión oral. </t>
  </si>
  <si>
    <t>https://drive.google.com/open?id=1_vRF4dMSVsbLyHcNGdO-VtYsqVz1_a2-</t>
  </si>
  <si>
    <t>GUN-10855</t>
  </si>
  <si>
    <t>Generación eólica: situación y perspectiva</t>
  </si>
  <si>
    <t>Dr. Carlos Veganzones es ingeniero Industrial Universidad Politécnico de Barcelona y Dr. Ingeniero Industrial por la Universidad Politécnica de Madrid desde el año 1990. Su área de investigación actual está especialmente dirigida al diseño de accionamientos eléctricos para Generación Eólica.</t>
  </si>
  <si>
    <t>https://drive.google.com/open?id=1DboJX91HbTajFNcxed6bp0s6w4Xp_0cB</t>
  </si>
  <si>
    <t>GUN-10856</t>
  </si>
  <si>
    <t>Asamblea</t>
  </si>
  <si>
    <t>Todo el grupo se reunirá para recibir información y compartir</t>
  </si>
  <si>
    <t>GUN-10857</t>
  </si>
  <si>
    <t>Comité de Relaciones Públicas</t>
  </si>
  <si>
    <t xml:space="preserve"> La internacionalización del proceso de paz: una mirada desde la política exterior.</t>
  </si>
  <si>
    <t>El proceso de paz en Colombia ha pasado por distintos momentos a lo largo de la historia, en los cuales la comunidad internacional ha desempeñado un papel fundamental. Por esta razón, CERI en conjunto con la RedIntercol han organizado este espacio con el fin de conocer la internacionalización de este proceso, ya que permite analizar cómo se ha dado ese apoyo por parte de distintos actores del sistema internacional, y como han respaldado, desde múltiples enfoques, la constante búsqueda de la paz. De igual manera, buscamos entender, bajo la lupa de la política exterior del país, cómo se conjugan todas las dinámicas que alteran ese objetivo y cuestionan la situación actual de la paz, y responder el interrogante de si ha habido un avance, un retroceso o un estancamiento.</t>
  </si>
  <si>
    <t>https://drive.google.com/open?id=1oNHli20Iw9k8RpIine4htQNpxHuka-bk</t>
  </si>
  <si>
    <t>GUN-10858</t>
  </si>
  <si>
    <t>IISE,ANEIAP</t>
  </si>
  <si>
    <t>Movilidad nacional: Primeros pasos hacia tu futuro</t>
  </si>
  <si>
    <t>Conversatorio con egresados exitosos que nos contaran de su experiencia de vida al haber realizado movilidad nacional, practicas y otras modalidades ofrecidas por la universidad.</t>
  </si>
  <si>
    <t>GUN-10859</t>
  </si>
  <si>
    <t>ASAMBLEA GENERAL: ELECCIONES JUNTA DIRECTIVA</t>
  </si>
  <si>
    <t>Espacio  virtual entre los estudiantes pertenecientes a la asamblea general del grupo estudiantil y la junta directiva CEARQ, en el cual, se debaten temas acerca de las actividades que se realizaron y se realizaran, opiniones acerca de la experiencia dentro del grupo estudiantil y en esta última versión se realizará la presentación y votación de los postulantes a la nueva junta directiva.</t>
  </si>
  <si>
    <t>GUN-10860</t>
  </si>
  <si>
    <t>GUN-10861</t>
  </si>
  <si>
    <t>Keren Jemima Sarmiento Pérez
3003374444
kerens@uninorte.edu.co</t>
  </si>
  <si>
    <t>Semiodatos: Miosis, midriasis y anisocoria</t>
  </si>
  <si>
    <t>Creación y publicación de contenido en redes sociales (historias de instagram) para la sección de Semiodatos, los términos abarcados esta vez son: Miosis, Midriasis y Aninsocoria.</t>
  </si>
  <si>
    <t>GUN-10862</t>
  </si>
  <si>
    <t xml:space="preserve">Este evento será realizado en conjunto por la alianza de grupos estudiantiles Juventudes Críticas Y Comité de estudiantes de Relaciones Internacionales (CERI), ambos pertenecientes a la Universidad del Norte. </t>
  </si>
  <si>
    <t xml:space="preserve">Derechos humanos y garantía de protesta pacífica. </t>
  </si>
  <si>
    <t xml:space="preserve">Se buscará realizar una capacitación en la que se detalla a grandes rasgos cómo está legitimada la protesta pacífica como un derecho en nuestra constitución, así mismo que instituciones legales protegen a los colombianos en el caso de que estos derechos sean vulnerados y que procedimientos deben realizar para acceder a estos. </t>
  </si>
  <si>
    <t>https://drive.google.com/open?id=1AVZkgKjGCWdkP-7LDRyjIdXoUEWIMVtz</t>
  </si>
  <si>
    <t>GUN-10863</t>
  </si>
  <si>
    <t>Envío de artículo a bienestar</t>
  </si>
  <si>
    <t>Envío de artículo para su revisión y publicación en el blog de Bienestar universitario</t>
  </si>
  <si>
    <t>GUN-10864</t>
  </si>
  <si>
    <t>Anatomía Vascular: Revisión de tema</t>
  </si>
  <si>
    <t>Reunión con todos los miembros del grupo en la que se hará una revisión académica sobre la anatomía vascular, dirigida por los miembros activos Antony Trocha y Alberto Henríquez en compañía y supervisión de los tutores académicos, y cubrirá lo respectivo a la circulación anterior y posterior del encéfalo.</t>
  </si>
  <si>
    <t>GUN-10865</t>
  </si>
  <si>
    <t>Ruth Fontalvo, 3043870920, rmfontalvo@uninorte.edu.co; Raul Lugo, 3012263801, rslugo@uninorte.edu.co, Yuliana Martínez, 3015351109, ybmartinez@uninorte.edu.co</t>
  </si>
  <si>
    <t>Derechos humanos y garantía de protesta pacífica</t>
  </si>
  <si>
    <t xml:space="preserve">Desde los grupos estudiantiles CERI y Juventudes Críticas, se buscará realizar una capacitación en la que se detalla a grandes rasgos cómo está legitimada la protesta pacífica como un derecho en nuestra constitución, así mismo que instituciones legales protegen a los colombianos en el caso de que estos derechos sean vulnerados y que procedimientos deben realizar para acceder a estos. </t>
  </si>
  <si>
    <t>https://drive.google.com/open?id=1OC4X3yHxYO0d-K2Y4Z5htCTbk8SSDoiQ</t>
  </si>
  <si>
    <t>GUN-10866</t>
  </si>
  <si>
    <t>Se buscará realizar una capacitación en la que se detalla a grandes rasgos cómo está legitimada la protesta pacífica como un derecho en nuestra constitución, así mismo que instituciones legales protegen a los colombianos en el caso de que estos derechos sean vulnerados y que procedimientos deben realizar para acceder a estos.</t>
  </si>
  <si>
    <t>https://drive.google.com/open?id=1yR_LfBKVwvbtGwp66zzm38OrY0PJZi29</t>
  </si>
  <si>
    <t>GUN-10867</t>
  </si>
  <si>
    <t>GUN-10868</t>
  </si>
  <si>
    <t>¡Para!, es hora de expresarnos</t>
  </si>
  <si>
    <r>
      <rPr/>
      <t xml:space="preserve">¡Para!, es hora de expresarnos 📢📝✍️
Taller de asistencia psicológica 🤍
Tallerista: Daniela Rosero (psicóloga)
En este taller se tratará sobre ¿qué son los primeros auxilios psicológicos?, seguido de una actividad de meditación como forma de expresión de emociones; de este manera se creará un espacio seguro de escucha y sanación. Atrévete a conocerte y a ayudar a todas aquellas personas que pueden ser  afectadas por situaciones como la que estamos viviendo en Colombia actualmente.
Sábado 22 de mayo, 9: 00 a 10:30 am
Valor: gratis
Por Zoom 💙
Inscripción: </t>
    </r>
    <r>
      <rPr>
        <color rgb="FF1155CC"/>
        <u/>
      </rPr>
      <t>https://forms.gle/6D2SMqFiwjkZw5Di9</t>
    </r>
  </si>
  <si>
    <t>GUN-10869</t>
  </si>
  <si>
    <t>Vanessa Paola Gutierrez Echeverry. 
3016041336 
vecheverry@uninorte.edu.co</t>
  </si>
  <si>
    <t>Caso clínico Neuropediatría</t>
  </si>
  <si>
    <t>Actividad conjunta con el SIGN de la Universidad Militar Nueva Granada en la que se abordará un caso clínico de Neuropediatría. La dinámica estará dirigida por un miembro del SIGN-UMNG y uno de SIGN UN, con la participación de tutores y demás miembros de ambos grupos.</t>
  </si>
  <si>
    <t>GUN-10870</t>
  </si>
  <si>
    <t>isabella gonzalez torres, isabellatorres@uninorte.edu.co, 3135806828</t>
  </si>
  <si>
    <t>Se realizará la ultima reunión del semestre en donde se resaltará la participación de 23 miembros que deben finalizar su tiempo en pangea</t>
  </si>
  <si>
    <t>GUN-10871</t>
  </si>
  <si>
    <t>Sensibilización sobre prevención de violencias basada en género y rutas de atención</t>
  </si>
  <si>
    <t xml:space="preserve">Taller dictado por la Oficina de La Mujer de la Alcaldía de Barranquilla, conoce sobre las rutas de Atención y la prevención de las violencias de genero.
</t>
  </si>
  <si>
    <t>https://drive.google.com/open?id=1qytxxHnHvQlLhCoXQ19XjkO6XYW6Kcu8</t>
  </si>
  <si>
    <t>GUN-10872</t>
  </si>
  <si>
    <t>Dios en la ciencia: ¿Es la Biblia confiable?</t>
  </si>
  <si>
    <t>Muchas veces nos preguntamos de dónde viene la Biblia, quién la organizó, quién decidió que fueran precisamente esos libros y no otros escritos en la época los que deberían aparecer y ser leídos; así que esta reunión es para conversar acerca de eso y resolver las dudas que tengamos. Se hará inicialmente una dinámica y posteriormente una charla estilo conferencia.</t>
  </si>
  <si>
    <t>GUN-10873</t>
  </si>
  <si>
    <t>Interpretación de la radiografía de tórax y uso en la práctica clínica</t>
  </si>
  <si>
    <t>Se inicia el modulo de Imagenología comenzando por un tema realmente importante que es la Interpretación de la radiografía de tórax y uso en la práctica clínica, examen médico de gran importancia clínica para el diagnóstico, pronostico y tratamiento de gran variedad de condiciones patologicas, a cargo del estudiante Daniel Del Castillo y el Dr. Internista Jose Atilio Nuñez.</t>
  </si>
  <si>
    <t>https://drive.google.com/open?id=1Ml0WIwjopfIM4zH2nVXABJKuBRResTzB</t>
  </si>
  <si>
    <t>GUN-10874</t>
  </si>
  <si>
    <t xml:space="preserve">Seminario de calderas </t>
  </si>
  <si>
    <t>Mecanismos de daños que podemos tener en una caldera ¿En que basarnos para hacer un plan de Inspección? Parte 1: Calderas Pirotubulares</t>
  </si>
  <si>
    <t>https://drive.google.com/open?id=13GTFONiK2YD3d0APUD41ywdoF0cWWvn4</t>
  </si>
  <si>
    <t>GUN-10875</t>
  </si>
  <si>
    <t>Taller de voguing</t>
  </si>
  <si>
    <t>Se busca enseñar a los participantes de la historia del vogue y como es llevarlo a la practica.</t>
  </si>
  <si>
    <t>https://drive.google.com/open?id=1DnIj_6Cao4u_lJG-V9WyFnlqw5sKJq5C</t>
  </si>
  <si>
    <t>GUN-10876</t>
  </si>
  <si>
    <t>Integración final de semestre</t>
  </si>
  <si>
    <t>Se hará la última reunión del semestre. Se prepararán una serie de juegos, se entregarán los reconocimientos a los voluntarios destacados y se enviará la encuesta de satisfacción.</t>
  </si>
  <si>
    <t>GUN-10877</t>
  </si>
  <si>
    <t>Asamblea de Despedida 2021-10</t>
  </si>
  <si>
    <t>Espacio para conocer más sobre el Grupo Estudiantil ANEIC Uninorte, profesores del departamento, ingenieros civiles y eventos internacionales; así mismo, conocer las propuestas de los postulados a los cargos vacantes para el semestre 2021-30.</t>
  </si>
  <si>
    <t>GUN-10878</t>
  </si>
  <si>
    <t>Junta directiva CERI 2021</t>
  </si>
  <si>
    <t>Reunión de cierre de semestre 2021-1</t>
  </si>
  <si>
    <t xml:space="preserve">Con esta ultima reunión interna de CERI, daremos cierre al semestre resaltando los logros, actividades y miembros activos durante el semestre. </t>
  </si>
  <si>
    <t>GUN-10879</t>
  </si>
  <si>
    <t xml:space="preserve">Alberto Mario Solis Martes </t>
  </si>
  <si>
    <t>Campaña del mes del orgullo</t>
  </si>
  <si>
    <t>Se publicaran en redes sociales un total de 18 imágenes que buscan informar sobre todos los cambios que se han logrado a través de este movimiento.</t>
  </si>
  <si>
    <t>GUN-10880</t>
  </si>
  <si>
    <t>Post: Jean-Martín Charcot</t>
  </si>
  <si>
    <t>En el marco de la conmemoración del día Internacional de la Esclerosis múltiple, se creará una serie de infografías sobre Jean-Martín Charcot, un personaje trascendental para la descripción de esta patología. Se incluirá una breve descripción de quién fue y qué aportes realizó para la medicina.</t>
  </si>
  <si>
    <t>GUN-10881</t>
  </si>
  <si>
    <t>Creación y publicación de infografía sobre el artículo Prenatal and perinatal factors associated with developing Multiple Sclerosis later in life: A systematic review and Meta-analysis. Incluye los objetivos, metodología, resultados y conclusiones, así como las limitaciones.</t>
  </si>
  <si>
    <t>GUN-10882</t>
  </si>
  <si>
    <t>Día internacional de la Esclerosis Múltiple</t>
  </si>
  <si>
    <t>Creación y publicación de infografía sobre la Esclerosis Múltiple y su conmemoración. Incluye definición, clínica, fisiopatología, epidemiología y actualizaciones sobre el tema, además, también se incluye la razón por la que se conmemora este día.</t>
  </si>
  <si>
    <t>GUN-10883</t>
  </si>
  <si>
    <t>Post: Revisión de tema Anatomía Vascular</t>
  </si>
  <si>
    <t>Publicación informativa y promocional sobre la próxima reunión general del grupo, en la que se realizará revisión de tema sobre Anatomía Vascular</t>
  </si>
  <si>
    <t>GUN-10884</t>
  </si>
  <si>
    <t>Historia de los gatos: una vista genética</t>
  </si>
  <si>
    <t xml:space="preserve">En esta charla se pretende regresar al pasado y ver cómo han evolucionado los gatos desde su domesticación hasta ahora y cómo han venido variando. </t>
  </si>
  <si>
    <t>GUN-10885</t>
  </si>
  <si>
    <t>Taller de comunicación asertiva: ¿Cómo enfrentarse a una entrevista?</t>
  </si>
  <si>
    <t>GUN-10886</t>
  </si>
  <si>
    <t>Ciclo de Conferencias Académicas</t>
  </si>
  <si>
    <t>Ciclo de conferencias y ponencias acerca de temáticas relacionadas al concreto,  prefabricados, el futuro de estos y su sostenibilidad.</t>
  </si>
  <si>
    <t>GUN-10887</t>
  </si>
  <si>
    <t>Desarrollo y aplicación de materiales compuestos en la industria aeronáutica y aeroespacial - Fuerza aérea Colombia</t>
  </si>
  <si>
    <t xml:space="preserve">Charla con el ingeniero de materiales Julián Portocarrero, teniente de la fuerza aérea colombiana, acerca de las aplicaciones de los materiales compuestos en la industria aeronáutica y aeroespacial. </t>
  </si>
  <si>
    <t>https://drive.google.com/open?id=1gw3ctkBqHORMvghXmMffvMoKtw74RC1-</t>
  </si>
  <si>
    <t>GUN-10888</t>
  </si>
  <si>
    <t>Juliana Rocío Pugliese Molinares, jrmolinares@uninorte.edu.co</t>
  </si>
  <si>
    <t>Jornada de Censo</t>
  </si>
  <si>
    <t>Se realizará una jornada en la que se pretende cenar a todos los gatos nuevos en el campus, especialmente los reportados recientemente y los que están en zonas recientes.</t>
  </si>
  <si>
    <t>6/18/0021 14:00:00</t>
  </si>
  <si>
    <t>Esta solicitud fue respondida de manera directa a través de correo electrónico</t>
  </si>
  <si>
    <t>GUN-10889</t>
  </si>
  <si>
    <t>Crisis en Palestina: ni guerra ni terrorismo</t>
  </si>
  <si>
    <t xml:space="preserve">Se buscará exponer y reflexionar acerca de la actual situación de Palestina </t>
  </si>
  <si>
    <t>https://drive.google.com/open?id=1k0cui09xwWnD7xiWZehBPsqkbUZlzw3R</t>
  </si>
  <si>
    <t>GUN-10890</t>
  </si>
  <si>
    <t>Mercado laboral para ingenieros civiles</t>
  </si>
  <si>
    <t>Evento en el marco de la campaña After U: ¿Qué hay Después de la U?
El ingeniero Daniel Abudinen a partir de su experiencia, hablará sobre el mercado laboral de un ingeniero civil al salir de la universidad y al avanzar los años.</t>
  </si>
  <si>
    <t>GUN-10891</t>
  </si>
  <si>
    <t>Identidad: cómo Dios nos ve</t>
  </si>
  <si>
    <t>En la serie "identidad" ya hemos venido hablando de algunos temas con respecto a la forma de vernos a nosotros mismos, en la que otros nos ven, cómo esto afecta nuestra forma de ver a los demás, y finalmente cerraremos con "cómo Dios nos ve". Haremos inicialmente una dinámica para iniciar, posteriormente una charla y finalmente dejaremos el espacio abierto en caso de que quieran hacer comentarios sobre el tema.
Este sería nuestro último evento del semestre.</t>
  </si>
  <si>
    <t>GUN-10892</t>
  </si>
  <si>
    <t>Gases arteriales: Indicaciones, valores normales e interpretación de sus alteraciones.</t>
  </si>
  <si>
    <t>Terminando el modulo de gases arteriales, el tema a revisar es Indicaciones, valores normales e interpretación de las alteraciones de los gases arteriales, el cual es un examen de alta relevancia clínica que a través de su interpretación permite evaluar la condición de un paciente frente a gran variedad de entidades clínicas. La charla estará a cargo de los estudiantes: Adyefferys Rivera, Daniela Rodríguez Sierra y Karmen Pugliese con la supervisión del residente de medicina interna el Dr. Emiro Rafael Buendia Davila.</t>
  </si>
  <si>
    <t>https://drive.google.com/open?id=1gquZVuxOqH8WfD_ZJ2He7sqq_NZK4cE8</t>
  </si>
  <si>
    <t>GUN-10893</t>
  </si>
  <si>
    <t>Julio Cesar Cárdenas Caballero, cardenascj@uninorte.edu.co, 3013292178</t>
  </si>
  <si>
    <t xml:space="preserve">Interpretación de la TAC de tórax y uso en la práctica clínica	</t>
  </si>
  <si>
    <t>Segunda charla del modulo de imagenología, la cual se fundamenta en explicar las bases para la interpretación de la tomografía de tórax y su uso en la práctica clínica, donde  se mencionarán las patologías más prevalentes con respecto a la interpretación del TAC, charla virtual sincrónica a cargo del estudiante Gabriel Sarmiento en asesoría de la Dra. Dayana Ariza.</t>
  </si>
  <si>
    <t>https://drive.google.com/open?id=1R-cyS3_C6M-HGjNeSCYW5HDijQGvena8</t>
  </si>
  <si>
    <t>GUN-10894</t>
  </si>
  <si>
    <t>Mecanismos de daños que podemos tener en una caldera ¿En que basarnos para hacer un plan de Inspección? Parte 2: Calderas Acuatubulares</t>
  </si>
  <si>
    <t>https://drive.google.com/open?id=1hjDYGtbb4kEVIEYmqkIQ-k5q3gEy8Eq6</t>
  </si>
  <si>
    <t>GUN-10895</t>
  </si>
  <si>
    <t>Catalina Salazar (csalazarl@uninorte.edu.co -321 7548635)
Jovana Velazco (jovanav@uninorte.edu.co - 305 3521515)
Sebastián Duarte (sjduarte@uninorte.edu.co - 321 8339834)
Alisson Sánchez (abenhardt@uninorte.edu.co - 301 4431234)
Luisa Kuang (lkuang@uninorte.edu.co - 300 7315125)</t>
  </si>
  <si>
    <t xml:space="preserve">Fotografía documental en el paro de 2021: experiencias y reflexiones </t>
  </si>
  <si>
    <t>En conmemoración al cumplimiento de un mes desde el comienzo de las manifestaciones en el marco del paro nacional, se abrió un espacio para hablar sobre la importancia y el rol de la fotografía como una forma de relatar los sucesos y el efecto de esta en la sociedad.</t>
  </si>
  <si>
    <t>https://drive.google.com/open?id=1xtTUQ0zn1rgrXUNH-5eX8GiK4ARXhp6X</t>
  </si>
  <si>
    <t>GUN-10896</t>
  </si>
  <si>
    <t xml:space="preserve">Hablemos del paro con José Daniel López </t>
  </si>
  <si>
    <t>Dialogo con el Representante a la Cámara José Daniel López sobre la agenda legislativa y las soluciones que se están planteando desde el Congreso durante el Paro Nacional</t>
  </si>
  <si>
    <t>https://drive.google.com/open?id=1JuxoNdOSrekRd2P_2p_qeSnI6RpNuD5h</t>
  </si>
  <si>
    <t>GUN-10897</t>
  </si>
  <si>
    <t>#HablemosDeAutismo. ¿Te apuntas?</t>
  </si>
  <si>
    <t>La actividad consiste en una charla en la que se abordará el trastorno de espectro autista desde un enfoque clínico con los siguientes objetivos: 1) orientar a los asistentes en el tema trastorno de espectro autista mediante una charla educativa y 2) conmemorar el día mundial del autismo a través de la concientización de esta patología. La charla será dictada por la Dra. Adriana Mendoza; médica especialista en pediatría y atención psicoeducativa del autismo y TDAH</t>
  </si>
  <si>
    <t>GUN-10898</t>
  </si>
  <si>
    <t>creatinneducation@uninorte.edu.co</t>
  </si>
  <si>
    <t>Angie Marcela Aguilar Torres, aangiem@uninorte.edu.co, 3024403219</t>
  </si>
  <si>
    <t>Celebración día del docente</t>
  </si>
  <si>
    <t>Se realizará una reunión con los profesores. 
En ella al inicio vamos a mostrarles varios vídeos donde nos grabaremos haciendo movimientos particulares de los profesores y le pediremos que adivinen quién es. Luego vamos a presentar diferentes dispositivas con la foto, nombre, asignaturas y un mensaje (qué serán leídos por nosotros) para cada uno.</t>
  </si>
  <si>
    <t>https://drive.google.com/open?id=1ljrS8YcxdlluPY09QTsMliYmtc5A750g</t>
  </si>
  <si>
    <t>GUN-10899</t>
  </si>
  <si>
    <t>Catalina Salazar (csalazarl@uninorte.edu.co- 321 7548635)
Jovana Velazco (jovanav@uninorte.edu.co - 305 3521515)
Juan Daniel Macias (jmaciasd@uninorte.edu.co - 304 5826632)</t>
  </si>
  <si>
    <t xml:space="preserve">Exprésate, Libérate </t>
  </si>
  <si>
    <t xml:space="preserve">Espacio organizado por a la Asamblea de Estudiantes de Ciencia Política junto con la Asamblea de Psicología, donde discutieron temáticas de salud mental en el marco del Paro Nacional </t>
  </si>
  <si>
    <t>https://drive.google.com/open?id=1WN2-nYqFIkowSdUdb0QytxVEc5B_9dvj</t>
  </si>
  <si>
    <t>GUN-10900</t>
  </si>
  <si>
    <t>3 días en la ingeniería mecánica</t>
  </si>
  <si>
    <t>Se va a realizar un encuentro académico que incluye charlas, paneles, visitas virtuales (las cuales pueden ser guiadas o no), talleres y actividades de integración gratuitos y abiertos al público con el objetivo de brindar herramientas y espacios de aprendizaje a todos los inscritos. Los temas giran en torno a la ingeniería mecánica, como lo son, industria automotriz y energética, space x, softwares como Autocad y Altair, y otro temas como liderazgo, emprendimiento y habilidades blandas.</t>
  </si>
  <si>
    <t>https://drive.google.com/open?id=1amXguvSAG8dBdpxOeAFSclo_ciayR455</t>
  </si>
  <si>
    <t>GUN-10901</t>
  </si>
  <si>
    <t>Catalina La Grand Salazar Pedraza: (csalazarl@uninorte.edu.co 321 7548635)
Camila Andrea Escobar Navarro: (camilaae@uninorte.edu.co - 312 8953542)
Jovana Cristina Velazco Hernández: (jovanav@uninorte.edu.co - 305 3521515)
José Guillermo Álvarez Álvarez: (jgalvarez@uninorte.edu.co - 312 8786890)</t>
  </si>
  <si>
    <t xml:space="preserve">Dia del estudiante caído: Yo quiero estudiar para cambiar la sociedad </t>
  </si>
  <si>
    <t xml:space="preserve">Espacio estudiantil en el día del estudiante caído donde en conjunto con los invitados locales, se trataron experiencias y se analizo el contexto general de la situación actual que se esta viviendo en el país por el Paro estudiantil y su afectación en los procesos educativos </t>
  </si>
  <si>
    <t>https://drive.google.com/open?id=1RCZP35wpEMBEoBz7z8vwFcGBibXuw9Kf</t>
  </si>
  <si>
    <t>GUN-10902</t>
  </si>
  <si>
    <t>gabrielapertuz@uninorte.edu.co</t>
  </si>
  <si>
    <t>Gabriela Pertuz Valencia, gabrielapertuz@uninorte.edu.co, 3012159297</t>
  </si>
  <si>
    <t>Pangea modo vacaciones</t>
  </si>
  <si>
    <t>Actividades que se llevarán a cabo durante cuatro semanas, con el fin del autoconocimiento y aprovechamiento del tiempo intersemestral.</t>
  </si>
  <si>
    <t>PENDIENTE</t>
  </si>
  <si>
    <t>GUN-10903</t>
  </si>
  <si>
    <t>palquerque@uninorte.edu.co</t>
  </si>
  <si>
    <t>Paula Andrea Romero Alquerque</t>
  </si>
  <si>
    <t>Relajación y vacaciones: hábitos a tener en cuenta.</t>
  </si>
  <si>
    <t xml:space="preserve">Evento asincrónico que se llevará a cabo por medio de la plataforma Instagram donde se presentaran videos cortos de actividades que permitan la relajación y el establecimiento de este tipo de hábitos durante el periodo de vacaciones. </t>
  </si>
  <si>
    <t>GUN-10904</t>
  </si>
  <si>
    <t>Sariana Pérez Salgado - sarianap@.uninorte.edu.co - 3104201106
Laura Margarita Tinoco Gloria - lmtinoco@uninorte.edu.co - 3015042428
Alvaro Enrique Pabuena Bello - apabuena@uninorte.edu.co - 3007150099</t>
  </si>
  <si>
    <t>Brigada salvavidas de primeros auxilios psicológicos en prevención al suicidio</t>
  </si>
  <si>
    <t xml:space="preserve">Se realizará una jornada de formación titulada:  ‘’Brigada Salvavidas de Primeros Auxilios Psicológicos en Prevención al Suicidio’ , la cual tendrá una duración de 1 hora y 30 minutos, por medio de la plataforma de zoom, que abarcara temas como el gran porcentaje de suicidios en el mundo causados en los Niños, Niñas, Adolescentes, Jóvenes y Adultos con orientación sexual diversa. En esta jornada se brindaran herramientas y estrategias para realizar un acompañamiento de contención emocional. Del mismo modo, se contará con la presencia de un especialista conocedor del tema que servirá como ponente. </t>
  </si>
  <si>
    <t>GUN-10905</t>
  </si>
  <si>
    <t>Junta directiva de CERI 2021</t>
  </si>
  <si>
    <t xml:space="preserve">Paro Nacional 2021: el rol de las universidades privadas. </t>
  </si>
  <si>
    <t xml:space="preserve">El rol de las universidades privadas, especialmente el de la comunidad estudiantil, en el paro nacional ha creado un marco de análisis que pretende dejar ver la importancia que han tenido las movilizaciones en el país y los efectos que esto ha tenido. </t>
  </si>
  <si>
    <t>https://drive.google.com/open?id=1P2l3kelo_qLCfmMFVgymA9Li6n5luGzB</t>
  </si>
  <si>
    <t>GUN-10906</t>
  </si>
  <si>
    <t>Samantha Castro Granados, samanthac@uninorte.edu.co, 3016202938</t>
  </si>
  <si>
    <t>El Convenio de Estambul y los retrocesos en la igualdad de género en Europa</t>
  </si>
  <si>
    <t xml:space="preserve">Conferencia #1: Ciclo de conferencias de Interseccionalidad, género y Derecho Internacional transmitido en Uninorte Académico en alianza con En Clave, CDHC Y TEIA. Dinámica: Ponencia por parte de la invitada, y posteriormente comentarios por parte de miembros de FeminUN y TEIA. </t>
  </si>
  <si>
    <t>https://drive.google.com/open?id=1XEUWvC7NtX3gGp8LkkzPPxIx1aBtQDLa</t>
  </si>
  <si>
    <t>GUN-10907</t>
  </si>
  <si>
    <t>Alexander Villarraga, avillarraga@uninorte.edu.co</t>
  </si>
  <si>
    <t>Análisis transversal de la crisis socioeconómica en Colombia y posibles soluciones</t>
  </si>
  <si>
    <t>Cada experto(a) deberá abordar el tema general desde su experticia: salud, educación, género, gobierno, sector productivo y sectores sociales de acuerdo con la temática planteada. Al final se realizará un conversatorio entre todos y todas y también se contestarán preguntas planteadas por los asistentes.</t>
  </si>
  <si>
    <t>https://drive.google.com/open?id=1si6mpZMYgclZo-47tbJDGTWOUjxbXAhB</t>
  </si>
  <si>
    <t>GUN-10908</t>
  </si>
  <si>
    <t>¡Transforma tu closet!</t>
  </si>
  <si>
    <t>Renovar las prendas de vestir y accesorios, para incentivar un consumo sostenible de la ropa. Durante la actividad se brindará a los participantes, un catálogo de ideas para transformar las prendas de vestir que ya tiene, y se les acompañará durante el proceso.</t>
  </si>
  <si>
    <t>GUN-10909</t>
  </si>
  <si>
    <t xml:space="preserve">Tiempo de diversión con Creatinn Education </t>
  </si>
  <si>
    <t xml:space="preserve">Para el evento se asociaron los ejes de la estrategia con las cuatro actividades propias de la infancia(juego, arte, exploración del medio y literatura) y con base en estas se realizará una actividad semanal con niños y niñas. </t>
  </si>
  <si>
    <t>GUN-10910</t>
  </si>
  <si>
    <t>Protestas en Colombia: derechos humanos  y respuesta internacional</t>
  </si>
  <si>
    <t>Evento sobre el rol de la comunidad internacional frente a la coyuntura actual en Colombia. Se pretende evaluar las respuestas y posibilidades de intervención de Organizaciones Internacionales como la ONU, UE, la Comisión Interamericana de Derechos Humanos, entre otras. Asimismo, analizar la viabilidad de las denuncias presentadas en la Corte Penal Internacional.</t>
  </si>
  <si>
    <t>https://drive.google.com/open?id=1JH34J3kn54zqZIKISvT03uv4gORm-cDO</t>
  </si>
  <si>
    <t>GUN-10911</t>
  </si>
  <si>
    <t>Paula Andrea Romero Alquerque 
 palquerque@uninorte.edu.co   3227138634</t>
  </si>
  <si>
    <t>Buenos Hábitos de Alimentación</t>
  </si>
  <si>
    <t>Taller con la especialista en nutrición y dietética Diana Ortega donde se brindará información sobre cómo establecer un plan de alimentación, que vaya acorde a las necesidades de cada persona y que a su vez garantice de forma armoniosa y balanceada el bienestar de nuestro cuerpo y/o mente.</t>
  </si>
  <si>
    <t>https://drive.google.com/open?id=1AOUVErrSf7lRvMI1d1rYVRxm5s87v5EQ</t>
  </si>
  <si>
    <t>GUN-10912</t>
  </si>
  <si>
    <t>Revisión académica: POCUS de tórax en la practica clínica.</t>
  </si>
  <si>
    <t>Ultima revisión académica del modulo de imagenología, donde se planeta hacer una revisión sobre la ecografía en el punto de atención o en la cama del paciente (POCUS) y su importancia en la práctica clínica, revisión a cargo de los estudiantes Jonathan Geronimo, Daniela Candia y Luis Martínez.</t>
  </si>
  <si>
    <t>GUN-10913</t>
  </si>
  <si>
    <t>Paula Andrea Romero Alquerque.  palquerque@uninorte.edu.co.  3227138634</t>
  </si>
  <si>
    <t>Hábitos y rutinas en vacaciones</t>
  </si>
  <si>
    <t>Taller práctico que contará con la participación de Tania Iglesias quien planteará tips para el establecimiento de rutinas y cómo ejecutar estos mismo de forma adecuada.</t>
  </si>
  <si>
    <t>https://drive.google.com/open?id=1UXuoBaw3t71rK_x-R1-GX4tV9lzRlAWY</t>
  </si>
  <si>
    <t>GUN-10914</t>
  </si>
  <si>
    <t>Convocatoria de jugadores para la Red League</t>
  </si>
  <si>
    <t>Con el motivo de realizar un proceso de reclutamiento de jugadores que cumplan con los
estándares de calidad competitiva para representar a la Universidad del Norte en el recién
abierto University Challenge, liga de competencia para el videojuego Counter Strike: Global Offensive, que tendrá como competidores a estudiantes de distintas universidades de Suramérica, se desea realizar una difusión por redes sociales de piezas promocionales para alentar a la comunidad estudiantil uninorteña que esté dedicada a este videojuego en sus tiempos libres a participar en nombre de nuestra institución, con la posibilidad de obtener premios que les servirán de herramientas para continuar sus vidas académicas. 
Este evento está enfocado en jugadores amateur del juego que necesitan ese apoyo que generalmente no obtienen por la novedad de la industria de los E-Sports en Colombia, y por tener que responder al mismo tiempo con la carga académica que conlleva estar en la universidad.
Para lograr esta difusión, se crearon una serie de publicaciones que buscan cumplir con los parámetros descritos a continuación:
1. Información de reclutamiento, tales como la información relevante que denote al
interesado que hará parte de un equipo en representación de la Universidad del
Norte.
2. Información de requisitos mínimos, entendiéndose por estos que se encuentre
matriculado en la Universidad del Norte, que cuente con un estado académico
Normal y que se encuentre entre los rangos del juego Liga Master Nova, o Liga
Nova Guardian.
3. Información de contacto de los jugadores, recolectada a través de un formulario.
El formulario y las piezas publicitarias han sido enviadas por correo a las personas solicitadas.</t>
  </si>
  <si>
    <t>GUN-10915</t>
  </si>
  <si>
    <t xml:space="preserve">FELIX ANTONIO MARTINEZ </t>
  </si>
  <si>
    <t xml:space="preserve">HITOS ARQUITECTÓNICOS COLOMBIANOS  </t>
  </si>
  <si>
    <t xml:space="preserve">SE REALIZARÁ UN CONCURSO DE DIBUJO A MANO ALZADA TOMANDO COMO REFERENTE HITOS O MONUMENTOS COLOMBIANOS </t>
  </si>
  <si>
    <t>SE APRUEBA ACTIVIDAD</t>
  </si>
  <si>
    <t>GUN-10916</t>
  </si>
  <si>
    <t>FELIX MARTINEZ</t>
  </si>
  <si>
    <t xml:space="preserve">HITOS ARQUITECTÓNICOS </t>
  </si>
  <si>
    <t xml:space="preserve">CONCURSO DE DIBUJO A MANO ALZADA REFERENTE A HITOS O MONUMENTOS ARQUITECTÓNICOS DE COLOMBIA </t>
  </si>
  <si>
    <t>GUN-10917</t>
  </si>
  <si>
    <t>Mind Makeover</t>
  </si>
  <si>
    <t>En esta actividad se hará una introducción acerca de la importancia que tiene para la salud mental organizar sus ideas y hacer planes para alcanzar sus metas. En un papel escribirán dos o tres metas a corto plazo y se les indicará como hacer un plan de acción para alcanzar dichas metas.</t>
  </si>
  <si>
    <t>GUN-10918</t>
  </si>
  <si>
    <t>Cápsula financiera</t>
  </si>
  <si>
    <t>Workshop financiero para aprender a crear y cumplir metas financieras de corto, medio y largo plazo, administrando efectivamente el dinero día tras día. La actividad tiene como objetivo enseñar a crear un plan financiero a partir de metas, con las cuales las personas puedan alcanzar objetivos de ingresos específicos e incluso sepan cómo administrar dichos ingresos día tras día.</t>
  </si>
  <si>
    <t>GUN-10919</t>
  </si>
  <si>
    <t>La violencia sexual en contra de los hombres durante conflictos armados: Violencia basada en género</t>
  </si>
  <si>
    <t>Conferencia #2: Ciclo de conferencias de Interseccionalidad, género y Derecho Internacional transmitido en Uninorte Académico en alianza con En Clave, CDHC Y TEIA. Dinámica: Ponencia por parte de la invitada, y posteriormente comentarios por parte de miembros de FeminUN y TEIA.</t>
  </si>
  <si>
    <t>https://drive.google.com/open?id=1tDPJUC-KFW9wSXkKtergMWc22Dx5Rs8w</t>
  </si>
  <si>
    <t>GUN-10920</t>
  </si>
  <si>
    <t>Julio Cesar Cárdenas Caballero, cardenascj@uninorte.edu.co, 301359278</t>
  </si>
  <si>
    <t>Preguntas clínicas: EKG</t>
  </si>
  <si>
    <t>Publicación en redes sociales (Instagram y Twitter), en formato de preguntas sobre el tema electrocardiograma y su interpretación.</t>
  </si>
  <si>
    <t>GUN-10921</t>
  </si>
  <si>
    <t>Preguntas clínicas: Hipertensión arterial</t>
  </si>
  <si>
    <t>Publicación en redes sociales, preguntas de selección múltiple con única respuesta acerca de la temática hipertensión arterial, bajo un enfoque clínico basado en definición, sintomatología, diagnóstico y tratamiento de la enfermedad.</t>
  </si>
  <si>
    <t>GUN-10922</t>
  </si>
  <si>
    <t>Primera reunión oficial IMIG-UN 2021-30</t>
  </si>
  <si>
    <t>El objetivo de esta reunión es introducir los nuevos miembros del grupo IMIG-UN y presentar el cronograma de actividades planificado para este semestre.</t>
  </si>
  <si>
    <t>GUN-10923</t>
  </si>
  <si>
    <t>Conmemoración del Día Mundial de las Enfermedades Raras</t>
  </si>
  <si>
    <t>Se realizó una infografía en conmemoración de las enfermedades raras que siguen afectando a una parte de la población para generar concientización sobre las mismas. La actividad se realizó en la red social de Instagram</t>
  </si>
  <si>
    <t>ESTIMADO GRUPO ESTE EVENTO YA SE REALIZO? LA FECHA NO ESTA EN TIMEPO REAL. AGRADECEMOS CONFIRMAR</t>
  </si>
  <si>
    <t>GUN-10924</t>
  </si>
  <si>
    <t>Día Internacional contra la Homofobia, Transfobia y la Bifobia</t>
  </si>
  <si>
    <t>Se realizaron infografías conmemorativas sobre el rechazo y los prejuicios de los que han sido víctimas las personas pertenecientes a la comunidad LGBTIQ+ por el simple hecho de tener una orientación sexual o identidad de género diferente a la socialmente impuesta y aceptada como “normal”.</t>
  </si>
  <si>
    <t>GUN-10925</t>
  </si>
  <si>
    <t>Gatotón</t>
  </si>
  <si>
    <t>Se hará una transmisión por medio de plataformas virtuales en la cuál se presentarán diferentes gatitos del campus los cuales serán puestos en adopción, además de realizar diferentes actividades para recaudar fondos.</t>
  </si>
  <si>
    <t>GUN-10926</t>
  </si>
  <si>
    <t>Diana Marcela Giraldo Duque.
Correo: giraldom@uninorte.edu.co
Telefono: 3202664098
Ariana Marcela Consuegra Marenco
Correo: arianam@uninorte.edu.co
Telefono: 3108092882
Valeria Ferrer Fontalvo
Correo: valeriaferrer@uninorte.edu.co
Telefono: 3042926631</t>
  </si>
  <si>
    <t>ABC de tu pénsum</t>
  </si>
  <si>
    <t>Aprende más sobre la estructura del plan de estudios y cómo se aplica cada una de las áreas en el ámbito profesional.</t>
  </si>
  <si>
    <t>https://drive.google.com/open?id=1C8CzzMmaqxQPK3GwHMISAHyQYip318m6</t>
  </si>
  <si>
    <t>Estimado Grupo el evento se realizara a traves de que plataforma? es importante nos compartan el enlace para compartir por redes.</t>
  </si>
  <si>
    <t>GUN-10927</t>
  </si>
  <si>
    <t>Discord and chill</t>
  </si>
  <si>
    <t xml:space="preserve">Dividir la reunión en varias salas en donde puedan elegir de qué dinámica quieren hacer parte. Dentro de las salas se estará jugando:
- Gartic Phone (8-10 personas)
- Among Us (máx 10 personas)
- Rento (4 personas)
- Competencia de preguntas de cultura general (4 - 6 personas)
</t>
  </si>
  <si>
    <t>GUN-10928</t>
  </si>
  <si>
    <t>Bienvenida al nuevo semestre 2021-30 y presentación de cada departamento</t>
  </si>
  <si>
    <t>GUN-10929</t>
  </si>
  <si>
    <t>Vulneraciones a derechos de mujeres y género desde una perspectiva interseccional global</t>
  </si>
  <si>
    <t>Conferencia #3: Ciclo de conferencias de Interseccionalidad, género y Derecho Internacional transmitido en Uninorte Académico en alianza con En Clave, CDHC Y TEIA. Dinámica: Ponencia por parte de la invitada, y posteriormente comentarios por parte de miembros de FeminUN y TEIA.</t>
  </si>
  <si>
    <t>https://drive.google.com/open?id=1LVR04vYoIqeXGQDgRYU4ZcMV-VgJgJ5D</t>
  </si>
  <si>
    <t>ESTIMADO GRUPO, AGRADECEMOS ESPECIFICAR CUALES SON LAS ACTIVIDADES</t>
  </si>
  <si>
    <t>GUN-10930</t>
  </si>
  <si>
    <t>Pruebas de función renal (séricas y uroanálisis)</t>
  </si>
  <si>
    <t>Charla abierta al público a cargo de los estudiantes Marcela Cuellar y Anthony Trocha bajo la supervisión del Dr. Marcos Anaya donde se realizará una revisión acerca de las pruebas de función renal, su interpretación y relevancia clínica.</t>
  </si>
  <si>
    <t>GUN-10931</t>
  </si>
  <si>
    <t>Política, feminismos y la lucha contra la violencia digital</t>
  </si>
  <si>
    <t xml:space="preserve">Conferencia #4: Ciclo de conferencias de Interseccionalidad, género y Derecho Internacional transmitido en Uninorte Académico en alianza con En Clave, CDHC Y TEIA. </t>
  </si>
  <si>
    <t>https://drive.google.com/open?id=1aRPszpnn7IhRBF8X8Pl6NlDBM3Rpzc1d</t>
  </si>
  <si>
    <t>GUN-10932</t>
  </si>
  <si>
    <t>EurOprtunidades 2021</t>
  </si>
  <si>
    <t>Del 29 al 31 de Julio 📆, la Delegación de la Unión Europea en Colombia 🇪🇺🇪🇺🇪🇺 a Europortunidades, un evento Online en donde compartiremos información sobre las oportunidades de becas, financiación y cooperación académica de la Unión Europea, y sus Estados Miembros abiertas para Colombia y otros países de Latinoamérica.
El evento de lanzamiento está dirigido al público colombiano y latinoaméricano en prioridad de las siguientes categorías:
* Estudiantes Universitarios de Pregrado, Maestría o Doctorado
* Personas ya egresadas y Profesionales Universitarios
* Docentes, Investigadoras e investigadores
* Oficinas de Internacionalización
* Representantes de Facultades y Universidades
* Centros de Investigación
* Entidades Públicas y Privadas
🔜 La actividad se realizará durante tres días, de 9:00am a 12:00m.
Conocer más acerca de estas oportunidades será de mucha ayuda en tu formación como profesional.
En el siguiente link encontrarás el formato de inscripción,
https://sched.space/europortunidades2021/
✨¡ANÍMATE A PARTICIPAR!✨
Te invitamos a estar pendiente de nuestras redes sociales, para encontrar más información sobre el desarrollo del evento.📢🔔🔊🔊
¡TE ESPERAMOS!</t>
  </si>
  <si>
    <t>https://drive.google.com/open?id=1wmoH2IYx8ljHWmD9YfYFg9hMbD_WCzZh</t>
  </si>
  <si>
    <t>ESTIMADO GRUPO, INDICAR DE QUE SE TRATA LA  ACTIVIDAD, CUAL ES ELOBJETIVO?</t>
  </si>
  <si>
    <t>GUN-10933</t>
  </si>
  <si>
    <t>Del 29 al 31 de Julio 📆, la Delegación de la Unión Europea en Colombia 🇪🇺🇪🇺🇪🇺 a Europortunidades, un evento Online en donde compartiremos información sobre las oportunidades de becas, financiación y cooperación académica de la Unión Europea, y sus Estados Miembros abiertas para Colombia y otros países de Latinoamérica.
El evento de lanzamiento está dirigido al público colombiano y latinoaméricano en prioridad de las siguientes categorías:
* Estudiantes Universitarios de Pregrado, Maestría o Doctorado
* Personas ya egresadas y Profesionales Universitarios
* Docentes, Investigadoras e investigadores
* Oficinas de Internacionalización
* Representantes de Facultades y Universidades
* Centros de Investigación
* Entidades Públicas y Privadas
🔜 La actividad se realizará durante tres días, de 9:00am a 12:00m.
Conocer más acerca de estas oportunidades será de mucha ayuda en tu formación como profesional.
En el siguiente link encontrarás el formato de inscripción,
https://sched.space/europortunidades2021/
Nota:  Este evento fue realizado con Colaboración del representante de la sociedad de egresados Erasmus Mundus en Colombia, Daniel Ventura. El cual nos contactó para ayudarle a organizar su evento, debido a que después de una invitación ofrecida a su persona, quedo encantado con nuestra gestión y elaboración de Explorando el futuro 202X.</t>
  </si>
  <si>
    <t>https://drive.google.com/open?id=1NCEx5KijKUJ9TgOfE2gxGnD9-wRz52G8</t>
  </si>
  <si>
    <t>GUN-10934</t>
  </si>
  <si>
    <t>Generalidades sobre las neoplasias e inmunología de tumores</t>
  </si>
  <si>
    <t xml:space="preserve">Charla virtual en colaboración con el grupo IMIG-Sabana, acerca de las generalidades de las neoplasias y la inmunología de los tumores, realizando una introducción al modulo de oncología, la charla es llevada a cabo por </t>
  </si>
  <si>
    <t>https://drive.google.com/open?id=1xvlbYUPNvtYEptz3T55LuabNZEq5MNXi</t>
  </si>
  <si>
    <t>https://uninorte.zoom.us/j/82053368618?pwd=eDJDMzB2U0FCN1ArWmVmc01CdkRFZz09</t>
  </si>
  <si>
    <t>GUN-10935</t>
  </si>
  <si>
    <t>Sofía Carolina García Barreneche - sbarreneche@uninorte.edu.co - 3003969858
Luisa Fernanda Amador Sanabria - lfamador@uninorte.edu.co - 3015926162
Catalina Monroy Pantoja	- catalinamonroy@uninorte.edu.co - 3168299639
Stefani Paola Altamar Rivera  - stefania@uninorte.edu.co - 3022672493</t>
  </si>
  <si>
    <t>Integración junta directiva</t>
  </si>
  <si>
    <t xml:space="preserve">En esta reunión, las nuevas integrantes de la junta directiva desarrollaron actividades para fortalecer los lazos de unión entre ellas; asimismo, establecer metas y estrategias para el crecimiento del grupo este semestre. </t>
  </si>
  <si>
    <t>GUN-10936</t>
  </si>
  <si>
    <t xml:space="preserve">Reunión organización semana del ingeniero </t>
  </si>
  <si>
    <t xml:space="preserve">En esta reunión se discutieron las propuestas que se habían hablado anteriormente con el decano de ingenierías y los grupos estudiantiles. De esta manera, se estimaron fechas tentativas para las actividades y se organizaron las tareas pendientes. </t>
  </si>
  <si>
    <t>GUN-10937</t>
  </si>
  <si>
    <t>Reunión semanal a cargo del departamento de logística</t>
  </si>
  <si>
    <t>GUN-10938</t>
  </si>
  <si>
    <t>Reunión semanal a cargo del departamento de finanzas</t>
  </si>
  <si>
    <t>GUN-10939</t>
  </si>
  <si>
    <t>Reunión semanal a cargo del departamento de RRHH</t>
  </si>
  <si>
    <t>GUN-10940</t>
  </si>
  <si>
    <t>Reunión semanal a cargo del departamento de pangea social</t>
  </si>
  <si>
    <t>GUN-10941</t>
  </si>
  <si>
    <t>Taller: Canva Creativa</t>
  </si>
  <si>
    <t>En este taller, se instruirá a las nuevas miembros en el uso de canva para la creación de contenidos para el grupo. Las ponentes seremos las líderes de la junta directiva.</t>
  </si>
  <si>
    <t>https://meet.google.com/tfp-zkio-fuc</t>
  </si>
  <si>
    <t>GUN-10942</t>
  </si>
  <si>
    <t>Valeria Barrios Díaz
valeriabarrios@uninorte.edu.co
3015796728
Karen Vanessa Perez Santiago
kvperez@uninorte.edu.co
3014079223</t>
  </si>
  <si>
    <t>Presentación del grupo y sus miebros activos</t>
  </si>
  <si>
    <t>Unirse a la reunión Zoom https://uninorte.zoom.us/j/88274311146?pwd=cXZtSmZDcUJvVG90YjRtS2R0S1dodz09  ID de reunión: 882 7431 1146 Código de acceso: 376855</t>
  </si>
  <si>
    <t>GUN-10943</t>
  </si>
  <si>
    <t>Maria Fernanda Vargas Barrera, mbarreraf@uninorte.edu.co, 3233831489</t>
  </si>
  <si>
    <t>Desarrollo de actividades y bienvenida a los nuevos integrantes del grupo.</t>
  </si>
  <si>
    <t xml:space="preserve"> Unirse a la reunión Zoom https://uninorte.zoom.us/j/84014079359?pwd=OEpUd25WWXgyczU5UHd5a2hTSklFUT09  ID de reunión: 840 1407 9359 Código de acceso: 113520 </t>
  </si>
  <si>
    <t>GUN-10944</t>
  </si>
  <si>
    <t>Valentina Morelo (vmorelo@uninorte.edu.co - 300 2756748) y Natalia Doncel Meza (ndoncel@uninorte.edu.co - 3058148156)</t>
  </si>
  <si>
    <t>Reunion Createc y Colorhouse</t>
  </si>
  <si>
    <t>Se va a conversar sobre la organizacion del evento de Encuentro del diseño de este semestre. Aqui se tomaran desiciones y se formularan actividades que se van a presentar en otra ocasion a los coordinadores de programa.</t>
  </si>
  <si>
    <t>https://meet.google.com/ibo-hkzb-qcq</t>
  </si>
  <si>
    <t>GUN-10945</t>
  </si>
  <si>
    <t>Paula Andrea Romero Alquerque, palquerque@uninorte.edu.co 3227138634</t>
  </si>
  <si>
    <t>Día mundial del videojuego</t>
  </si>
  <si>
    <t>Post de Instagram sobre el día mundial del videojuego, junto a resumen del evento del viernes 27 de agosto sobre Videojuego vs realidad: ventajas y desventajas</t>
  </si>
  <si>
    <t>https://instagram.com/cdiep_uninorte?utm_medium=copy_link</t>
  </si>
  <si>
    <t>GUN-10946</t>
  </si>
  <si>
    <t>Vanessa Paola De la Cruz Villalba, vpdelacruz@uninorte.Edu.co, 3126552561</t>
  </si>
  <si>
    <t xml:space="preserve">IN DOOR </t>
  </si>
  <si>
    <t xml:space="preserve">Bienvenida a miembros inscritos en feria </t>
  </si>
  <si>
    <t>https://meet.google.com/gmq-qnsz-eyb</t>
  </si>
  <si>
    <t>GUN-10947</t>
  </si>
  <si>
    <t>Mariana Carolina Campo Almazo, almazom@uninorte.edu.co, 301 5349072</t>
  </si>
  <si>
    <t>Reuniones semanales con miembros</t>
  </si>
  <si>
    <t>Reuniones semanales con miembros activos act. representativas</t>
  </si>
  <si>
    <t xml:space="preserve"> https://meet.google.com/dcp-atbm-jzk</t>
  </si>
  <si>
    <t>GUN-10948</t>
  </si>
  <si>
    <t>sebastián David Iriarte Espeleta, espeletas@uninorte.edu.co, 315 9287545</t>
  </si>
  <si>
    <t>Reunión conexiones con la industria</t>
  </si>
  <si>
    <t>En esta reunión se hablarán de la visita próxima y de las agendadas en la planeación</t>
  </si>
  <si>
    <t>meet.google.com/amb-vrhh-upo</t>
  </si>
  <si>
    <t>GUN-10949</t>
  </si>
  <si>
    <t>Mitos y realidades de la terapia psicológica</t>
  </si>
  <si>
    <t>Dinámica en historias de Instagram en el que se abrirá el espacio para que el público realice preguntas sobre mitos y verdades de la terapia psicológica, las cuales serán resueltas por medio de historias en las que intervendrán miembros de cdiep</t>
  </si>
  <si>
    <t>GUN-10950</t>
  </si>
  <si>
    <t>Campaña Redes Feria Uninorte Saludable</t>
  </si>
  <si>
    <t xml:space="preserve">A través de la cuenta de Instagram se realizarán una serie de posts enfocados en el bienestar emocional y las mascotas. </t>
  </si>
  <si>
    <t>https://www.instagram.com/faunaticosun/</t>
  </si>
  <si>
    <t>GUN-10951</t>
  </si>
  <si>
    <t>Reunion JD CEIM</t>
  </si>
  <si>
    <t>Reunion de la junta directiva para organizar las actividades</t>
  </si>
  <si>
    <t>https://uninorte.zoom.us/j/89245450358?pwd=NFFINXhFMnJWZWh0NWhqblpKTzBHdz09</t>
  </si>
  <si>
    <t>GUN-10952</t>
  </si>
  <si>
    <t>Maria Linero (mclinero@uninorte.Edu.co</t>
  </si>
  <si>
    <t xml:space="preserve">Feria vive uninorte </t>
  </si>
  <si>
    <t xml:space="preserve">Presentación y reclutacion de nuevos miembros </t>
  </si>
  <si>
    <t>https://meet.google.com/dae-npwd-shq</t>
  </si>
  <si>
    <t>GUN-10953</t>
  </si>
  <si>
    <t>hyennys@uninorte.edu.co</t>
  </si>
  <si>
    <t>Salud del adulto mayor: atención Integral, políticas públicas públicas y estrategias de promoción y prevención</t>
  </si>
  <si>
    <t>Está actividad constará de 2 charlas. Una el día 18 de junio en la que se abordará el tema de atención Integral del adulto mayor, y otra el 19 de junio en la que se tocarán los temas de políticas públicas y estrategias de promoción y prevención en la salud del adulto mayor</t>
  </si>
  <si>
    <t>GUN-10954</t>
  </si>
  <si>
    <t>GUN-10955</t>
  </si>
  <si>
    <t>Alberto Mario Solis Martes, amsolis@uninorte.edu.co</t>
  </si>
  <si>
    <t>Reunión en la que se busca estructurar el plan de acción para el semestre.</t>
  </si>
  <si>
    <t>Alberto Mario Solis Martes le está invitando a una reunión de Zoom programada.  Tema: Reunión diverso Hora: 13 ago. 2021 10:30 a. m. Bogotá  Unirse a la reunión Zoom https://uninorte.zoom.us/j/81057307761?pwd=a2YyUWlEQmVDNWNEZGdvYkVlQjFTQT09  ID de reunión: 810 5730 7761 Código de acceso: 883456 Móvil con un toque +13462487799,,81057307761# Estados Unidos (Houston) +16465588656,,81057307761# Estados Unidos (New York)  Marcar según su ubicación         +1 346 248 7799 Estados Unidos (Houston)         +1 646 558 8656 Estados Unidos (New York)         +1 669 900 9128 Estados Unidos (San Jose)         +1 253 215 8782 Estados Unidos (Tacoma)         +1 301 715 8592 Estados Unidos (Washington DC)         +1 312 626 6799 Estados Unidos (Chicago) ID de reunión: 810 5730 7761 Encuentre su número local: https://uninorte.zoom.us/u/kcNXZObYEE</t>
  </si>
  <si>
    <t>GUN-10956</t>
  </si>
  <si>
    <t>Gabriela Castillo Solano
mgcastillo@uninorte.edu.co
3046761406</t>
  </si>
  <si>
    <t>Felirecorrido virtual</t>
  </si>
  <si>
    <t>Acompaña a nuestros voluntarios en nuestro stand de meet y conoce a las colonias felinas del campus.</t>
  </si>
  <si>
    <t>Feria vive uninorte: https://meet.google.com/rme-cwjj-tkg</t>
  </si>
  <si>
    <t>GUN-10957</t>
  </si>
  <si>
    <t>Vanessa Paola De la cruz Villalba, vpdelacruz@uninorte.edu.co</t>
  </si>
  <si>
    <t xml:space="preserve">Feria donde se inscriben los estudiantes de la comunidad de Uninorte en los diferentes grupos estudiantiles y materias extracurriculares </t>
  </si>
  <si>
    <t>GUN-10958</t>
  </si>
  <si>
    <t>Feria Vive Uninorte del periodo semestral 2021-30, actividad que Bienestar Universitario desarrolla cada semestre con el fin de fomentar la participación de estudiantes en grupos estudiantiles.</t>
  </si>
  <si>
    <t>GUN-10959</t>
  </si>
  <si>
    <t>Julio Cesar Cádenas Caballero, cardenascj@uninorte.edu.co, 301359278</t>
  </si>
  <si>
    <t>Preguntas clínicas: SCA</t>
  </si>
  <si>
    <t>Publicación en redes sociales (Twitter e Instagram) de preguntas y respuestas acerca del componente clínico del síndrome coronario agudo (SCA), basándonos principalmente en la clínica, epidemiología, diagnóstico y tratamiento de la enfermedad para la realización de dichas preguntas.</t>
  </si>
  <si>
    <t>https://www.instagram.com/imig.uninorte/?hl=es</t>
  </si>
  <si>
    <t>GUN-10960</t>
  </si>
  <si>
    <t>cjcabrales@uninorte.edu.co</t>
  </si>
  <si>
    <t>Feria Bienestar Uninorte 2021-30</t>
  </si>
  <si>
    <t>Espacio de esparcimiento y recreación para invitar a los estudiantes a unirse al grupo estudiantil.</t>
  </si>
  <si>
    <t>https://meet.google.com/jxg-bppd-yfn</t>
  </si>
  <si>
    <t>GUN-10961</t>
  </si>
  <si>
    <t>Ruth María Fontalvo Jiménez, rmfontalvo@uninorte.edu.co, 3043870920</t>
  </si>
  <si>
    <t>¡Conoce a Juventudes Críticas!</t>
  </si>
  <si>
    <t xml:space="preserve">Durante la Feria Vive Uninorte, los encargados de apoyar el stand de Juventudes Críticas realizarán actividades, foros y tertulias que promuevan el acercamiento al grupo estudiantil. </t>
  </si>
  <si>
    <t>https://meet.google.com/jiu-qxkg-zin</t>
  </si>
  <si>
    <t>GUN-10962</t>
  </si>
  <si>
    <t>Valeria Barrios Díaz
valeriabarrios@uninorte.edu.co
3015796728
Karen Vanessa Pérez Santiago
kvperez@uninorte.edu.co
3014079223</t>
  </si>
  <si>
    <t>Evento organizado por Bienestar Universitario para que los estudiantes de ingeniería civil conozcan las oportunidades que tienen al formar parte del grupo y crezcan de manera integral.</t>
  </si>
  <si>
    <t>https://meet.google.com/naq-fxwz-rwp</t>
  </si>
  <si>
    <t>GUN-10963</t>
  </si>
  <si>
    <t xml:space="preserve">Presidente: 
Valeria Barrios Díaz
valeriabarrios@uninorte.edu.co
3015796728
Vicepresidente:
Karen Vanessa Pérez Santiago
kvperez@uninorte.edu.co
3014079223
</t>
  </si>
  <si>
    <t>Evento que convoca a los estudiantes para que conozcan al grupo estudiantil y tengan la posibilidad de crecer integralmente.</t>
  </si>
  <si>
    <t>GUN-10964</t>
  </si>
  <si>
    <t>Paula Andrea Romero Alquerque, palquerque@uninorte.edu.co. 3227138634</t>
  </si>
  <si>
    <t>Stand de CDIEP durante la feria vive de bienestar universitario, con el fin de informar a los interesados sobre las actividades que se realizan en el comité.</t>
  </si>
  <si>
    <t>https://meet.google.com/wdw-vhdm-dms</t>
  </si>
  <si>
    <t>GUN-10965</t>
  </si>
  <si>
    <t>Samantha Castro, samanthac@uninorte.edu.co</t>
  </si>
  <si>
    <t xml:space="preserve">Feria virtual de la que FeminUN fue partícipe con un stand virtual para abrir inscripciones para este semestre. </t>
  </si>
  <si>
    <t>https://meet.google.com/qkn-deue-xbb</t>
  </si>
  <si>
    <t>GUN-10966</t>
  </si>
  <si>
    <t>Sofía Carolina García Barreneche - sbarreneche@uninorte.edu.co - 3003969858
Luisa Fernanda Amador Sanabria - lfamador@uninorte.edu.co - 3015926162
Catalina Monroy Pantoja    - catalinamonroy@uninorte.edu.co - 3168299639
Stefani Paola Altamar Rivera  - stefania@uninorte.edu.co - 3022672493</t>
  </si>
  <si>
    <t>Reunión programa MentorADA docentes</t>
  </si>
  <si>
    <t>En esta reunión se reunirán las docentes de diferentes ingenieras con el grupo W-STEM para organizar actividades para integrar al programa MentorADA</t>
  </si>
  <si>
    <t>https://meet.google.com/heh-sttk-uvo?hs=224</t>
  </si>
  <si>
    <t>GUN-10967</t>
  </si>
  <si>
    <t>Juan David Visbal Alcalá, jdvisbal@uninorte.edu.co, 3215486539</t>
  </si>
  <si>
    <t>Reuniones semanales Capitulo ASME</t>
  </si>
  <si>
    <t>Reuniones semanales de nuestra división con miembros activos</t>
  </si>
  <si>
    <t>https://uninorte.zoom.us/j/89993873299?pwd=ZEZyL3IxVFpGOGk3MWpSdnJrbzd6Zz09</t>
  </si>
  <si>
    <t>GUN-10968</t>
  </si>
  <si>
    <t>Lifehacks para un post exitoso</t>
  </si>
  <si>
    <t>¿Quieres mejorar tu presencia en redes sociales? Conoce los secretos de Felinorte para un post exitoso.</t>
  </si>
  <si>
    <t>https://meet.google.com/rme-cwjj-tkg</t>
  </si>
  <si>
    <t>GUN-10969</t>
  </si>
  <si>
    <t>Reunión extra junta directiva</t>
  </si>
  <si>
    <t>Debido a los compromisos de la semana del ingeniero el grupo tendrá una reunión extra la siguiente semana para seguir organizando el evento.</t>
  </si>
  <si>
    <t>https://meet.google.com/fum-tjmj-gme</t>
  </si>
  <si>
    <t>GUN-10970</t>
  </si>
  <si>
    <t>Reunión habitual junta directiva W-STEM</t>
  </si>
  <si>
    <t>Las miembros de la junta directica se reunirán como se hace semanalmente con el propósito de ver temas relacionados con el grupo estudiantil.</t>
  </si>
  <si>
    <t>GUN-10971</t>
  </si>
  <si>
    <t xml:space="preserve">Reunión de bienvenida </t>
  </si>
  <si>
    <t xml:space="preserve">Primera reunión del semestre en la cual nos reuniremos para hablar de las actividades que realizaremos durante el mismo y asignaremos las tareas correspondientes a cada miembro. </t>
  </si>
  <si>
    <t>https://meet.google.com/udg-dhfo-bby</t>
  </si>
  <si>
    <t>GUN-10972</t>
  </si>
  <si>
    <t>Reuniones semanales capitulo ASME</t>
  </si>
  <si>
    <t>Reuniones semanales de la división</t>
  </si>
  <si>
    <t>GUN-10973</t>
  </si>
  <si>
    <t>Sebastián David Iriarte Espeleta, espeletas@uninorte.edu.co, 315 9287545</t>
  </si>
  <si>
    <t>Reunión de la división conexiones</t>
  </si>
  <si>
    <t>En este espacio nos reunitemos para planear toda visita realizada por parte de la división</t>
  </si>
  <si>
    <t>https://meet.google.com/amb-vrhh-upo</t>
  </si>
  <si>
    <t>GUN-10974</t>
  </si>
  <si>
    <t>Diverso siniors</t>
  </si>
  <si>
    <t xml:space="preserve">Este evento tiene como objetivo invitar a antiguos miembrxs del grupo para que hablen sobre su experiencia en este y del impacto que tiene en su vida profesional. 
Había sido notificado el día 28 de junio a través del correo. </t>
  </si>
  <si>
    <t>https://drive.google.com/open?id=1CP7xWmCQBz8AwSiQ4raGaqb1omlGKHnI</t>
  </si>
  <si>
    <t>https://uninorte.zoom.us/j/81210750493?pwd=cVNWR0NLMkg0TGZkZDBOMVZIdXVOUT09</t>
  </si>
  <si>
    <t>Estimado grupo, reuqieren algun recurso en el que podamos apoyarlos?</t>
  </si>
  <si>
    <t>GUN-10975</t>
  </si>
  <si>
    <t>ndoncel@uninorte.edu.co</t>
  </si>
  <si>
    <t>Karen Oñate  klonate@uninorte.edu.co 3023574919</t>
  </si>
  <si>
    <t>¡Informate! (Feria vive)</t>
  </si>
  <si>
    <t xml:space="preserve">Se harán publicaciones de Reels mostrando información sobre el Grupo estudiantil, presentándonos como grupo y exponiendo los objetivos y la misión que tenemos. Así, los estudiantes puedan informarse mejor sobre el grupo.
</t>
  </si>
  <si>
    <t>https://instagram.com/createcun?utm_medium=copy_link</t>
  </si>
  <si>
    <t>GUN-10976</t>
  </si>
  <si>
    <t>Reunion Junta Directiva</t>
  </si>
  <si>
    <t>Reunion de los miembros de la junta para organizar las actividades y eventos</t>
  </si>
  <si>
    <t>GUN-10977</t>
  </si>
  <si>
    <t>REUNION JD CEIM</t>
  </si>
  <si>
    <t>Reunion con los miembros de la junta para ablar de eventos, actividades y nuevas propuestas</t>
  </si>
  <si>
    <t>GUN-10978</t>
  </si>
  <si>
    <t>Acompaña a nuestros voluntarios en nuestro stand de la feria y conoce las colonias felinas del campus</t>
  </si>
  <si>
    <t>Feria vive uninorte https://meet.google.com/rme-cwjj-tkg</t>
  </si>
  <si>
    <t>GUN-10979</t>
  </si>
  <si>
    <t xml:space="preserve">Posts informativos sobre los eventos de la feria. </t>
  </si>
  <si>
    <t>Se hará un post informando que se va a realizar como grupo estudiantil para la Feria vive.</t>
  </si>
  <si>
    <t>GUN-10980</t>
  </si>
  <si>
    <t>Trivia ¡conocenos! (Feria Vive)</t>
  </si>
  <si>
    <t>En las historias se habilitará un espacio para que los estudiantes puedan realizar preguntas al grupo Createc y así poder resolver muchas dudas y poder conocer mejor al grupo estudiantil.</t>
  </si>
  <si>
    <t>GUN-10981</t>
  </si>
  <si>
    <t>Camila Duque  310 3646372 duqueac@uninorte.edu.co</t>
  </si>
  <si>
    <t>¡Conocenos! (Feria Vive)</t>
  </si>
  <si>
    <t xml:space="preserve">
Se van a montar posts exponiendo diferentes trabajos de integrantes del grupo estudiantil CREATEC para que las demás personas puedan conocer que se hace tanto en el grupo como en la carrera de Diseño Industrial  y motivar a los estudiantes a unirse al grupo. 
</t>
  </si>
  <si>
    <t>GUN-10982</t>
  </si>
  <si>
    <t xml:space="preserve">¡Conocenos! (Feria Vive) </t>
  </si>
  <si>
    <t>Se montaran historias presentando diferentes actividades que se han realizado en el grupo estudiantil. Así, motivar a las personas a que vivan experiencias similares en el grupo y decirdan entrar.</t>
  </si>
  <si>
    <t>GUN-10983</t>
  </si>
  <si>
    <t>Nombre: Juan Jose Campanella De Oro
Correo electrónico: campanellaj@uninorte.edu.co
Celular: 3183163328</t>
  </si>
  <si>
    <t>Principios básicos para un proyecto de inteligencia artificial</t>
  </si>
  <si>
    <t>En esta charla dictada por el Ingeniero Sebastian Racedo, se hablará acerca de los principios básicos para un proyecto de inteligencia artificial.</t>
  </si>
  <si>
    <t>https://drive.google.com/open?id=19C52kS-CiFcXblNmyJHacnsJayFsfm4h</t>
  </si>
  <si>
    <t>https://uninorte.zoom.us/meeting/register/tZcodeqhrzMvHdKVG2nejE4RUtnlNUEXjPpq</t>
  </si>
  <si>
    <t>GUN-10984</t>
  </si>
  <si>
    <t>Acompaña a nuestros voluntarios en nuestro stand de la feria y conoce las colonias felinas del campus.</t>
  </si>
  <si>
    <t>GUN-10985</t>
  </si>
  <si>
    <t xml:space="preserve">Reto ojos cerrados (Feria Vive) </t>
  </si>
  <si>
    <t xml:space="preserve">Esta actividad permite que los participantes muestren sus habilidades dibujando en una forma en la que no lo harían 
normalmente.
Los participantes deben grabar un video corto haciendo la dinámica y al finalizar se pueden unir los videos para mostrar 
un resumen de la actividad en la feria
</t>
  </si>
  <si>
    <t>GUN-10986</t>
  </si>
  <si>
    <t>Descubre tu michi interior</t>
  </si>
  <si>
    <t>¿Personalidades gatunas? Entra a nuestro stand y descubre cuál es tu michi interior</t>
  </si>
  <si>
    <t xml:space="preserve"> https://meet.google.com/rme-cwjj-tkg</t>
  </si>
  <si>
    <t>GUN-10987</t>
  </si>
  <si>
    <t xml:space="preserve">Integración de miembros </t>
  </si>
  <si>
    <t xml:space="preserve">Integración de miembros antiguos de FeminUN, dónde se hizo reconocimiento a los miembros más participativos del semestre pasado. También se explicaron los nuevos cambios estructurales del grupo, nuevas actividades para este semestre y se hizo una dinámica participativa para divertirnos un rato. </t>
  </si>
  <si>
    <t>https://uninorte.zoom.us/j/86009595973</t>
  </si>
  <si>
    <t>GUN-10988</t>
  </si>
  <si>
    <t>Yo Nunca Nunca (Feria Vive)</t>
  </si>
  <si>
    <t xml:space="preserve">Consiste en una serie de historias de instagram en la que se colocan diferentes afirmaciones o anécdotas 
relacionadas a situaciones comunes dentro del diseño, esto ayuda a visibilizar la cuenta y conseguir reacciones 
gracias a las herramienta “Encuesta” de instagram, estas afirmaciones estarán acompañadas de imágenes.
Yo nunca: Ejemplos
-He dicho que terminaba en 1 hora y me he quedado trasnochando
-He olvidado guardar mientras trabajo y he perdido información
YO </t>
  </si>
  <si>
    <t>GUN-10989</t>
  </si>
  <si>
    <t>Charla: Bombeo solar: funcionamiento y tendencias de una ingeniería deslumbrante</t>
  </si>
  <si>
    <t xml:space="preserve">Charla de 1 hora en la que se explicará cuál es el funcionamiento del bombeo solar y cuáles son las tendencias en este sistema. </t>
  </si>
  <si>
    <t>https://drive.google.com/open?id=19Ecyl1VqosVM33V_Qqva_OHYLuVR7Gyn</t>
  </si>
  <si>
    <t>https://uninorte.zoom.us/s/86332282851</t>
  </si>
  <si>
    <t>GUN-10990</t>
  </si>
  <si>
    <t>Día mundial de la relajación</t>
  </si>
  <si>
    <t>Taller práctico que se llevará a cabo por la ponente argentina Yamile Porini, quien realizará una sesión de yoga complementada con distintas técnicas de relajación y regulación emocional a través del movimiento consciente.</t>
  </si>
  <si>
    <t>https://drive.google.com/open?id=157awfTj8-uoBkWDahJ8zlaEsbZL1EFrM</t>
  </si>
  <si>
    <t>https://uninorte.zoom.us/j/84203803346</t>
  </si>
  <si>
    <t>GUN-10991</t>
  </si>
  <si>
    <t>Nombre: Juan Jose Campanella De Oro
Correo electrónico: juancampanelladeoro@gmail.com
Celular: 3183163328</t>
  </si>
  <si>
    <t>Introducción a DLLO. Aplicaciones Web Backend</t>
  </si>
  <si>
    <t xml:space="preserve">Se hará una introducción a DLLO. Aplicaciones Web Backend, presentando temáticas de interés y aprendizaje para los estudiantes. </t>
  </si>
  <si>
    <t>https://drive.google.com/open?id=1t6f2DbCm6sLzEekqRoku187ELxqOlGzX</t>
  </si>
  <si>
    <t>https://uninorte.zoom.us/meeting/register/tZcufuqorzwpGtM7fjCjJ8o8XZtJn41LarS0</t>
  </si>
  <si>
    <t>GUN-10992</t>
  </si>
  <si>
    <t>Introducción a DLLO. Aplicaciones Web BackEnd</t>
  </si>
  <si>
    <t>En esta charla dictada por el Ingeniero Juan Rodriguez Donado se hará una introducción a DLLO. Aplicaciones Web Backend.</t>
  </si>
  <si>
    <t>https://drive.google.com/open?id=1NJWKHuzl3-RRChfVvpu7ZZjzGaDQyh5u</t>
  </si>
  <si>
    <t>GUN-10993</t>
  </si>
  <si>
    <t>Mariana Campo, almazom@uninorte.edu.co, 3015349072</t>
  </si>
  <si>
    <t>Reuniones Semanales</t>
  </si>
  <si>
    <t xml:space="preserve">Reunion con miembros activos de Act. Representativas </t>
  </si>
  <si>
    <t>https://meet.google.com/dcp-atbm-jzk</t>
  </si>
  <si>
    <t>GUN-10994</t>
  </si>
  <si>
    <t>ANEIC, CESG,VOLTA,IEEE,ANEIAP, IISE,CEIM, INNOVA, ACM, W-STEM, GREEN-G</t>
  </si>
  <si>
    <t>MEMETÓN</t>
  </si>
  <si>
    <t>Este concurso se llevará a cabo durante la semana del Ingeniero (17 al 20 de agosto). Para ello se necesitará una pieza publicitaria regida por la identidad del evento, donde se invite con anticipación a los estudiantes interesados en participar a que diligencien el formulario de inscripción, en el cual deben indicar a qué programa de Ingeniería pertenecen para que se faciliten los filtros de evaluación. Luego de cerrar las inscripciones, se les enviará un correo electrónico donde se les indique las reglas establecidas para el concurso, se prevé que se recibirán memes hasta el día jueves 19 de Junio, fecha en la cual los líderes de los grupos estudiantiles correspondientes a cada categoría  verificarán que los memes cumplan con las reglas establecidas, para luego ser presentados ante la interventoría de memes por categoría. La interventoría de memes consistirá en presentar los memes de cada programa a uno o dos  profesores del mismo, que serán los encargados de evaluarlos. Finalmente, habrá un ganador por cada categoría.</t>
  </si>
  <si>
    <t>https://forms.gle/iqsUxw5Xyfw6eSmU6</t>
  </si>
  <si>
    <t>GUN-10995</t>
  </si>
  <si>
    <t>CEIM, ANEIC, CESG, ANEIAP, IISE, VOLTA, IEEE, INNOVA, ACM, GREEN GENERATION, W-STEM.</t>
  </si>
  <si>
    <t>RALLY: RETA TU INGENIO</t>
  </si>
  <si>
    <t>El rally de ingenierías se realizará durante 3 días de la semana mencionada, en cada día habrá 2 retos que corresponderán a  2 ingenierías diferentes.  
Se pretende que las inscripciones comiencen una semana antes, y serán en grupos de a 5, puede participar cualquier persona sin embargo, se debe tener en cuenta que los retos serán enfocados a las ingenierías correspondientes.
Los retos se calificarán con puntos y al finalizar la semana, se escogerá el equipo que mayor puntaje haya obtenido en los seis retos.</t>
  </si>
  <si>
    <t>https://forms.gle/MgcFwzuLjLfNeTTUA</t>
  </si>
  <si>
    <t>GUN-10996</t>
  </si>
  <si>
    <t>HYNOVA 40, EMBARCACIÓN PROPULSADA CON HIDRÓGENO ELÉCTRICO</t>
  </si>
  <si>
    <t>"Publicación video en la cuenta de Youtube del CEIM el día 13 de agosto del 2021 sobre el HYNOVA 40, EMBARCACIÓN PROPULSADA CON HIDRÓGENO ELÉCTRICO .
"</t>
  </si>
  <si>
    <t>https://youtu.be/mlSDYvD-MMs</t>
  </si>
  <si>
    <t>GUN-10997</t>
  </si>
  <si>
    <t>María Andrea Burgos Petro
mpetroa@uninorte.edu.co
 304 3873130</t>
  </si>
  <si>
    <t>Reunión #1 junta directiva 2021-03</t>
  </si>
  <si>
    <t>En esta reunión los miembros de junta directiva organizan el cronograma de eventos para dar inicio a las actividades programadas para el semestre 2021-03.</t>
  </si>
  <si>
    <t>Unirse a la reunión Zoom https://uninorte.zoom.us/j/88000154190?pwd=S1JtemhUSVBMY1FlTHd3ZExkeVdlZz09  ID de reunión: 880 0015 4190 Código de acceso: 633736 Móvil con un toque +12532158782,,88000154190#,,,,*633736# Estados Unidos (Tacoma) +13017158592,,88000154190#,,,,*633736# Estados Unidos (Washington DC)  Marcar según su ubicación         +1 253 215 8782 Estados Unidos (Tacoma)         +1 301 715 8592 Estados Unidos (Washington DC)         +1 312 626 6799 Estados Unidos (Chicago)         +1 346 248 7799 Estados Unidos (Houston)         +1 646 558 8656 Estados Unidos (New York)         +1 669 900 9128 Estados Unidos (San Jose) ID de reunión: 880 0015 4190 Código de acceso: 633736 Encuentre su número local: https://uninorte.zoom.us/u/kbdQYU9YRU</t>
  </si>
  <si>
    <t>GUN-10998</t>
  </si>
  <si>
    <t xml:space="preserve"> CEIM, ANEIC, CESG, ANEIAP, IISE, VOLTA, IEEE, INNOVA, ACM, GREEN GENERATION, W-STEM.</t>
  </si>
  <si>
    <t>INAUGURACIÓN SEMANA DEL INGENIO</t>
  </si>
  <si>
    <t>Durante este espacio se pretende realizar la apertura a todos los eventos y actividades organizados. Se realizará una agenda en la que hable el rector con el fin de brindar unas palabras como apoyo y acompañamiento para el evento. También,   representantes de los líderes de los grupos estudiantiles explicarán la agenda.</t>
  </si>
  <si>
    <t>https://youtu.be/Pu3kSsHqNhA</t>
  </si>
  <si>
    <t>GUN-10999</t>
  </si>
  <si>
    <t>Ana Milena Manjarrés Santiago</t>
  </si>
  <si>
    <t>Rally: Reta tu Ingenio</t>
  </si>
  <si>
    <t>En el marco de la semana del ingenio,grupos de 3 estudiantes se enfrentarán a 3 retos dónde tendrán un acercamiento a las ingenierías Uninorteñas, a su creatividad y su entorno</t>
  </si>
  <si>
    <t>https://uninorte.zoom.us/j/89223140275?pwd=TG1yV2hLN0o0T0lVc3RUYTVoY042Zz09</t>
  </si>
  <si>
    <t>GUN-11000</t>
  </si>
  <si>
    <t>María Andrea Burgos Petro
mpetroa@uninorte.edu.co
304 3873130</t>
  </si>
  <si>
    <t>Presentacion SIGN-UN 2021-30</t>
  </si>
  <si>
    <t xml:space="preserve">En esta Reunión los miembros de la mesa directiva darán la bienvenida a los miembros activos, espectadores y asociados del grupo, así como a los aspirantes a miembro oficial del grupo. También se hará la presentación del nuevo miembro de la junta directiva, que ocupará el cargo de secretaria después de la renuncia del anterior encargado. </t>
  </si>
  <si>
    <t>https://uninorte.zoom.us/j/84678728037?pwd=Ly9yRldYbXlQV21oN005ajlMNkhSUT09</t>
  </si>
  <si>
    <t>GUN-11001</t>
  </si>
  <si>
    <t>Semana del ingenio: Creación sin límites</t>
  </si>
  <si>
    <t>Semana dedicada a valorar el ejercicio de los ingenieros de todas las ramas en la calidad de vida de la humanidad</t>
  </si>
  <si>
    <t>https://uninorte.zoom.us/j/87429617029?pwd=Z3A0dDdWaWpDclNlc3I3emhkeHlnQT09</t>
  </si>
  <si>
    <t>GUN-11002</t>
  </si>
  <si>
    <t>Conversatorio: Mujeres en la industria</t>
  </si>
  <si>
    <t>En este espacio, contamos con la invitada Maria Paola Coba, ingeniera industrial egresada de la Universidad del Norte, beneficiaria de una doble titulación en el Politécnico de Milán y ganadora de la medalla de plata, quien nos contará su experiencia como mujer graduada de una carrera STEM y como se ha abierto paso en ASML, empresa líder en el sector de los semiconductores.</t>
  </si>
  <si>
    <t>https://drive.google.com/open?id=1of1Ucf_dLJM6niXZUtgPdD47sSp2f9L4</t>
  </si>
  <si>
    <t>https://uninorte.zoom.us/j/86583641764?pwd=RkwwOVovbC9ldUpBa3U1aUpBOXJEQT09</t>
  </si>
  <si>
    <t>GUN-11003</t>
  </si>
  <si>
    <t>Reunión Mentoras Senior</t>
  </si>
  <si>
    <t>Las mentoras senior tienen la responsabilidad de acompañar a las estudiantes de primeros semestres en su proceso de adaptación en la universidad. Esta reunión tiene el propósito de crear el contenido para nuestra primera sesión con las mentoradas.</t>
  </si>
  <si>
    <t>https://meet.google.com/kxd-oovb-gsf</t>
  </si>
  <si>
    <t>GUN-11004</t>
  </si>
  <si>
    <t>Rifa Pet</t>
  </si>
  <si>
    <t>Rifa pro-fondos para el beneficio de la fundación "colitas callejeras"</t>
  </si>
  <si>
    <t>Instragram: pangeaglobalun</t>
  </si>
  <si>
    <t>GUN-11005</t>
  </si>
  <si>
    <t>Inducción miembros nuevos</t>
  </si>
  <si>
    <t xml:space="preserve">Haciendo uso de las plataformas tic se llevará acabo la inducción de los miembros nuevos. En esta se espera realizar actividades que fomenten la integración y el interés por el grupo. </t>
  </si>
  <si>
    <t>https://uninorte.zoom.us/j/88966781949?pwd=MXNKbmtFcnJnY2paZW5GYU9qSWxZZz09</t>
  </si>
  <si>
    <t>GUN-11006</t>
  </si>
  <si>
    <t>Inducción Nuevos 2021-30</t>
  </si>
  <si>
    <t>Durante esta jornada realizaremos la bienvenida a los nuevos miembros de Partners que fueron previamente inscritos en la Feria Vive Uninorte</t>
  </si>
  <si>
    <t>https://uninorte.zoom.us/j/88091568135?pwd=cFNyQXlpb0FJN3hYMysya25RcnhXZz09</t>
  </si>
  <si>
    <t>GUN-11007</t>
  </si>
  <si>
    <t>Asamblea de Bienvenida ANEIC Uninorte</t>
  </si>
  <si>
    <t>Asamblea de bienvenida ANEIC Uninorte 2021-30</t>
  </si>
  <si>
    <t>https://uninorte.zoom.us/j/89236114942?pwd=N3YybW8rMmdlRG42MnNJbnBnMWxtdz09</t>
  </si>
  <si>
    <t>GUN-11008</t>
  </si>
  <si>
    <t>Maria Andrea Burgos Petro
mpetroa@uninorte.edu.co
3043873130</t>
  </si>
  <si>
    <t>Charla ACV isquemico</t>
  </si>
  <si>
    <t>Esta actividad es una charla del eje académico del grupo, preparada por miembros activos del grupo que voluntariamente escogieron preparar una presentación del tema</t>
  </si>
  <si>
    <t>https://uninorte.zoom.us/j/88641769600?pwd=dlhZbEFKT210M3FlM0dzbDRaOWpPQT09</t>
  </si>
  <si>
    <t>GUN-11009</t>
  </si>
  <si>
    <t>Fernando Jose Mercado Peña
jmercadof@uninorte.edu.co
3012585335</t>
  </si>
  <si>
    <t>Entrevistas aspirantes a miembros activos</t>
  </si>
  <si>
    <t>Se realizará una corta entrevista de aspirantes a miembros activos del SIGN-UN, estos fueron citados previamente y luego de que la mesa directiva escuche sus motivaciones y el aspirante se comprometa a cumplir con sus deberes y acepte los derechos propios de la membresía, se procederá a publicar una lista de aspirantes aceptados como miembros activos.</t>
  </si>
  <si>
    <t>https://uninorte.zoom.us/j/82263538398?pwd=QzdSeStEcmVCMkNmN0xIUTdVbXkrUT09</t>
  </si>
  <si>
    <t>GUN-11010</t>
  </si>
  <si>
    <t>Mariana Carolina Campo Almazo, almazom@uninorte.edu.co, 3015349072</t>
  </si>
  <si>
    <t>Experencia Ceim 2021-30</t>
  </si>
  <si>
    <t>Experiencia de Iniciación Ceim 2021-30</t>
  </si>
  <si>
    <t>https://uninorte.zoom.us/j/89287561513?pwd=dmt1NTFsZXo5MGd6Zm9YN2FZeUg2UT09</t>
  </si>
  <si>
    <t>GUN-11011</t>
  </si>
  <si>
    <t>Video del Día del Ingeniero</t>
  </si>
  <si>
    <t>Por medio de un video en redes sociales se busca destacar todas las cualidades de un ingeniero para honrarlos en su día</t>
  </si>
  <si>
    <t>NA</t>
  </si>
  <si>
    <t>GUN-11012</t>
  </si>
  <si>
    <t>Reunión Semanal Junta Directiva</t>
  </si>
  <si>
    <t>La junta directiva se reúne con el fin de ultimar detalles sobre eventos próximos y dar continuidad a los que se tienen en proceso</t>
  </si>
  <si>
    <t>GUN-11013</t>
  </si>
  <si>
    <t>Osvaldo Díaz, rosvaldo@uninorte.edu.co, 3185218801</t>
  </si>
  <si>
    <t>Entrevistas del reclutamiento</t>
  </si>
  <si>
    <t>Realizaremos unas entrevistas a los aspirantes del grupo estudiantil como parte del proceso de selección. Estas entrevistas tienen el fin de conocerlos más y determinar su estado en el grupo.</t>
  </si>
  <si>
    <t>https://uninorte.zoom.us/j/85977463980?pwd=S1N0RlZkNnhtL0d4V0lKNkVLV3Zvdz09</t>
  </si>
  <si>
    <t>GUN-11014</t>
  </si>
  <si>
    <t>MUJERES EN LA INDUSTRIA</t>
  </si>
  <si>
    <t>Conversatorio con Maria Paola Coba, ganadora de la medalla de plata, en el que nos profundizará sobre su historia y como se ha abierto paso en ASML, empresa líder en el sector de los semiconductores.</t>
  </si>
  <si>
    <t>https://drive.google.com/open?id=1gm6kUZZ9rKqnLGXXAshUoQ3flfyJlxiB</t>
  </si>
  <si>
    <t>GUN-11015</t>
  </si>
  <si>
    <t>Estudiantes Cara a Cara</t>
  </si>
  <si>
    <t>En el marco de la semana del ingenio, estudiantes de 9no, 10mo y 11mo grado tendrán la oportunidad de encontrarse cara a cara con 2 estudiantes de las ingenierías que son de su interés.</t>
  </si>
  <si>
    <t>https://uninorte.zoom.us/j/86001023805?pwd=TG9TMTE3UEtYVE5rSWtmVEIwMmxqdz09</t>
  </si>
  <si>
    <t>GUN-11016</t>
  </si>
  <si>
    <t xml:space="preserve">Osvaldo José Díaz Ricardo, rosvaldo@uninorte.edu.co, 318 5218801 </t>
  </si>
  <si>
    <t xml:space="preserve">Jornada de reclutamiento para aspirantes al grupo estudiantil CEO. Se dividirán en grupos y realizarán actividades dentro de cada área.  </t>
  </si>
  <si>
    <t>GUN-11017</t>
  </si>
  <si>
    <t xml:space="preserve">Capacitación miembros </t>
  </si>
  <si>
    <t xml:space="preserve">Se realizará una capacitación a los miembros del grupo que colaborarán en el reclutamiento, apoyando a sus respectivas áreas y líderes. El objetivo de esta capacitación es prepararlos y brindarles las herramientas necesarias. </t>
  </si>
  <si>
    <t>GUN-11018</t>
  </si>
  <si>
    <t>Osvaldo José Díaz Ricardo, rosvaldo@uninorte.edu.co, 318 5218801</t>
  </si>
  <si>
    <t>Reunión Junta Directiva</t>
  </si>
  <si>
    <t xml:space="preserve">Reunión de la Junta Directiva para conversar temas del reclutamiento, horarios de entrevistas y miembros que participarán en las mesas de reclutamiento. Adicionalmente, conversar de cualquier tema por definir. </t>
  </si>
  <si>
    <t>GUN-11019</t>
  </si>
  <si>
    <t>Bienvenida de semestre</t>
  </si>
  <si>
    <t xml:space="preserve">Hablaremos sobre los retos y expectativas por un nuevo semestre, mientras construimos lazos de empatía. </t>
  </si>
  <si>
    <t>https://uninorte.zoom.us/j/87042277507?pwd=THhTTkNTdkpqOGxvQmsxR0lJTVMxQT09</t>
  </si>
  <si>
    <t>GUN-11020</t>
  </si>
  <si>
    <t>Natalia Ortiz Acevedo
nataliaacevedo@uninorte.edu.co
3017549787</t>
  </si>
  <si>
    <t>Inducción nuevos miembros 2021-30</t>
  </si>
  <si>
    <t xml:space="preserve">Se realizará la inducción a los nuevos miembros, se harán actividades y adicionalmente se les explicarán la tareas de cada uno de los comités </t>
  </si>
  <si>
    <t xml:space="preserve">No aplica </t>
  </si>
  <si>
    <t>GUN-11021</t>
  </si>
  <si>
    <t xml:space="preserve">CARA A CARA-MITOS Y VERDADES </t>
  </si>
  <si>
    <t xml:space="preserve">Teniendo en cuenta el contexto social en el que nos encontramos, se propone realizar un acercamiento de estudiantes de colegio con estudiantes universitarios. Estos acercamientos se darán por salas de meet o zoom, en la que los estudiantes puedan ingresar y tener charlas con estudiantes de semestres superiores, a los que le puedan realizar preguntas, contar sus expectativas y lo que han escuchado de las diferentes ingenierías, a lo que el estudiante universitario responderá con su experiencia.
El objetivo de este evento es revelar aquellos mitos y verdades de las ingenierías de una manera en la que los colegiados se sientan en confianza y puedan acercarse a su posible futura carrera y saber a qué se enfrentaran más adelante.
</t>
  </si>
  <si>
    <t>GUN-11022</t>
  </si>
  <si>
    <t>sbarreneche@uninorte.edu.co</t>
  </si>
  <si>
    <t>Taller “Introducción a Python con W-STEM” Semana del Ingeniero</t>
  </si>
  <si>
    <t>Python es el lenguaje de programación más popular del mundo y el preferido de grandes empresas como Google, Amazon, Facebook y la NASA.  Por su gran relevancia multidisciplinaria, el grupo estudiantil W-STEM ha preparado este taller con la ingeniera Lucy García Ramos para todas las personas que quieran estimular su ingenio a través de la programación.</t>
  </si>
  <si>
    <t>https://drive.google.com/open?id=1FyiamQ8qjYyvv1ZxoVdu9mZMiZAdkqvJ</t>
  </si>
  <si>
    <t>https://uninorte.zoom.us/meeting/register/tZwsc-CorD4iGdN4nVj5cZhW1NW8p3EGLnBb</t>
  </si>
  <si>
    <t>GUN-11023</t>
  </si>
  <si>
    <t xml:space="preserve">Santiago De Jesús Mercado Castro dsmercado@uninorte.edu.co </t>
  </si>
  <si>
    <t xml:space="preserve">Primera reunión - Asamblea general </t>
  </si>
  <si>
    <t xml:space="preserve">La reunión rutinaria tiene como fin presentar los eventos de la semana siguiente ademas de proporcionar un feedback del evento anterior  </t>
  </si>
  <si>
    <t>https://uninorte.zoom.us/j/83126327038</t>
  </si>
  <si>
    <t>GUN-11024</t>
  </si>
  <si>
    <t>Inducciones W-STEM</t>
  </si>
  <si>
    <t>https://uninorte.zoom.us/j/89377111467?pwd=UFN1L1VhM1lzVGV5a3R2ZURvWHh1QT09</t>
  </si>
  <si>
    <t>GUN-11025</t>
  </si>
  <si>
    <t>Preguntas clínicas: Diabetes Mellitus</t>
  </si>
  <si>
    <t>Actividad en redes sociales con publicación de preguntas de tipo ABCD, acerca del tema Diabetes mellitus, su fisiopatología, clínica, diagnóstico y tratamiento</t>
  </si>
  <si>
    <t>https://instagram.com/imig.uninorte?utm_medium=copy_link</t>
  </si>
  <si>
    <t>GUN-11026</t>
  </si>
  <si>
    <t>Preguntas clínicas: Hipotiroidismo</t>
  </si>
  <si>
    <t>Actividad en redes sociales con publicación de preguntas de tipo ABCD, acerca del tema Hipotiroidismo, su fisiopatología, clínica, diagnóstico y tratamiento</t>
  </si>
  <si>
    <t>GUN-11027</t>
  </si>
  <si>
    <t xml:space="preserve">Reunión donde se dará la bienvenida a los nuevos integrantes de FeminUN. Se les explicará más sobre el grupo, podrán elegir a qué comité pertenecerán y se hará una dinámica de integración. </t>
  </si>
  <si>
    <t>https://uninorte.zoom.us/j/86706162285?pwd=WDdSYVdCaXJncDdOY1g4aGl1RDRkQT09</t>
  </si>
  <si>
    <t>GUN-11028</t>
  </si>
  <si>
    <t>Samantha Castro, samanthac@uninorte.edu.co, 301 6202938</t>
  </si>
  <si>
    <t xml:space="preserve">Espacio de debate donde se discutirá un tema de interés de los miembros del grupo. </t>
  </si>
  <si>
    <t>https://uninorte.zoom.us/j/84805215698?pwd=VWVpSk05Zk9ZT251RnZOQ0Jka09vdz09</t>
  </si>
  <si>
    <t>Estimado equipo especififcar cual es el tema a tratar en la actividad</t>
  </si>
  <si>
    <t>GUN-11029</t>
  </si>
  <si>
    <t xml:space="preserve">Sofía Carolina García Barreneche - sbarreneche@uninorte.edu.co - 3003969858
Luisa Fernanda Amador Sanabria - lfamador@uninorte.edu.co - 3015926162
Catalina Monroy Pantoja	- catalinamonroy@uninorte.edu.co - 3168299639
Stefani Paola Altamar Rivera  - stefania@uninorte.edu.co - 3022672493
</t>
  </si>
  <si>
    <t>https://drive.google.com/open?id=1rPEOWi43l5zrAuobK0m0plXmjxNiDVpm</t>
  </si>
  <si>
    <t>GUN-11030</t>
  </si>
  <si>
    <t>“Panel: Estrategias para incrementar la diversidad en STEM” - Semana del Ingeniero</t>
  </si>
  <si>
    <t>En la diversidad está el futuro de la ingeniería, la inclusión de profesionales con diferentes perspectivas permitirá potenciar al máximo el ingenio y la creatividad en un campo donde claramente aún existe una enorme brecha étnica y de género. Por lo anterior, se realizará un panel con invitados expertos en el tema donde a través de actividades moderadas por preguntas se idearán estrategias para aumentar la participación en STEM de mujeres y miembros de las comunidades afro, indígenas y LQBTIQ+. Este se enfoca en el cumplimiento de los Objetivos de Desarrollo Sostenible 5 y 10 (igualdad de género y reducción de las desigualdades).</t>
  </si>
  <si>
    <t>https://drive.google.com/open?id=1xKmWvQosZk1ekJwkH4GByC4sj544tBHa</t>
  </si>
  <si>
    <t>https://uninorte.zoom.us/meeting/register/tZAqdemvqzguH9ZWB7CJRJvLgjNG2wX1wh-X</t>
  </si>
  <si>
    <t>GUN-11031</t>
  </si>
  <si>
    <t>La otra cara de la ingeniería</t>
  </si>
  <si>
    <t>La ingeniería tiende a ser injustamente percibida y encasillada. Esta en su totalidad abarca un campo tan grande que puede resultar imposible pensar que  puede ser ejecutada en algunas áreas no tan cotidianas, como es el caso de la medicina. Esta charla pretende mostrar, a partir de la experiencia del ingeniero Jorge Vélez, que un ingeniero puede desenvolverse en prácticamente cualquier campo, haciendo énfasis en esta ocasión en el de la microbiología e inmunología.</t>
  </si>
  <si>
    <t>https://drive.google.com/open?id=1sJM8TChiopC0-3uGl8rri9JsMa7DvmeT</t>
  </si>
  <si>
    <t>https://uninorte.zoom.us/j/83258464622?pwd=SVAxNFNRQXF0YloxamR3dE5CUjY3Zz09</t>
  </si>
  <si>
    <t>Estimado Grupo, esta actividad se realizara virtual?</t>
  </si>
  <si>
    <t>GUN-11032</t>
  </si>
  <si>
    <t>LA OTRA CARA DE LA INGENIERÍA</t>
  </si>
  <si>
    <t>Charla con el ingeniero y Phd en Medical Sciences Jorge Vélez Valbuena, quien nos profundizará su historia, hallazgos en el campo de la medicina y proyectos actuales, mostrándonos un lado poco convencional de la ingeniería.</t>
  </si>
  <si>
    <t>https://drive.google.com/open?id=1e2cCGWlrwWFU6L8rrsalrsllrvBYf5Fn</t>
  </si>
  <si>
    <t>GUN-11033</t>
  </si>
  <si>
    <t>Conversatorio: Aprovechamiento de residuos sólidos en casa</t>
  </si>
  <si>
    <t>Conversatorio en colaboración con FUNSACOF, Tolú Sostenible y Guardianes por la Vida</t>
  </si>
  <si>
    <t>https://drive.google.com/open?id=1ihIDaR2t2Sfb-A8wNnSyOWDVt7wDIiWJTHd8egQakcc</t>
  </si>
  <si>
    <t>https://www.facebook.com/funsacof/?ref=page_internal</t>
  </si>
  <si>
    <t>GUN-11034</t>
  </si>
  <si>
    <t xml:space="preserve">Santiago De Jesús Mercado Castro 
Angélica María Carrasquilla García </t>
  </si>
  <si>
    <t xml:space="preserve">El evento está diseñado por tres secciones correspondientes a cada una de las coordinaciones del grupo, Filosofía, Literatura y Arte, en cada sección cada una de los coordinadores va a mostrar tanto a los miembros viejos como a los nuevos lo que se hace en cada coordinación, esto con el fin de que cada uno de los miembros pueda estar al tanto del hilo argumental que se desarrollará en los tres departamentos.
Filosofía
La muerte de la modernidad
Descripción:
Ilustrar el ascenso y caída del proyecto moderno por medio del desarrollo de una explicación del nacimiento de la modernidad por su ruptura con el medievo, desde las perspectivas de René Descartes y Francis Bacon, con su crítica al modelo deductivo aristotélico de la cual saldrán sus modelos propios. Posteriormente se visitará la perspectiva de Santiago Castro Gómez de las consecuencias del pensamiento moderno en las colonias europeas. Lo anterior será expuesto por medio de una ponencia para una posterior sesión de preguntas en pro del debate entre los miembros e invitados del grupo estudiantil.
Arte
La otra cara del Arte
Descripción
Es un evento en el cual se podrán conocer todas esas ramas del arte que se han dejado en velo, se podrá explorar ricos movimientos artísticos y culturas que están del otro lado del océano. Se trata de expandir los horizontes del arte más allá de los que se conocen.
Literatura
El cuento de la dignidad humana.  
Descripción
Breve ponencia sobre la relación de la literatura latinoamericana del siglo 20 con los movimientos intelectuales de resistencia política a las dictaduras del Cono Sur.
</t>
  </si>
  <si>
    <t>https://uninorte.zoom.us/j/87350621459</t>
  </si>
  <si>
    <t>GUN-11035</t>
  </si>
  <si>
    <t>Santiago De Jesús Mercado Castro dsmercado@uninoerte.edu.co 3008196382
Angélica María Carrasquilla García macarrasquilla@uninorte.edu.co 3013110481</t>
  </si>
  <si>
    <t xml:space="preserve">El evento está diseñado por tres secciones correspondientes a cada una de las coordinaciones del grupo, Filosofía, Literatura y Arte, en cada sección cada una de los coordinadores va a mostrar tanto a los miembros viejos como a los nuevos lo que se hace en cada coordinación, esto con el fin de que cada uno de los miembros pueda estar al tanto del hilo argumental que se desarrollará en los tres departamentos.
Filosofía
La muerte de la modernidad
Descripción:
Ilustrar el ascenso y caída del proyecto moderno por medio del desarrollo de una explicación del nacimiento de la modernidad por su ruptura con el medievo, desde las perspectivas de René Descartes y Francis Bacon, con su crítica al modelo deductivo aristotélico de la cual saldrán sus modelos propios. Posteriormente se visitará la perspectiva de Santiago Castro Gomez de las consecuencias del pensamiento moderno en las colonias europeas. Lo anterior será expuesto por medio de una ponencia para una posterior sesión de preguntas en pro del debate entre los miembros e invitados del grupo estudiantil.
Arte
La otra cara del Arte
Descripción
Es un evento en el cual se podrán conocer todas esas ramas del arte que se han dejado en velo, se podrá explorar ricos movimientos artísticos y culturas que están del otro lado del océano. Se trata de expandir los horizontes del arte más allá de los que se conocen.
Literatura
El cuento de la dignidad humana.  
Descripción
Breve ponencia sobre la relación de la literatura latinoamericana del siglo 20 con los movimientos intelectuales de resistencia política a las dictaduras del Cono Sur
</t>
  </si>
  <si>
    <t>GUN-11036</t>
  </si>
  <si>
    <t>CLAUSURA SEMANA DEL INGENIO</t>
  </si>
  <si>
    <t>Durante este espacio se realizara la entrega de premios a profesores, se anunciaran los ganadores de las diferentes actividades y se realizará la entrega de los premios. De la misma manera, se dará un espacio corto para realizar un discurso de cierre y dar por terminada la semana.</t>
  </si>
  <si>
    <t>GUN-11037</t>
  </si>
  <si>
    <t>María José Díaz Guardo, mguardoj@uninorte.edu.co, 3007832846</t>
  </si>
  <si>
    <t>Reunión Asesores</t>
  </si>
  <si>
    <t xml:space="preserve">Explicación sobre el rol de los asesores en el reclutamiento y los cambios realizados en el semestre. En cargo del área de People </t>
  </si>
  <si>
    <t>GUN-11038</t>
  </si>
  <si>
    <t>Diana Marcela Giraldo Duque
giraldomd@uninorte.edu.co
3202664098</t>
  </si>
  <si>
    <t>Conversatorio: Prácticas profesionales.</t>
  </si>
  <si>
    <t>Conoce la experiencia en prácticas profesionales de las egresadas Juliana De Los Reyes y Valerie Valderrama del programa de contaduría pública. Además, los retos y competencias que demanda el mundo laboral actual.</t>
  </si>
  <si>
    <t>https://drive.google.com/open?id=1fUPOh78mN08IZyhG3Ns4dj1H006RAp-A</t>
  </si>
  <si>
    <t>https://forms.gle/42A4Qpy4kkX5LZ948</t>
  </si>
  <si>
    <t>GUN-11039</t>
  </si>
  <si>
    <t xml:space="preserve">Evento interno en el que debatiremos sobre la situación actual en Afganistán y todo lo que implica la llegada al poder de los Talibanes, sobre todo para los derechos y libertades de las mujeres. </t>
  </si>
  <si>
    <t>GUN-11040</t>
  </si>
  <si>
    <t>Se hará un taller de pintura básica, dirigido a voluntarios, niños y todo aquel que quiera aprender. Será dictado por una Mariana Fruto, colíder de Impacto Social.</t>
  </si>
  <si>
    <t>https://uninorte.zoom.us/j/83197576067?pwd=TmpxRkt2bkVMUTBlT1hReU1oNUhHdz09</t>
  </si>
  <si>
    <t>GUN-11041</t>
  </si>
  <si>
    <t>Let's Play</t>
  </si>
  <si>
    <t>Torneo de parchis organizado por ANEIC Uninorte</t>
  </si>
  <si>
    <t>GUN-11042</t>
  </si>
  <si>
    <t>Activismo universitario</t>
  </si>
  <si>
    <t>Los miembros de la junta debatirán las diferentes temáticas a tratar les miembrxs. También se busca dividir el trabajo a realizar.</t>
  </si>
  <si>
    <t>Junta Viernes, 20 de agosto · 12:30 – 13:30 Información para unirse a Google Meet Enlace a la videollamada: https://meet.google.com/qrh-puqa-zoe</t>
  </si>
  <si>
    <t>GUN-11043</t>
  </si>
  <si>
    <t>Jose Alejandro Bedoya Villegas, bedoyaaj@uninorte.edu.co, 3155181038</t>
  </si>
  <si>
    <t>Reuniones División ASME</t>
  </si>
  <si>
    <t>Reunión semanal con los miembros de la división.</t>
  </si>
  <si>
    <t>GUN-11044</t>
  </si>
  <si>
    <t>Día internacional de la solidaridad</t>
  </si>
  <si>
    <t>Dinámica en Instagram por medio de historias, se brindará una plantilla con varios retos de acciones solidarias, el público seleccionará un reto, el cuál realizará y subirá una historia en Instagram la cual será reposteada por la cuenta de cdiep</t>
  </si>
  <si>
    <t>GUN-11045</t>
  </si>
  <si>
    <t>Campaña de atracción - Colegio La Enseñanza</t>
  </si>
  <si>
    <t>En esta actividad con las estudiantes de La Enseñanza les hablaremos sobre la importancia de las carreras STEM y lo que se hace en cada una de ellas. Además realizaremos actividades lúdicas con ellas. El evento será virtual.</t>
  </si>
  <si>
    <t>https://teams.microsoft.com/l/meetup-join/19%3a839e3518540d4adaa4416eeec628781c%40thread.tacv2/1629323031261?context=%7b%22Tid%22%3a%226a12a5be-97ff-43e5-b5b5-7ccb1e88fd4e%22%2c%22Oid%22%3a%22cfadbda1-97ae-4573-841c-ae7196e56c39%22%7d</t>
  </si>
  <si>
    <t>Estimado grupo a tarves de que plataforma se realizara la actividad</t>
  </si>
  <si>
    <t>GUN-11046</t>
  </si>
  <si>
    <t>Videojuego vs realidad: ventajas y desventajas</t>
  </si>
  <si>
    <t>Conversatorio sobre el impacto negativo de los videojuegos en los niños, las ventajas en entorno a estudios científicos, y el impacto de estos en la cultura.</t>
  </si>
  <si>
    <t>https://drive.google.com/open?id=1wR7P-mIkoZnvkhvgpKUXCRmbPYJc_UC9</t>
  </si>
  <si>
    <t>https://uninorte.zoom.us/j/84727092196?pwd=SnQ0b2RybGVPQVpabU5JNkJrdTRRdz09</t>
  </si>
  <si>
    <t>GUN-11047</t>
  </si>
  <si>
    <t xml:space="preserve">Cine y Crítica, con Juventudes Críticas </t>
  </si>
  <si>
    <t xml:space="preserve">Un cine-foro de Juventudes Críticas para las juventudes críticas. Este espacio tiene como objetivo principal enriquecer el diálogo entre los espectadores respecto a la obra audiovisual a proyectar, de tal manera que se fomente la reflexión y el análisis. En esta primera sesión, dedicada a las consecuencias humanitarias de la guerra, se proyectará "La Tumba de las Luciérnagas". </t>
  </si>
  <si>
    <t>https://uninorte.zoom.us/j/81643463755</t>
  </si>
  <si>
    <t>GUN-11048</t>
  </si>
  <si>
    <t>Reunión de conexiones con la industria</t>
  </si>
  <si>
    <t xml:space="preserve">En este espacio nos encargaremos de discutir acerca de las próximas visitas y eventos de la división.  </t>
  </si>
  <si>
    <t>GUN-11049</t>
  </si>
  <si>
    <t>Reunión semanal de la división Capítulo ASME</t>
  </si>
  <si>
    <t xml:space="preserve">Espacio de una hora donde se discuten temas relevantes para la división con todos los miembros activos. </t>
  </si>
  <si>
    <t>https://uninorte.zoom.us/j/3487890298</t>
  </si>
  <si>
    <t>GUN-11050</t>
  </si>
  <si>
    <t xml:space="preserve">1ra Reunión de la división </t>
  </si>
  <si>
    <t>Reunión por Meet que pretende dar explicación general a los miembros de la división de la forma de trabajo que se va a manejar este semestre, proyectos a desarrollar, métodos de contacto entre nosotros, y sobre todo planear la bienvenida a los nuevos integrantes del grupo. Así mismo, hacer una presentación formal del nuevo subdirector del Blog y Canal de YouTube; Jose Daniel Carrillo Patiño.</t>
  </si>
  <si>
    <t>https://meet.google.com/pnu-upjm-aik</t>
  </si>
  <si>
    <t>GUN-11051</t>
  </si>
  <si>
    <t>Reunión Presidente y Vicepresidente</t>
  </si>
  <si>
    <t xml:space="preserve">Reunión semanal para conversar respecto a los proyectos a realizar y nuevos integrantes del grupo. </t>
  </si>
  <si>
    <t>https://meet.google.com/sge-gvub-ahi</t>
  </si>
  <si>
    <t>GUN-11052</t>
  </si>
  <si>
    <t xml:space="preserve">Reunión para coordinadoras del equipo de comunicación, actualización y plan de acción del nuevo semestre. </t>
  </si>
  <si>
    <t>https://meet.google.com/zrb-wjiu-yjq</t>
  </si>
  <si>
    <t>GUN-11053</t>
  </si>
  <si>
    <t>Andrés Felipe Romero Torres, aromerof@uninorte.edu.co, 3004476066</t>
  </si>
  <si>
    <t>Reunión de área - Innovación</t>
  </si>
  <si>
    <t>Espacio para conocer los miembros nuevos y para realizar la presentación de la planeación interna del semestre a todos los miembros del área. Delegación y explicación de las funciones, así como de los comités.</t>
  </si>
  <si>
    <t>https://uninorte.zoom.us/j/85019447473?pwd=MUpTdkFmU0pJdXI3ZWtLbUZFQ0o3Zz09</t>
  </si>
  <si>
    <t>GUN-11054</t>
  </si>
  <si>
    <t>FeminTalk: Amor Propio</t>
  </si>
  <si>
    <t>Workshop divido en tres partes. La primera parte se vera un Ted talk llamado "Amor Propio" de Sofia Castro. Una vez finalizado, pasaremos a realizar unas pequeñas urnas sobre nuestras opiniones al rededor del amor propio. Discutiremos sobre cómo nos afecta la presión por la perfección, tips para subir autoestima y como no dejar que las críticas derrumben nuestro ser.</t>
  </si>
  <si>
    <t>https://uninorte.zoom.us/j/84254858150?pwd=UEtHNEY2WEVWcSsyNHFDaU9DNFhaUT09</t>
  </si>
  <si>
    <t>GUN-11055</t>
  </si>
  <si>
    <t>Sebastián David Iriarte Espeleta, espeletas@uninorte.edu.co, 3159287545 y Yulia Vanessa Barreto Llinás, Yuliab@uninorte.edu.co, 3016712293</t>
  </si>
  <si>
    <t>Visita indutrial a K&amp;V INGENIERÍA S.A.S</t>
  </si>
  <si>
    <t>"En esta visita se llevarán 8 estudiantes con el acompañamiento de un profesor encargado y un miembro de la junta directiva. Constará de las siguientes etapas:
1.  Transporte de ida ( Universidad Del Norte - K&amp;V Ingenierías Galapa - Atlántico).
2.  Recorrido interno por parte del anfitrión.
3.  Explicación procesos industriales relacionado a la linea de producción, mantenimiento y/o fabricación.
4.  Transporte de regreso (K&amp;V Ingenierías - Universidad Del Norte)."</t>
  </si>
  <si>
    <t>GUN-11056</t>
  </si>
  <si>
    <t>grupoestramenytalk@uninorte.edu.co</t>
  </si>
  <si>
    <t>RAMEN Y TALK</t>
  </si>
  <si>
    <t>Andrea Camila Lopez Lopez, candreal@uninorte.edu.co, 3015839063</t>
  </si>
  <si>
    <t>Tadaima! Inauguración del grupo</t>
  </si>
  <si>
    <t xml:space="preserve">Este evento funciona como la inauguración oficial del grupo estudiantil, en donde realizaremos la  presentación de los lideres, se hablara de las actividades planteadas para este semestre, una actividad de integración para conocer a los miembros y al final realizaremos una actividad recreativa.
</t>
  </si>
  <si>
    <t>https://uninorte.zoom.us/j/89359682967?pwd=YXp2ZXQxR3NSSXFDTS9vbnRWL0FTQT09</t>
  </si>
  <si>
    <t>GUN-11057</t>
  </si>
  <si>
    <t>Serie: tips importantes para sobrevivir en la U</t>
  </si>
  <si>
    <t>Desde el 27 de agosto hasta el 24 de septiembre estaremos hablando de cómo afrontar los retos que presentamos como estudiantes tales como la ansiedad, la frustración, el tema de las notas, entre otros.</t>
  </si>
  <si>
    <t>GUN-11058</t>
  </si>
  <si>
    <t>Una nota no te define</t>
  </si>
  <si>
    <t>En el primer día de la serie "tips importantes para sobrevivir en la U" hablaremos de cómo muchas veces cargamos un peso en cuanto a las notas/calificaciones porque no resultan como las esperamos o no son consecuentes con el esfuerzo que realizamos y que aparte de buscar estrategias para mejorarlas debemos entender de las notas no lo son todo y lo más importante es adquirir el conocimiento.</t>
  </si>
  <si>
    <t>GUN-11059</t>
  </si>
  <si>
    <t>REUNION JUNTA DIRECTIVA</t>
  </si>
  <si>
    <t>Reunión con la junta del CEIM para cuadrar los eventos durante del semestre</t>
  </si>
  <si>
    <t>GUN-11060</t>
  </si>
  <si>
    <t>Tips, Snacks y salud!</t>
  </si>
  <si>
    <t>La actividad se dividirá en 3 partes. En la primera parte, se hará una pequeña presentación sobre alimentos que pueden ser reemplazados por otros mas saludables y siguen cumpliendo la misma función. En la segunda parte se presentaran tips de snacks en 2 minutos para meriendas saludables entre clase y finalmente se realizara un mini taller de cocina, donde se aprenderán a realizar un postre muy saludable.</t>
  </si>
  <si>
    <t>https://drive.google.com/open?id=11z96eiEL0xUDtwOFsHl5AV7vQ-dtu52s</t>
  </si>
  <si>
    <t>https://uninorte.zoom.us/j/84743469065?pwd=U2Ntay9FVlBXbGdMcis3ZENsOFMwQT09</t>
  </si>
  <si>
    <t>GUN-11061</t>
  </si>
  <si>
    <t>Bienvenida a las Mentorías</t>
  </si>
  <si>
    <t xml:space="preserve">El propósito de esta reunión es presentarnos (las mentoras senior) con las mentoradas y enseñarles nuestro plan del semestre. Al final de la reunión, intercambiaremos números de teléfono para poder comunicarnos con ellas y mantener el seguimiento del programa. También se les dejará una pequeña tarea en relación a la capacitación que tuvimos con Bienestar Universitario. </t>
  </si>
  <si>
    <t>https://meet.google.com/qzj-heke-hxr</t>
  </si>
  <si>
    <t>GUN-11062</t>
  </si>
  <si>
    <t>Los miembros de la junta debatirán las diferentes temáticas a tratar les miembrxs. También se busca establecer roles de les participantes.</t>
  </si>
  <si>
    <t>Junta Viernes, 20 de agosto · 10:30 – 12:30 Información para unirse a Google Meet Enlace a la videollamada: https://meet.google.com/qrh-puqa-zoe</t>
  </si>
  <si>
    <t>GUN-11063</t>
  </si>
  <si>
    <t>Reunión de nuevos miembros</t>
  </si>
  <si>
    <t>En esta reunión conoceremos a los nuevos miembros del equipo, así como realizaremos la repartición de los mismos en los comités correspondientes.</t>
  </si>
  <si>
    <t>https://meet.google.com/oct-kdgc-mxi</t>
  </si>
  <si>
    <t>GUN-11064</t>
  </si>
  <si>
    <t>GUN-11065</t>
  </si>
  <si>
    <t>La era del hidrogeno</t>
  </si>
  <si>
    <t>Publicación video en la cuenta de Youtube del CEIM el día 3 de septiembre del 2021 sobre el LA ERA DEL HIDROGENO.</t>
  </si>
  <si>
    <t>https://youtu.be/xNpyQzWwBDg</t>
  </si>
  <si>
    <t>GUN-11066</t>
  </si>
  <si>
    <t>Najwa Muhieddine, nmuhieddine@uninorte.edu.co, 301 4403234</t>
  </si>
  <si>
    <t>Restricciones a las libertades de las mujeres en Afganistán</t>
  </si>
  <si>
    <t xml:space="preserve">Publicación informativa en Instagram sobre la situación en Afganistán, particularmente sobre las restricciones para mujeres y niñas en el país desde que los talibanes tomaron el poder. </t>
  </si>
  <si>
    <t>https://www.instagram.com/p/CS90SffLKir/?utm_source=ig_web_copy_link</t>
  </si>
  <si>
    <t>GUN-11067</t>
  </si>
  <si>
    <t>Samantha Castro, samanthac@uninorte.edu.co, 300 3711347</t>
  </si>
  <si>
    <t>ABC de los Feminismos</t>
  </si>
  <si>
    <t>Capacitación para los miembros de FeminUN en cuanto a los distintos tipos de feminismos con la Dra. María Auxiliadora González-Malabet</t>
  </si>
  <si>
    <t>https://drive.google.com/open?id=1LYew1ETFrljZzocm1g7GutYrnyDTrRxR</t>
  </si>
  <si>
    <t>https://uninorte.zoom.us/j/89758466085</t>
  </si>
  <si>
    <t>GUN-11068</t>
  </si>
  <si>
    <t>Tertuliemos: ¿Qué está pasando en Afganistán?</t>
  </si>
  <si>
    <t xml:space="preserve">Espacio de discusión y reflexión entre los miembros de Juventudes Críticas sobre la crisis actual en Afganistán dado el retorno de los talibanes al poder. </t>
  </si>
  <si>
    <t>https://meet.google.com/wax-myfq-vef</t>
  </si>
  <si>
    <t>GUN-11069</t>
  </si>
  <si>
    <t>Reunión semanal a cargo del departamento de marketing</t>
  </si>
  <si>
    <t>GUN-11070</t>
  </si>
  <si>
    <t>Impuesto Diferido</t>
  </si>
  <si>
    <t>Charla enfocada a los estudiantes de contaduría pública con el fin de aprender más sobre Impuesto Diferido bajo IFRS, cómo contabilizarlo y en qué casos. Dictada por el catedrático Elkin Martínez.</t>
  </si>
  <si>
    <t>https://drive.google.com/open?id=1Ygj8B9s_gxCzAgt7KP697d0NCYMmaIww</t>
  </si>
  <si>
    <t>https://forms.gle/Z3VBWCKVCTJrFzMQ7</t>
  </si>
  <si>
    <t>GUN-11071</t>
  </si>
  <si>
    <t>Valentina Morelo y Natalia Doncel Meza</t>
  </si>
  <si>
    <t>Se hara una reunion donde se hablaran de las actividades propuestas por diferentes comites para poder reactivar el grupo estudiantil y poder organizar el horario y descripciones de estas mismas.</t>
  </si>
  <si>
    <t>meet.google.com/rxn-ghga-ksh</t>
  </si>
  <si>
    <t>GUN-11072</t>
  </si>
  <si>
    <t>ABC de los Consejos de Juventud</t>
  </si>
  <si>
    <t>Taller para aprender los funcionamientos y métodos de participación de los concejos de juventud. Resalta la importancia de la participación en las urnas o en calidad de jueces o veedores de estas elecciones. Taller lo realizará FeminUN, Cosmopolítica y CERI. Es importante que los jóvenes sepamos de estos sin importar nuestra clase, género o sexualidad, debido a que son nuestros derechos como ciudadanos.</t>
  </si>
  <si>
    <t>https://drive.google.com/open?id=1S1Jt5ejA4xFJj7aHcbg3qRCcoVDUzTQM</t>
  </si>
  <si>
    <t>https://uninorte.zoom.us/j/81695918750?pwd=RUhOZ2I4Q2xLVkxJWlA4aHJFN1NWdz09</t>
  </si>
  <si>
    <t>GUN-11073</t>
  </si>
  <si>
    <t>Vanessa Paola De la Cruz, vpdelacruz@uninorte.Edu.co, 3126552561</t>
  </si>
  <si>
    <t xml:space="preserve">Juventudes </t>
  </si>
  <si>
    <t xml:space="preserve">Celebración del mes de las Juventudes </t>
  </si>
  <si>
    <t>GUN-11074</t>
  </si>
  <si>
    <t>Frustración, ansiedad y manejo de emociones</t>
  </si>
  <si>
    <t>Durante esta sesión hablaremos de algunas de las emociones más frecuentes que tenemos en la U, la frustración, la ansiedad, y cómo debemos manejarlas.</t>
  </si>
  <si>
    <t>https://uninorte.zoom.us/j/87389394029</t>
  </si>
  <si>
    <t>GUN-11075</t>
  </si>
  <si>
    <t>Introducción a los drones.</t>
  </si>
  <si>
    <t xml:space="preserve">Espacio de una hora en el que se mostrarán las aplicaciones, tipos, funcionamiento básico, curiosidades, avances, novedades de los drones. </t>
  </si>
  <si>
    <t>https://drive.google.com/open?id=1yySCU_a582ghRLrjGkAzdZh1FSSpRv9L</t>
  </si>
  <si>
    <t>https://uninorte.zoom.us/meeting/register/tZwocuyhqjMtEtGq6LX9j6olhUCZZi2Xn4-O</t>
  </si>
  <si>
    <t>PENDINENTE</t>
  </si>
  <si>
    <t>GUN-11076</t>
  </si>
  <si>
    <t>Mary Ann Arango Tapia, maryaa@uninorte.edu.co, 3004822612</t>
  </si>
  <si>
    <t>Feria Vive Saludable: Gatitos y apoyo emocional</t>
  </si>
  <si>
    <t>Una charla acerca de cómo los gatitos ayudan en la rehabilitación de personas y sirven de mucho apoyo emocional para las personas.</t>
  </si>
  <si>
    <t>https://uninorte.zoom.us/meeting/register/tZMrcemprzMtHdL6d0CNJpZAoRZwqCh2pWZZ</t>
  </si>
  <si>
    <t>GUN-11077</t>
  </si>
  <si>
    <t>Santiago De Jesús Mercado Castro - dsmercado@uninorte.edu.co - 3008196382
Angélica María Carrasquilla García - macarrasquilla@uninorte.edu.co - 3013110481</t>
  </si>
  <si>
    <t>La leyenda del artista - ¿La salud mental está relacionada con la genialidad de los artistas?</t>
  </si>
  <si>
    <t>Un conversatorio que da una mirada hacia el origen de la suposición de que es necesario que los artistas tengan una vida difícil y llena de sufrimiento para consolidar su leyenda. Desarrollando la pregunta de si la salud mental está relacionada con la genialidad de los artistas.</t>
  </si>
  <si>
    <t>https://uninorte.zoom.us/j/85696753927</t>
  </si>
  <si>
    <t>GUN-11078</t>
  </si>
  <si>
    <t>Integración Finanzas</t>
  </si>
  <si>
    <t>Se realizará una actividad de integración en Zoom con los miembros de Partners Campus Uninorte con el fin de enaltecer el liderazgo, el sentimiento del compañerismo y el significado del voluntariado.</t>
  </si>
  <si>
    <t>GUN-11079</t>
  </si>
  <si>
    <t xml:space="preserve">Publicación de artículo en Gazeta </t>
  </si>
  <si>
    <t>Envio de artículo para su revisión y publicación en la Gazeta del departamento de Ciencias Políticas y Relaciones Internacionales</t>
  </si>
  <si>
    <t>https://instagram.com/ceriuninorte?utm_medium=copy_link</t>
  </si>
  <si>
    <t>GUN-11080</t>
  </si>
  <si>
    <t>Daniel Fragozo Zuleta, ddfragozo@uninorte.edu.co, 3002343947</t>
  </si>
  <si>
    <t>Primera Reunión Tesorería 2021-30</t>
  </si>
  <si>
    <t xml:space="preserve">Primera Reunión Tesorería </t>
  </si>
  <si>
    <t>meet.google.com/fao-bmew-ffn</t>
  </si>
  <si>
    <t>GUN-11081</t>
  </si>
  <si>
    <t xml:space="preserve">Introducción a los drones. </t>
  </si>
  <si>
    <t>Conferencia en la que se presentará una introducción al mundo de los drones. Se hablará de temas como aplicaciones, tipos, funcionamiento básico, curiosidades, avances y novedades de esta tecnología.  
NOTA: El evento ya habia sido reportado, sin embargo, por un inconveniente personal del ponente, fue necesario hacer un cambio en la fecha y hora.</t>
  </si>
  <si>
    <t>https://drive.google.com/open?id=11agaC4KyA_RofBTsU5f-aEAEVOVJcgPA</t>
  </si>
  <si>
    <t>GUN-11082</t>
  </si>
  <si>
    <t>Reunión de la división de conexiones</t>
  </si>
  <si>
    <t>En este espacio la división de conexiones se reunirá para organizar y promover las visitas industriales presenciales y virtuales propuestas en el calendario</t>
  </si>
  <si>
    <t>http://meet.google.com/amb-vrhh-upo</t>
  </si>
  <si>
    <t>GUN-11083</t>
  </si>
  <si>
    <t>REUNION JD</t>
  </si>
  <si>
    <t>Reunion de la junta directiva para cuadrar los eventos futuros</t>
  </si>
  <si>
    <t>GUN-11084</t>
  </si>
  <si>
    <t>Mary Ann Arango taapia, maryaa@uninorte.edu.co, 3004822612</t>
  </si>
  <si>
    <t>Feria Vive Saludable: ¡Apunta a la feli-creatividad!</t>
  </si>
  <si>
    <t>Una charla acerca de cómo hacer manualidades para desestresarte y a la vez contribuir a la felicidad de un gatito, realizando juguetes felinos.</t>
  </si>
  <si>
    <t>GUN-11085</t>
  </si>
  <si>
    <t xml:space="preserve">Reuniones internas con miembros activos de act representativas </t>
  </si>
  <si>
    <t>GUN-11086</t>
  </si>
  <si>
    <t>En este evento nos reuniremos con los miembros de conexiones para planear próximas visitas y la ejecución de las ya planeadas</t>
  </si>
  <si>
    <t>GUN-11087</t>
  </si>
  <si>
    <t>Comentando la Realidad Internacional</t>
  </si>
  <si>
    <t>Publicación de artículo en la Gazeta del departamento de Ciencias Políticas y Relaciones Internacionales</t>
  </si>
  <si>
    <t>https://instagram.com/gazetadcpri?utm_medium=copy_link</t>
  </si>
  <si>
    <t>GUN-11088</t>
  </si>
  <si>
    <t>José Daniel Carrillo Patiño, josedanielc@uninorte.edu.co, 3008395070</t>
  </si>
  <si>
    <t>Aprovechamiento del calor residual en hornos rotativos de calcinación para la producción de ferroníquel en Cerro Matoso</t>
  </si>
  <si>
    <t>blog, de parte de las actividades de los 15 Días. Que se hace como resumen o explicación del Proyecto de Investigación ahí mencionado</t>
  </si>
  <si>
    <t>https://www.uninorte.edu.co/web/ceimun/home?p_p_id=33&amp;p_p_lifecycle=0&amp;p_p_state=normal&amp;p_p_mode=view&amp;p_p_col_id=column-2&amp;p_p_col_pos=1&amp;p_p_col_count=2</t>
  </si>
  <si>
    <t>GUN-11089</t>
  </si>
  <si>
    <t>Mariana Carolina Campo Almazo. almazom@uninorte.edu.co, 3015249072</t>
  </si>
  <si>
    <t>Reuniones semanales</t>
  </si>
  <si>
    <t>Reuniones semanales con miembros actividades</t>
  </si>
  <si>
    <t>GUN-11090</t>
  </si>
  <si>
    <t>Reunión de la división</t>
  </si>
  <si>
    <t>En este espacio trabajaremos con los miembros para seguir organizando las visitas planeadas a lo largo del semestre</t>
  </si>
  <si>
    <t>GUN-11091</t>
  </si>
  <si>
    <t>Publicación en la Gazeta del departamento</t>
  </si>
  <si>
    <t>Publicación de artículo en la Gazeta del departamento de Ciencias Políticas y Relaciones Internacionales.</t>
  </si>
  <si>
    <t>GUN-11092</t>
  </si>
  <si>
    <t>GUN-11093</t>
  </si>
  <si>
    <t>Proyecto: Diseño de un sistema de digestión anaerobia para la obtención de Biogás y Bioabono en una granja avícola en la región caribe colombiana.</t>
  </si>
  <si>
    <t>Publicación de proyecto de investigación, titulada: Diseño de un sistema de digestión anaerobia para la obtención de Biogás y Bioabono en una granja avícola en la región caribe colombiana, la cual se subiera en: Página web, canal de YouTube y Blog, dependiendo del tipo de material que se suministre.</t>
  </si>
  <si>
    <t>https://www.youtube.com/channel/UCc1LRz956ycFXYJ0JGkUzkw,  https://www.uninorte.edu.co/web/ceimun/home?p_p_id=33&amp;p_p_lifecycle=0&amp;p_p_state=normal&amp;p_p_mode=view&amp;p_p_col_id=column-2&amp;p_p_col_pos=1&amp;p_p_col_count=2, https://ceim1.bookmark.com/proyectos</t>
  </si>
  <si>
    <t>GUN-11094</t>
  </si>
  <si>
    <t>Celebración Halloween 2021</t>
  </si>
  <si>
    <t xml:space="preserve">Dinámica a través de redes con temática de Halloween </t>
  </si>
  <si>
    <t>https://www.instagram.com/ceimuninorte/</t>
  </si>
  <si>
    <t>GUN-11095</t>
  </si>
  <si>
    <t>GUN-11096</t>
  </si>
  <si>
    <t>GUN-11097</t>
  </si>
  <si>
    <t>Reunion de la junta directiva para cuadrar actividades y tomar decisiones</t>
  </si>
  <si>
    <t>GUN-11098</t>
  </si>
  <si>
    <t>María Mónica Rodríguez Díaz, diazrodriguez@uninorte.edu.co, 3182778929</t>
  </si>
  <si>
    <t>Primera reunión de Marketing</t>
  </si>
  <si>
    <t>Es un espacio para dar a conocer las actividades y funciones del área. Se espera motivar a los miembros y pasar un rato agradable.</t>
  </si>
  <si>
    <t>GUN-11099</t>
  </si>
  <si>
    <t>Live Feria Saludable con Testarosa</t>
  </si>
  <si>
    <t xml:space="preserve">Se realiza un Live por el Instagram del grupo @pangeagloblaun, donde invitaremos a Daniella Zambrano, Creadora de contenido y emprendedora, para realizar una charla, y sesión de preguntas y respuestas, donde conversamos sobre como balancea y mantiene sus hábitos saludables, mientras emprende.   </t>
  </si>
  <si>
    <t>@pangeaglobalun</t>
  </si>
  <si>
    <t>GUN-11100</t>
  </si>
  <si>
    <t xml:space="preserve">Continuáremos con nuestro proyecto de cartillas, ahora empezaremos con la de inglés </t>
  </si>
  <si>
    <t>Estimado grupo, esto se realia a traves de publicaciones?</t>
  </si>
  <si>
    <t>GUN-11101</t>
  </si>
  <si>
    <t>Santiago De Jesús Mercado Castro dsmercado@unionrte.edu.co 3008196382
Angélica María Carrasquilla García macarrasquilla@uninorte.edu.co 3013110481</t>
  </si>
  <si>
    <t xml:space="preserve">El Proyecto del lenguaje universal </t>
  </si>
  <si>
    <t>Ponencia realizada por el profesor Marvin Estrada, en dónde se mostrará el los intentos de crear un lenguaje que sea absolutamente preciso en el significado de sus palabras, y que sea de comprensión universal.</t>
  </si>
  <si>
    <t>https://drive.google.com/open?id=1_C2YdgOvSSM1NmQvBy8t3FJvtzvQEiUN</t>
  </si>
  <si>
    <t>https://uninorte.zoom.us/j/86381470171</t>
  </si>
  <si>
    <t>GUN-11102</t>
  </si>
  <si>
    <t>Charla Clima Organizacional</t>
  </si>
  <si>
    <t>Saber qué es el clima organizacional y su importancia en las organizaciones.</t>
  </si>
  <si>
    <t>https://drive.google.com/open?id=1TQFgEsVCVG8UEIiKNbi_H9VSKAFQnLul</t>
  </si>
  <si>
    <t>GUN-11103</t>
  </si>
  <si>
    <t>Luz Elena Barros Salgado, elbarros@uninorte.edu.co, 3005737630</t>
  </si>
  <si>
    <t>Reunión de departamento Finanzas</t>
  </si>
  <si>
    <t>En la reunión se les explicará a los miembros cuáles son las funciones y reglas del departamento. Se les asignará sus funciones para el presente mes.</t>
  </si>
  <si>
    <t>GUN-11104</t>
  </si>
  <si>
    <t>Reunión de People</t>
  </si>
  <si>
    <t>Introducción de miembros nuevos al área y explicación de las funciones y actividades a realizar durante el semestre.</t>
  </si>
  <si>
    <t>GUN-11105</t>
  </si>
  <si>
    <t>Reunión de Logística &amp; Planeación</t>
  </si>
  <si>
    <t>Primera Reunión del departamento, vamos a darle la introducción del departamento a los nuevos y a los antiguos. Hablaremos de cómo desarrollaremos este semestre internamente. Designaremos las funciones del semestre. Ademas realizaremos una integración para que se conozcan entre ellos.</t>
  </si>
  <si>
    <t>GUN-11106</t>
  </si>
  <si>
    <t xml:space="preserve">Reunión directoras de Logística </t>
  </si>
  <si>
    <t xml:space="preserve">Reunión para definir temas del plan de acción interno del departamento. </t>
  </si>
  <si>
    <t>GUN-11107</t>
  </si>
  <si>
    <t>Ariana Consuegra, arianam@uninorte.edu.co, 3108092882</t>
  </si>
  <si>
    <t>Integración Agosto CAFTA</t>
  </si>
  <si>
    <t>Integración con los antiguos y nuevos miembros.</t>
  </si>
  <si>
    <t>Ubicación: https://uninorte.zoom.us/j/88172692506</t>
  </si>
  <si>
    <t>GUN-11108</t>
  </si>
  <si>
    <t>Feria Vive Saludable: Feli-blog: ¿animales como apoyo emocional?</t>
  </si>
  <si>
    <t>Una entrada al blog donde se redactarán testimonios de las personas respecto a cómo sus mascotas les han brindado apoyo emocional en los momento más difíciles.</t>
  </si>
  <si>
    <t>https://www.uninorte.edu.co/web/felinorte/blog</t>
  </si>
  <si>
    <t>GUN-11109</t>
  </si>
  <si>
    <t>Roles de género en la publicidad</t>
  </si>
  <si>
    <t xml:space="preserve">Publicación en Instagram que habla sobre las publicidades que perpetúan estereotipos sobre las mujeres o roles de género. Incluye algunos tips sobre cómo detectar publicidades sexistas. </t>
  </si>
  <si>
    <t>https://www.instagram.com/p/CTLYoQsL8_C/?utm_medium=copy_link</t>
  </si>
  <si>
    <t>GUN-11110</t>
  </si>
  <si>
    <t>Samantha Castro (FeminUN), samanthac@uninorte.edu.co, 3003711347; Catalina Salazar, csalazarl@uninorte.edu.co, 3217548635</t>
  </si>
  <si>
    <t>ABC de los Consejos de Juventudes</t>
  </si>
  <si>
    <t>De la mano de FeminUN, CERI, la Oficina de la Mujer de la Alcaldía y Quilla Joven, le ofrecemos a la comunidad estudiantil una capacitación en la que recibiremos toda la información necesaria para participar activamente de los Consejos de Juventudes.</t>
  </si>
  <si>
    <t>https://drive.google.com/open?id=1Gl6X4WTwHyOJjaSQ3Euf3S9rVftBx6Cg</t>
  </si>
  <si>
    <t>GUN-11111</t>
  </si>
  <si>
    <t>Reconfiguración de Medio Oriente y Asia Central</t>
  </si>
  <si>
    <t xml:space="preserve">Espacio de diálogo y análisis, desde la academia,  sobre la coyuntura actual en Medio Oriente y Asia Central. </t>
  </si>
  <si>
    <t>https://drive.google.com/open?id=1Kkmo-sV9P4P7YlLQJ6ARzwDTfgRmE4b6</t>
  </si>
  <si>
    <t>https://uninorte.zoom.us/j/89602525961</t>
  </si>
  <si>
    <t>GUN-11112</t>
  </si>
  <si>
    <t>Campaña de Donaciones Marty y Peluche</t>
  </si>
  <si>
    <t>Por medio de historias en instagram, facebook y whatsapp dar amplitud a la campaña de donaciones para Marty y Peluche, y así llegar rápidamente a la meta de 400.000 COP. (Ya pasó)</t>
  </si>
  <si>
    <t>https://www.instagram.com/felinorte/?hl=es</t>
  </si>
  <si>
    <t>Estimado grupo, les recordamos a importancia de reportar con anterioridad las actividades</t>
  </si>
  <si>
    <t>GUN-11113</t>
  </si>
  <si>
    <t xml:space="preserve">Campaña NO AL ABANDONO ANIMAL </t>
  </si>
  <si>
    <t>Por medio de post e historias tanto en Instagram como en Facebook hacer una campaña de concientización sobre el abandono animal y sus posibles consecuencias. Además finalizar recomendando refugios donde se puedan dejar gatos y animales que necesiten hogar. (Empezó hace 9 días).</t>
  </si>
  <si>
    <t>GUN-11114</t>
  </si>
  <si>
    <t>Las mascotas y su impacto en la salud mental.</t>
  </si>
  <si>
    <t>Evento realizado bajo el marco de la Feria Uninorte Saludable 2021, que apunta hacia la conversación en torno al tema de las mascotas, su impacto en la salud mental y bienestar emocional.</t>
  </si>
  <si>
    <t>https://drive.google.com/open?id=14rDXvPMZ67FQG8bx0X_x_7CLl5h5RWxZ</t>
  </si>
  <si>
    <t xml:space="preserve">Unirse a la reunión Zoom https://uninorte.zoom.us/j/84525839357 </t>
  </si>
  <si>
    <t>GUN-11115</t>
  </si>
  <si>
    <t>Juan Camilo Mendoza Cervantes, ccervantesj@uninorte.edu.co, 3013587161</t>
  </si>
  <si>
    <t>Reunión para la coordinación de próximas actividades que se realizarán en la división Capítulo ASME del Ceim.</t>
  </si>
  <si>
    <t>GUN-11116</t>
  </si>
  <si>
    <t>Publicaciones campaña ciclo ballroom</t>
  </si>
  <si>
    <t>Serie de publicaciones que acompañaran al ciclo drag.</t>
  </si>
  <si>
    <t>https://www.instagram.com/unortediverso/?hl=es-la</t>
  </si>
  <si>
    <t>GUN-11117</t>
  </si>
  <si>
    <t>Publicación campaña ballroom</t>
  </si>
  <si>
    <t>Publicación informativa sobre la campaña de ciclo ballroom. ¿Qué es SAP?</t>
  </si>
  <si>
    <t>GUN-11118</t>
  </si>
  <si>
    <t xml:space="preserve">Publicación en la que se dará a conocer información sobre el primer evento. </t>
  </si>
  <si>
    <t>GUN-11119</t>
  </si>
  <si>
    <t>Publicación en la que se dará a conocer información y datos sobre el evento.</t>
  </si>
  <si>
    <t>GUN-11120</t>
  </si>
  <si>
    <t>Publicación con datos sobre el evento, sus invitados y objetivo.</t>
  </si>
  <si>
    <t>GUN-11121</t>
  </si>
  <si>
    <t>Publicación campaña ciclo ballroom</t>
  </si>
  <si>
    <t>Publicación con información sobre la subcultura ballroom e invitación al taller.</t>
  </si>
  <si>
    <t>GUN-11122</t>
  </si>
  <si>
    <t>Cierre de campaña con información resumida sobre nuestro ultimo evento.</t>
  </si>
  <si>
    <t>GUN-11123</t>
  </si>
  <si>
    <t>Revisión académica: Cáncer colorrectal</t>
  </si>
  <si>
    <t xml:space="preserve">Con el objetivo de seguir con el modulo inter-IMIG, realizado por estudiantes de la Universidad del Norte y estudiantes de la Universidad de la Sabana se realizará una revisión que busque abordar los conceptos principales para la correcta intervención médica en el paciente con Cancer Colorrectal, una charla a cargo del estudiante Gabriel Sarmiento, estudiante de medicina de X semestre con la tutoría del Dr. Ivan Bustillo Oncólogo </t>
  </si>
  <si>
    <t>https://drive.google.com/open?id=1qe8T-boCUEpiOBFzUEWRXQDSpZDFq-uP</t>
  </si>
  <si>
    <t>GUN-11124</t>
  </si>
  <si>
    <t>Julio Cárdenas, cardenascj@uninorte.edu.co, 30130592178</t>
  </si>
  <si>
    <t>Módulo de oncología: Caso clínico</t>
  </si>
  <si>
    <t>Para finalizar el modulo inter-IMIG, los presidentes del IMIG de la universidad del norte y la universidad de la Sabana presentarán un caso clínico acerca de las temáticas revisadas previamente en las charlas de revisadas.</t>
  </si>
  <si>
    <t>GUN-11125</t>
  </si>
  <si>
    <t>Foro: Mujeres en Ingeniería WIE + W-STEM</t>
  </si>
  <si>
    <t>En esta actividad, docentes de diferentes ingenierías compartirán su experiencia personal y profesional al hacer parte de un programa STEM. El evento hace parte de una de las campañas de atracción que realizará el grupo estudiantil para promover la participación de las niñas en STEM y el empoderamiento femenino.</t>
  </si>
  <si>
    <t>https://drive.google.com/open?id=1Vf15VoMo5HjkfzguVdHpf12XKLUE7n-z</t>
  </si>
  <si>
    <t>https://uninorte.zoom.us/meeting/register/tZAlcOuvrzspG9wS9gYrGij3PEHoVyopG5Fa</t>
  </si>
  <si>
    <t>GUN-11126</t>
  </si>
  <si>
    <t>Natalia Gutierrez Puentes, nataliapuentes@uninorte.edu.co, 3218458116</t>
  </si>
  <si>
    <t xml:space="preserve">Capacitacion nuevos miembros comite creativo </t>
  </si>
  <si>
    <t xml:space="preserve">Capacitación especialmente para nuevos miembros de la división  Redes Sociales, pero abierta a la comunidad CEIM. Donde se van a explicar y dar a conocer herramientas de creación de contenido multimedia y edición. </t>
  </si>
  <si>
    <t>https://uninorte.zoom.us/j/89163874324?pwd=c216SlF3L3AyNy80WnkzNWFic0pLUT09</t>
  </si>
  <si>
    <t>GUN-11127</t>
  </si>
  <si>
    <t>Evento inaugural del ciclo ball. En este evento se explicara a fondo información necesaria para comprender la historia de la subcultura ball.</t>
  </si>
  <si>
    <t>https://drive.google.com/open?id=1KX4azMWVs2OgAWy-K7K-rxlolUfXXkwy</t>
  </si>
  <si>
    <t>https://uninorte.zoom.us/j/86837690616?pwd=NC84aTRsYlZ5dmxRWTQvWlp3VHpxUT09</t>
  </si>
  <si>
    <t>GUN-11128</t>
  </si>
  <si>
    <t>Maria Camila Linero (mclinero@uninorte.edu.co)</t>
  </si>
  <si>
    <t xml:space="preserve">Feria POP: Reto economia </t>
  </si>
  <si>
    <t xml:space="preserve">Reto para acercar mas a los estudiante a la labor de economistas </t>
  </si>
  <si>
    <t>.</t>
  </si>
  <si>
    <t>GUN-11129</t>
  </si>
  <si>
    <t>Ballroom en Colombia y Latinoamérica</t>
  </si>
  <si>
    <t>Historia e impacto de la subcultura ball en Latinoamérica, haciendo énfasis en Colombia.</t>
  </si>
  <si>
    <t>https://drive.google.com/open?id=12XlE3QjjlH7IDrt1a6dnBlmINTtAIkxQ</t>
  </si>
  <si>
    <t>https://uninorte.zoom.us/j/86009212183?pwd=QlpWaE1PSFdQaktBbmNTanlEcnY3dz09</t>
  </si>
  <si>
    <t>GUN-11130</t>
  </si>
  <si>
    <t>Comité de RRPP y logística</t>
  </si>
  <si>
    <t>Situación de Afganistán: ¿de donde viene y hacia dónde va el conflicto?</t>
  </si>
  <si>
    <t xml:space="preserve">El objetivo de este conversatorio será conocer de manera general la situación actual de Afganistán, entender como ha afectado a la población a través de distintas esferas, haciendo énfasis en las poblaciones mas vulnerables, y finalmente, despejar dudas al respecto con el fin de construir conocimiento sobre esta problemática. </t>
  </si>
  <si>
    <t>https://drive.google.com/open?id=1KAFO0Gi9mIKVIoGgZAh_BO9KvK5czQf9</t>
  </si>
  <si>
    <t>https://meet.google.com/fzu-qywt-mbb</t>
  </si>
  <si>
    <t>GUN-11131</t>
  </si>
  <si>
    <t>samanthac@uninorte.edu.co</t>
  </si>
  <si>
    <t>Santiago De Jesus Mercado Castro, 3008196382, dsmercado@uninorte.edu.co, Samantha Sofia De Jesus Castro Granados, samanthac@uninorte.edu.co, 3016202938</t>
  </si>
  <si>
    <t>"Pensadoras - La otra cara de la historia"</t>
  </si>
  <si>
    <t>Un conversatorio realizado en el marco de una alianza entre el grupo estudiantil Zaratustra y FeminUn. En dicho conversatorio se estarán analizando los aportes de filósofas y literatas a la sociedad. Una puesta en escena de sus acciones como académicas dentro de un mundo diseñado para académicos. Para luego, en segundo lugar hacer un debate con los miembros de ambos grupos estudiantiles.</t>
  </si>
  <si>
    <t>https://uninorte.zoom.us/j/87843494035</t>
  </si>
  <si>
    <t>GUN-11132</t>
  </si>
  <si>
    <t xml:space="preserve">CERI, COSMOPOLITICA Y FEMINUN </t>
  </si>
  <si>
    <t xml:space="preserve">En apoyo con los grupos estudiantiles CERI, COSMOPOLITICA Y FEMINUN realizaremos una capacitación sobre los consejos de juventudes. Lo que se busca es conocer de qué trata, cual es su función, como surge, como nos beneficiará y las expectativas a futuro con este proyecto. </t>
  </si>
  <si>
    <t>https://drive.google.com/open?id=1ZeFPHZoYsnCs346LPAcqem1oSCr6qIFD</t>
  </si>
  <si>
    <t>GUN-11133</t>
  </si>
  <si>
    <t>mabustamante@uninorte.edu.co</t>
  </si>
  <si>
    <t>LINGUA</t>
  </si>
  <si>
    <t>Maria Bustamante Ballestas
mabustamante@uninorte.edu.co
3016833035</t>
  </si>
  <si>
    <t>Asamblea Extraordinaria Junta</t>
  </si>
  <si>
    <t>Reunión extraordinaria con las miembros de la junta directiva del grupo para discutir nuevos proyectos y colaboraciones con los departamentos adscritos (Español y Lenguas Extranjeras.)</t>
  </si>
  <si>
    <t>Asamblea Extraordinaria Lingua Viernes, 3 de septiembre · 6:00 – 7:00pm Información para unirse a Google Meet Enlace a la videollamada: https://meet.google.com/yuc-qork-umb</t>
  </si>
  <si>
    <t>GUN-11134</t>
  </si>
  <si>
    <t>grupoestlingua@uninorte.edu.co</t>
  </si>
  <si>
    <t>Reunión extraordinaria con las miembros de la junta para discutir nuevos proyectos y colaboraciones con los departamentos a los que se encuentra adscrito el grupo. (Español y Lenguas Extranjeras)</t>
  </si>
  <si>
    <t>GUN-11135</t>
  </si>
  <si>
    <t xml:space="preserve">Santiago de Jesús Mercado Castro dsmercado@uninorte.edu.co 3008196382
Samantha de Jesús Castro Granados samanthac@uninorte.edu.co 3016202938
</t>
  </si>
  <si>
    <t>Pensadoras: La otra cara de la historia</t>
  </si>
  <si>
    <t>GUN-11136</t>
  </si>
  <si>
    <t>Santiago de Jesús Mercado Castro dsmercado@uninorte.edu.co 3008196382
Samantha Sofia de Jesús Castro Granados samanthac@uninorte.edu.co 3016202938</t>
  </si>
  <si>
    <t>GUN-11137</t>
  </si>
  <si>
    <t>Ballroom en la cultura pop se trata de esa conexión existente entre las expresiones artísticas pertenecientes al ballroom y su masificación para consumir. Se analizará con distintas ópticas el fenómeno causado por Madonna en su canción Vogue y, de la misma manera, la repercusión que ha tenido esta forma de arte en el resto de expresiones artísticas</t>
  </si>
  <si>
    <t>https://drive.google.com/open?id=1GF2ui_aPjrw0tthfBFPZzNrJ5bYcTIIi</t>
  </si>
  <si>
    <t>https://uninorte.zoom.us/j/83645443020?pwd=QkRDdkxBcGEzd0h1Q09GVmtFYnJaUT09</t>
  </si>
  <si>
    <t>GUN-11138</t>
  </si>
  <si>
    <t>Sebastián David Iriarte Espeleta, espeletas@uninorte.edu.co , 3159287545 y Yulia Vanessa Barreto Llinás, Yuliab@uninorte.edu.co , 3016712293</t>
  </si>
  <si>
    <t>Visita industrial a K&amp;V INGENIERÍA S.A.S.</t>
  </si>
  <si>
    <t>GUN-11139</t>
  </si>
  <si>
    <t>Espacio dedicado para la elaboración y opinión de la junta en los proyectos, actividades e intervenciones a realizar.</t>
  </si>
  <si>
    <t>GUN-11140</t>
  </si>
  <si>
    <t>GUN-11141</t>
  </si>
  <si>
    <t>Conferencia: Conceptos básicos sobre calderas</t>
  </si>
  <si>
    <t xml:space="preserve">Conferencia de una hora de duración donde se expondrán características principales de las calderas como mantenimiento, funcionamiento, tipos, etc. </t>
  </si>
  <si>
    <t>https://drive.google.com/open?id=1-tFG8LjWwuj-UNOqVWjg45Oxzeb2j7en</t>
  </si>
  <si>
    <t>https://uninorte.zoom.us/meeting/register/tZ0lfuGhpjgrG9dkO3fWAbUd724gjjvusun3</t>
  </si>
  <si>
    <t>GUN-11142</t>
  </si>
  <si>
    <t>Paula Andrea Romero Alquerque, palquerque@uninorte.edu.co, 3227138634</t>
  </si>
  <si>
    <t>Día conéctate: Ramas de la psicología</t>
  </si>
  <si>
    <t>Conversatorio en alianza con la oficina de egresados y docentes del programa de psicología, en la que se realizará una jornada informativa sobre las distintas ramas de la psicología tanto para estudiantes del programa, como para jóvenes interesados en ingresar al programa, teniendo en cuenta que esta semana se estuvo desarrollando la Feria pop</t>
  </si>
  <si>
    <t>https://drive.google.com/open?id=1LlJE6Ae1ZJ0zouYwiNlmX1CR812C-dz0</t>
  </si>
  <si>
    <t>https://uninorte.zoom.us/j/83352921589</t>
  </si>
  <si>
    <t>GUN-11143</t>
  </si>
  <si>
    <t>malis@uninorte.edu.co</t>
  </si>
  <si>
    <t>Felix Martinez, fmendinueta@uninorte.edu.co</t>
  </si>
  <si>
    <t xml:space="preserve">Galería virtual patrimonial </t>
  </si>
  <si>
    <t xml:space="preserve">Se hará una galería virtual contributiva en torno al patrimonio arquitectónico nacional </t>
  </si>
  <si>
    <t>https://www.instagram.com/p/CTXzkMDLqnp/?utm_medium=copy_link</t>
  </si>
  <si>
    <t>GUN-11144</t>
  </si>
  <si>
    <t>Dificultades que enfrentan las mujeres en el mercado laboral</t>
  </si>
  <si>
    <t xml:space="preserve">Conversatorio con la invitada María Esperanza Cuenca sobre las dificultades que efrentan las mujeres </t>
  </si>
  <si>
    <t>https://drive.google.com/open?id=1AXEIXDvB1pPPbrsOwaAEJm-LyIgluLeu</t>
  </si>
  <si>
    <t>https://uninorte.zoom.us/j/82348745118?pwd=Nk5ITjVRTWUwcmZVdWt6RG8zVzhmQT09</t>
  </si>
  <si>
    <t>GUN-11145</t>
  </si>
  <si>
    <t>Natalia Ortiz Acevedo 
nataliaacevedo@uninorte.edu.co
3017549787</t>
  </si>
  <si>
    <t xml:space="preserve">Proyecto de cartillas </t>
  </si>
  <si>
    <t xml:space="preserve">Continuación de nuestro proyecto de cartillas (artes, feminismo y cultura ciudadana). Cada comité se reunirá con sus miembros y avanzarán en la elaboración de las mismas </t>
  </si>
  <si>
    <t>GUN-11146</t>
  </si>
  <si>
    <t>Reunión publicidad</t>
  </si>
  <si>
    <t xml:space="preserve">Capacitación para las nuevas co-coordinadoras de la coordinación de comunicaciones y redes sociales. </t>
  </si>
  <si>
    <t>https://meet.google.com/bpy-tknq-iod</t>
  </si>
  <si>
    <t>GUN-11147</t>
  </si>
  <si>
    <t>Reunión semanal Junta Directiva</t>
  </si>
  <si>
    <t>Se revisan las tareas de los miembros de la junta directiva y se habla y planea sobre los próximos eventos del comité</t>
  </si>
  <si>
    <t>GUN-11148</t>
  </si>
  <si>
    <t>bourbaki-matematicas@uninorte.edu.co</t>
  </si>
  <si>
    <t>BOURBAKI</t>
  </si>
  <si>
    <t>Raul Samuel Lugo Lozano</t>
  </si>
  <si>
    <t xml:space="preserve">Se realizó la induccion de los nuevos participantes del grupo, con dinamicas y juegos, ademas se les presentó el plan de accion del presente periodo. </t>
  </si>
  <si>
    <t>https://uninorte.zoom.us/j/83823790612</t>
  </si>
  <si>
    <t>GUN-11149</t>
  </si>
  <si>
    <t>Raul Samuel Lugo Lozano rslugo@uninorte.edu.co 3012263801</t>
  </si>
  <si>
    <t>Taller introductorio de Latex</t>
  </si>
  <si>
    <t xml:space="preserve">Se realizó un taller educativo en el que se enseñaron las bases del lenguaje de programacion latex. </t>
  </si>
  <si>
    <t>https://drive.google.com/open?id=1HKMkIyAq-BhRJO7CobXRlgDjAwOZJuni</t>
  </si>
  <si>
    <t>https://uninorte.zoom.us/j/87611764690</t>
  </si>
  <si>
    <t>GUN-11150</t>
  </si>
  <si>
    <t>Hablemos sobre el suicidio</t>
  </si>
  <si>
    <t>Se realizará unas historias y post informativo sobre el suicidio, en el marco de la semana de la prevención del suicidio</t>
  </si>
  <si>
    <t>GUN-11151</t>
  </si>
  <si>
    <t xml:space="preserve">Suicidio en comunidad LGBGTQ </t>
  </si>
  <si>
    <t>Dinámica por Instagram en la cual se publicará una historia y un reels correspondiente a la semana sobre la prevención del suicidio, específicamente sobre el suicidio en comunidad LGBTQ+. En la historia, se utiliza el informe “Estrés, salud y bienestar de las personas LGBTI en Colombia. Resultados de una encuesta nacional (2020)” con el fin de dar información sobre la discriminación y la violencia que sufre esta comunidad. En cuanto al reels, se hablará sobre hallazgos importantes, las causas, factores asociados y  maneras de hablar de forma segura y precisa sobre el suicidio en la comunidad LGBTI.</t>
  </si>
  <si>
    <t>GUN-11152</t>
  </si>
  <si>
    <t>Hola! esperamos que estés excelente.
Estas cordialmente invitad@ a nuestra gran Jornada de Inducción de nuevos miembros 2021-30  🎊🎊🎊 . En este evento podrás disfrutar de un acercamiento breve, pero sustancioso,  a todos nuestro capítulos técnicos- de afinidad y a la rama en general. Anímate a acompañarnos y experimenta de primera mano el ser parte de nuestra gran familia IEEE Uninorte 💙💛💙. ¡Te esperamos!
🗓️ Fecha: Viernes 25 de agosto
🕞Hora: 2:30 pm
Muchas gracias por tu atención,
esperamos que nos puedas acompañar y puedas disfrutar de esta emocionante experiencia 💫💫💫.</t>
  </si>
  <si>
    <t>https://drive.google.com/open?id=1mKCrzzUEUoZMv29uQAIFPqaOdnnXldSJ</t>
  </si>
  <si>
    <t>https://www.youtube.com/watch?v=QY9YDF2d9PU</t>
  </si>
  <si>
    <t>GUN-11153</t>
  </si>
  <si>
    <t>Hola! esperamos que estés excelente.
Estas cordialmente invitad@ a nuestra gran Jornada de Inducción de nuevos miembros 2021-30  🎊🎊🎊 . En este evento podrás disfrutar de un acercamiento breve, pero sustancioso,  a todos nuestro capítulos técnicos- de afinidad y a la rama en general. Anímate a acompañarnos y experimenta de primera mano el ser parte de nuestra gran familia IEEE Uninorte 💙💛💙. ¡Te esperamos!
🗓️ Fecha: Viernes 27 de agosto
🕞Hora: 2:30 pm
Muchas gracias por tu atención,
esperamos que nos puedas acompañar y puedas disfrutar de esta emocionante experiencia 💫💫💫.</t>
  </si>
  <si>
    <t>https://drive.google.com/open?id=1AJFiwgpqb0Dn1fblf14K9xVA-7mjJKFi</t>
  </si>
  <si>
    <t>GUN-11154</t>
  </si>
  <si>
    <t>Explorando el mundo de las granjas solares</t>
  </si>
  <si>
    <t>Buenas noches a tod@s😌 el día de mañana nos estará acompañando la ingeniera María Angélica Blanco para hablarnos un poco sobre las granjas solares☀️, su funcionamiento y cómo han sido en Colombia. La charla será por medio de la plataforma Zoom, los esperamos! 😁💡 Link del evento: https://uninorte.zoom.us/j/87973336330</t>
  </si>
  <si>
    <t xml:space="preserve"> https://uninorte.zoom.us/j/87973336330</t>
  </si>
  <si>
    <t>GUN-11155</t>
  </si>
  <si>
    <t>Santiago De Jesús Mercado Castro
dsmercadoquninorte.edu.co</t>
  </si>
  <si>
    <t xml:space="preserve">Reunión de asamblea general </t>
  </si>
  <si>
    <t>La reunión rutinaria tiene como fin presentar los eventos de la semana siguiente además de proporcionar un feedback del evento anterior.</t>
  </si>
  <si>
    <t>https://uninorte.zoom.us/j/85176040142</t>
  </si>
  <si>
    <t>GUN-11156</t>
  </si>
  <si>
    <t>Santiago De Jesús Mercado Castro
dsmercado@uninorte.edu.co
3008196382</t>
  </si>
  <si>
    <t>Publicación de la publicidad del evento. Pensadorsas - la  otra cara de la historia</t>
  </si>
  <si>
    <t xml:space="preserve">Un conversatorio se estarán analizando los aportes de filósofas y literatas a la sociedad. Una puesta en escena de sus acciones como académicas dentro de un mundo diseñado para académicos. </t>
  </si>
  <si>
    <t>https://www.instagram.com/p/CTfPm5QrwB9/?utm_medium=copy_link</t>
  </si>
  <si>
    <t>GUN-11157</t>
  </si>
  <si>
    <t>Meeting Day #2: ANEICftCESG</t>
  </si>
  <si>
    <t>Reunión periódica de los miembros de los grupos estudiantiles de ingeniería civil para socializar y aprender más sobre la carrera</t>
  </si>
  <si>
    <t xml:space="preserve">https://www.google.com/url?q=https://uninorte.zoom.us/j/89612787258?pwd%3Db29neG1hS2IxOWg3QTVzVkM0akpvZz09&amp;sa=D&amp;source=calendar&amp;ust=1631395726507744&amp;usg=AOvVaw0I8qDVfZ4g5Fx_SC_tzuMV </t>
  </si>
  <si>
    <t>GUN-11158</t>
  </si>
  <si>
    <t>Liderazgo juvenil en la Región: ¿cómo construir país desde lo local?</t>
  </si>
  <si>
    <t xml:space="preserve">Conversatorio sobre la importancia del liderazgo juvenil en la Región Caribe y cómo la juventud puede contribuir en la construcción de una democracia estable y duradera. </t>
  </si>
  <si>
    <t>https://drive.google.com/open?id=1hAL5p4ZlJ7yhb0rW35Lcy6imgDYc8xgn</t>
  </si>
  <si>
    <t>https://uninorte.zoom.us/j/86516344489</t>
  </si>
  <si>
    <t>GUN-11159</t>
  </si>
  <si>
    <t>Paula Andrea Romero Alquerque
palquerque@uninorte.edu.co
3227138634</t>
  </si>
  <si>
    <t>Prevención del suicidio y las politicas públicas asociadas</t>
  </si>
  <si>
    <t>Podcast en alianza con el grupo estudiantil Cosmopolitíca, realizado en el marco del mes de la prevención del suicidio, en donde se abordará esta temática en relación a las políticas públicas para conocer que está realizando el Estado para prevenir e intervenir este fenómeno. Se presentará un fragmento en Instagram y el podcats completo lo podrán encontrar en la página web de CDIEP.</t>
  </si>
  <si>
    <t>GUN-11160</t>
  </si>
  <si>
    <t>Inauguración Semana del Concreto</t>
  </si>
  <si>
    <t>Acto que da apertura a la semana del concreto, evento que contará con ponencias de ingenieros expertos a nivel nacional e internacional sobre temáticas relacionadas a este material; además de concursos que buscarán destacar el talento, habilidades y conocimiento de los estudiantes universitarios.</t>
  </si>
  <si>
    <t>GUN-11161</t>
  </si>
  <si>
    <t>Blog sobre Energías renovables</t>
  </si>
  <si>
    <t>Publicación de Blog con temática de Energías renovables</t>
  </si>
  <si>
    <t>GUN-11162</t>
  </si>
  <si>
    <t xml:space="preserve">Video sobre Energías alternativas </t>
  </si>
  <si>
    <t xml:space="preserve">Publicación de video con tematica en Energías alternativas </t>
  </si>
  <si>
    <t>https://www.youtube.com/c/CEIMUninorte</t>
  </si>
  <si>
    <t>GUN-11163</t>
  </si>
  <si>
    <t>REUNIONES SEMANALES</t>
  </si>
  <si>
    <t>REUNIONES SEMANALES CON MIEMBROS ACTIVIDADES</t>
  </si>
  <si>
    <t>GUN-11164</t>
  </si>
  <si>
    <t>carolay jailyn cabrales castro, cjcabrales@uninorte.edu.co, 3008395070</t>
  </si>
  <si>
    <t>Reunion de la junta directiva para organizar los siguientes eventos</t>
  </si>
  <si>
    <t>GUN-11165</t>
  </si>
  <si>
    <t>Capacitación ppublicidad</t>
  </si>
  <si>
    <t>Capacitación en creación de publicidad y campañas.</t>
  </si>
  <si>
    <t>https://meet.google.com/kiy-zshj-krf</t>
  </si>
  <si>
    <t>GUN-11166</t>
  </si>
  <si>
    <t>Comité de RRPP y Logistica</t>
  </si>
  <si>
    <t>Comité de RRPP y logistica</t>
  </si>
  <si>
    <t xml:space="preserve">Muchas veces los estudiantes de Relaciones Internacionales se encuentran dudosos de cara al futuro sobre a que les gustaría dedicarse. Este espacio surge como una iniciativa que busca despejar dudas, conocer casos de egresadxs que pasaron por lo mismo y brindar una orientación sobre los distintos campos en los que nos podemos desempeñar. </t>
  </si>
  <si>
    <t>https://drive.google.com/open?id=1l3q1lIjepKx13eF6UrJbZYEaGJUQb8ww</t>
  </si>
  <si>
    <t>https://meet.google.com/wfh-ykws-biu</t>
  </si>
  <si>
    <t>GUN-11167</t>
  </si>
  <si>
    <t>AMOR EFÍMERO</t>
  </si>
  <si>
    <t>Charla acerca del no tomar decisiones a la ligera, sino de la importancia de planear</t>
  </si>
  <si>
    <t>https://meet.google.com/gmq-qnsz-eyb?pli=1&amp;authuser=3</t>
  </si>
  <si>
    <t>GUN-11168</t>
  </si>
  <si>
    <t>BE CAREFUL</t>
  </si>
  <si>
    <t>Charla acerca de cómo debemos ser cuidadosos y planear  de manera acertada lo que hacemos y el cómo actuamos</t>
  </si>
  <si>
    <t>GUN-11169</t>
  </si>
  <si>
    <t>Juan David Visbal Alcalá equipo de ASME Uninorte y ASME Colombia, jdvisbal@uninorte.edu.co, 3215486539</t>
  </si>
  <si>
    <t>ASME Digital EFx Colombia: Energías Limpias y Producción Energética</t>
  </si>
  <si>
    <t>Evento nacional con recepción internacional para compartir ideas/conceptos sobre avances y desarrollos en materia energética nacional que representen una transición hacia nuevas fuentes de energía (valga la redundancia) sostenible que estimulen un crecimiento económico nacional, un acceso a la conectividad en todo el territorio nacional y reducción en la emisión de gases contaminantes.</t>
  </si>
  <si>
    <t>https://drive.google.com/open?id=106-DPeZvPKEAek8aWhQCzYWmTRwdxxpp</t>
  </si>
  <si>
    <t>https://zoom.us/meeting/register/tJElduiuqjoqH9GA9bbS_8F6JBFP6pnYGVkM</t>
  </si>
  <si>
    <t>GUN-11170</t>
  </si>
  <si>
    <t xml:space="preserve">Reunión interna Foros y Conferencias. </t>
  </si>
  <si>
    <t xml:space="preserve">Reunión con los miembros de la división de Foros y Conferencias para delegar labores y dar información general del CEIM. </t>
  </si>
  <si>
    <t>https://meet.google.com/xpc-znif-fha</t>
  </si>
  <si>
    <t>GUN-11171</t>
  </si>
  <si>
    <t>Valentina Gonzales valentinavalle@uninorte.edu.co 300 2097536</t>
  </si>
  <si>
    <t>Enviar correo RRHH</t>
  </si>
  <si>
    <t>Envio de encuesta de comité  integrantes nuevos.</t>
  </si>
  <si>
    <t>https://mail.google.com/</t>
  </si>
  <si>
    <t>GUN-11172</t>
  </si>
  <si>
    <t>Espacio de dos horas donde se discuten los eventos próximos del comité</t>
  </si>
  <si>
    <t>GUN-11173</t>
  </si>
  <si>
    <t>Charla Psicología en el diseño de logotipos</t>
  </si>
  <si>
    <t>Evento en el cual aprenderemos sobre las marcas, tipografías, formas y colores de los logotipos.  Aprenderemos la importancia del logo para las empresas o emprendimientos y los factores que se deben tener en cuenta para que este sea memorable.</t>
  </si>
  <si>
    <t>https://drive.google.com/open?id=1g2R1rxbJXqpva0pBtz4r90Cdx-WJFHr9</t>
  </si>
  <si>
    <t>GUN-11174</t>
  </si>
  <si>
    <t>Reunión comunicaciones</t>
  </si>
  <si>
    <t>Capacitaciones internas para lxs miembrxs de la coordinación, en las que se enseña sobre las diferentes plataformas digitales para la edición multimedia, distribución de publicaciones y adelanto de tareas.</t>
  </si>
  <si>
    <t>https://uninorte.zoom.us/j/84793185207?pwd=Slo4dXprMFlmc1NwUFNDVERoWlUwdz09</t>
  </si>
  <si>
    <t>GUN-11175</t>
  </si>
  <si>
    <t>Reunión Semanal ASME</t>
  </si>
  <si>
    <t>Encuentro semanal con los miembros para hablar de temas de la división.</t>
  </si>
  <si>
    <t xml:space="preserve">https://uninorte.zoom.us/j/89993873299?pwd=ZEZyL3IxVFpGOGk3MWpSdnJrbzd6Zz09 </t>
  </si>
  <si>
    <t>GUN-11176</t>
  </si>
  <si>
    <t>Reuniones con miembros</t>
  </si>
  <si>
    <t>Reuniones semanales con miembros activos de actividades representativas</t>
  </si>
  <si>
    <t>GUN-11177</t>
  </si>
  <si>
    <t>José Alejandro Bedoya Villegas, bedoyaaj@uninorte.edu.co, 3155181038</t>
  </si>
  <si>
    <t>Reunión semanal división ASME</t>
  </si>
  <si>
    <t>Reunión semanal para discutir temas de la división.</t>
  </si>
  <si>
    <t>GUN-11178</t>
  </si>
  <si>
    <t>Semana del Concreto: Análisis de la corrosión en nuevas tecnologías de concreto sostenible</t>
  </si>
  <si>
    <t>Ponencia que se desarrolla en la Semana del Concreto, evento que recopila ponencias de ingenieros expertos a nivel nacional e internacional; además de concursos que buscarán destacar el talento, habilidades y conocimiento de los estudiantes.</t>
  </si>
  <si>
    <t>GUN-11179</t>
  </si>
  <si>
    <t>GESTIÓN DE BIENESTAR</t>
  </si>
  <si>
    <t>Espacio de apoyo e interacción dedicado a lxs miembros del para desarrollar vínculos con sus compañeres. Así mismo se distribuyen tareas para realizar actividades internas enfocadas en el bienestar de las personas que conforman el grupo.</t>
  </si>
  <si>
    <t>https://uninorte.zoom.us/j/8729670906</t>
  </si>
  <si>
    <t>GUN-11180</t>
  </si>
  <si>
    <t>Nadim Said Araujo Martinez, nadima@uninorte.edu.co, 3016338384</t>
  </si>
  <si>
    <t>Reunión de la división de Staff para revisar avances de actividades asignadas</t>
  </si>
  <si>
    <t xml:space="preserve">https://uninorte.zoom.us/meeting/register/tZAude6rrjsrGdGvIsjjQ9_9W77ZJChWb-1p </t>
  </si>
  <si>
    <t>GUN-11181</t>
  </si>
  <si>
    <t>Mary Ann Arango Tapia, maryaa@gmail.com, 3006640477</t>
  </si>
  <si>
    <t>Michi-Amigo Secreto</t>
  </si>
  <si>
    <t>Los participantes que quieran darle cualquier regalito a los gatitos se inscriben en el enlace, luego de esto se hace una ruleta para sortear qué gato le toco a quién para así poder realizar la entrega de regalos con foto la cual irá en el Instagram.</t>
  </si>
  <si>
    <t>https://forms.gle/q1ugzzPU6EVC6ZjE8 para la inscripción y www.instagram.com/felinorte para ver la entrega de regalos.</t>
  </si>
  <si>
    <t>GUN-11182</t>
  </si>
  <si>
    <t>Andrés Romero Torres, aromerof@uninorte.edu.co, 3004476066</t>
  </si>
  <si>
    <t>Primer debate - Innovación</t>
  </si>
  <si>
    <t>Actividad diseñada para promover el pensamiento crítico de los miembros. Se decide un tema el cual se debate entre los miembros del departamento, los cuales se dividen en 2 bandos.</t>
  </si>
  <si>
    <t>GUN-11183</t>
  </si>
  <si>
    <t>Prevenir es preguntar</t>
  </si>
  <si>
    <t>Conversatorio en torno al día mundial de la prevención del suicidio enfocado en la identificación y ayuda a las personas que poseen este tipo de pensamientos</t>
  </si>
  <si>
    <t>https://drive.google.com/open?id=1tEOfKXaVBJlcRSyhiv7HY33GydXCV10r</t>
  </si>
  <si>
    <t>https://uninorte.zoom.us/j/89289868003?pwd=SGZUdkRXWks2Q2Z6bnhCNEVZcGV6QT09</t>
  </si>
  <si>
    <t>GUN-11184</t>
  </si>
  <si>
    <t>Taller de Illustrator dictado.</t>
  </si>
  <si>
    <t>Se realizara un taller de illustrator dictado por David Gómez donde se presentara el programa y se harán diferentes actividades.</t>
  </si>
  <si>
    <t>https://meet.google.com/ikw-jmie-bre</t>
  </si>
  <si>
    <t>GUN-11185</t>
  </si>
  <si>
    <t>Taller intermedio de Latex</t>
  </si>
  <si>
    <t>Se realizará  la segunda parte del taller educativo de latex en el que se enseñará a programar en este lenguaje.</t>
  </si>
  <si>
    <t>https://drive.google.com/open?id=1ENk0cREy4RnzYphLzJa9H1Xb_kvLqInC</t>
  </si>
  <si>
    <t>https://uninorte.zoom.us/j/88618078835</t>
  </si>
  <si>
    <t>GUN-11186</t>
  </si>
  <si>
    <t>Hablemos de mat</t>
  </si>
  <si>
    <t>Reunion donde se integrará a los miembros del grupos y se hablará de los planes en el mes</t>
  </si>
  <si>
    <t>https://uninorte.zoom.us/j/83534808161</t>
  </si>
  <si>
    <t>GUN-11187</t>
  </si>
  <si>
    <t>Envio de encuesta por correo para confirmar miembros activos.</t>
  </si>
  <si>
    <t>Se estará enviando una encuesta por el correo a los integrantes del grupo estudiantil CREATEC para confirmar su actividad y el comité en el que van a continuar o empezar.</t>
  </si>
  <si>
    <t>GUN-11188</t>
  </si>
  <si>
    <t>Enviar correo con  certificado de participación del día de la feria</t>
  </si>
  <si>
    <t>Se enviara un correo con certificado de participación del día de la feria.</t>
  </si>
  <si>
    <t>GUN-11189</t>
  </si>
  <si>
    <t xml:space="preserve">Publicación Instagram taller de Ilustrator </t>
  </si>
  <si>
    <t>Se va a publicar la información del taller de ilustrator del sábado 11. Así, muchas personas puedan informarse y puedan participar en este.</t>
  </si>
  <si>
    <t>GUN-11190</t>
  </si>
  <si>
    <t xml:space="preserve">Reunión comite de logística </t>
  </si>
  <si>
    <t>Va a haber una Reunión del comité de logística donde la directora del comite estará dando la bienvenida al nuevo semestre y podrán hablar de diferentes temas que van a realizar durante los meses.</t>
  </si>
  <si>
    <t>https://meet.google.com/qyq-osss-dqe</t>
  </si>
  <si>
    <t>GUN-11191</t>
  </si>
  <si>
    <t>Valentina Morelo 	
vmorelo@uninorte.edu.co 300 2756748</t>
  </si>
  <si>
    <t xml:space="preserve">Reuníon Junta Directiva </t>
  </si>
  <si>
    <t>Se realizara una Reunión de la Junta Directiva donde estaremos revisando actividades recientes y las próximas que se van a realizar para así poder tener organización.</t>
  </si>
  <si>
    <t>https://meet.google.com/drb-xmpi-fhm</t>
  </si>
  <si>
    <t>GUN-11192</t>
  </si>
  <si>
    <t>Camila Duque  310 3646372 duqueac@uninorte.edu.co - Karen Oñate  klonate@uninorte.edu.co 3023574919</t>
  </si>
  <si>
    <t>Reunión de integración</t>
  </si>
  <si>
    <t>Es una Reunión de bienvenida donde presentamos el grupo a los nuevos integrantes y con los antiguos se van a hacer diferentes actividades para integrarnos entre nosotros.</t>
  </si>
  <si>
    <t>https://meet.google.com/ota-fnbg-chf</t>
  </si>
  <si>
    <t>GUN-11193</t>
  </si>
  <si>
    <t>ANEICftCESG</t>
  </si>
  <si>
    <t xml:space="preserve">Evento de socialización entre los grupos estudiantiles ANEIC Uninorte y CESG Uninorte </t>
  </si>
  <si>
    <t>https://www.google.com/url?q=https://uninorte.zoom.us/j/89612787258?pwd%3Db29neG1hS2IxOWg3QTVzVkM0akpvZz09&amp;sa=D&amp;source=calendar&amp;ust=1631475962705881&amp;usg=AOvVaw2DHsBCbvdRS8Dqf5ffqRbL</t>
  </si>
  <si>
    <t>GUN-11194</t>
  </si>
  <si>
    <t>Un espacio de instrucción interactivo y dinámico en el que se buscará que las personas que no tienen conocimiento, adquieran experiencia acerca de los movimientos y las coreografías implementadas en el desarrollo del voguing desde el estilo Old-way</t>
  </si>
  <si>
    <t>https://drive.google.com/open?id=1xdJSQi1JXz2jDiCnnMmToSa4vkQcyyZa</t>
  </si>
  <si>
    <t>https://uninorte.zoom.us/j/83402054011?pwd=cWNhYkorQUFJVGdPZ0pKODVtYU43UT09</t>
  </si>
  <si>
    <t>GUN-11195</t>
  </si>
  <si>
    <t>Maria José Barrios Baza
mjbaza@uninorte.edu.co
3053638352</t>
  </si>
  <si>
    <t>Club de lectura: Mundo entre letras</t>
  </si>
  <si>
    <t>Sesión inaugural club de lectura</t>
  </si>
  <si>
    <t>https://www.google.com/url?q=https://uninorte.zoom.us/j/86934305615?pwd%3DMzBNaFE5dzJmY3M5K2xiMG1abXVQdz09&amp;sa=D&amp;source=calendar&amp;ust=1631592709937842&amp;usg=AOvVaw0K7ml99zbprFHVU15yFHb9</t>
  </si>
  <si>
    <t>GUN-11196</t>
  </si>
  <si>
    <t xml:space="preserve">Santiago De Jesús Mercado Castro
dsmercado@uninorte.edu.co
3008196382
María José Barrios Baza, 
mjbaza@uninorte.edu.co, 
3053638352
</t>
  </si>
  <si>
    <t xml:space="preserve">Lenguaje y literatura </t>
  </si>
  <si>
    <t>En el marco de una alianza entre el grupo estudiantil Zaratustra y Lingua, presentamos un conversatorio titulado Lenguaje y literatura. 
Abordaremos el lenguaje, por medio del análisis conjunto de cuentos y poesía, para posteriormente dar pie a una discusión acerca de la importancia de la escritura en su idioma original y los pros y contras de las traducciones.</t>
  </si>
  <si>
    <t>https://uninorte.zoom.us/j/84302642392</t>
  </si>
  <si>
    <t>GUN-11197</t>
  </si>
  <si>
    <t>mjbaza@uninorte.edu.co</t>
  </si>
  <si>
    <t>María José Barrios Baza, mjbaza@uninorte.edu.co, 3053638352
Santiago De Jesús Mercado Castro, dsmercado@unionrte.edu.co, 3008196382</t>
  </si>
  <si>
    <t>Lenguaje y Literatura</t>
  </si>
  <si>
    <t>En el marco de una alianza entre el grupo estudiantil Zaratustra y Lengua, presentamos un conversatorio titulado Lenguaje y literatura. 
Abordaremos el lenguaje, por medio del análisis conjunto de cuentos y poesía, para posteriormente dar pie a una discusión acerca de la importancia de la escritura en su idioma original y los pros y contras de las traducciones.</t>
  </si>
  <si>
    <t>GUN-11198</t>
  </si>
  <si>
    <t>María Andrea Burgos Petro
mpetroa@uninorte.edu.co
3043873130</t>
  </si>
  <si>
    <t>Taller HC neurológica</t>
  </si>
  <si>
    <t>En esta actividad los miembros de la mesa directiva del grupo pretendemos crear un espacio académico interactivo y práctico para los miembros del grupo con el fin de entrenarlos en la realización de historias clínicas neurológicas.</t>
  </si>
  <si>
    <t>https://uninorte.zoom.us/j/89562962503?pwd=QjYzMld1UGd2TWNWQmZlSDU5VGZ6UT09</t>
  </si>
  <si>
    <t>GUN-11199</t>
  </si>
  <si>
    <t>Maria Bustamante Ballestas
mabustamante@uninorte.edu.co
3026833035</t>
  </si>
  <si>
    <t>Inducción logística</t>
  </si>
  <si>
    <t>Introducción a la mecánica y actividades del Dpto. logística con miembros del grupo.</t>
  </si>
  <si>
    <t>https://meet.google.com/kya-fwwt-sjy</t>
  </si>
  <si>
    <t>GUN-11200</t>
  </si>
  <si>
    <t>Se llevarán a cabo las retroalimentaciones de lo realizado hasta la fecha</t>
  </si>
  <si>
    <t>GUN-11201</t>
  </si>
  <si>
    <t>Taller Hoja de Vida</t>
  </si>
  <si>
    <t>Repaso sobre los formatos de hojas de vida, cómo llenarlos, etc.</t>
  </si>
  <si>
    <t>https://www.google.com/url?q=https://uninorte.zoom.us/j/88562529893?pwd%3Da3VMblZBTXV2ZCsvSTV1WURtUm11Zz09&amp;sa=D&amp;source=calendar&amp;ust=1631592708273168&amp;usg=AOvVaw1saoWBawSPz9vwzdxtpn7T</t>
  </si>
  <si>
    <t>GUN-11202</t>
  </si>
  <si>
    <t>GUN-11203</t>
  </si>
  <si>
    <t>TRANSCIÓN AL HIDROGENO VERDE EN COLOMBIA</t>
  </si>
  <si>
    <t xml:space="preserve">Publicación video en la cuenta de Youtube del CEIM el día 17 de agosto del 2021 sobre la TRANSCIÓN AL HIDROGENO VERDE EN COLOMBIA. </t>
  </si>
  <si>
    <t>https://youtu.be/5YAtIW7wEmc</t>
  </si>
  <si>
    <t>GUN-11204</t>
  </si>
  <si>
    <t>REUNIONES SEMANALES CON MIEMBROS</t>
  </si>
  <si>
    <t>REUNIONES SEMANALES CON MIEMBROS DE ACTIVIDADES REPRESENTATIVAS</t>
  </si>
  <si>
    <t>GUN-11205</t>
  </si>
  <si>
    <t>Abraza a un árbol</t>
  </si>
  <si>
    <t>¡Celebra amor y amistad con Green Generation!
1. Tómate una foto abrazando a un árbol.
2. Súbela a tu Instagram (como post o historia)
3. Etiquétanos con @gg_uninorte y #GreenGenerationAmaLaNaturaleza
¡Y listo!</t>
  </si>
  <si>
    <t>https://www.instagram.com/p/CT2uNdtJeUr/</t>
  </si>
  <si>
    <t>GUN-11206</t>
  </si>
  <si>
    <t>GUN-11207</t>
  </si>
  <si>
    <t>GUN-11208</t>
  </si>
  <si>
    <t>Sendas del Adya Yala</t>
  </si>
  <si>
    <t>Un breve recuento del desarrollo del haiku en Japón y su posterior importación al continente latinoamericano durante el boom dónde se mezcla con las tendencias locales y nace un nuevo género: el haiku Latinoaméricano.</t>
  </si>
  <si>
    <t>https://uninorte.zoom.us/j/84792638070</t>
  </si>
  <si>
    <t>GUN-11209</t>
  </si>
  <si>
    <t>Osvaldo Díaz	rosvaldo@uninorte.edu.co	3185218801</t>
  </si>
  <si>
    <t>Charla: Emprendimiento e Innovación - La Garosa</t>
  </si>
  <si>
    <t>Charla con Alejandro Rodriguez, fundador y lider de La Garosa: un emprendimiento de alimentos en la ciudad de Barranquilla.</t>
  </si>
  <si>
    <t>https://drive.google.com/open?id=1jFuQCD8YN81xcFvfto4ZMOG6wZ0_B2AC</t>
  </si>
  <si>
    <t>GUN-11210</t>
  </si>
  <si>
    <t>Reunión proyectos</t>
  </si>
  <si>
    <t>Coordinadores y miembrxs de la coordinación llevan a cabo la estructuración de los temas, preguntas y formato de los proyectos, actividades y eventos externos que se realizan durante el semestre académico.</t>
  </si>
  <si>
    <t>https://uninorte.zoom.us/j/89844134767</t>
  </si>
  <si>
    <t>GUN-11211</t>
  </si>
  <si>
    <t>Blog sobre Ingeniería Aeroespacial</t>
  </si>
  <si>
    <t>Publicación de un blog con temática relacionada a la energía aeroespacial</t>
  </si>
  <si>
    <t>GUN-11212</t>
  </si>
  <si>
    <t>Gestión de Bienestar</t>
  </si>
  <si>
    <t>GUN-11213</t>
  </si>
  <si>
    <t>Speed Dating</t>
  </si>
  <si>
    <t>Espacio en donde los miembros del grupo pueden conocerse y establecer relaciones entre si.</t>
  </si>
  <si>
    <t>https://uninorte.zoom.us/j/87002186016?pwd=S1Q2OWVDUG9RV0Y3eUJlUks2aFNEZz09</t>
  </si>
  <si>
    <t>GUN-11214</t>
  </si>
  <si>
    <t>Día mundial para la prevención del suicidio</t>
  </si>
  <si>
    <t>Publicación informativa en instagram sobre el día mundial para la prevención del suicidio. Se explica el propósito de esta fecha y algunos datos relevantes en cuanto a cómo afecta esta problemática a hombres y mujeres diferencialmente en el mundo. Finaliza con información sobre líneas telefónicas para la prevención del suicidio en el Atlántico y Barranquilla.</t>
  </si>
  <si>
    <t>https://www.instagram.com/p/CTpbDuIrRTp/?utm_source=ig_web_copy_link</t>
  </si>
  <si>
    <t>GUN-11215</t>
  </si>
  <si>
    <t>Amor y Amistad</t>
  </si>
  <si>
    <t xml:space="preserve">Integración virtual de los miembros de FeminUN con el fin de celebrar el día del amor y la amistad. Se harán dinámicas divertidas para conocernos mejor. </t>
  </si>
  <si>
    <t>https://uninorte.zoom.us/j/81804014025?pwd=MVpXNUZDbXhLWE4ycEtrK2F0Q0Q0Zz09</t>
  </si>
  <si>
    <t>GUN-11216</t>
  </si>
  <si>
    <t>Ariana Marcela Consuegra Marenco
arianam@uninorte.edu.co
3108092882</t>
  </si>
  <si>
    <t>Taller SIIGO. Módulo 1: Introducción a Siigo Software Contable.</t>
  </si>
  <si>
    <t>Se da una introducción sobre el uso del software contable donde podemos aplicar los conocimientos adquirirdos en nuestra carrera y aprender a manejar bases de datos, etc.</t>
  </si>
  <si>
    <t>https://drive.google.com/open?id=1-TuxQJbOxEtYLRWWY9UW5XQk_rZeWD1a</t>
  </si>
  <si>
    <t>n/a</t>
  </si>
  <si>
    <t>GUN-11217</t>
  </si>
  <si>
    <t>Ariana Marcela Consuegra Marenco.
arianam@uninorte.edu.co
3108092882</t>
  </si>
  <si>
    <t>Taller SIIGO. Modulo 2: Creación y conteo de inventarios.</t>
  </si>
  <si>
    <t>Uso del software contable aplicado al manejo de inventarios. (Kardex, conteo de inventarios, registros de materia prima...)</t>
  </si>
  <si>
    <t>https://drive.google.com/open?id=106YP0HCtWs4-HKJaiYzjWRbJMkjLkLat</t>
  </si>
  <si>
    <t>GUN-11218</t>
  </si>
  <si>
    <t>Taller SIIGO. Módulo 3: Facturación electrónica.</t>
  </si>
  <si>
    <t>Aplicación del software en la generación de facturas electronicas las cuales se envían a la Dirección de Impuestos y Aduanas Nacionales con fin de garantizar la transparencia de la información.</t>
  </si>
  <si>
    <t>https://drive.google.com/open?id=1w49F4W4wTBkP6l2SzJMljkpUpvA4niVH</t>
  </si>
  <si>
    <t>GUN-11219</t>
  </si>
  <si>
    <t>Mary Ann Arango, maryaa@uninote.edu.co, 3004822612</t>
  </si>
  <si>
    <t>Jornada Audiovisual- Equipo Audiovisual del Dpto. de COM</t>
  </si>
  <si>
    <t>Se hará una jornada de grabación para los videos de redes sociales</t>
  </si>
  <si>
    <t>N/A</t>
  </si>
  <si>
    <t>GUN-11220</t>
  </si>
  <si>
    <t xml:space="preserve">Inducción logística </t>
  </si>
  <si>
    <t>Se le hizo una inducción a los miembros del equipo de logística para tener conocimiento acerca de lo que se desarrollaba en el departamento y las actividades que se harán durante el semestre.</t>
  </si>
  <si>
    <t>https://uninorte.zoom.us/j/87902052185?pwd=MUpvdkhkZGVXd0IyQXF1Q0dFbDhqQT09</t>
  </si>
  <si>
    <t>GUN-11221</t>
  </si>
  <si>
    <t xml:space="preserve">Mary Ann Arangio maryaa@uninote.edu.co, 3004822612 </t>
  </si>
  <si>
    <t>Jornada de limpieza/inventario</t>
  </si>
  <si>
    <t xml:space="preserve">En esta jornada se busca hacer una limpieza y recuento total de los implementos de la garita, ver cómo se encontraban las jaulas, guacales, y demás implementos para adopciones y hogares temporales. Además de mantener la higiene de estos implementos. </t>
  </si>
  <si>
    <t>GUN-11222</t>
  </si>
  <si>
    <t>Mary Ann Arango, maryaa@uninorte.edu.co, 3004822612</t>
  </si>
  <si>
    <t xml:space="preserve">Inducción del departamento de Enlaces </t>
  </si>
  <si>
    <t xml:space="preserve">Reunión con miembros nuevos y antiguos del departamento para explicar las funciones del departamento y conocernos </t>
  </si>
  <si>
    <t>https://meet.google.com/qaw-vsvv-aqe</t>
  </si>
  <si>
    <t>GUN-11223</t>
  </si>
  <si>
    <t>Inducción del departamento de enlaces 2</t>
  </si>
  <si>
    <t>Inducción 2 del departamento de enlaces con los nuevos integrantes que no pudieron estar en la primera jornada</t>
  </si>
  <si>
    <t>https://meet.google.com/rvd-noxh-xrd</t>
  </si>
  <si>
    <t>GUN-11224</t>
  </si>
  <si>
    <t>Campaña de Adopción para Vampirina</t>
  </si>
  <si>
    <t>Hacer una pieza para lograr la adopción urgente de Vampirina, una gatita senior que fue diagnosticada positiva a FIV.</t>
  </si>
  <si>
    <t>GUN-11225</t>
  </si>
  <si>
    <t>Día Internacional del Chocolate. La droga legal</t>
  </si>
  <si>
    <t>Se realizará un Podcast para publicar un fragmento en la cuenta de Instagram y su totalidad en nuestra página web, en este la ponente estará hablando de los efectos psicológicos que puede llegar a causar el chocolate.</t>
  </si>
  <si>
    <t>https://drive.google.com/open?id=1LESUs2c4Gp8Q8nIh75UEZszqxHnLB-JY</t>
  </si>
  <si>
    <t>https://cdiep7.wixsite.com/misitio</t>
  </si>
  <si>
    <t>GUN-11226</t>
  </si>
  <si>
    <t>Capacitación Canva Tips</t>
  </si>
  <si>
    <t>Capacitación a cargo de la coordinadora del comité de publicidad de CDIEP sobre la herramienta de Canva para el diseño de post, vídeos, diapositivas, infografías, entre otros.</t>
  </si>
  <si>
    <t xml:space="preserve"> https://uninorte.zoom.us/j/84359955219</t>
  </si>
  <si>
    <t>GUN-11227</t>
  </si>
  <si>
    <t xml:space="preserve">Foro Mujeres en ingeniería </t>
  </si>
  <si>
    <t>¿Te interesa conocer las experiencias de algunas docentes de la Facultad de Ingeniería? 👷‍♀️👩‍💻
 Aprende más sobre la vida y trayectoria de estas cuatro exitosas mujeres que hacen parte de nuestra facultad.
Anímate a acompañarnos en el Foro Mujeres en Ingeniería que contará con la participación de:
✅Adriana Arango, ingeniera electricista
✅María Gabriela Calle, ingeniera electrónica
✅Andrea Cristina Zapata, ingeniera de sistemas 
✅Diana Rueda Delgado, ingeniera electrónica.
✅Gina Galindo Pacheco,
Ingeniera Industrial.</t>
  </si>
  <si>
    <t>GUN-11228</t>
  </si>
  <si>
    <t>Maratones de Programación: Competitive Programing</t>
  </si>
  <si>
    <t>¡Hola Programador 👩‍💻👨‍💻!
Te invitamos a nuestra charla de Maratones de Programación: Competitive Programing ⏱️🏁 , el día de mañana a las 6:30 p.m .Prepárate para conocer todo acerca de las maratones de programación de la mano de Fabio Zapata y sorprenderte que es más sencillo que lo que estás pensando.
¡No lo dudes más y acompañanos!
🔗 Link:  https://uninorte.zoom.us/j/83570240548</t>
  </si>
  <si>
    <t>https://uninorte.zoom.us/j/83570240548</t>
  </si>
  <si>
    <t>GUN-11229</t>
  </si>
  <si>
    <t>Jornada Audiovisual- Carpetas de Fotos</t>
  </si>
  <si>
    <t>Se hará un recorrido para poder tomar mejores fotos de los gatos para poder actualizar la carpeta de fotos</t>
  </si>
  <si>
    <t>GUN-11230</t>
  </si>
  <si>
    <t>Celebración Amor y amistad JD 2021</t>
  </si>
  <si>
    <t>Espacio de esparcimiento entre los miembros de la junta para celebrar amor y amistad. Además se jugará al amigo secreto.</t>
  </si>
  <si>
    <t>GUN-11231</t>
  </si>
  <si>
    <t>Taller: Aprende a crear la mejor versión de tu hoja de vida</t>
  </si>
  <si>
    <t xml:space="preserve">Taller para aprender a preparar hojas de vida llamativas </t>
  </si>
  <si>
    <t>https://uninorte.zoom.us/j/84428113809?pwd=WWswOFlENUMrYUdGUGR6QzFxOVBPUT09</t>
  </si>
  <si>
    <t>GUN-11232</t>
  </si>
  <si>
    <t>En esta reunión, nos reuniremos para hablar de la gestión de las visitas en progreso y futuras</t>
  </si>
  <si>
    <t>GUN-11233</t>
  </si>
  <si>
    <t>Luz Elena Barros 
Elbarros@uninorte.edu.co 
3005737630</t>
  </si>
  <si>
    <t xml:space="preserve">Los miembros del departamento de finanzas iran a una actividad de integración </t>
  </si>
  <si>
    <t>ESTIMADO GRUPO POR EL MOMENTO TENIENDO EN CUENTA LA CONTIGENCIA LAS ACTIVIDADES SOLO SE ESTAN REALIZANDO DE MANERA VIRTUAL</t>
  </si>
  <si>
    <t>GUN-11234</t>
  </si>
  <si>
    <t>Andrés Romero Torres	aromerof@uninorte.edu.co	3004476066</t>
  </si>
  <si>
    <t>Segundo debate - Innovación</t>
  </si>
  <si>
    <t>GUN-11235</t>
  </si>
  <si>
    <t>Women: Revolutionary Leaders of the 21st Century</t>
  </si>
  <si>
    <t xml:space="preserve"> El propósito de este evento es tener un conversatorio a manera de Q&amp;A (questions and answers) entre el/las ponente(s) y el entrevistador sobre el rol de la mujer en la industria en la que se desempeña nuestra(s) invitada(s), su perspectiva sobre cómo ven el aporte que la ingeniería ha hecho en la actualidad y cómo se perfila este en un futuro próximo. Seguidamente se hablará sobre el empoderamiento de la mujer en este contexto: como llegar a trabajar en estos sectores industriales y en estas grandes empresas dejando de lado los estereotipos sociales que surgen alrededor de este tema.</t>
  </si>
  <si>
    <t>https://drive.google.com/open?id=1r6BXckVMKm3kU2qOBOcZYw-nW-392jLN</t>
  </si>
  <si>
    <t>https://docs.google.com/forms/d/e/1FAIpQLScAlBJnU_cxqlo3TnKutupvJ177vpfbpCgw4lY4tpb2GeJMwQ/viewform?usp=pp_url</t>
  </si>
  <si>
    <t>GUN-11236</t>
  </si>
  <si>
    <t xml:space="preserve">Proyecto cartillas </t>
  </si>
  <si>
    <t xml:space="preserve">Continuación de nuestro proyecto de cartillas de feminismo, arte y cultura ciudadana, dirigidas a los niños del barrio La Cangrejera </t>
  </si>
  <si>
    <t>GUN-11237</t>
  </si>
  <si>
    <t>FeminTalk: no se nace feminista</t>
  </si>
  <si>
    <t xml:space="preserve">Espacio de diálogo de los miembros del grupo estudiantil en el que veremos el video "NO SE NACE FEMINISTA" y, a partir de ahí, compartiremos nuestras opiniones o lo que pensamos respecto a la temática. </t>
  </si>
  <si>
    <t>https://uninorte.zoom.us/j/85010118462?pwd=YkpraEErQm95TW91enJRcXJMb0dIUT09</t>
  </si>
  <si>
    <t>GUN-11238</t>
  </si>
  <si>
    <t>Barranquilla y los ODS: ¿Una agenda imparable?</t>
  </si>
  <si>
    <t>En el presente evento se buscará exponer cómo se encuentra Barranquilla frente a los Objetivos de Desarrollo Sostenible (ODS) propuestos por las Naciones Unidas, qué tipo de políticas han sido impulsadas para su implementación, y cuáles son los retos pendientes así como propuestas que deberían ser aplicadas para mejorar la situación actual.</t>
  </si>
  <si>
    <t>https://drive.google.com/open?id=1g-bSXEVQ3LfSzF8j8OP4SJj_OnrYps0V</t>
  </si>
  <si>
    <t>https://uninorte.zoom.us/j/82005684288</t>
  </si>
  <si>
    <t>GUN-11239</t>
  </si>
  <si>
    <t>Amistades sanas</t>
  </si>
  <si>
    <t>Este día hablaremos sobre la importancia de las amistades en la universidad, de cómo ser buenos amigos y qué esperar de los demás</t>
  </si>
  <si>
    <t>GUN-11240</t>
  </si>
  <si>
    <t>Role Models UNINORTE</t>
  </si>
  <si>
    <t>El grupo estudiantil ha creado esta campaña con el propósito de darles reconocimiento a las estudiantes de carreras STEM de la universidad del norte que trabajan en proyectos o que han ganado becas para promover el empoderamiento y la representación femenina.</t>
  </si>
  <si>
    <t>https://www.instagram.com/wstemunbq/</t>
  </si>
  <si>
    <t>GUN-11241</t>
  </si>
  <si>
    <t xml:space="preserve">Reunión semanal Foros y Conferencias. </t>
  </si>
  <si>
    <t xml:space="preserve">Reunión en la que se asignarán tareas y se revisarán las pendientes dentro de la división. </t>
  </si>
  <si>
    <t>GUN-11242</t>
  </si>
  <si>
    <t>Mary Ann Arango, maryaa@uninorte.edu.ci, 3004822612</t>
  </si>
  <si>
    <t>Taller básico de excel</t>
  </si>
  <si>
    <t>Se realizará un taller dedicado a los miembros para que conozcan un poco más las herramientas básicas de excel y las pongan en práctica.</t>
  </si>
  <si>
    <t>Aún no hay link.</t>
  </si>
  <si>
    <t>GUN-11243</t>
  </si>
  <si>
    <t xml:space="preserve">FeliAmigo secreto </t>
  </si>
  <si>
    <t xml:space="preserve">Integración por el día de amor y amistad. </t>
  </si>
  <si>
    <t>https://uninorte.zoom.us/j/88413516932?pwd=aXErTHg3azVXb0VNN2FweEhnTU1nZz09</t>
  </si>
  <si>
    <t>GUN-11244</t>
  </si>
  <si>
    <t xml:space="preserve">Comité de Relaciones Públicas y Logística </t>
  </si>
  <si>
    <t>Situación en Afganistán pt. 2: Refugiados en Colombia</t>
  </si>
  <si>
    <t xml:space="preserve">En esta segunda parte de nuestra temática relacionada con la problemática de Afganistán, hablaremos sobre el juego geopolítico y migratorio que gira en torno a las decisiones tomadas por el gobierno colombiano en relación con los intereses de Estados Unidos en cuanto al traslado de afganos al territorio. </t>
  </si>
  <si>
    <t>https://drive.google.com/open?id=19PyTWYI6eTwTNu7lUwbKO-4_cP0vGmOU</t>
  </si>
  <si>
    <t>meet.google.com/aop-most-qkx</t>
  </si>
  <si>
    <t>GUN-11245</t>
  </si>
  <si>
    <t>Jose Alejandro Bedoya Villegas, bedoyaaj@uninorte.edu .co, 3155181038</t>
  </si>
  <si>
    <t>Reunión semanal con los miembros para discutir temas de la división.</t>
  </si>
  <si>
    <t>https://uninorte.zoom.us/j/89993873299?pwd=ZEZyL3IxVFpGOGk3MWpSdnJrbzd6Zz09 um ein geplantes Zoom-Meeting starten oder ihr beizutreten</t>
  </si>
  <si>
    <t>GUN-11246</t>
  </si>
  <si>
    <t>José Daniel Carrillo Patiño, josedanielc@uninorte.edu.co, 3005497504</t>
  </si>
  <si>
    <t>Baterías recargables a base de cemento</t>
  </si>
  <si>
    <t>Video</t>
  </si>
  <si>
    <t>GUN-11247</t>
  </si>
  <si>
    <t>Post actividad y link inscripciones abiertas</t>
  </si>
  <si>
    <t>Se va a postear información sobre la actividad, junto con el link para que las personas puedan inscribirse.</t>
  </si>
  <si>
    <t>https://www.instagram.com/createcun/</t>
  </si>
  <si>
    <t>GUN-11248</t>
  </si>
  <si>
    <t>Raul Samuel Lugo Lozano rslugo@uninorte.edu.co 3014456690</t>
  </si>
  <si>
    <t xml:space="preserve">Taller avanzado de Latex </t>
  </si>
  <si>
    <t xml:space="preserve">Se finalizará la capacitacion del lenguaje de programacion, enseñandose lo basico para las personas que deseen asistir a este. </t>
  </si>
  <si>
    <t>https://drive.google.com/open?id=1IJ1QrZK7KM6jozRLwRQj6OVMwwNEjo9k</t>
  </si>
  <si>
    <t>https://uninorte.zoom.us/j/86086766356</t>
  </si>
  <si>
    <t>GUN-11249</t>
  </si>
  <si>
    <t>Marcela Carolina Ortega Aragón (mcaragon@uninorte.edu.co, 312324898) e Isabella Visbal Narvaez (isabellanarvaez@uninorte.edu.co, +1 (765) 701-9062)</t>
  </si>
  <si>
    <t>Inducción Editorial</t>
  </si>
  <si>
    <t>Atribuir funciones dentro de la división Editorial y finiquitar propuesta para la revista de Lenguas Modernas y Cultura.</t>
  </si>
  <si>
    <t>https://meet.google.com/sna-bhww-uds</t>
  </si>
  <si>
    <t>GUN-11250</t>
  </si>
  <si>
    <t>Nos reuniremos para seguir realizando la planeación del programa de mentorías.</t>
  </si>
  <si>
    <t>GUN-11251</t>
  </si>
  <si>
    <t>Webinar: Hackatón de espacio y ciencia del sistema solar</t>
  </si>
  <si>
    <t>¿Te gustaría participar en la hackatón de espacio y ciencia más grande del sistema solar?
🚀🪐🌎
Preinscríbete para asistir a nuestro webinar informativo✨
https://forms.gle/k54nLKBSnQTiJcA2A
🗓 Fecha Hackatón: Octubre 2-3, 2021
🔥Webinar: Septiembre 22, 8:00 PM
El evento es VIRTUAL 🪐</t>
  </si>
  <si>
    <t>https://forms.gle/k54nLKBSnQTiJcA2A</t>
  </si>
  <si>
    <t>GUN-11252</t>
  </si>
  <si>
    <t>Isabella Cristina Bruges Noguera</t>
  </si>
  <si>
    <t>Icfes enlace Mokaná</t>
  </si>
  <si>
    <t>La siguiente actividad consiste en hacer una recolecta de material de Icfes, ya sea cartillas, cuestionarios, impresiones para la comunidad indígena Mokaná, debido a que esta comunidad no cuenta con los recursos que disponen muchos estudiantes de bachillerato en Colombia con el fin de darles una ayuda para mejorar los resultados en la prueba.</t>
  </si>
  <si>
    <t>http://instagram.com/pcuninorte</t>
  </si>
  <si>
    <t>GUN-11253</t>
  </si>
  <si>
    <t>María José Barrios Baza (mjbaza@uninorte.edu.co)</t>
  </si>
  <si>
    <t>Taller: El cuerpo como puente de comunicación</t>
  </si>
  <si>
    <t>En este taller dirigido por el intérprete de lengua de señas Mauricio González hablaremos de la importancia de aprender las lenguas de señas para construir una sociedad incluyente y enseñaremos el contenido básico de la lengua de señas colombiana.</t>
  </si>
  <si>
    <t>https://drive.google.com/open?id=1GoTccboZwMlvmO9mhPrLzIChkVveQWFZLCjjlUn5M9c</t>
  </si>
  <si>
    <t>https://uninorte.zoom.us/j/83627087305?pwd=OG1QQ3hrRWY3eHpRV3N4VHBvSFl0Zz09</t>
  </si>
  <si>
    <t>GUN-11254</t>
  </si>
  <si>
    <t>Felix Martinez Mendieta</t>
  </si>
  <si>
    <t>Mes del patrimonio</t>
  </si>
  <si>
    <t>Se realizará una charla a cargo del arquitecto y profesor de la facultad Juan Pablo Mestre</t>
  </si>
  <si>
    <t>GUN-11255</t>
  </si>
  <si>
    <t>Marcela Orrtega (mcaragon@uninorte.edu.co, +57 317 2324898) e Isabella Visbal Narvaez, (isabellanarvaez@uninorte.edu.co, +1 (765) 701-9062)</t>
  </si>
  <si>
    <t>Asignar funciones en la división editorial y finiquitar la propuesta de secciones de la revista de Lenguas Modernas y Cultura.</t>
  </si>
  <si>
    <t>GUN-11256</t>
  </si>
  <si>
    <t>Felix Martinez Mendinueta</t>
  </si>
  <si>
    <t xml:space="preserve">Se realizará una charla con el Arquitecto y profesor Juan Pablo Mestre </t>
  </si>
  <si>
    <t>GUN-11257</t>
  </si>
  <si>
    <t>Reading's Club: Querida Ijeawele</t>
  </si>
  <si>
    <t xml:space="preserve">Espacio para que los miembros del grupo estudiantil debatan sobre el texto "Querida Ijeawele" de la escritora Chimamanda Ngozi Adichi. El objetivo es discutir sobre el texto y expresar nuestras opiniones. </t>
  </si>
  <si>
    <t>https://uninorte.zoom.us/j/88677357889?pwd=WkhxMWVxaTg2R2tIT1BvQnl2TG9Sdz09</t>
  </si>
  <si>
    <t>GUN-11258</t>
  </si>
  <si>
    <t>María José Barrios Baza (mjbaza@uninorte.edu.co, 3053638352)</t>
  </si>
  <si>
    <t>Asamblea 2</t>
  </si>
  <si>
    <t>Dar a conocer los eventos planeados para el mes de octubre.</t>
  </si>
  <si>
    <t>https://uninorte.zoom.us/j/87514490161?pwd=Q20vaWVWUmlxMzVSTVF3eTdIYTdJZz09</t>
  </si>
  <si>
    <t>GUN-11259</t>
  </si>
  <si>
    <t>Valentina Morelo vmorelo@uninorte.edu.co 300 2756748 - Natalia Doncel Meza ndoncel@gmail.com 3058148156</t>
  </si>
  <si>
    <t>Reunión de la junta directiva para hablar de diferentes temas del grupo y revisar siguientes actividades.</t>
  </si>
  <si>
    <t>https://meet.google.com/ogp-xdbq-nio</t>
  </si>
  <si>
    <t>GUN-11260</t>
  </si>
  <si>
    <t>https://uninorte.zoom.us/j/88953361316?pwd=N29qRnp2VTJoTzg4WmlpeVAzMFZNQT09</t>
  </si>
  <si>
    <t>GUN-11261</t>
  </si>
  <si>
    <t>El día de un practicante</t>
  </si>
  <si>
    <t>Evento en redes sociales dónde una estudiante de ultimo semestre que actualmente se encuentra haciendo practicas muestra como es su día a día en su transición de la vida universitaria a la vida laboral.</t>
  </si>
  <si>
    <t>https://www.instagram.com/aneicuninorte/?hl=es</t>
  </si>
  <si>
    <t>GUN-11262</t>
  </si>
  <si>
    <t>Envio de artículo blog bienestar</t>
  </si>
  <si>
    <t>Envio de artículo para su revisión y publicación en el blog de Bienestar.</t>
  </si>
  <si>
    <t>https://www.uninorte.edu.co/web/bie-univ/estudiantesopinan</t>
  </si>
  <si>
    <t>GUN-11263</t>
  </si>
  <si>
    <t>Diseño de un sistema para la recuperación y valorización del calor residual de materiales solidos a altas temperaturas.</t>
  </si>
  <si>
    <t>GUN-11264</t>
  </si>
  <si>
    <t>Inducción General del Departamento de Comunicaciones</t>
  </si>
  <si>
    <t>Se hará una explicación a los miembros tanto juniors como seniors sobre el kit de marca de Felinorte, las carpetas y demás herramientas del departamento.</t>
  </si>
  <si>
    <t>GUN-11265</t>
  </si>
  <si>
    <t>Inducción Grupo Audiovisuales Dpto. de Comunicaciones</t>
  </si>
  <si>
    <t>Se les dio un tutorial de herramientas necesarias para el grupo, como InShot, ClipChamp y Cap Cut. Además se enseñaron trucas básicos de edición de videos.</t>
  </si>
  <si>
    <t>GUN-11266</t>
  </si>
  <si>
    <t xml:space="preserve">Inducción Grupo Contenido Post de Valor </t>
  </si>
  <si>
    <t xml:space="preserve">Se les dio a todos los miembros un tutorial de canva, las carpetas y otras herramientas necesarias para la entrega de piezas del grupo. </t>
  </si>
  <si>
    <t>GUN-11267</t>
  </si>
  <si>
    <t>Inducción Grupo Página Web y Blog del Dpto. de Comunicaciones</t>
  </si>
  <si>
    <t>Se les explicó a los miembros el uso de google docs, además se les dieron hacks de como usar esta herramienta. Y además se les dieron tips de escritura.</t>
  </si>
  <si>
    <t>GUN-11268</t>
  </si>
  <si>
    <t xml:space="preserve">Día de la igualdad salarial </t>
  </si>
  <si>
    <t xml:space="preserve">Publicación informativa en Instagram donde se explica que la ONU proclamó el 18 de septiembre como el Día de la Igualdad Salarial. Se describe cómo está Colombia en este aspecto. </t>
  </si>
  <si>
    <t>https://instagram.com/feminun?utm_medium=copy_link</t>
  </si>
  <si>
    <t>GUN-11269</t>
  </si>
  <si>
    <t>Estructuración de los proyectos a realizar.</t>
  </si>
  <si>
    <t>GUN-11270</t>
  </si>
  <si>
    <t xml:space="preserve">Comité de Relaciones Públicas y logística </t>
  </si>
  <si>
    <t>Importancia de la Diplomacia y cómo se llega al servicio Exterior</t>
  </si>
  <si>
    <t xml:space="preserve">Aprendamos sobre los pasos para lograr ser diplomáticos, que requisitos necesitamos cumplir y como podemos empezar.  </t>
  </si>
  <si>
    <t>https://drive.google.com/open?id=1XsMeORmALAwZmDIEL-NSEE2W4kR4Y_6F</t>
  </si>
  <si>
    <t xml:space="preserve"> https://uninorte.zoom.us/j/88324042568?pwd=TDV6OUtUQ3VzYmlWU0VscGRRTlJBZz09</t>
  </si>
  <si>
    <t>GUN-11271</t>
  </si>
  <si>
    <t>Cierre de inscripciones actividad</t>
  </si>
  <si>
    <t>Cierre de inscripciones actividad de cocina y envió de correo con el link de la actividad a los participantes</t>
  </si>
  <si>
    <t>https://drive.google.com/</t>
  </si>
  <si>
    <t>GUN-11272</t>
  </si>
  <si>
    <t>GUN-11273</t>
  </si>
  <si>
    <t>Charla: SAGRILAFT/SARLAFT</t>
  </si>
  <si>
    <t>Conocer el Sistema de Administración y Gestión del Riesgo Integral del Lavado de Activos y Financiación del Terrorismo y la importancia en la Auditoría y la Revisoría Fiscal, para garantizar el buen cumplimiento y la efectividad de los controles determinados en la aplicación del mismo.</t>
  </si>
  <si>
    <t>https://drive.google.com/open?id=1kI68RvtcLEANh25CZNAUwXdenI_7r4ko</t>
  </si>
  <si>
    <t>https://forms.gle/jf6q4d7qiCsuA8WF8</t>
  </si>
  <si>
    <t>GUN-11274</t>
  </si>
  <si>
    <t>Aprender a descansar</t>
  </si>
  <si>
    <t>La universidad muchas veces se vuelve una carga y nos sentimos presionados con todos los pendientes, en esta ocasión hablaremos sobre el descanso, su importancia y cómo descansar en medio del estrés</t>
  </si>
  <si>
    <t>GUN-11275</t>
  </si>
  <si>
    <t>Andrea Carolina Calderón (calderonca@uninorte.edu.co, 3016551292)</t>
  </si>
  <si>
    <t>Convivencia Amor y Amistad</t>
  </si>
  <si>
    <t>Compartir datos acerca de la fecha celebrada y hacer actividades de integración entre los miembros del grupo.</t>
  </si>
  <si>
    <t>https://uninorte.zoom.us/j/84110261960?pwd=SkIzaFJJT2huOFlxT0ZlcXVqWVhtUT09</t>
  </si>
  <si>
    <t>GUN-11276</t>
  </si>
  <si>
    <t>Taller SIIGO. Módulo 4: Generación de Estados Financieros.</t>
  </si>
  <si>
    <t>Aprender a unificar la información introducida dentro del software, como registros, facturas, etc. Generando automáticamente los estados financieros como estados financieros como estado de resultados y balance general para fines de información.</t>
  </si>
  <si>
    <t>https://drive.google.com/open?id=1odrDQqES04WWuPuZ_E79nAQm_28Jdyrh</t>
  </si>
  <si>
    <t>GUN-11277</t>
  </si>
  <si>
    <t>Las miembros de la junta directiva se reunirán como se hace semanalmente con el propósito de ver temas relacionados con el grupo estudiantil.</t>
  </si>
  <si>
    <t>GUN-11278</t>
  </si>
  <si>
    <t>GUN-11279</t>
  </si>
  <si>
    <t>Lenguaje no sexista</t>
  </si>
  <si>
    <t>Aprendamos con MODII sobre el Lenguaje no sexista, en un Webinar junto a la directora Mónica Ropaín y la lingüista Soledad Bellido.</t>
  </si>
  <si>
    <t>https://drive.google.com/open?id=15YXrk-gBBxaMMEOHvsTgSfIE4H1cLmNC</t>
  </si>
  <si>
    <t>https://us02web.zoom.us/j/89398945134?pwd=Z3ZMa25sckJSNnhkNEF0aW1MSjNxUT09</t>
  </si>
  <si>
    <t>GUN-11280</t>
  </si>
  <si>
    <t>Celebración de amor y amistad</t>
  </si>
  <si>
    <t>Con el propósito de fortalecer los lazos entre las miembros, conmemoraremos el día del amor y la amistad realizando actividades en torno a un tema muy importante: las emociones, y su papel fundamental en STEM.</t>
  </si>
  <si>
    <t>https://uninorte.zoom.us/j/86844685052?pwd=eExnckVDNWxJQWx1TGFTY2lxemxyUT09</t>
  </si>
  <si>
    <t>GUN-11281</t>
  </si>
  <si>
    <t>GUN-11282</t>
  </si>
  <si>
    <t>Ramen &amp; love</t>
  </si>
  <si>
    <t>Encuentro para conmemorar el día del amor y amistad entre los miembros del grupo, donde realizaremos actividades enfocadas en la temática del amor, abriremos un espacio de dialogo y reproduciremos los eventos románticos mas característicos de la cultura pop asiática.</t>
  </si>
  <si>
    <t>https://uninorte.zoom.us/j/82019266530</t>
  </si>
  <si>
    <t>GUN-11283</t>
  </si>
  <si>
    <t>CEIM STORYTELLING LOVE &amp; FRIENDSHIP EDITION</t>
  </si>
  <si>
    <t xml:space="preserve">Concurso de cuentacuentos en modalidad de parejas para celebrar amor y amistad donde los participantes podrán llevar su creatividad a otro nivel y vivir lo bonito de su amor y amistad. </t>
  </si>
  <si>
    <t>https://drive.google.com/open?id=1ld9MX5EnKjDdx-oGsO9SqdeG3C6hn9de</t>
  </si>
  <si>
    <t>https://uninorte.zoom.us/j/82692901246?pwd=ZG85M1dNbUlHcUR2OW9vL2ZNenB4UT09</t>
  </si>
  <si>
    <t>GUN-11284</t>
  </si>
  <si>
    <t>Día internacional de la paz</t>
  </si>
  <si>
    <t xml:space="preserve">Publicación informativa en Instagram sobre el día internacional de la paz y su relación con la equidad de género. </t>
  </si>
  <si>
    <t>GUN-11285</t>
  </si>
  <si>
    <t>Participación de la mujer dentro de la industria de la música</t>
  </si>
  <si>
    <t xml:space="preserve">Post informativo en Instagram sobre la participación de la mujer en la industria musical. </t>
  </si>
  <si>
    <t>GUN-11286</t>
  </si>
  <si>
    <t>Isabela Visbal (isabellanarvaez@uninorte.edu.co, +1 (765) 701-9062)</t>
  </si>
  <si>
    <t>Mundo entre letras</t>
  </si>
  <si>
    <t>En la segunda sesión del club de lectura de Lingua, comentaremos El Ideal, cuento inédito de Andrés Caicedo.</t>
  </si>
  <si>
    <t>https://uninorte.zoom.us/j/85641672017?pwd=aUt1WWxyb1ZYUVB6N1BxUmNmaTZiQT09</t>
  </si>
  <si>
    <t>GUN-11287</t>
  </si>
  <si>
    <t>Nuevo reto CREATEC</t>
  </si>
  <si>
    <t>Una actividad en en la cuenta de Instagram que invita que a partir de una palabra realizar un dibujo.</t>
  </si>
  <si>
    <t>GUN-11288</t>
  </si>
  <si>
    <t>Paula Andrea Romero Alquerque  palquerque@uninorte.edu.co   3227138634</t>
  </si>
  <si>
    <t>Capacitación de zoom</t>
  </si>
  <si>
    <t>Se va a realizar una capacitación para los miembros de CDIEP, sobre la herramienta de zoom meetings por medio de una transmisión en vivo en nuestro canal de Youtube</t>
  </si>
  <si>
    <t>https://www.youtube.com/channel/UCQT8Zbojep2eyF2cauTDZ8g</t>
  </si>
  <si>
    <t>GUN-11289</t>
  </si>
  <si>
    <t>Oscar Sanchez y Ana Martinez 	
Eosanchez@uninirte.edu.co ascalle@uninorte.edu.co	
3192220443 - 3222106045</t>
  </si>
  <si>
    <t>Debate</t>
  </si>
  <si>
    <t xml:space="preserve">Se va a debatir entre los miembros del departamento un artículo </t>
  </si>
  <si>
    <t>GUN-11290</t>
  </si>
  <si>
    <t>Andrés Romero	
aromerof@uninorte.edu.co	
3004476066</t>
  </si>
  <si>
    <t>Tercer debate - Innovación</t>
  </si>
  <si>
    <t>GUN-11291</t>
  </si>
  <si>
    <t>¿Cómo afrontamos una entrevista laboral?</t>
  </si>
  <si>
    <t>Capacitación por medio de la plataforma de zoom, dictada por un experto en selección de personal, para prepararse para abordar y afrontar eficazmente una entrevista laboral.</t>
  </si>
  <si>
    <t>https://drive.google.com/open?id=1I_8tFS_dkYlh6t-81POZ4pC4kz104aFH</t>
  </si>
  <si>
    <t>https://uninorte.zoom.us/j/83738086962?pwd=YXNYSW45Y2VWbXRBUGdscW5EVTFGQT09</t>
  </si>
  <si>
    <t>GUN-11292</t>
  </si>
  <si>
    <t>Miguel Ángel Terán  Romero, teranma@uninorte.edu.co, 3154534912</t>
  </si>
  <si>
    <t xml:space="preserve">Conferencia: Conceptos básicos sobre turbinas . </t>
  </si>
  <si>
    <t xml:space="preserve">Conferencia de una hora en la que se expondrán las principales características del funcionamiento de una turbina. Se darán generalidades </t>
  </si>
  <si>
    <t>https://drive.google.com/open?id=1MLeuBgvY3TP9eEumgTambbaIGJdwACVo</t>
  </si>
  <si>
    <t>https://uninorte.zoom.us/meeting/register/tZUrduCgqTMiE9Tm5jMdaRsns39o7OeX5oz6</t>
  </si>
  <si>
    <t>GUN-11293</t>
  </si>
  <si>
    <t xml:space="preserve">CERI-Cosmopolitica </t>
  </si>
  <si>
    <t>Cuba, el impacto del régimen en los Derechos Humanos y el bloqueo económico</t>
  </si>
  <si>
    <t xml:space="preserve">Se pretende analizar la situación de Derechos Humanos actual de Cuba a través del efecto del régimen autoritario, del bloqueo económico impuesto por Estados Unidos y los costos de la pandemia. </t>
  </si>
  <si>
    <t>https://drive.google.com/open?id=1QcJnB5UkIBHmQInoDesk5vSv0zCK616q</t>
  </si>
  <si>
    <t>https://uninorte.zoom.us/j/86379951255</t>
  </si>
  <si>
    <t>Estimado Grupo en que consiste el concurso</t>
  </si>
  <si>
    <t>GUN-11294</t>
  </si>
  <si>
    <t>Concurso de Solidworks</t>
  </si>
  <si>
    <t>Inicio del concurso de Solidworks que se llevará a cabo en el transcurso de la semana</t>
  </si>
  <si>
    <t>GUN-11295</t>
  </si>
  <si>
    <t xml:space="preserve">Alberto Mario Solis Martes, amsolis@uninorte.edu.co, 3008685801
</t>
  </si>
  <si>
    <t>Coordinadores y miembrxs de la coordinación llevan a cabo la estructuración de los temas, preguntas y formato de los proyectos, actividades y eventos externos que se realizan durante el semestre académico. Se hará uso del espacio para exponer el tema de la semana.</t>
  </si>
  <si>
    <t>GUN-11296</t>
  </si>
  <si>
    <t>Reunión para discutir temas de la división.</t>
  </si>
  <si>
    <t>Jose Alejandro Bedoya Villegas is inviting you to a scheduled Zoom meeting.  Topic: Jose Alejandro Bedoya Villegas's Personal Meeting Room  Join Zoom Meeting https://uninorte.zoom.us/j/3487890298  Meeting ID: 348 789 0298 One tap mobile +13126266799,,3487890298# US (Chicago) +13462487799,,3487890298# US (Houston)  Dial by your location         +1 312 626 6799 US (Chicago)         +1 346 248 7799 US (Houston)         +1 646 558 8656 US (New York)         +1 669 900 9128 US (San Jose)         +1 253 215 8782 US (Tacoma)         +1 301 715 8592 US (Washington DC) Meeting ID: 348 789 0298 Find your local number: https://uninorte.zoom.us/u/kd5qS3dWN2</t>
  </si>
  <si>
    <t>GUN-11297</t>
  </si>
  <si>
    <t>Mary Ann Arango, maryaa@uninorte.edu.co</t>
  </si>
  <si>
    <t>Campaña adoptables</t>
  </si>
  <si>
    <t>Campaña de adopción para los gatos del bloque G.</t>
  </si>
  <si>
    <t>GUN-11298</t>
  </si>
  <si>
    <t>Se convoca la junta directiva a una Reunión que se hace cada semana para poder hablar de las actividades que pasaron y las que van a  pasar y revisar diferentes temas del grupo estudiantil.</t>
  </si>
  <si>
    <t>https://meet.google.com/gnc-pmbr-cui</t>
  </si>
  <si>
    <t>GUN-11299</t>
  </si>
  <si>
    <t>Semillero de programación</t>
  </si>
  <si>
    <t>Espacio de aprendizaje a cargo del profesor Ruben Yie quien enseñará las claves de la programación a los miembros activos del grupo acercados a situaciones de la vida cotidiana.</t>
  </si>
  <si>
    <t>GUN-11300</t>
  </si>
  <si>
    <t>GUN-11301</t>
  </si>
  <si>
    <t>La psicología, una mirada de los estudiantes.</t>
  </si>
  <si>
    <t>Evento en alianza con coordinación del departamento de Psicología, para dar a conocer al público externo cómo funciona el programa académico  de Psicología, desde la visión de los estudiantes que actualmente cursan el programa y docentes del departamento, que son egresados de Uninorte.</t>
  </si>
  <si>
    <t>https://drive.google.com/open?id=1PXeDWWgNVPs3MmPBQy9n_vhWczuuYR6v</t>
  </si>
  <si>
    <t>https://uninorte.zoom.us/s/82663690452</t>
  </si>
  <si>
    <t>GUN-11302</t>
  </si>
  <si>
    <t>Coordinadores y miembrxs de la coordinación llevan a cabo la estructuración de los temas, preguntas y formato de los proyectos, actividades y eventos externos que se realizan durante el semestre académico. También se aprovechará el espacio para exponer el tema de la semana</t>
  </si>
  <si>
    <t>GUN-11303</t>
  </si>
  <si>
    <t xml:space="preserve">Publicación de Blog </t>
  </si>
  <si>
    <t>Publicación de Blog de carácter libre con posible enfoque en energías alternativas</t>
  </si>
  <si>
    <t>GUN-11304</t>
  </si>
  <si>
    <t>La mujer en la industria de la música</t>
  </si>
  <si>
    <t xml:space="preserve">Publicación informativa en Instagram sobre la mujer en el mundo de la música. </t>
  </si>
  <si>
    <t>GUN-11305</t>
  </si>
  <si>
    <t>GUN-11306</t>
  </si>
  <si>
    <t>GUN-11307</t>
  </si>
  <si>
    <t xml:space="preserve"> Hackatón de espacio y ciencia del sistema solar</t>
  </si>
  <si>
    <t>GUN-11308</t>
  </si>
  <si>
    <t xml:space="preserve">Se continuará con nuestro proyecto de cartillas para los niños de la cangrejera. </t>
  </si>
  <si>
    <t>GUN-11309</t>
  </si>
  <si>
    <t>Visita industrial a plásticos Fayco S.A.</t>
  </si>
  <si>
    <t>El día 1 de octubre se realizará un recorrido por las instalaciones de la empresa Plásticos Fayco S.A. con el acompañamiento del profesor Johnnys Bustillo</t>
  </si>
  <si>
    <t>GUN-11310</t>
  </si>
  <si>
    <t>Capacitación de piezas de cumpleaños en Canva (Realizado)</t>
  </si>
  <si>
    <t>Capacitación para la realización de piezas de cumpleaños de los miembros de Felinorte. Estuvo dirigida a los miembros de Recursos Humanos y se realizó en colaboración al departamento de Comunicaciones.</t>
  </si>
  <si>
    <t>https://uninorte.zoom.us/j/87324382575?pwd=UVpGakF5cXV3S0NDS2FKK203VklaQT09</t>
  </si>
  <si>
    <t>GUN-11311</t>
  </si>
  <si>
    <t>Semana del Concreto: Claves para obtener estructuras de concreto durable</t>
  </si>
  <si>
    <t>Evento realizado en el marco de la Semana del Concreto; que recopila ponencias de ingenieros expertos a nivel nacional e internacional; además de concursos que buscarán destacar el talento, habilidades y conocimiento de los estudiantes.</t>
  </si>
  <si>
    <t>GUN-11312</t>
  </si>
  <si>
    <t>Diana Fernanda Barbosa Becerra, dfbarbosa@uninorte.edu.co, 3002976742</t>
  </si>
  <si>
    <t>Integración para liberar estrés.</t>
  </si>
  <si>
    <t>https://www.google.com/url?q=https://uninorte.zoom.us/j/89908529625?pwd%3DamppOXl6c3ZJbmNYOE02SGtiRHQ3Zz09&amp;sa=D&amp;source=calendar&amp;ust=1633270769356509&amp;usg=AOvVaw1ZufetNfOauLwM_dc21eMq</t>
  </si>
  <si>
    <t>GUN-11313</t>
  </si>
  <si>
    <t>Derechos Sexuales y Reproductivos de la Mujer</t>
  </si>
  <si>
    <t xml:space="preserve">Publicación informativa en Instagram sobre los derechos sexuales y reproductivos de la mujer. </t>
  </si>
  <si>
    <t>GUN-11314</t>
  </si>
  <si>
    <t>Campaña Derechos Sexuales y Reproductivos de la Mujer</t>
  </si>
  <si>
    <t>A propósito del día internacional de los derechos sexuales y reproductivos, desde FeminUN se realizará una campaña relacionada con ello teniendo en cuenta las vivencias de las mujeres en Colombia y en el mundo. De acuerdo con ello, el objetivo es sensibilizar a la comunidad uninorteña por medio de historias y publicaciones de Instagram a lo largo de la semana.</t>
  </si>
  <si>
    <t>GUN-11315</t>
  </si>
  <si>
    <t>Efectos psicológicos del café.</t>
  </si>
  <si>
    <t>Evento en formato café tertulia, en el marco del Día internacional del café, en donde se expondrán los efectos psicológicos del café.</t>
  </si>
  <si>
    <t>https://drive.google.com/open?id=1GXa25EnoKiSMwvcswOrYoY7lzPDXo0Sw</t>
  </si>
  <si>
    <t>https://uninorte.zoom.us/j/88051161495?pwd=MnRpZ3ZvbjdsR1FlUVJVcW4rbGtNZz09</t>
  </si>
  <si>
    <t>GUN-11316</t>
  </si>
  <si>
    <t>Inauguración III Semana del Concreto</t>
  </si>
  <si>
    <t>Evento inaugural de la III Semana del Concreto</t>
  </si>
  <si>
    <t>GUN-11317</t>
  </si>
  <si>
    <t>Análisis de la corrosión en nuevas tecnologías de concreto sostenible</t>
  </si>
  <si>
    <t>Evento en el marco de la III Semana del Concreto</t>
  </si>
  <si>
    <t>GUN-11318</t>
  </si>
  <si>
    <t>Alejandro Valencia Beltran
alejandrobeltran@uninorte.edu.co 
3058173185</t>
  </si>
  <si>
    <t xml:space="preserve">Podcast Palabras cruzadas </t>
  </si>
  <si>
    <t xml:space="preserve">Se grabará un episodio en vivo del proyecto Palabras Cruzadas llamado “Conversando entre Líderes” será un evento en formato de panel de preguntas en donde se conversará y se expondrán las opiniones y experiencias de líderes de diferentes grupos estudiantiles de la Universidad del Norte, en donde se presentarán preguntas realizadas por el equipo de BK2 y por la comunidad estudiantil.
</t>
  </si>
  <si>
    <t>https://www.youtube.com/channel/UCSLU0zobLVGFIdJUzHBeZmA</t>
  </si>
  <si>
    <t>GUN-11319</t>
  </si>
  <si>
    <t>Reuniones semanales con miembros activos de actividades</t>
  </si>
  <si>
    <t>GUN-11320</t>
  </si>
  <si>
    <t>Reunión conexiones</t>
  </si>
  <si>
    <t>En este evento nos reuniremos para seguir trabajando en las visitas industriales planeadas en el semestre.</t>
  </si>
  <si>
    <t>GUN-11321</t>
  </si>
  <si>
    <t>Semana del Concreto: Acero inoxidable como alternativa para extender la durabilidad de las estructuras</t>
  </si>
  <si>
    <t>GUN-11322</t>
  </si>
  <si>
    <t xml:space="preserve">Sofía Carolina García Barreneche - sbarreneche@uninorte.edu.co - 3003969858
Luisa Fernanda Amador Sanabria - lfamador@uninorte.edu.co - 3015926162
Catalina Monroy Pantoja	- catalinamonroy@uninorte.edu.co - 3168299639
Stefani Paola Altamar Rivera  - stefania@uninorte.edu.co - 3022672493
</t>
  </si>
  <si>
    <t>El ascenso de las mujeres STEM-prendedoras</t>
  </si>
  <si>
    <t xml:space="preserve">Conoce a la ingeniera electricista y gerente general de ASIK, Karen Rodríguez, en esta actividad podrás conversar un poco con ella y conocer su experiencia como profesional y emprendedora en STEM. </t>
  </si>
  <si>
    <t>https://drive.google.com/open?id=1z7AdEDKVB4NyKgUkzW4OYULTt97XytKZ</t>
  </si>
  <si>
    <t>https://uninorte.zoom.us/j/82461917974</t>
  </si>
  <si>
    <t>GUN-11323</t>
  </si>
  <si>
    <t>Reunion JD</t>
  </si>
  <si>
    <t>Reunion semanal de la junta directiva para la planificacion de actividades</t>
  </si>
  <si>
    <t>GUN-11324</t>
  </si>
  <si>
    <t>Semana del Concreto: Diseño y rehabilitación de estructuras de concreto</t>
  </si>
  <si>
    <t>GUN-11325</t>
  </si>
  <si>
    <t xml:space="preserve">Daniela Ortega Arias  - ariasdaniela@uninorte.edu.co - 3017305762
</t>
  </si>
  <si>
    <t>Claves para obtener estructuras de concreto durable</t>
  </si>
  <si>
    <t xml:space="preserve">Evento en el marco de la III Semana del Concreto
</t>
  </si>
  <si>
    <t>GUN-11326</t>
  </si>
  <si>
    <t>Jose Alejandro Bedoya Villegas is inviting you to a scheduled Zoom meeting.  Topic: Reuniones División ASME - CEIM Time: This is a recurring meeting Meet anytime  Join Zoom Meeting https://uninorte.zoom.us/j/89993873299?pwd=ZEZyL3IxVFpGOGk3MWpSdnJrbzd6Zz09  Meeting ID: 899 9387 3299 Passcode: 097176 One tap mobile +16699009128,,89993873299# US (San Jose) +12532158782,,89993873299# US (Tacoma)  Dial by your location         +1 669 900 9128 US (San Jose)         +1 253 215 8782 US (Tacoma)         +1 301 715 8592 US (Washington DC)         +1 312 626 6799 US (Chicago)         +1 346 248 7799 US (Houston)         +1 646 558 8656 US (New York) Meeting ID: 899 9387 3299 Find your local number: https://uninorte.zoom.us/u/kb2snsDzWk</t>
  </si>
  <si>
    <t>GUN-11327</t>
  </si>
  <si>
    <t>Luz Elena Barros Salgado 	Elbarros@uninorte.edu.co 	3005737630</t>
  </si>
  <si>
    <t>Reunión del departamento de Finanzas</t>
  </si>
  <si>
    <t xml:space="preserve">Reunión interna del departamento </t>
  </si>
  <si>
    <t>GUN-11328</t>
  </si>
  <si>
    <t>Semana del Concreto: Materiales de concreto</t>
  </si>
  <si>
    <t>GUN-11329</t>
  </si>
  <si>
    <t>Acero inoxidable como alternativa para extender la durabilidadde las estructuras</t>
  </si>
  <si>
    <t>GUN-11330</t>
  </si>
  <si>
    <t>Semana del Concreto: Muros aclopados de concreto reforzado: Diseño y verificación de sus elementos componentes</t>
  </si>
  <si>
    <t>GUN-11331</t>
  </si>
  <si>
    <t>Diseño y rehabilitación de estructuras de concreto</t>
  </si>
  <si>
    <t>GUN-11332</t>
  </si>
  <si>
    <t>Semana del Concreto: Derrumbando mitos sobre los pavimentos de concreto</t>
  </si>
  <si>
    <t>GUN-11333</t>
  </si>
  <si>
    <t>Isabella Visbal narvaez, isabellanarvaez@uninorte.edu.co, +1 (765) 701-9062 
María José Barrios Baza, mjbaza@uninorte.edu.co, 3053638352</t>
  </si>
  <si>
    <t xml:space="preserve">Acompáñanos en la tercera sesión del club de lectura Mundo entre letras de Lingua. Enel marco de un mes tan importante para la diversidad racial, como es octubre, leeremos Algo alrededor de tu cuello de Chimamanda Ngozi Adichie .
</t>
  </si>
  <si>
    <t>https://uninorte.zoom.us/j/87971942585?pwd=Y2xXbGxyN05uY1BPZUREMG8xaWI5Zz09</t>
  </si>
  <si>
    <t>GUN-11334</t>
  </si>
  <si>
    <t>Semana del Concreto: Patologías del concreto</t>
  </si>
  <si>
    <t>GUN-11335</t>
  </si>
  <si>
    <t>Optimización de dosificaciones de UHPFRC mediante algoritmos de inteligencia artifical</t>
  </si>
  <si>
    <t>GUN-11336</t>
  </si>
  <si>
    <t>Muros aclopados de concreto reforzado: Diseño y verificación de sus elementos componentes</t>
  </si>
  <si>
    <t>GUN-11337</t>
  </si>
  <si>
    <t>Derrumbando mitos sobre los pavimentos de concreto</t>
  </si>
  <si>
    <t>GUN-11338</t>
  </si>
  <si>
    <t>Semana del Concreto: Durabilidad del concreto con agregados reciclados</t>
  </si>
  <si>
    <t>GUN-11339</t>
  </si>
  <si>
    <t>Patologías del concreto</t>
  </si>
  <si>
    <t>GUN-11340</t>
  </si>
  <si>
    <t>Semana del concreto: Durabilidad del concreto: carbonatación</t>
  </si>
  <si>
    <t>GUN-11341</t>
  </si>
  <si>
    <t>Concreto con agregados reciclados, una realidad ¿y la durabilidad?</t>
  </si>
  <si>
    <t>GUN-11342</t>
  </si>
  <si>
    <t>Concrete Canoe Competition ASCE</t>
  </si>
  <si>
    <t>Presentación del concurso de la Canoa del Concreto, organizado por ASCE Uninorte</t>
  </si>
  <si>
    <t>GUN-11343</t>
  </si>
  <si>
    <t>Carbonatación del hormigón y su influencia en la durabilidad de estructuras</t>
  </si>
  <si>
    <t>GUN-11344</t>
  </si>
  <si>
    <t>Semana del Concreto: Barras de polímero reforzado con fibras, una alternativa al acero</t>
  </si>
  <si>
    <t>GUN-11345</t>
  </si>
  <si>
    <t>GUN-11346</t>
  </si>
  <si>
    <t>Semana del Concreto: Mantenimiento correctivo en el  Puente General Rafael Urdaneta sobre el Lago de Maracaibo y ciscunstancias que han afectado su estructura</t>
  </si>
  <si>
    <t>Evento realizado en el marco de la Semana del Concreto; que recopila ponencias de ingenieros expertos a nivel nacional e internacional; además de concursos que buscarán destacar el talento, habilidades y conocimiento de los estudiantes</t>
  </si>
  <si>
    <t>GUN-11347</t>
  </si>
  <si>
    <t>Barras de polímero reforzado con fibras, una alternativa al acero</t>
  </si>
  <si>
    <t>GUN-11348</t>
  </si>
  <si>
    <t>Mantenimiento correctivo en el  Puente General Rafael Urdaneta sobre el Lago de Maracaibo y ciscunstancias que han afectado su estructura</t>
  </si>
  <si>
    <t>GUN-11349</t>
  </si>
  <si>
    <t>Semana del Concreto: Ensayos requeridos para un mejor diagnóstico patológico</t>
  </si>
  <si>
    <t>GUN-11350</t>
  </si>
  <si>
    <t xml:space="preserve">Impactos del proceso constructivo en la calidad del concreto </t>
  </si>
  <si>
    <t>GUN-11351</t>
  </si>
  <si>
    <t>Semana del concreto: Concurso de fotografía</t>
  </si>
  <si>
    <t>GUN-11352</t>
  </si>
  <si>
    <t xml:space="preserve">Ensayos Requeridos Para un Mejor Diagnóstico Patológico </t>
  </si>
  <si>
    <t>GUN-11353</t>
  </si>
  <si>
    <t xml:space="preserve">Concurso de Fotografía </t>
  </si>
  <si>
    <t>GUN-11354</t>
  </si>
  <si>
    <t>Tour Uninorte Sostenible + MentorADA</t>
  </si>
  <si>
    <t>Se llevará a las estudiantes de mentorías por un tour donde conocerán los proyectos de adaptación al cambio climático que han sido implementados en nuestro campus sostenible. Los recorridos por el campus sostenible son una estrategia de la Dirección de Sostenibilidad Ambiental para sensibilizar a los miembros de nuestra comunidad universitaria a través del reconocimiento de los proyectos ambientales distribuidos en el campus.</t>
  </si>
  <si>
    <t>Cátedra Global</t>
  </si>
  <si>
    <t>GUN-11355</t>
  </si>
  <si>
    <t>GUN-11356</t>
  </si>
  <si>
    <t xml:space="preserve">Reunión de contabilidad y presupuesto </t>
  </si>
  <si>
    <t>Nos reuniremos con los chicos que llevan a cabo la función de contabilidad y presupuesto este mes a organizar el fondo</t>
  </si>
  <si>
    <t>GUN-11357</t>
  </si>
  <si>
    <t>Semana del Concreto: Olimpiadas</t>
  </si>
  <si>
    <t>GUN-11358</t>
  </si>
  <si>
    <t>Retorno a la normalidad y secuelas por el covid-19 en la salud mental.</t>
  </si>
  <si>
    <t xml:space="preserve">En el marco de el Día Mundial de la Salud Mental que se celebra el domingo 10 de octubre, se pretende realizar una transmisión por medio del canal de YouTube de CDIEPUN, en donde desde varias ramas de la psicología se expondrán los distintos puntos de vista respecto al retorno a la normalidad y secuelas por el covid-19 en la salud mental. </t>
  </si>
  <si>
    <t>https://drive.google.com/open?id=18GOOUcmsm36YLKu9KpUAju-E86gnlfbu</t>
  </si>
  <si>
    <t>GUN-11359</t>
  </si>
  <si>
    <t xml:space="preserve">OLIMPIADAS DEL CONCRETO </t>
  </si>
  <si>
    <t>GUN-11360</t>
  </si>
  <si>
    <t>Santiago de Jesús Mercado Castro
3008196382
dsmercado@uninorte.edu.co
Miguel Ángel de la Cruz Blanquicet
3007816765
mablanquicet@uninorte.edu.co</t>
  </si>
  <si>
    <t>Rock Psicodélico Japonés: La historia del Underground volviéndose Mainstream a través de su Desaparición</t>
  </si>
  <si>
    <t xml:space="preserve">Utilizando el formato de conversatorio presentaremos un evento analizando cómo la psicodelia en el mundo de la música es uno de los géneros musicales más interesantes en cuanto al
formato en el que se presenta. Suele mantener dos presentaciones que no varían, es decir, un blanco o
negro, un ying o un yang. Estas presentaciones son: Discos o Improvisaciones en Vivo. Es más, los
mismos discos suelen ser nada más ni nada menos que las mismas presentaciones en vivo,
formateadas para ser consideradas álbumes.
En el caso de Japón, la llegada de la psicodelia se nutre de sus altos y bajos, al igual que de las
mismas personas que unifican al movimiento, ya que se podría decir que la mera existencia de la
psicodelia es un alzamiento de voz en contra de los otros géneros, e inclusive la política. Es, en
esencia, un escape de la monotonía hacia la cultura del trabajo y el desgaste que existe en Japón. Una
búsqueda extrema del placer por medio del sonido, encontrada en la experimentación que tomaría
forma como la escena músical del rock psicodélico japonés. 
</t>
  </si>
  <si>
    <t>https://uninorte.zoom.us/j/83279930118</t>
  </si>
  <si>
    <t>GUN-11361</t>
  </si>
  <si>
    <t>Semana del Concreto: Clausura</t>
  </si>
  <si>
    <t>Evento que marca el final de la Semana del Concreto; recopila ponencias de ingenieros expertos a nivel nacional e internacional; además de concursos que buscarán destacar el talento, habilidades y conocimiento de los estudiantes</t>
  </si>
  <si>
    <t>GUN-11362</t>
  </si>
  <si>
    <t>Sofía Carolina García Barreneche - sbarreneche@uninorte.edu.co - 3003969858.
Luisa Fernanda Amador Sanabria - lfamador@uninorte.edu.co - 3015926162.
Catalina Monroy Pantoja	- catalinamonroy@uninorte.edu.co - 3168299639.
Stefani Paola Altamar Rivera  - stefania@uninorte.edu.co - 3022672493.</t>
  </si>
  <si>
    <t>MUJERES COLOMBIANAS EN STEM: IRINA GONZÁLEZ</t>
  </si>
  <si>
    <t xml:space="preserve">
La actividad tiene el propósito de presentar a las asistentes uno de los campos de acción de ingeniería mecánica a través de la experiencia de la invitada. Irina González trabaja como superintendente de gobierno y administración técnica en la Minera Escondida, la mina a cielo abierto que más produce cobre en el mundo, operada por BHP Billiton, en la charla podrá contarnos sobre su experiencia al estudiar Ingeniería Mecánica en Uninorte y las enseñanzas que le han permitido desempeñarse como una profesional exitosa. </t>
  </si>
  <si>
    <t>https://drive.google.com/open?id=1f0dGtyPUJRqSWWHfwsq4vyam7F4jBdtB</t>
  </si>
  <si>
    <t>https://uninorte.zoom.us/meeting/register/tZclduCoqzMqGdVlmHm0VoZTOJqmiEKkxRtg</t>
  </si>
  <si>
    <t>GUN-11363</t>
  </si>
  <si>
    <t>GUN-11364</t>
  </si>
  <si>
    <t>FemiBlogs is back!</t>
  </si>
  <si>
    <t xml:space="preserve">Post informativo en Instagram para informar que el blog de FeminUN tiene 5 nuevos escritos. </t>
  </si>
  <si>
    <t>GUN-11365</t>
  </si>
  <si>
    <t xml:space="preserve">Blog sobre Energía Alternativa </t>
  </si>
  <si>
    <t>Publicación de Blog con temática de Energías Alternativas</t>
  </si>
  <si>
    <t>GUN-11366</t>
  </si>
  <si>
    <t xml:space="preserve">REUNION JD </t>
  </si>
  <si>
    <t>Reunion de la junta directiva para cuadrar actividades siguientes</t>
  </si>
  <si>
    <t>GUN-11367</t>
  </si>
  <si>
    <t>Se continuará con nuestro proyecto de cartillas de arte, feminismo y competencias ciudadanas para los niños de la Cangrejera</t>
  </si>
  <si>
    <t>GUN-11368</t>
  </si>
  <si>
    <t xml:space="preserve">Semana de Circulo K Internacional </t>
  </si>
  <si>
    <t>¡Se acerca la semana de CKI! La semana del 3 al 8 de octubre de 2021 es el momento para que los miembros arrojen luz sobre CKI, nuestras iniciativas de servicio y el gran trabajo que estamos haciendo en el campus y en las comunidades. El club puede resaltar el impacto que generamos a través de los tres principios de CKI: servicio, liderazgo y compañerismo. ¡Utilice la Semana CKI para ayudar a su club a ganar publicidad, crear conciencia y reclutar nuevos socios!
La Semana CKI es una oportunidad para que todos los clubes promuevan y celebren CKI y las causas que nos apasionan.</t>
  </si>
  <si>
    <t>GUN-11369</t>
  </si>
  <si>
    <t>GUN-11370</t>
  </si>
  <si>
    <t>GUN-11371</t>
  </si>
  <si>
    <t>Clausura III Semana del Concreto</t>
  </si>
  <si>
    <t>Clausura de la III Semana del Concreto</t>
  </si>
  <si>
    <t>GUN-11372</t>
  </si>
  <si>
    <t xml:space="preserve"> https://uninorte.zoom.us/j/8729670906</t>
  </si>
  <si>
    <t>GUN-11373</t>
  </si>
  <si>
    <t>Bienvenida a MentorADA, Ingeniería Mecánica</t>
  </si>
  <si>
    <t>En la actividad se le dará una introducción al plan de acción diseñado para ingeniería mecánica en el programa de mentorías, en ella se les explicará la temática con la que se capacitó el equipo con bienestar universitarios y se les darán algunos consejos para la carrera.</t>
  </si>
  <si>
    <t>https://uninorte.zoom.us/j/83812377058?pwd=Z01BWDRKaTI2RWFKNk5idmdidFQxUT09</t>
  </si>
  <si>
    <t>GUN-11374</t>
  </si>
  <si>
    <t>Capsula de Gritos</t>
  </si>
  <si>
    <t>Espacio donde los miembros se pueden desahogar y hablar sobre cualquier tema o situación,</t>
  </si>
  <si>
    <t>GUN-11375</t>
  </si>
  <si>
    <t>Jassir Alberto Arias
jjalberto@uninorte.edu.co
317 7483311</t>
  </si>
  <si>
    <t>Debates</t>
  </si>
  <si>
    <t>Por medio de un debate elegido por los asociados del grupo estudiantil, se discute el tema, cada estudiante da tu punto de vista, si está me desacuerdo o de acuerdo.
El objetivo de esta actividad, además de ver los diferentes puntos de vista, es para aprender a argumentar nuestras puntos, desde el respeto de los otras personas.</t>
  </si>
  <si>
    <t>https://uninorte.zoom.us/j/81406669421?pwd=ektjdDcrRk5hc2VXNGxUQWNYajNnUT09</t>
  </si>
  <si>
    <t>Evento Organizado por el sistema de gestión ambiental uninorte</t>
  </si>
  <si>
    <t>GUN-11376</t>
  </si>
  <si>
    <t>FeliTips (Realizado)</t>
  </si>
  <si>
    <t>Se realizaron una serie de post en Facebook (Felifriends), donde se daban tips de productividad, motivación, herramientas útiles.</t>
  </si>
  <si>
    <t>https://www.facebook.com/groups/felifriends/?ref=share</t>
  </si>
  <si>
    <t>GUN-11377</t>
  </si>
  <si>
    <t>MUNDO ENTRE LETRAS</t>
  </si>
  <si>
    <t>Disfruta de esta sesión en la que leeremos y comentaremos el cuento Algo alrededor de tu cuello de Chimamanda Ngozi Adichie, en el marco del mes de la diversidad.</t>
  </si>
  <si>
    <t>https://uninorte.zoom.us/j/82545824527?pwd=U2VreGNLUjNsSTFlVGpheG1BdG4wQT09</t>
  </si>
  <si>
    <t>GUN-11378</t>
  </si>
  <si>
    <t>Cine y Crítica con Juventudes Críticas #2</t>
  </si>
  <si>
    <t>Segundo cineforo de Juventudes Críticas, un espacio que promulga la reflexión en torno a obras cinematográficas. En esta ocasión se proyectará "Shooting Dogs", una película de 2005, dirigida por Michael Caton-Jones y ubicada en el contexto del Genocidio de Ruanda.</t>
  </si>
  <si>
    <t>https://uninorte.zoom.us/j/83897459347</t>
  </si>
  <si>
    <t>GUN-11379</t>
  </si>
  <si>
    <t>Learn for Free Finanzas</t>
  </si>
  <si>
    <t>Actividad extra del departamento de finanzas por medio de la cual se podrán a prueba los conocimientos de finanzas de los pangeos  y se darán tips financieros para aprender a manejar las finanzas de la mejor manera posible.</t>
  </si>
  <si>
    <t>Vía Meet</t>
  </si>
  <si>
    <t>GUN-11380</t>
  </si>
  <si>
    <t xml:space="preserve">Publicar actividad Taller de Accesorios </t>
  </si>
  <si>
    <t>En la pagina de Instagram se hará publicidad sobre el siguiente taller que va a realizar CREATEC.</t>
  </si>
  <si>
    <t>GUN-11381</t>
  </si>
  <si>
    <t>Enviar Link</t>
  </si>
  <si>
    <t>Enviar link para la actividad de Taller de Accesorios a los participantes que se inscribieron</t>
  </si>
  <si>
    <t>https://meet.google.com/jev-qzfr-dan</t>
  </si>
  <si>
    <t>GUN-11382</t>
  </si>
  <si>
    <t>Natalia Doncel Meza ndoncel@gmail.com 3058148156 / Valentina Morelo 	
vmorelo@uninorte.edu.co 300 2756748</t>
  </si>
  <si>
    <t>Se hace una Reunión semanal donde vemos las diferentes actividades que se realizaron para evaluarlas y hacer retroalimentación. Por otro lado, se habla se los siguientes eventos que están en el calendario para poder organizarlo.</t>
  </si>
  <si>
    <t>https://meet.google.com/rot-vxgh-ebk</t>
  </si>
  <si>
    <t>GUN-11383</t>
  </si>
  <si>
    <t>Cristian Andrés Torres Monterrosa</t>
  </si>
  <si>
    <t>Blog de Bienestar</t>
  </si>
  <si>
    <t>Envio de artículo de opinión para su publicación en el blog de Bienestar Universitario</t>
  </si>
  <si>
    <t>GUN-11384</t>
  </si>
  <si>
    <t>Trastornos de ansiedad</t>
  </si>
  <si>
    <t>Publicación informativa en Instagram. Este post describe los distintos tipos de trastornos de ansiedad como lo es la generalizada y cómo se diagnostica con más frecuencia en mujeres. Asimismo,  se habla sobre el trastorno de ansiedad por separación, ansiedad social, de pánico, entre otros y sus efectos en la vida de las mujeres.</t>
  </si>
  <si>
    <t>GUN-11385</t>
  </si>
  <si>
    <t>Raul Samuel Lugo Lozano, rslugo@uninorte.edu.co 3014456690</t>
  </si>
  <si>
    <t>Curso introductorio R Studio</t>
  </si>
  <si>
    <t xml:space="preserve">Se darán las nociones basicas del lenguaje de programacion de R y como este ayuda en los calculos estadisticos. </t>
  </si>
  <si>
    <t>https://uninorte.zoom.us/j/84207747629</t>
  </si>
  <si>
    <t>GUN-11386</t>
  </si>
  <si>
    <t>Vanessa Paola De la Cruz Villalba, vpdelacruz@uninorte.edu.co y 312 6552561</t>
  </si>
  <si>
    <t>Cuidemos al medio ambiente</t>
  </si>
  <si>
    <t>Voluntariado con un colegio del departamento de Córdoba en el cual se trabajo acerca del cuidado del medio ambiente con niños de grado 2do y 3ro</t>
  </si>
  <si>
    <t>https://drive.google.com/open?id=1ypqDFclC05sYTzgvekfGAqKA9x0HfjcZ</t>
  </si>
  <si>
    <t>GUN-11387</t>
  </si>
  <si>
    <t>Vanessa Paola De la Cruz Villalba, vpdelacruz@uninorte.edu.co ,312 6552561</t>
  </si>
  <si>
    <t>Cineforo</t>
  </si>
  <si>
    <t>Reunión semanal en la cual se realizo la vista de una película en pro de destacar los aspectos de liderazgo de nuestros integrantes</t>
  </si>
  <si>
    <t>GUN-11388</t>
  </si>
  <si>
    <t>MecMEMES</t>
  </si>
  <si>
    <t xml:space="preserve">Post en Instagram, con el fin de crear un espacio de humor, publicando memes realizados por varios de nuestros miembros activos. </t>
  </si>
  <si>
    <t>GUN-11389</t>
  </si>
  <si>
    <t>Pop Quiz</t>
  </si>
  <si>
    <t xml:space="preserve">Post en Instagram que tiene como objetivo probar el conocimiento de nuestros seguidores, con distintas preguntas de opción múltiple o preguntas abiertas sobre distintas materias o de cultura general, siempre manteniendo el hashtag #Proveyourknowledge. </t>
  </si>
  <si>
    <t>GUN-11390</t>
  </si>
  <si>
    <t>Office Tips</t>
  </si>
  <si>
    <t>Post en instagram que tiene como objetivo dar tips o atajos para varias herramientas como Power Point, Word o Excel, herramientas que usamos en nuestra vida universitaria. De esta manera, aprender a usar estas herramientas de manera más ágil y fácilmente.</t>
  </si>
  <si>
    <t>GUN-11391</t>
  </si>
  <si>
    <t>¿Sabías Qué?</t>
  </si>
  <si>
    <t>Post en Instagram, con el fin de despertar la curiosidad de nuestros seguidores sobre distintos temas relacionados a la ingeniería.</t>
  </si>
  <si>
    <t>GUN-11392</t>
  </si>
  <si>
    <t>Capital Investor</t>
  </si>
  <si>
    <t>Una charla junto Laura Peñalosa y Aduel Bedoya, donde las personas podrán conocer sobre los mercados financieros y los tipos más usados en el mercado, incluyendo metodologías, teorías y práctica de la mano de estos expertos.</t>
  </si>
  <si>
    <t>Vía zoom</t>
  </si>
  <si>
    <t>GUN-11393</t>
  </si>
  <si>
    <t>Engineering in F1: Innovation, Development and Sustainability</t>
  </si>
  <si>
    <t>Charla/Conversatorio/Panel acerca de una de las industrias más grandes en cuanto a ingeniería, innovación y entretenimiento. Charla acerca de los retos que afrontan los equipos y la industria en general y cómo esta se puede ver beneficiada desde la academia.</t>
  </si>
  <si>
    <t>https://drive.google.com/open?id=10UHA_XCAm3pFf6PVkboi1bW-Si4HrBWF</t>
  </si>
  <si>
    <t>https://forms.gle/2negrqnMyr9absZr7</t>
  </si>
  <si>
    <t>GUN-11394</t>
  </si>
  <si>
    <t>María José Barrios Baza, mjbaza@uninorte.edu.co, (605) 3053638352</t>
  </si>
  <si>
    <t>Asamblea 3</t>
  </si>
  <si>
    <t>Información sobre proyectos nuevos en los que trabajará el grupo.</t>
  </si>
  <si>
    <t>https://uninorte.zoom.us/j/89569145566?pwd=cXp6UFJ2d0JEMVgzY2F1dk1jQWFxUT09</t>
  </si>
  <si>
    <t>GUN-11395</t>
  </si>
  <si>
    <t>Xenia Arellano, xarellano@uninorte.edu.co, 305 4706367</t>
  </si>
  <si>
    <t>Entradas FemiBlogs</t>
  </si>
  <si>
    <t>Publicación en Instagram sobre los nuevos artículos del Blog de FeminUN: El día de hoy FemiBlogs les trae un double trouble con dos nuevas entradas en nuestro blog escrita por nuestrxs talentosxs escritorxs.</t>
  </si>
  <si>
    <t>GUN-11396</t>
  </si>
  <si>
    <t>Día mundial de la Salud Mental</t>
  </si>
  <si>
    <t>Publicación tipo carrusel en Instagram con motivo de exponer el por qué este día se celebra el día mundial de la salud mental, en qué consiste, además de exponer ideas a modo de resumen del panel realizado por medio de YouTube el día 08 de octubre en donde se hablo sobre las secuelas del covid-19 en la Salud Mental.</t>
  </si>
  <si>
    <t>GUN-11397</t>
  </si>
  <si>
    <t>Día de la diversidad étnica y cultural</t>
  </si>
  <si>
    <t>Publicación en Instagram a modo de carrusel en donde se expondrá el porqué se celebra el día de la raza, además se tocará el tema de la discriminación y se expondrán algunas etnias pertenecientes a nuestro país.</t>
  </si>
  <si>
    <t>GUN-11398</t>
  </si>
  <si>
    <t>https://drive.google.com/open?id=1V1DbGQY5uwOee9eKilNuhjAYgiC9ChO-</t>
  </si>
  <si>
    <t>GUN-11399</t>
  </si>
  <si>
    <t xml:space="preserve">Reunión de grupo </t>
  </si>
  <si>
    <t>Reunión con los miembros del grupo en la que se decidirán los temas restantes para las charlas internas.</t>
  </si>
  <si>
    <t xml:space="preserve"> https://meet.google.com/ath-ttcf-gno</t>
  </si>
  <si>
    <t>GUN-11400</t>
  </si>
  <si>
    <t>Alberto Mario Solis Martes, amsolis@uuninorte.edu.co, 3008685801</t>
  </si>
  <si>
    <t>Debate: Tabúes que incluyen a los animales</t>
  </si>
  <si>
    <t xml:space="preserve">En este espacio se busca que los miembros del grupo debatan sobre el tema planteado. en esta oportunidad el tema serán los tabúes por lo que se mencionaran algunos de los mas conocidos y se dará la oportunidad de escuchar las opiniones que se tienen al respecto. </t>
  </si>
  <si>
    <t>https://uninorte.zoom.us/j/85614214282?pwd=L05heXZENnI4c2IxdVNwK2oyWURWdz09</t>
  </si>
  <si>
    <t>GUN-11401</t>
  </si>
  <si>
    <t>Estereotipos de belleza en mujeres y niñas afro</t>
  </si>
  <si>
    <t>Publicación en Instagram. En esta ocasión, FeminUN cuenta acerca de los estereotipos de belleza en cuanto a las mujeres y niñas afro y cómo esto contribuye a su discriminación</t>
  </si>
  <si>
    <t>GUN-11402</t>
  </si>
  <si>
    <t>Comprendiendo el flujo del universo</t>
  </si>
  <si>
    <t>Un conversatorio en el cual por medio de una ponencia se buscará exponer los puntos principales de una de las obras fundamentales de la filosofía oriental, el Tao Te Ching de Lao Tse.</t>
  </si>
  <si>
    <t>https://uninorte.zoom.us/j/87484820488</t>
  </si>
  <si>
    <t>GUN-11403</t>
  </si>
  <si>
    <t>Mujeres en zonas rurales</t>
  </si>
  <si>
    <t xml:space="preserve">Campaña en Instagram con el objetivo de sensibilizar acerca de la situación de las mujeres rurales mediante análisis interseccionales en distintos post y actividades en historias. Incluye posts en el feed de Instagram como dinámicas en las historias. </t>
  </si>
  <si>
    <t>GUN-11404</t>
  </si>
  <si>
    <t>Un conversatorio que por medio de una ponencia se buscará exponer los puntos principales de una de las obras fundamentales de la filosofía oriental, el Tao Te Ching de Lao Tse.</t>
  </si>
  <si>
    <t>GUN-11405</t>
  </si>
  <si>
    <t>Visita industrial virtual procaps</t>
  </si>
  <si>
    <t>Se realizará un recorrido virtual por la empresa procaps con cupos limitados de 30 asistentes con inscripción previa para el evento</t>
  </si>
  <si>
    <t>https://teams.microsoft.com/_#/pre-join-calling/19:meeting_MDQwNjZkNTAtMmM1NC00ZjdkLThiYzYtZGUwM2M2OWVkMDIw@thread.v2</t>
  </si>
  <si>
    <t>GUN-11406</t>
  </si>
  <si>
    <t>Reconocimientos del mes de septiembre</t>
  </si>
  <si>
    <t xml:space="preserve">Se envían a los grupos de los departamentos, los miembros destacados durante el mes en cuestión. En el grupo de felivoluntarios se envía el departamento y director del mes. Esto en base al sistema de reconocimientos manejado. </t>
  </si>
  <si>
    <t>GUN-11407</t>
  </si>
  <si>
    <t>Foro de Ética en la Ingeniería Civil</t>
  </si>
  <si>
    <t>Evento en el cual se resaltará la importancia de actuar éticamente en el desempeño de las lobares que involucran la ingeniería civil</t>
  </si>
  <si>
    <t>https://uninorte.zoom.us/j/87863678583?pwd=MTFXai9BdGJsMUFFbE92QUFjUnN0dz09</t>
  </si>
  <si>
    <t>GUN-11408</t>
  </si>
  <si>
    <t>¡Peligro! cambio climatico.</t>
  </si>
  <si>
    <t>Espacio en que dará a conocer todos los cambios que han tenido que atravesar las especies como consecuencia del cambio climático. También habrá un espacio de preguntas en las que participaran lxs miembros del grupo.</t>
  </si>
  <si>
    <t>https://drive.google.com/open?id=10KuLBR0-94cBxHAqPwJyDIcwb1LKfg9j</t>
  </si>
  <si>
    <t>https://uninorte.zoom.us/j/85056406965?pwd=MytXTWFWd2h2bWFrUWM1R2U5TzI0dz09</t>
  </si>
  <si>
    <t>GUN-11409</t>
  </si>
  <si>
    <t>Post ganadores concurso Solidworks</t>
  </si>
  <si>
    <t xml:space="preserve">Publicar los diseños de los ganadores del concurso de Solidworks, Mechanical Device for Recycling , para las categoria grupal e individual. </t>
  </si>
  <si>
    <t>GUN-11410</t>
  </si>
  <si>
    <t>Video: ¿Es posible conseguir combustible de Marte?, ingenieros analizan las posibilidades.</t>
  </si>
  <si>
    <t>Publicación de video en Youtube, relacionado a energias en Marte.</t>
  </si>
  <si>
    <t>https://www.youtube.com/channel/UCc1LRz956ycFXYJ0JGkUzkw</t>
  </si>
  <si>
    <t>GUN-11411</t>
  </si>
  <si>
    <t>Jose Alejandro Bedoya Villegas, bedoyaaj@uninorte.edu.co</t>
  </si>
  <si>
    <t>Reunión semanal para discutir temas de la división con los miembros.</t>
  </si>
  <si>
    <t>GUN-11412</t>
  </si>
  <si>
    <t>Reunión de instructores capacitaciones de Solid</t>
  </si>
  <si>
    <t>Reunión con algunos instructores de las capacitaciones de solidworks que se realizarán este semestre, para definir horarios y explicar detalladamente la logística del evento</t>
  </si>
  <si>
    <t>meet.google.com/idx-csua-kdd</t>
  </si>
  <si>
    <t>GUN-11413</t>
  </si>
  <si>
    <t>Reunión división de Staff</t>
  </si>
  <si>
    <t>Reunión para discutir la organización de las capacitaciones de Solidworks</t>
  </si>
  <si>
    <t>https://uninorte.zoom.us/meeting/register/tZMkcOigqj4pGd0vST28VqnrXKaleBI9b0_S</t>
  </si>
  <si>
    <t>GUN-11414</t>
  </si>
  <si>
    <t>Jesús Romero Aguilera, djaguilera@uninorte.edu.co,  3104846104</t>
  </si>
  <si>
    <t>Introducción a los drones</t>
  </si>
  <si>
    <t xml:space="preserve">Conferencia acerca de estructura y fundamentos básicos de los drones, funcionamiento y sus utilidades en diferentes áreas de la ingeniería. </t>
  </si>
  <si>
    <t>https://drive.google.com/open?id=1jr3jESy8vAmq8qpoqiHhSaApQ1lBZWm6</t>
  </si>
  <si>
    <t>https://uninorte.zoom.us/meeting/register/tZYvcOCtrz4pEt391aPmOwtd7xEvgHUeo3FX</t>
  </si>
  <si>
    <t>GUN-11415</t>
  </si>
  <si>
    <t>Najwa Mounir Muhieddine Calderon, nmuhieddine@uninorte.edu.co, 3014403234</t>
  </si>
  <si>
    <t>Día Internacional de las Mujeres Rurales</t>
  </si>
  <si>
    <t>En FeminUN conmemoramos el Día Internacional de las Mujeres Rurales establecido por la ONU y por ello informamos acerca de la temática de este año que es sobre el papel esencial de la mujer rural en los sistemas alimentarios.</t>
  </si>
  <si>
    <t>GUN-11416</t>
  </si>
  <si>
    <t>Xenia Paola Arellano Tamayo, xarellano@uninorte.edu.co, 3054706367</t>
  </si>
  <si>
    <t>La hipersexualización de la mujer en los uniformes escolares y la publicidad</t>
  </si>
  <si>
    <t>Publicación en Instagram de promoción de los nuevos textos publicados en el blog de FeminUN. En esta ocasión el texto es sobre la hipersexualización de la mujer en los uniformes escolares y la publicidad.</t>
  </si>
  <si>
    <t>GUN-11417</t>
  </si>
  <si>
    <t>Acceso a la educación en zonas rurales</t>
  </si>
  <si>
    <t>A la par de la conmemoración del Día Internacional de las Mujeres Rurales, FeminUN informa acerca de un tema fundamental: el acceso de las mujeres rurales a la educación, resaltando la brecha de género y distintas intersecciones que representan obstáculos al acceso a la educación. Además, se habla acerca del caso colombiano y lo que se podría hacer para mejorar esta situación</t>
  </si>
  <si>
    <t>GUN-11418</t>
  </si>
  <si>
    <t xml:space="preserve">Se continuará con nuestro proyecto de cartillas para los niños de la Cangrejera </t>
  </si>
  <si>
    <t>GUN-11419</t>
  </si>
  <si>
    <t>Panel de Emprendedores: Rising Stars</t>
  </si>
  <si>
    <t>Es un evento que tiene como objetivo compartir experiencias, anécdotas y tips por parte de exitosos emprendedores colombianos. Tres speakers invitados tendrán un tiempo determinado para hablar sobre los retos de emprender con su negocio y básicamente la historia del mismo, será un evento para conocer un poco más sobre su emprendimiento y todos los retos que conlleva emprender en Colombia.</t>
  </si>
  <si>
    <t>Vía Zoom</t>
  </si>
  <si>
    <t>no</t>
  </si>
  <si>
    <t>GUN-11420</t>
  </si>
  <si>
    <t>CINEMA W-STEM 2021-30</t>
  </si>
  <si>
    <t>Anímate a participar de esta tercera versión del Cineforo W-STEM donde tendremos un viaje por fuera del planeta con Interstellar.</t>
  </si>
  <si>
    <t>https://uninorte.zoom.us/meeting/register/tZwofuqtpzIvGt0Onun4NKzyF6BtknVFsZl1</t>
  </si>
  <si>
    <t>GUN-11421</t>
  </si>
  <si>
    <t>FEMINWEEN</t>
  </si>
  <si>
    <t>Campaña de Halloween con temáticas feministas en publicaciones e historias de instagram.</t>
  </si>
  <si>
    <t>https://www.instagram.com/feminun/?hl=en</t>
  </si>
  <si>
    <t>GUN-11422</t>
  </si>
  <si>
    <t>nmuhieddine@uninorte.edu.co</t>
  </si>
  <si>
    <t>Día de la lucha contra el cancera de mama</t>
  </si>
  <si>
    <t>En este post informativo se habla acerca del surgimiento del Día de la lucha contra el cáncer de mama junto con información mundial y nacional acerca del mismo. Además, se establecen algunos factores de riesgo, síntomas y cómo realizar el autoexamen.</t>
  </si>
  <si>
    <t>GUN-11423</t>
  </si>
  <si>
    <t>Día de la lucha contra el cáncer de mama</t>
  </si>
  <si>
    <t>En este post se informa acerca del surgimiento del Día de lucha contra el cáncer de mama y ofrece algunos datos mundiales y nacionales al respecto. Además, se habla acerca de los factores de riesgo, los síntomas y sobre como realizar el autoexamen.</t>
  </si>
  <si>
    <t>GUN-11424</t>
  </si>
  <si>
    <t>Ética en la Ingeniería Civil</t>
  </si>
  <si>
    <t>Evento en formato de conversatorio que busca resaltar la importancia de actuar de forma ética para tomar decisiones racionales en el ejercicio profesional de los ingenieros civiles</t>
  </si>
  <si>
    <t>GUN-11425</t>
  </si>
  <si>
    <t>Workshop Maccaferri</t>
  </si>
  <si>
    <t>Webinar que tratará sobre las soluciones que se usan para mitigar el riesgo de las infraestructuras ante movimientos de masa, de la mano de expertos del sector.</t>
  </si>
  <si>
    <t>https://docs.google.com/forms/d/e/1FAIpQLSdxOOO3hT5SuxxSei8VQQJQooH_tm5UjlLaKYl2vXZBqXjwCA/viewform</t>
  </si>
  <si>
    <t>GUN-11426</t>
  </si>
  <si>
    <t>Felihistorias de Terror</t>
  </si>
  <si>
    <t xml:space="preserve">Del 27 al 31 de Octubre se estarán subiendo relatos de terror hechos por los miembros del grupo de Blog y página web </t>
  </si>
  <si>
    <t>GUN-11427</t>
  </si>
  <si>
    <t>Post campaña</t>
  </si>
  <si>
    <t xml:space="preserve">Campaña informativos en los que se busca darle continuación al a la primera parte de la campaña con temática de salud sexual. En este post se hablará sobre otras mentiras sobre el porno y donde encontrar información verídica. </t>
  </si>
  <si>
    <t>GUN-11428</t>
  </si>
  <si>
    <t>En este post se hablará sobre las aplicaciones cuyo fin es conocer personas nuevas.</t>
  </si>
  <si>
    <t>GUN-11429</t>
  </si>
  <si>
    <t>Post en el que se va a hablar sobre algunos de los diferentes red flags que tienen las personas.</t>
  </si>
  <si>
    <t>GUN-11430</t>
  </si>
  <si>
    <t>Post camoaña</t>
  </si>
  <si>
    <t xml:space="preserve">En este post se va a hablar sobre las relaciones de poder por las que atraviesan algunas personas. </t>
  </si>
  <si>
    <t>GUN-11431</t>
  </si>
  <si>
    <t>Estigmas en Salud mental</t>
  </si>
  <si>
    <t>Podcast sobre algunos estigmas sobre la salud mental, abarcando una investigación realizada por la Psicóloga Ana Chamorro.</t>
  </si>
  <si>
    <t>https://drive.google.com/open?id=1xXZkt3p05-njqAq1KswK1cTDAYcgZazk</t>
  </si>
  <si>
    <t>GUN-11432</t>
  </si>
  <si>
    <t>Najwa Mounir Muhieddine Calderón, nmuhieddine@uninorte.edu.co, 3014403234</t>
  </si>
  <si>
    <t>Cambio Climático: Greta Thunberg</t>
  </si>
  <si>
    <t>En el presente post se aborda el tema del cambio climático resaltando una de las activistas más icónicas en estos momentos, Greta Thunberg, con su agenda climática fundamentada en la equidad de género.</t>
  </si>
  <si>
    <t>GUN-11433</t>
  </si>
  <si>
    <t>Jornada de Captura</t>
  </si>
  <si>
    <t xml:space="preserve">Se capturaron a los gatos del campus que participaron en la jornada de salud para realizarles procedimientos médicos. </t>
  </si>
  <si>
    <t>GUN-11434</t>
  </si>
  <si>
    <t>Jornada de salud</t>
  </si>
  <si>
    <t>Se realizaron principalmente esterilizaciones a los gatos capturados en la jornada de captura y también se actualizaron tests, vacunas y desparacitaciones a aquellos gatos que también se capturaron y ya estén esterilizados, también se les hizo una revisión a todos.</t>
  </si>
  <si>
    <t>GUN-11435</t>
  </si>
  <si>
    <t>Reunión e integración del dpto de Salud</t>
  </si>
  <si>
    <t>Se realizó una pequeña reunión donde se explicaron las actividades próximas del mes y luego hubo una integración para conocernos más y pasar un buen rato.</t>
  </si>
  <si>
    <t>https://meet.google.com/gjq-fxjk-hom</t>
  </si>
  <si>
    <t>GUN-11436</t>
  </si>
  <si>
    <t>Jornada de limpieza e inventario</t>
  </si>
  <si>
    <t>Se realizará una limpieza e inventario de los implementos utilizados en el dpto.</t>
  </si>
  <si>
    <t>n/A</t>
  </si>
  <si>
    <t>GUN-11437</t>
  </si>
  <si>
    <t>Jornada de reconocimiento y chequeo</t>
  </si>
  <si>
    <t>Se hará un recorrido por las colonias del campus y se estarán revisando detalladamente a todos los que sea posible para poder identificar y prevenir enfermedades y emergencias.</t>
  </si>
  <si>
    <t>GUN-11438</t>
  </si>
  <si>
    <t>Video: Australia presenta un mercado integrado de energía oceánica</t>
  </si>
  <si>
    <t>"Publicación del video en el canal de Youtube, titulado: Australia presenta un mercado integrado de energía oceánica
"</t>
  </si>
  <si>
    <t>GUN-11439</t>
  </si>
  <si>
    <t>Acompaña a tu Directora Creativa</t>
  </si>
  <si>
    <t xml:space="preserve">Los miembros que quieran hacer parte de la dinámica podrán vivir la experiencia de acompañar a la directora creativa por una semana en sus tareas </t>
  </si>
  <si>
    <t>GUN-11440</t>
  </si>
  <si>
    <t>Feral Giveaway</t>
  </si>
  <si>
    <t>Con el apoyo de diferentes marcas y emprendimientos se realizó un giveaway para todos los seguidores y asistentes al feral cat festival.</t>
  </si>
  <si>
    <t>GUN-11441</t>
  </si>
  <si>
    <t>Andres Romero Torres	aromerof@uninorte.edu.co	3004476066</t>
  </si>
  <si>
    <t>Sexto debate - Innovación</t>
  </si>
  <si>
    <t>GUN-11442</t>
  </si>
  <si>
    <t>Politólogas en la Academia Colombiana</t>
  </si>
  <si>
    <t xml:space="preserve">Conferencia realizada por la Universidad del Norte en el marco de los 20 años , con la participación del Dpto. de Ciencias Políticas y RRII y FeminUN. El evento contará con la participación de dos conferencistas de la Universidad ICESI, quienes han hecho una investigación sobre la presencia y actividad intelectual de las politólogas en la academia colombiana. </t>
  </si>
  <si>
    <t>https://drive.google.com/open?id=1WT-BQWt73Rzvn-SXoDxlGTdZu6afVrQc</t>
  </si>
  <si>
    <t>https://uninorte.zoom.us/j/84909245007?pwd=VGpFMnUwYnVTaURkSWRHUHdZVnd1QT09</t>
  </si>
  <si>
    <t>GUN-11443</t>
  </si>
  <si>
    <t xml:space="preserve">Entrega de regalos por amor y amistad. </t>
  </si>
  <si>
    <t>GUN-11444</t>
  </si>
  <si>
    <t>Halloween: respuesta cerebral al terror.</t>
  </si>
  <si>
    <t>Cine foro en relación a la celebración del día de Halloween en donde se presentarán dos episodios de la serie Love, death and robots, y se dará explicación sobre la conducta, reacción y respuesta cerebral ante el terror.</t>
  </si>
  <si>
    <t>https://drive.google.com/open?id=1I_jL332KsVVMwsSzKtXg5PG6SdrphRRU</t>
  </si>
  <si>
    <t>https://uninorte.zoom.us/j/83981536836</t>
  </si>
  <si>
    <t>GUN-11445</t>
  </si>
  <si>
    <t>Proyecto: Gasificación de aceite de pirólisis</t>
  </si>
  <si>
    <t>"Publicación de proyecto de investigación, titulada: Gasificación de aceite de pirólisis, la cual se subiera en: Página web, canal de YouTube y Blog, dependiendo del tipo de material que se suministre.
"</t>
  </si>
  <si>
    <t>GUN-11446</t>
  </si>
  <si>
    <t>GUN-11447</t>
  </si>
  <si>
    <t>Raul Samuel Luego Lozano, rslugo@uninorte.edu.co 3012263801</t>
  </si>
  <si>
    <t>Integraton Uninorte</t>
  </si>
  <si>
    <t xml:space="preserve">Se llevará a cabo una competencia de integrales </t>
  </si>
  <si>
    <t>GUN-11448</t>
  </si>
  <si>
    <t xml:space="preserve">3 péliculas sobre ingeniería que deberias ver </t>
  </si>
  <si>
    <t>Tik tok que recomienda 3 peliculas sobre ingenieria mecanica: Figuras ocultas, El Aviador y Iron Man</t>
  </si>
  <si>
    <t>https://vm.tiktok.com/ZM8mdLhFf/</t>
  </si>
  <si>
    <t>GUN-11449</t>
  </si>
  <si>
    <t>Video sobre Resistencia de materiales</t>
  </si>
  <si>
    <t>Publicación de video con temática de Resistencia de materiales</t>
  </si>
  <si>
    <t>GUN-11450</t>
  </si>
  <si>
    <t xml:space="preserve">Charla sobre sistemas financieros </t>
  </si>
  <si>
    <t>Charla sobre sistemas financieros a cargo de Carlos Asmus, asistente del punto de la bolsa de Colombia</t>
  </si>
  <si>
    <t>https://drive.google.com/open?id=1W7M_6EJotPpaXBKLU20w11-dUaH-IBN7</t>
  </si>
  <si>
    <t>GUN-11451</t>
  </si>
  <si>
    <t>Publicación TikTok</t>
  </si>
  <si>
    <t>En una colaboración con el grupo estudiantil CERI se subió un TikTok acerca de los red flags feministas.</t>
  </si>
  <si>
    <t>https://www.tiktok.com/@.feminun?_d=secCgwIARCbDRjEFSACKAESPgo875eWQEjq%2BHF3OjF3HeWrpCW1haSCWTbE%2ByFnXgYHiJRjcqEk6FgUw2Nfptv3HuXV2ZY%2FK7DuJGn82MaKGgA%3D&amp;language=es&amp;preview_pb=0&amp;sec_user_id=MS4wLjABAAAAAr2GgbbMImoMDNZixxxLWhLqZ7-FCOeuVIoLf3YBW4JFmbouo_bNFefh8MprOSZS&amp;share_app_id=1233&amp;share_item_id=7022311510064024838&amp;share_link_id=ca10581b-c3c1-4f0a-98b1-2901f6a09452&amp;source=h5_m&amp;timestamp=1635009313&amp;u_code=dea5m76iel3l88&amp;user_id=6869052874082649090&amp;utm_campaign=client_share&amp;utm_medium=android&amp;utm_source=copy&amp;_r=1</t>
  </si>
  <si>
    <t>GUN-11452</t>
  </si>
  <si>
    <t xml:space="preserve"> All Hallow's Gala</t>
  </si>
  <si>
    <t>Con el objetivo de crear un espacio de integración entre lxs miembrxs de Uninorte Diverso mediante actividades lúdicas que impulsan el trabajo en equipo y finalmente un concurso de disfraces dado a la festividad próxima.</t>
  </si>
  <si>
    <t>https://uninorte.zoom.us/j/85301516446?pwd=ZHRxWGs5TmVPZHJVV3pQTlV1SVpPdz09</t>
  </si>
  <si>
    <t>GUN-11453</t>
  </si>
  <si>
    <t xml:space="preserve">Taller de Robot Sumo </t>
  </si>
  <si>
    <t>Desde la rama RAS IEEE te extendemos esta invitación a la primera práctica. Este esta, aprenderás a programar tu primer robot sumo. Se realizará el día viernes 17 de septiembre de 3:30 pm a 5:30 pm en el laboratorio de sistemas digitales 1L6-31 (Bloque L, piso 3). Entre los requisitos para asistir a la reunión está realizar la encuesta, y si quieres mejorar la experiencia trae un Arduino, un puente h, un módulo hc-06 y cable UTP. No se requiere conocimientos previos de programación para poder hacer tu primer robot, así que ¡Anímate a asistir!
https://docs.google.com/forms/d/1uNpxlMcv0eUqoEIBVfM2jweVwJOanNEjcTUOyjbGbgM/edit</t>
  </si>
  <si>
    <t>https://docs.google.com/forms/d/1uNpxlMcv0eUqoEIBVfM2jweVwJOanNEjcTUOyjbGbgM/edit</t>
  </si>
  <si>
    <t>GUN-11454</t>
  </si>
  <si>
    <t>Nano concurso de Video 2021</t>
  </si>
  <si>
    <t>¡Anímate y participa!
Aquí te presentamos el listado de guías Trynano &amp; Tryengineering con las que puedes participar en el Nanoconcurso de video 2021. 
Fecha límite de recepción de videos: 11 de Octubre. 
📌 Guias TryNano: https://trynano.org/education-resources/nanotechnology-lesson-plans/
📌 Bases de Concurso:  https://bit.ly/3ANuPyf
🔗 Formulario de inscripción: https://forms.gle/Cd3x5j9Hh5L7dd498</t>
  </si>
  <si>
    <t>https://forms.gle/Cd3x5j9Hh5L7dd498</t>
  </si>
  <si>
    <t>GUN-11455</t>
  </si>
  <si>
    <t>Ser emprendedor, un reto que sí cale la pena</t>
  </si>
  <si>
    <t>En esta oportunidad en el marco de la semana Conoce tu carrera👷‍♂️⚡ , tendremos una charla virtual a través de la plataforma de Zoom con nuestro egresado Jorge Sierra Almanza , destacado como emprendedor líder en la operación y administración de mercado eléctrico en América Latina🏭🌎. 
🗓️Fecha: el día miércoles 29 de septiembre a las 3:00 pm
🔗Enlace: https://uninorte.zoom.us/meeting/register/tZwodeChrjgvHtZlBYsoqf61cHPIC_qPXdzf</t>
  </si>
  <si>
    <t>https://uninorte.zoom.us/meeting/register/tZwodeChrjgvHtZlBYsoqf61cHPIC_qPXdzf</t>
  </si>
  <si>
    <t>GUN-11456</t>
  </si>
  <si>
    <t>SORTEDO DE ROBOT ESPACIAL SOLAR</t>
  </si>
  <si>
    <t>¡Ganate un espectacular ROBOT ESPACIAL SOLAR!🤖🤖🤖
Cruzando el Atlántico, directamente desde las costas europeas, los chic@s de CAS hemos traído un increíble green life robot espacial solar; cuenta con un kit completo para montarlo tu mismo y funcionamiento por alimentación con energía solar o con conexión directa al generador. 🤪🤪🤪
Este espectacular premio puede ser tuyo por una pequeña colaboración de $2000 pesos.
¡No lo pienses más, anímate a participar y espera este 5 de Octubre nuestro en vivo por @cassuninorte anunciando al feliz ganador!</t>
  </si>
  <si>
    <t>https://www.instagram.com/cassuninorte/live/</t>
  </si>
  <si>
    <t>GUN-11457</t>
  </si>
  <si>
    <t>Encaminemos nuestro futuro</t>
  </si>
  <si>
    <t>✨Charlemos con la MS. Andrea Fontalvo✨
Desde EMBS queríamos extenderle la invitación a todos donde Andrea nos estará contando como "una estudiante normal" termina estudiando y trabajando en España. Ella está emocionada por poder contarle de su trabajo y experiencia a demás chicos interesados por su futuro... Los esperamos!!
Link de zoom: https://uninorte.zoom.us/j/5073504232</t>
  </si>
  <si>
    <t xml:space="preserve"> https://uninorte.zoom.us/j/5073504232</t>
  </si>
  <si>
    <t>GUN-11458</t>
  </si>
  <si>
    <t>Espintrónica: la ingeniería del espin</t>
  </si>
  <si>
    <t>Gracias al descubrimiento de un material con propiedades insospechadas, el físico y profesor de la U. del Norte Rafael González junto a un grupo de la U. de Mainz, Alemania, creen estar en el camino correcto para solucionar una parte de los problemas de miniaturización, capacidad de cálculo y consumo de energía que hoy acosan a la industria electrónica.
Te invitamos a conocer más acerca de este descubrimiento por parte de nuestro profesor Rafael González el cuál nos podrá explicar más a fondo todas las implicaciones y posibles desarrollos que nos espera con su descubrimiento</t>
  </si>
  <si>
    <t>https://uninorte.zoom.us/j/83679020341?pwd=Q2UrcjdjR1VlYmcrWmNHZEVKNytjUT09</t>
  </si>
  <si>
    <t>GUN-11459</t>
  </si>
  <si>
    <t>Oportunidades y desafíos de la industria 4.0</t>
  </si>
  <si>
    <t xml:space="preserve">Te invitamos a la charla presencial  Oportunidades y desafíos de la industria 4.0,  el día 22 de Octubre  a las 2:00pm en el salón magistral 11G2, pueden llenar la siguiente encuesta. Son cupos limitados 🤩         
  https://forms.gle/QZNaHv4fM9V7L19Z7               </t>
  </si>
  <si>
    <t xml:space="preserve">  https://forms.gle/QZNaHv4fM9V7L19Z7</t>
  </si>
  <si>
    <t>GUN-11460</t>
  </si>
  <si>
    <t>grupoestsigun@uninorte.edu.co</t>
  </si>
  <si>
    <t>SIG-UN</t>
  </si>
  <si>
    <t>Sofía Carolina Granados Mendoza, scgranados@uninorte.edu.co, 3152651632</t>
  </si>
  <si>
    <t>Taller de suturas</t>
  </si>
  <si>
    <t>Se realizará un taller de suturas en el hospital universidad del norte</t>
  </si>
  <si>
    <t>GUN-11461</t>
  </si>
  <si>
    <t>Sofia Carolina Granados Mendoza, scgranados@uninorte.edu.co, 3152651632</t>
  </si>
  <si>
    <t>Primera charla académica</t>
  </si>
  <si>
    <t>Primera charla académica con los miembros del grupo, sobre anatomía de cabeza y cuello</t>
  </si>
  <si>
    <t>https://uninorte.zoom.us/j/88139257105?pwd=czhybnAzSzZ6UHRMcnZRL1ZmK0VSQT09</t>
  </si>
  <si>
    <t>GUN-11462</t>
  </si>
  <si>
    <t>Publicación: ¿Quiénes somos?</t>
  </si>
  <si>
    <t>Se realiza un publicación mostrando la misión y visión del grupo</t>
  </si>
  <si>
    <t>https://www.instagram.com/p/CSFnMojrU-2/?utm_medium=copy_link</t>
  </si>
  <si>
    <t>GUN-11463</t>
  </si>
  <si>
    <t>Publicación: Tipos de miembros</t>
  </si>
  <si>
    <t>Publicación en la que mostramos los diferentes tipos de miembros del grupo y sus funciones</t>
  </si>
  <si>
    <t>https://www.instagram.com/p/CSFnt42LDpD/?utm_medium=copy_link</t>
  </si>
  <si>
    <t>GUN-11464</t>
  </si>
  <si>
    <t>Publicación: Ejes</t>
  </si>
  <si>
    <t xml:space="preserve">Publicación en la que mostramos los diferentes ejes del grupo y las funciones de cada uno </t>
  </si>
  <si>
    <t>https://www.instagram.com/p/CTiO9oUra6U/?utm_medium=copy_link</t>
  </si>
  <si>
    <t>GUN-11465</t>
  </si>
  <si>
    <t>Publicación: Eje investigativo</t>
  </si>
  <si>
    <t>Publicación en la cual se muestran las funciones del eje investigativo</t>
  </si>
  <si>
    <t>https://www.instagram.com/p/CTk9Xxerdvx/?utm_medium=copy_link</t>
  </si>
  <si>
    <t>GUN-11466</t>
  </si>
  <si>
    <t>Publicación: eje de divulgación</t>
  </si>
  <si>
    <t>Publicación en la cual se muestran las funciones del eje de divulgación</t>
  </si>
  <si>
    <t>https://www.instagram.com/p/CTns7nbLe3e/?utm_medium=copy_link</t>
  </si>
  <si>
    <t>GUN-11467</t>
  </si>
  <si>
    <t>Publicación: Mesa directiva</t>
  </si>
  <si>
    <t xml:space="preserve">Publicación sobre los miembros que conforman la mesa directiva </t>
  </si>
  <si>
    <t>https://www.instagram.com/p/CTryVJoL2MU/?utm_medium=copy_link</t>
  </si>
  <si>
    <t>GUN-11468</t>
  </si>
  <si>
    <t>Publicación: Charla anatomía cabeza y cuello</t>
  </si>
  <si>
    <t>Publicación sobre la charla académica "Anatomía de Cabeza y cuello", con la fecha, hora y expositores</t>
  </si>
  <si>
    <t>https://www.instagram.com/p/CU-uQlKrAvU/?utm_medium=copy_link</t>
  </si>
  <si>
    <t>GUN-11469</t>
  </si>
  <si>
    <t>Publicación: Aval por el American College of Surgeons</t>
  </si>
  <si>
    <t xml:space="preserve">Publicación en la cual mostramos el aval recibido por el American College of Surgeons para pertenecer a su directorio de grupos de interés de cirugía </t>
  </si>
  <si>
    <t>https://www.instagram.com/p/CVTQrt7rjhF/?utm_medium=copy_link</t>
  </si>
  <si>
    <t>GUN-11470</t>
  </si>
  <si>
    <t>Publicación: Evento taller de suturas</t>
  </si>
  <si>
    <t>Publicación en la que abrimos las inscripciones para el taller de suturas que se realizará el jueves 28 de Octubre</t>
  </si>
  <si>
    <t>https://www.instagram.com/p/CVTUjE1rfSM/?utm_medium=copy_link</t>
  </si>
  <si>
    <t>GUN-11471</t>
  </si>
  <si>
    <t>Ruth Fointalvo; rmfontalvo@uninorte.edu.co; 3043870920</t>
  </si>
  <si>
    <t>Ola de violencia en Barranquilla: crisis de seguridad y bandas dellincuenciales</t>
  </si>
  <si>
    <t xml:space="preserve">Conversatorio situado en el marco de la coyuntura actual de violencia y criminalidad en Barranquilla y su área metropolitana con el objetivo de generar un espacio de pensamiento crítico y reflexión desde la academia acerca de la seguridad ciudadana en la capital del Atlántico y municipios aledaños. 
</t>
  </si>
  <si>
    <t>https://drive.google.com/open?id=1NXBLFE44ksbTRQuZ18lEEH_hAtEUiekC</t>
  </si>
  <si>
    <t>https://uninorte.zoom.us/j/85852274137?pwd=ajFUU3FWcmprenYwOWZuOFpIak5qQT09</t>
  </si>
  <si>
    <t>GUN-11472</t>
  </si>
  <si>
    <t>Investigación: Hablemos de lo desconocido</t>
  </si>
  <si>
    <t>Evento que busca inspirar a los estudiantes a participar en los grupos de investigación.</t>
  </si>
  <si>
    <t>https://uninorte.zoom.us/j/89744822440?pwd=Qi9JeHhTeGhxVUh0Mm9ST2VUQndNZz09</t>
  </si>
  <si>
    <t>GUN-11473</t>
  </si>
  <si>
    <t>Evento para promover la participación de los estudiantes en los grupos de investigación.</t>
  </si>
  <si>
    <t>GUN-11474</t>
  </si>
  <si>
    <t>Capacitación en Liderazgo Emocional</t>
  </si>
  <si>
    <t>Capacitación en Liderazgo Emocional a cargo de los estudiantes de pregrado Angie Urango y Milton Massiris</t>
  </si>
  <si>
    <t>https://uninorte.zoom.us/j/83124299154?pwd=U1JKc1ZLdm10ME40QUhlL0wxSS9uZz09</t>
  </si>
  <si>
    <t>GUN-11475</t>
  </si>
  <si>
    <t>Cinema W-STEM Interstellar - Sesión 2</t>
  </si>
  <si>
    <t>En la segunda sesión se dará el espacio para que todos los asistentes comentemos sobre la película y aspectos importantes que llevaron a las protagonistas a prosperar como astronautas y científicas y a culminar exitosamente la misión.</t>
  </si>
  <si>
    <t>https://uninorte.zoom.us/meeting/register/tZYsde6qrTotGtPM86tCQzNbjc0p_3lB71y_</t>
  </si>
  <si>
    <t>GUN-11476</t>
  </si>
  <si>
    <t>Stand Uninorte Día de la Inclusión</t>
  </si>
  <si>
    <t xml:space="preserve">Stand por el día de la inclusión. El objetivo es sensibilizar y socializar las experiencias de educación inclusiva de las universidades pertenecientes a la Alianza 4U, teniendo en cuenta el marco diverso de las manifestaciones y expresiones del ser humano en el contexto universitario. FeminUN participará en calidad de grupo estudiantil relacionado a la diversidad de género. </t>
  </si>
  <si>
    <t>https://uninorte.zoom.us/j/88547334221</t>
  </si>
  <si>
    <t>GUN-11477</t>
  </si>
  <si>
    <t>MentorADA Ing. Mecánica: Taller software EES + Proyecto de Investigación</t>
  </si>
  <si>
    <t>En esta actividad se les enseñará a las estudiantes de ingeniería mecánica el manejo de herramientas útiles para su carrera.</t>
  </si>
  <si>
    <t>https://uninorte.zoom.us/j/88934513321?pwd=U25RdFh6eDNkdmhCT1FnYVdPWkpnQT09</t>
  </si>
  <si>
    <t>GUN-11478</t>
  </si>
  <si>
    <t>Reunión mensual del departamento de salud</t>
  </si>
  <si>
    <t>Reunión donde se hablará sobre las actividades que se realizaron en el mes y se enseñarán las actividades del próximo mes.</t>
  </si>
  <si>
    <t>https://meet.google.com/rkb-gjwy-rqc</t>
  </si>
  <si>
    <t>GUN-11479</t>
  </si>
  <si>
    <t>Capacitación de Liderazgo Emocional</t>
  </si>
  <si>
    <t xml:space="preserve">Capacitación de liderazgo emocional liderado por estudiantes de Uninorte pertenecientes al grupo de Liderazgo Emocional. </t>
  </si>
  <si>
    <t>https://drive.google.com/open?id=1zxacZPH8hJHT5nQCK15iCtQmxEY9XuCF</t>
  </si>
  <si>
    <t>https://uninorte.zoom.us/j/83266115788?pwd=U1JmZTA4NXNnTHRnOGhmZkExeVdvUT09</t>
  </si>
  <si>
    <t>GUN-11480</t>
  </si>
  <si>
    <t>SL - Investigación: ViF o Sida Felino</t>
  </si>
  <si>
    <t>Miembros del dpto investigarán sobre el sida felino: qué es, cómo se propaga, cuáles son los síntomas, etc. Para presentarlo en un doc a sus directores y luego presentar los resultados en una charla para todo Felinorte.</t>
  </si>
  <si>
    <t>GUN-11481</t>
  </si>
  <si>
    <t>Comité de Relaciones Publicas y Logística</t>
  </si>
  <si>
    <t>Afghanistan: Human rights focus on the case of women and children</t>
  </si>
  <si>
    <t xml:space="preserve">En este espacio, abordaremos la situación en Afganistán desde la perspectiva de la situación de las mujeres en este país. Quienes han sufrido muchas prohibiciones a raíz de la toma por parte de los talibanes, y su repercusión en materia de vulneración a sus derechos humanos.  </t>
  </si>
  <si>
    <t>https://drive.google.com/open?id=1W79qXMFcvKWSgEloAlHHVw1Wo_hy1ufQ</t>
  </si>
  <si>
    <t>https://meet.google.com/tks-drzw-qhd</t>
  </si>
  <si>
    <t>GUN-11482</t>
  </si>
  <si>
    <t>Tips para ser una estudiante estrella en STEM - CREE + MentorADA</t>
  </si>
  <si>
    <t>El Centro de Recursos para el Éxito Estudiantil (CREE) y las mentoras senior de ingeniería te dan los mejores tips para ser una estudiante excepcional en STEM.</t>
  </si>
  <si>
    <t>https://drive.google.com/open?id=1DgXujGF06bm9TMh8kcGi7cy1dIOaQkkW</t>
  </si>
  <si>
    <t>https://uninorte.zoom.us/meeting/register/tZUqfuyvpz0qHtxlj_X8nQe_52WLwPTrje85</t>
  </si>
  <si>
    <t>GUN-11483</t>
  </si>
  <si>
    <t xml:space="preserve">Charla: Introducción a la energía eólica. </t>
  </si>
  <si>
    <t xml:space="preserve">Conferencia introductoria al tema de energía eólica dictada por un ingeniero mecánico que tiene experiencia en este campo. Se darán las características principales de este tipo de energía y el panorama su panorama actual en el mundo. </t>
  </si>
  <si>
    <t>https://drive.google.com/open?id=1I7ASQ19wjh2NvxY5cRz47c4el1A529DX</t>
  </si>
  <si>
    <t>https://uninorte.zoom.us/meeting/register/tZwvd-yorjsuG9JyNf0uai6_w4a_IfjCX4ih</t>
  </si>
  <si>
    <t>GUN-11484</t>
  </si>
  <si>
    <t>GUN-11485</t>
  </si>
  <si>
    <t>Visita industrial a Superbrix 8 de noviembre</t>
  </si>
  <si>
    <t>Se realizará una visita industrial externa a la planta de superbrix ubicada en la Zona Franca Internacional de Galapa. Contaremos con 10 asistentes incluyendo al profesor.</t>
  </si>
  <si>
    <t>APROBADO - ES IMPORTANTE RECORDARLES QUE DEBEN SEGURI DE MANERA ESTRICTA LAS RECOMENDACIONES DE BIOSEGURIDAD</t>
  </si>
  <si>
    <t>GUN-11486</t>
  </si>
  <si>
    <t>Visita industrial Superbrix S.A.</t>
  </si>
  <si>
    <t>Se realizará una visita industrial presencial a la planta de superbrix, contaremos con 10 asistentes incluidos el profesor</t>
  </si>
  <si>
    <t>GUN-11487</t>
  </si>
  <si>
    <t xml:space="preserve">Reunipon con miembros </t>
  </si>
  <si>
    <t>Reunión semanal con miembros de la división</t>
  </si>
  <si>
    <t>GUN-11488</t>
  </si>
  <si>
    <t>Charla: FiV o Sida Felino</t>
  </si>
  <si>
    <t>En esta charla se presentarán los resultados obtenidos de la investigación que se realizó en el dpto de Salud sobre el Sida Felino (FiV) donde se explica qué es, cómo se transmite, cuáles son sus síntomas, etc.</t>
  </si>
  <si>
    <t>GUN-11489</t>
  </si>
  <si>
    <t>Nadim Araujo Martinez, nadima@uninorte.edu.co,3016338384</t>
  </si>
  <si>
    <t>Capacitación Solidworks Asociado (CSWA) - Piezas</t>
  </si>
  <si>
    <t>Capacitación de solidworks para los estudiantes, egresados y docentes que estén interesados en aprender más del software y realizar la certificación</t>
  </si>
  <si>
    <t>https://uninorte.zoom.us/j/82673365707?pwd=aUdwOHR1eDQ2OFRaZWg5SW9hVTk3UT09</t>
  </si>
  <si>
    <t>GUN-11490</t>
  </si>
  <si>
    <t xml:space="preserve">Blog sobre Motocicletas </t>
  </si>
  <si>
    <t xml:space="preserve">Publicación de Blog con temática de Motocicletas </t>
  </si>
  <si>
    <t>GUN-11491</t>
  </si>
  <si>
    <t xml:space="preserve"> Nadim Araujo Martinez, nadima@uninorte.edu.co,3016338384</t>
  </si>
  <si>
    <t>Capacitación SolidWorks Profesional Avanzado (CSWPA - WD). Weldments.</t>
  </si>
  <si>
    <t>https://uninorte.zoom.us/j/81835370233?pwd=THBJVWNWRDliR2R0RWNjdVVBRENQZz09</t>
  </si>
  <si>
    <t>GUN-11492</t>
  </si>
  <si>
    <t>Nadim Araujo Martinez, nadima@uninorte.co, 3016338384</t>
  </si>
  <si>
    <t>Capacitación SolidWorks Profesional (CSWP) Segmento 2</t>
  </si>
  <si>
    <t>Capacitación de solidworks de nivel profesional para los estudiantes, egresados y docentes que estén interesados en aprender más del software y realizar la certificación</t>
  </si>
  <si>
    <t>https://uninorte.zoom.us/j/82129940875?pwd=SnhnZUhic2ZSQWQyK2N5dHNXVDBRUT09</t>
  </si>
  <si>
    <t>GUN-11493</t>
  </si>
  <si>
    <t>Jesús David López Espinosa</t>
  </si>
  <si>
    <t>Espacio en donde los miembros pueden integrarse y establecer relaciones.</t>
  </si>
  <si>
    <t>GUN-11494</t>
  </si>
  <si>
    <t>Valentina Morelo vmorelo@uninorte.edu.co 300 2756748 / Natalia Doncel Meza ndoncel@gmail.com 3058148156</t>
  </si>
  <si>
    <t>https://meet.google.com/jev-nqmy-qaf</t>
  </si>
  <si>
    <t>GUN-11495</t>
  </si>
  <si>
    <t>Mary Ann Arango, maryaa@uninorte.edu.co,3004822612</t>
  </si>
  <si>
    <t>Taller organizate!</t>
  </si>
  <si>
    <t>Taller donde se darán tips a los miembros de Felinorte para que se organicen mejor, no solo dentro del grupo si no, en su vida personal y educativa, que tengan más conocimiento de cómo pueden organizar todas las actividades y manejar un tiempo adecuado para la realización de las mismas, sin caer en la procastinación.</t>
  </si>
  <si>
    <t>https://uninorte.zoom.us/j/89631517885?pwd=Szlmbk9XclRwSnVuVUI4bVpvMllSZz09</t>
  </si>
  <si>
    <t>GUN-11496</t>
  </si>
  <si>
    <t>meet.google.com/fum-tjmj-gme</t>
  </si>
  <si>
    <t>GUN-11497</t>
  </si>
  <si>
    <t>Hombres en el feminismo</t>
  </si>
  <si>
    <t>En este post se resalta cuál es el papel del hombre dentro del movimiento feminista abordando distintas perspectivas y de qué manera pueden los hombres aportar a la consecución de los objetivos del movimiento</t>
  </si>
  <si>
    <t>GUN-11498</t>
  </si>
  <si>
    <t xml:space="preserve">Comité de relaciones públicas y logística </t>
  </si>
  <si>
    <t xml:space="preserve">Crisis de los contenedores: ¿Qué pasa con el abastecimiento mundial? </t>
  </si>
  <si>
    <t>El mundo está pasando por una situación critica actualmente respecto al abastecimiento de productos de consumo diario. Analicemos por qué está pasando esto y que nos espera en los próximos meses.</t>
  </si>
  <si>
    <t>https://drive.google.com/open?id=10rJ_pWqXccUJKwHatwao0xvGsIW3G8Lc</t>
  </si>
  <si>
    <t>Crisis de los contenedores: ¿Qué pasa con el abastecimiento mundial?  Viernes, 5 de noviembre · 4:30 – 5:30pm Información para unirse a Google Meet Enlace a la videollamada: https://meet.google.com/qtd-swfg-joi</t>
  </si>
  <si>
    <t>GUN-11499</t>
  </si>
  <si>
    <t>María José Barrios Baza</t>
  </si>
  <si>
    <t>Charla sobre lenguaje y racismo</t>
  </si>
  <si>
    <t>Hablemos con la profesora Luzkarime Calle sobre esas expresiones racistas que no percibimos fácilmente en nuestra lengua.</t>
  </si>
  <si>
    <t>https://drive.google.com/open?id=11KNmKUAkaSSIFNy1ZYT3xL4rtGIZZK5uWySIJMctfJY</t>
  </si>
  <si>
    <t>https://uninorte.zoom.us/j/89671714026?pwd=QW5XMGRMZm14eGpFdGFQRGw2eStnUT09</t>
  </si>
  <si>
    <t>GUN-11500</t>
  </si>
  <si>
    <t>Gabriela Pertuz Valencia, gabrielapertuz@uninorte.edu.co</t>
  </si>
  <si>
    <t>Merkadea XI: An Innovative Revolution</t>
  </si>
  <si>
    <t>Es el evento de marketing más grande del grupo, este año llevará por nombre "Merkadea XI: An Innovative Revolution", una máquina al futuro 🤯 donde asistirán speakers con conocimientos en el área de marketing y harán de este evento una experiencia inolvidable.</t>
  </si>
  <si>
    <t>Transmisión canal Youtube: Grupo estudiantil PANGEA</t>
  </si>
  <si>
    <t>GUN-11501</t>
  </si>
  <si>
    <t>María José Barrios Baza, mjbaza@uninorte.edu.co, 3053638352</t>
  </si>
  <si>
    <t>Capacitación Lingua</t>
  </si>
  <si>
    <t>Capacitación para los miembros de Lingua por miembros de CEIM, vigilada por Bienestar.</t>
  </si>
  <si>
    <t>https://drive.google.com/open?id=1-rmZaOOyNdjAzfGl7Poolrj8KqwLRPx5ojAora-tGZs</t>
  </si>
  <si>
    <t>https://uninorte.zoom.us/j/89155207128?pwd=bXJnaDdQMVFReXhXYXkyeFhpY1pGQT09</t>
  </si>
  <si>
    <t>GUN-11502</t>
  </si>
  <si>
    <t>Torneo de debate 2.0: Fase 1</t>
  </si>
  <si>
    <t>Torneo de debate junto a CERI, Juventudes Criticas y Feminun, nos unimos nuevamente con el fin de seguir fomentando el análisis crítico en los estudiantes, tocando temas de interés y actualidad, que ayuden a desarrollar las habilidades argumentativas y a contagiarnos de conocimiento.</t>
  </si>
  <si>
    <t>Diferentes salas de zoom dependiendo del debate</t>
  </si>
  <si>
    <t>GUN-11503</t>
  </si>
  <si>
    <t>Torneo de Debate: Fase 2</t>
  </si>
  <si>
    <t>Se llevará a cabo la segunda fase del torneo de debate, en la cual se harán 2-3 debates.</t>
  </si>
  <si>
    <t>Depende del debate</t>
  </si>
  <si>
    <t>GUN-11504</t>
  </si>
  <si>
    <t>Torneo de debate 2.0: Final</t>
  </si>
  <si>
    <t>Se llevará acaba la gran final del torneo de debate 2.0, donde el grupo ganador se llevará el premio.</t>
  </si>
  <si>
    <t>Pendiente</t>
  </si>
  <si>
    <t>GUN-11505</t>
  </si>
  <si>
    <t>Angie Valentina Valencia Burbano
burbanov@uninorte.edu.co
3103852358</t>
  </si>
  <si>
    <t>Sin miedo a emprender.</t>
  </si>
  <si>
    <t>Charla con un emprendedor para conocer como fue su recorrido para ahora tener en marcha su emprendimiento.</t>
  </si>
  <si>
    <t>https://meet.google.com/vvn-xyxh-mkt</t>
  </si>
  <si>
    <t>GUN-11506</t>
  </si>
  <si>
    <t xml:space="preserve">Integración Logística </t>
  </si>
  <si>
    <t>Una integración para compartir un espacio entre todos, hablar y jugar un juego de preguntas del Grupo Estudiantil y del departamento de Logística &amp; Planeación. Adicionalmente de compartir todos, regalaremos un premio entre todos los presentes.</t>
  </si>
  <si>
    <t>GUN-11507</t>
  </si>
  <si>
    <t>Mujeres en la política: El éxito por encima de las barreras</t>
  </si>
  <si>
    <t>Publicación de promoción de un nuevo escrito en el blog de FeminUN acerca de mujeres en política.</t>
  </si>
  <si>
    <t>GUN-11508</t>
  </si>
  <si>
    <t>María Rodríguez y María Sánchez 	diazrodriguez@uninorte.edu.co   sanchezgomez@uninorte.edu.co	3182778929. 3042049852</t>
  </si>
  <si>
    <t>Capacitación en canva y estrategias en redes sociales</t>
  </si>
  <si>
    <t xml:space="preserve">Presentación para explicarle a los miembros de marketing funciones en canva y estrategias en Instagram y otras redes sociales </t>
  </si>
  <si>
    <t>GUN-11509</t>
  </si>
  <si>
    <t>Septimo debate - Innovación</t>
  </si>
  <si>
    <t>GUN-11510</t>
  </si>
  <si>
    <t>María José Díaz Guardo	mguardoj@uninorte.edu.co	3007832846</t>
  </si>
  <si>
    <t>Conversemos</t>
  </si>
  <si>
    <t>Espacio donde los miembros del departamento discuten sobre un tema relacionado con Gestión Humana.</t>
  </si>
  <si>
    <t>GUN-11511</t>
  </si>
  <si>
    <t>María Isabella Guardo Vargas	miguardo@uninorte.edu.co	3045231800</t>
  </si>
  <si>
    <t>Noche de Miniserie</t>
  </si>
  <si>
    <t>Es un espacio de distracción y diversión con todos los integrantes del Departamento de Logística &amp; Planeación, la idea es ver una serie todos al mismo tiempo de manera virtual y tener un espacio de integración.</t>
  </si>
  <si>
    <t>GUN-11512</t>
  </si>
  <si>
    <t>Talleres de Zoom y Canva</t>
  </si>
  <si>
    <t xml:space="preserve">Se realizarán 2 talleres en el mismo espacio, de la plataforma de Zoom y Canva, para enseñarle a los miembros cómo aprovechar estas herramientas y que les sirva de aprendizaje tanto para la vida personal como profesional. </t>
  </si>
  <si>
    <t>GUN-11513</t>
  </si>
  <si>
    <t>Juan Pablo Barraza, barrazapj@uninorte.edu.co, 3053309269</t>
  </si>
  <si>
    <t>Capacitación Liderazgo Emocional Bienestar</t>
  </si>
  <si>
    <t xml:space="preserve"> https://meet.google.com/fpg-hzdi-eqp</t>
  </si>
  <si>
    <t>GUN-11514</t>
  </si>
  <si>
    <t>María Elena Ceballos meceballos@uninorte.edu.co</t>
  </si>
  <si>
    <t xml:space="preserve">Capacitación de Liderazgo Emocional </t>
  </si>
  <si>
    <t xml:space="preserve">Se hará una capacitación por parte de Bienestar Universitario en el marco de la Estrategia Multiplicadores, con el objetivo de propiciar un espacio de psicoeducación para la generación de herramientas emocionales que permitan tanto el autoconocimiento y autogestión como la promoción y divulgación de dichos recursos. </t>
  </si>
  <si>
    <t>https://uninorte.zoom.us/j/81955188229</t>
  </si>
  <si>
    <t>GUN-11515</t>
  </si>
  <si>
    <t>Taller de Finanzas para Grupos y Organizaciones Estudiantiles</t>
  </si>
  <si>
    <t>Le ofrecemos a nuestros compañeros de otros grupos estudiantiles con los que hemos hecho alianzas unos talleres del manejo de las Finanzas dentro de los Grupos Estudiantiles. Esto con el fin de que ellos puedan recibir cierta formación en finanzas por parte de CAFTA, Grupo Estudiantil de Contaduría Pública.</t>
  </si>
  <si>
    <t>meet.google.com/ymm-syga-cve</t>
  </si>
  <si>
    <t>GUN-11516</t>
  </si>
  <si>
    <t>Santiago De Jesús Mercado Castro
dsmercado@uninorte.edu.co
3008196382
Ángel Eduardo Pulido Vanegas
aepulido@uninorte.edu.co
3054510958</t>
  </si>
  <si>
    <t>¿Realidad o ilusión? Una mirada al estudio del mundo desde la filosofía y las humanidades</t>
  </si>
  <si>
    <t>El evento tratará la reflexión sobre el estudio de las humanidades y la filosofía y el compromiso que tienen por entender los sucesos que nos acontecen por medio de una ponencia para dar pie a una posterior discusión.</t>
  </si>
  <si>
    <t>https://uninorte.zoom.us/j/83574007755</t>
  </si>
  <si>
    <t>GUN-11517</t>
  </si>
  <si>
    <t>Santiago De Jesús Mercado Castro
dsmercado@uninorte.edu.co
3008196382
Jovana Cristina Velazco Hernández
jovanav@uninorte.edu.co
3053521515</t>
  </si>
  <si>
    <t>Cineforo: El olvido que seremos - Historias de un país en conflicto</t>
  </si>
  <si>
    <t>El Cineforo: El olvido que seremos - Historias de un país en conflicto nace bajo el marco de la unión de los grupos estudiantiles Cosmopolítica y Zaratustra.
Se hará en conjunto de todos los miembros y visitantes de ambos grupos estudiantiles, para su posterior discusión a partir del subtema del cineforo "Historias de un país en conflicto" siendo esta segunda parte la de mayor relevancia para el evento mismo ya que se podrán ver los distintos puntos de vista de las dos áreas a las que pertenecen los grupos estudiantiles</t>
  </si>
  <si>
    <t>https://uninorte.zoom.us/j/88988796582</t>
  </si>
  <si>
    <t>GUN-11518</t>
  </si>
  <si>
    <t>Clásicos locales</t>
  </si>
  <si>
    <t>Por medio de una exposición de literatura prehispánica, entre ellos, los códices mayas y aztecas, registros incas para una posterior sección de preguntas y respuestas entre miembros y allegados al grupo.</t>
  </si>
  <si>
    <t>https://uninorte.zoom.us/j/84141916645</t>
  </si>
  <si>
    <t>GUN-11519</t>
  </si>
  <si>
    <t>Evento que busca integrar a los miembros del grupo con los miembros de los capítulos estudiantiles de ASCE Latinoamérica</t>
  </si>
  <si>
    <t>https://uninorte.zoom.us/j/86389006433?pwd=ZzNwaTRqZ2YzK3pmM2dSWUlTbXJwUT09</t>
  </si>
  <si>
    <t>GUN-11520</t>
  </si>
  <si>
    <t xml:space="preserve">Liderazgo emocional </t>
  </si>
  <si>
    <t>Desde Bienestar universitario realizarán una actividad con los estudiantes del CERI con el objetivo de compartir enseñanzas o lecciones sobre el liderazgo emocional.</t>
  </si>
  <si>
    <t>https://drive.google.com/open?id=1epJEIU20EEjCX4AA8OABgvRAL5vq-8na</t>
  </si>
  <si>
    <t>meet.google.com/qpz-bsev-drh</t>
  </si>
  <si>
    <t>GUN-11521</t>
  </si>
  <si>
    <t>Sebastián David Iriarte Espeleta,espeletas@uninorte.edu.co,3159287545</t>
  </si>
  <si>
    <t>En este espacio se aprovechará para definir últimos eventos y empezar a planear eventos del próximo semestre</t>
  </si>
  <si>
    <t>GUN-11522</t>
  </si>
  <si>
    <t>Reunión de la junta directiva del grupo estudiantil donde se discuten actividades a realizar en las próximas semanas de clase</t>
  </si>
  <si>
    <t>https://uninorte.zoom.us/j/85835986170?pwd=M3R6YnNJVzBNWTQrc20raldBMEJ6dz09</t>
  </si>
  <si>
    <t>GUN-11523</t>
  </si>
  <si>
    <t>Juan David Visbal Alcalá, jdvisbal@uninorte.edu.co , 3215486539</t>
  </si>
  <si>
    <t>Reunión Semanal</t>
  </si>
  <si>
    <t>Reunión de división</t>
  </si>
  <si>
    <t>GUN-11524</t>
  </si>
  <si>
    <t>Vanessa Yissel Picalúa Parra,vpicalua@uninorte.edu.co,3016985883</t>
  </si>
  <si>
    <t>Capacitación de SolidWorks Profesional Avanzado (CSWPA-SU). Surfacing</t>
  </si>
  <si>
    <t>Capacitación del software SolidWorks en la modalidad de Profesional Avanzado (CSWPA - SU). Surfacing. Dictada por: Roberto Benvenuto Moreno</t>
  </si>
  <si>
    <t>https://drive.google.com/open?id=1U3Rjs7qxHNS_q8dCTM1NmpB6iheH4DLr</t>
  </si>
  <si>
    <t>https://uninorte.zoom.us/meeting/register/tZIodu6qqTkoG9AVxgM5REGTdtc4neXcle5S</t>
  </si>
  <si>
    <t>GUN-11525</t>
  </si>
  <si>
    <t>Capacitación de SolidWorks Profesional (CSWP). Segmento 1. 1</t>
  </si>
  <si>
    <t>Capacitación del software SolidWorks en la modalidad de profesional, segmento 1.Dictada por: Claudia Fontalvo</t>
  </si>
  <si>
    <t>https://drive.google.com/open?id=1l5Yp3Q9TI9OZMj2_dzgGniDIvSDXpNRH</t>
  </si>
  <si>
    <t>https://uninorte.zoom.us/meeting/register/tZUqc-qhqTguH9YbA42zwwJP6SN4gORRGQ1a</t>
  </si>
  <si>
    <t>GUN-11526</t>
  </si>
  <si>
    <t>Capacitación de SolidWorks Asociado(CSWA). Taller de ensamblaje.</t>
  </si>
  <si>
    <t>Capacitación del software SolidWorks en la modalidad de Asociado (CSWA). Taller de ensamblaje. Dictada por: Mayra Rivera</t>
  </si>
  <si>
    <t>https://drive.google.com/open?id=1qENAzb6CEgH2PurMLhjEMSq8kOzmnWzD</t>
  </si>
  <si>
    <t>https://uninorte.zoom.us/meeting/register/tZIpcemprT0jGNJKHuID5XL8_D5IAf56450h</t>
  </si>
  <si>
    <t>GUN-11527</t>
  </si>
  <si>
    <t>Publicaciones Femiblogs</t>
  </si>
  <si>
    <t xml:space="preserve">Posts de promoción de escritos presentes en nuestro blog titulados:
Mujeres en el poder: una conquista en progreso
Perspectiva de género en la medicina: ¿cómo afecta a la salud reproductiva de la mujer? </t>
  </si>
  <si>
    <t>GUN-11528</t>
  </si>
  <si>
    <t>Marcela Carolina Ortega Aragón (317 2324898, mcaragon@uninorte.edu.co) y Jorge Alessandro Herrera Bustamante (300 5504241, jorgeherrera@uninorte.edu.co)</t>
  </si>
  <si>
    <t>Taller Isaiah Berlín: su vida, un acercamiento al género biográfico</t>
  </si>
  <si>
    <t>En colaboración con el Centro de Escritura y como parte del evento El Poder de la Lectura, nace este taller de lectura y escritura con previa inscripción, nos adentramos al mundo de la biografía desde el libro Isaiah Berlín, su vida. Inscripciones cerradas.</t>
  </si>
  <si>
    <t>https://www.questionpro.com/t/AMIOdZoozP</t>
  </si>
  <si>
    <t>GUN-11529</t>
  </si>
  <si>
    <t>Lluvia de ideas dpto de COM</t>
  </si>
  <si>
    <t>Reunión de lluvia de ideas para la llegada a 3k seguidores de instagram</t>
  </si>
  <si>
    <t>GUN-11530</t>
  </si>
  <si>
    <t>Cuenta historias con pasión</t>
  </si>
  <si>
    <t xml:space="preserve"> Los miembros del dpto. que deseen hacer parte del taller deberán crear una historia creativa (la cual debe incluir a uno de los gatos de la U), y deben idearse una manera cautivadora de contarla. Estas historias serán subidas a las redes y/o blog de Felinorte para que los seguidores decidan cuál de todas fue la mejor. Se le debe dar un premio a quien tenga la historia con más likes/comentarios/saves y se le debe entregar un diploma a todos los participantes.</t>
  </si>
  <si>
    <t>GUN-11531</t>
  </si>
  <si>
    <t>Neuropsicología del trastorno de estrés postraumático</t>
  </si>
  <si>
    <t>Evento tipo conversatorio en donde se estarán exponiendo el funcionamiento del cerebro y la neuropsicología del trastorno de estrés postraumático</t>
  </si>
  <si>
    <t>https://drive.google.com/open?id=1AjLr6BBzL23t0nf7-cMnRkY2fWtkEbJ3</t>
  </si>
  <si>
    <t>https://uninorte.zoom.us/j/82465860169?pwd=OUhOQ1h4OExvWHBBOXJoZ1J1THQxZz09</t>
  </si>
  <si>
    <t>GUN-11532</t>
  </si>
  <si>
    <t>Cineforo: El olvido que seremos, Historias de un país en conflicto</t>
  </si>
  <si>
    <t>Discusión sobre historias sobre un país en conflicto junto a Zaratustra, luego de la observación de la película "El olvido que seremos"</t>
  </si>
  <si>
    <t>uninorte.zoom.us/88988796582</t>
  </si>
  <si>
    <t>GUN-11533</t>
  </si>
  <si>
    <t>Cultura Fangirl</t>
  </si>
  <si>
    <t>Un post acerca de los fans como objeto de estudio y reflexión reciente y cómo se ridiculizan las cosas que generalmente les gustan a las mujeres y niñas en comparación con lo que le gusta a los niños y hombres, así como el hecho de que se desmerita generalmente a los famosos con bases de fans mayoritariamente femeninos.</t>
  </si>
  <si>
    <t>GUN-11534</t>
  </si>
  <si>
    <t>Cineforo: Memorias Guerrilleras</t>
  </si>
  <si>
    <t>Junto a los grupos estudiantiles CERI y FeminUN tendremos un conversatorio alrededor de la película "Memorias Guerrilleras", un filme creado por cincuenta excombatientes. Charlaremos con Diana Pardo y Xiomara Martínez, actrices exguerrilleras.</t>
  </si>
  <si>
    <t>https://uninorte.zoom.us/j/84869067405?pwd=N21paC8rbUV5U0Q2WEpYaXpZVEdUUT09  ID de reunión: 848 6906 7405 Código de acceso: 597244</t>
  </si>
  <si>
    <t>GUN-11535</t>
  </si>
  <si>
    <t>Cristian Andres Torres Monterroza - camonterroza@uninorte.edu.co - 3015467411</t>
  </si>
  <si>
    <t xml:space="preserve">Publicación de articulo en el Boletín del departamento </t>
  </si>
  <si>
    <t xml:space="preserve">Envío de articulo para su revisión y publicación en la Gazeta (Boletín del departamento de Ciencias Políticas y Relaciones Internacionales) </t>
  </si>
  <si>
    <t>GUN-11536</t>
  </si>
  <si>
    <t xml:space="preserve">Envío de articulo a la Redintercol </t>
  </si>
  <si>
    <t xml:space="preserve">Envío de articulo para su revisión y publicación en la pagina de la Red colombiana de Relaciones Internacionales </t>
  </si>
  <si>
    <t>https://www.redintercol.net/index.php/blog-y-publicaciones/blog.html?start=10</t>
  </si>
  <si>
    <t>GUN-11537</t>
  </si>
  <si>
    <t xml:space="preserve">Comité de Relaciones Públicas </t>
  </si>
  <si>
    <t xml:space="preserve">Memorias Guerrilleras </t>
  </si>
  <si>
    <t xml:space="preserve">Memorias guerrilleras es un espacio en donde hablaremos con personas que han sido victimas del conflicto armado y sus proyecto audiovisuales. </t>
  </si>
  <si>
    <t>https://drive.google.com/open?id=1fSK2CfoVWPXQVlBq9u7tIBQchU5ioOLj</t>
  </si>
  <si>
    <t>https://uninorte.zoom.us/j/84869067405?pwd=N21paC8rbUV5U0Q2WEpYaXpZVEdUUT09</t>
  </si>
  <si>
    <t>GUN-11538</t>
  </si>
  <si>
    <t xml:space="preserve">Expresión oral y comunicación asertiva </t>
  </si>
  <si>
    <t xml:space="preserve">Este espacio funcionará para que los y las estudiantes puedan aprender a como desenvolverse en público y logren sacar todo su potencial al dirigirse a un público. </t>
  </si>
  <si>
    <t>https://drive.google.com/open?id=1YLUOW0Q80GgqXFYIgtTfJe7dcZwjbaki</t>
  </si>
  <si>
    <t>https://uninorte.zoom.us/j/87110850093?pwd=MkhjbktmTGVpcWtTQ09ZL2RzdzZHQT09</t>
  </si>
  <si>
    <t>GUN-11539</t>
  </si>
  <si>
    <t>"Experiencia Mindstorms</t>
  </si>
  <si>
    <t xml:space="preserve">Este evento presencial que consiste en la exposición de proyectos realizados por el grupo Seedbed IEEE a lo largo del semestre, con el fin de motivar a estudiantes de secundaria próximos a graduarse a estudiar las carreras de ingeniería eléctrica y electrónica. 
</t>
  </si>
  <si>
    <t>https://drive.google.com/open?id=1G2uX0KI7r1hGDjQUzuAM9A8FIKD8at-u</t>
  </si>
  <si>
    <t>https://www.instagram.com/seedbed_un/?hl=es</t>
  </si>
  <si>
    <t>GUN-11540</t>
  </si>
  <si>
    <t>jmercadof@uninorte.edu.co</t>
  </si>
  <si>
    <t>Keren Jemima Sarmiento Pérez</t>
  </si>
  <si>
    <t>Charla código stroke</t>
  </si>
  <si>
    <t xml:space="preserve">Charla para todos los integrantes del grupo de un tema de interés en neurología a cargo de miembros de junta </t>
  </si>
  <si>
    <t>https://uninorte.zoom.us/j/85131692060?pwd=MTlSWi9VY0V3N04wOElEMVUzRnNuQT09</t>
  </si>
  <si>
    <t>GUN-11541</t>
  </si>
  <si>
    <t>Capacitación - Liderazgo Emocional</t>
  </si>
  <si>
    <t xml:space="preserve">¡Te extendemos esta invitación para formar parte de un espacio de formación que nos brinda Bienestar Universitario a todo nuestro grupo estudiantil! </t>
  </si>
  <si>
    <t>https://uninorte.zoom.us/j/83788065958?pwd=THNZN1ZWd29ET3FsSVhyUWt5clVaZz09</t>
  </si>
  <si>
    <t>GUN-11542</t>
  </si>
  <si>
    <t>Lab Tour - Ingeniería Mecánica</t>
  </si>
  <si>
    <t>Si eres una estudiante de ingeniería mecánica y estás cursando los primeros semestres este mensaje es para ti! 📢💜
Participa de nuestro lab tour donde conocerás los laboratorios de la carrera junto con nuestras invitadas especiales👩🏻‍🔬⭐️</t>
  </si>
  <si>
    <t>Día Uninorte Incluyente</t>
  </si>
  <si>
    <t>https://drive.google.com/open?id=13Lqigph4h1cBR0-Msislmv4c3a-cbjkO</t>
  </si>
  <si>
    <t>GUN-11543</t>
  </si>
  <si>
    <t>[UNIGRID] un laboratorio STEM aplicado</t>
  </si>
  <si>
    <t>Conoce a [UNIGRID] un laboratorio STEM aplicado junto a la Ingeniera Electricista Ingrid Oliveros👷🏻‍♀️⚡️
Anímate a participar de esta sesión llena de empoderamiento donde podrás compartir y aprender con tus compañeras de carrera💜💪🏼</t>
  </si>
  <si>
    <t>GUN-11544</t>
  </si>
  <si>
    <t>Jesús López, despinosaj@uninorte.edu.co, 3137608323</t>
  </si>
  <si>
    <t>Segunda Asamblea CEO</t>
  </si>
  <si>
    <t>La junta directiva presentará a los miembros del grupo los logros alcanzados por el grupo a lo largo de todo el semestre</t>
  </si>
  <si>
    <t>GUN-11545</t>
  </si>
  <si>
    <t>Elecciones Junta Directiva 2022-10</t>
  </si>
  <si>
    <t>Los miembros presentes escogerán a los representantes de la junta directiva del próximo semestre.</t>
  </si>
  <si>
    <t>GUN-11546</t>
  </si>
  <si>
    <t>Investment for dummies: Yahoo Finance</t>
  </si>
  <si>
    <t>Investigación sobre la página financiera Yahoo Finance y desarrollo de retos de búsqueda dentro de la misma</t>
  </si>
  <si>
    <t>GUN-11547</t>
  </si>
  <si>
    <t>Investment for dummies: Investing</t>
  </si>
  <si>
    <t>Investigación de la página financiera Investing y desarrollo de retos de búsqueda dentro de la misma</t>
  </si>
  <si>
    <t>GUN-11548</t>
  </si>
  <si>
    <t xml:space="preserve">Reunión de departamento </t>
  </si>
  <si>
    <t>Reunión interna del departamento de finanzas</t>
  </si>
  <si>
    <t>GUN-11549</t>
  </si>
  <si>
    <t>Debate sobre la digitalización del dinero</t>
  </si>
  <si>
    <t>GUN-11550</t>
  </si>
  <si>
    <t>Integración del departamento de Logística &amp; Planeación, donde se pasará un rato con los integrantes, hablar, charlar y divertirnos</t>
  </si>
  <si>
    <t>https://drive.google.com/open?id=19uJdfzzHYcfNwidRcY9gaAUuHvr69Cbq</t>
  </si>
  <si>
    <t>GUN-11551</t>
  </si>
  <si>
    <t>Publicación de reel</t>
  </si>
  <si>
    <t xml:space="preserve">Publicación de reel en el Instagram del grupo, en este vídeo se resume las actividades que realizamos los viernes en el grupo. </t>
  </si>
  <si>
    <t>GUN-11552</t>
  </si>
  <si>
    <t xml:space="preserve">Integración Logística - Noche de miniserie </t>
  </si>
  <si>
    <t>En este espacio con los miembros se comparte un tiempo con los miembros, mientras vemos una serie virtualmente y hablamos sobre esto</t>
  </si>
  <si>
    <t>GUN-11553</t>
  </si>
  <si>
    <t>Caso Meta</t>
  </si>
  <si>
    <t xml:space="preserve">Caso Meta del departamento de Logística &amp; Planeación junto el invitado especial Manuel Guillermo Mejía, en el caso se dividirán en grupos, y llegarán a un acuerdo, hasta despues que se compartirá entre todos y llegaremos a una conclusión. </t>
  </si>
  <si>
    <t>GUN-11554</t>
  </si>
  <si>
    <t>Mary Ann Arangp, maryaa@uninorte.edu.co, 3004822612</t>
  </si>
  <si>
    <t>Jornada de Grabación</t>
  </si>
  <si>
    <t>Hacer una Jornada para grabar el video para celebrar la llegada a 3K seguidores en ig.</t>
  </si>
  <si>
    <t>GUN-11555</t>
  </si>
  <si>
    <t>Economía del cuidado</t>
  </si>
  <si>
    <t>Un post informativo acerca de qué es la economía del cuidado, algunos datos al respecto y reflexiones.</t>
  </si>
  <si>
    <t>GUN-11556</t>
  </si>
  <si>
    <t>Ruth Fontalvo; rmfontalvo@uninorte.edu.co; 3043870920</t>
  </si>
  <si>
    <t xml:space="preserve">Expresión Oral y Comunicación Asertiva </t>
  </si>
  <si>
    <t xml:space="preserve">Capacitación, en el marco del II Torneo de Debate: Vacúnate de Conocimiento, con el objetivo de brindar herramientas de expresión eficaces que ayudarán a los participantes a mejorar sus competencias comunicativas e incrementar su capacidad de interacción. </t>
  </si>
  <si>
    <t>https://drive.google.com/open?id=1a6AYTILgvZbgc-DUZSiuze8Mz3Fzf-bP</t>
  </si>
  <si>
    <t>GUN-11557</t>
  </si>
  <si>
    <t>Campaña dona un juguete</t>
  </si>
  <si>
    <t>Esta campaña es una alianza con la cruz roja juvenil con el fin de recoger juguetes que luego serán entregados a comunidades de niños necesitados.</t>
  </si>
  <si>
    <t>GUN-11558</t>
  </si>
  <si>
    <t>Nadim Araujo Martinez, nadima@uninorte.edu.co, 3016338384</t>
  </si>
  <si>
    <t xml:space="preserve"> Capacitación Solidworks Asociado</t>
  </si>
  <si>
    <t>Capacitación de SolidWorks nivel asociado a cargo del estudiante Jose Ferreira</t>
  </si>
  <si>
    <t>https://drive.google.com/open?id=1kIViCWI1FVIPtn8iyTZYoVoyvSSzgG6b</t>
  </si>
  <si>
    <t>https://uninorte.zoom.us/meeting/register/tZIod-mspjMtHNADl6IF0rRv-WPzg80M7X4q</t>
  </si>
  <si>
    <t>GUN-11559</t>
  </si>
  <si>
    <t>Capacitación Solidworks Profesional Avanzado (CSWPA-SM). Sheet Metal.</t>
  </si>
  <si>
    <t>Capacitación de SolidWorks de nivel profesional avanzado a cargo del ingeniero Andrés Rincón</t>
  </si>
  <si>
    <t>https://drive.google.com/open?id=1wa-gWZwkPeBtAk14VFOgyAtf_1BAnCLB</t>
  </si>
  <si>
    <t>https://uninorte.zoom.us/meeting/register/tZctf-iprDkoHNW79AtiVUn2OlRE07_Lb34U</t>
  </si>
  <si>
    <t>GUN-11560</t>
  </si>
  <si>
    <t>Capacitación Solidworks Profesional (CSWP). Segmento 3.</t>
  </si>
  <si>
    <t>Capacitación de SolidWorks a nivel profesional a cargo del instructor Jose Pinzón</t>
  </si>
  <si>
    <t>https://drive.google.com/open?id=19mgG7u3ghnY1MbZtJtqYulbL8FF1bd-D</t>
  </si>
  <si>
    <t>https://uninorte.zoom.us/meeting/register/tZIod-Ctrz0rGtWOey5cm9oOsiMl1-OcuEs3</t>
  </si>
  <si>
    <t>GUN-11561</t>
  </si>
  <si>
    <t xml:space="preserve">Reuniones con miebros de act representativas </t>
  </si>
  <si>
    <t>GUN-11562</t>
  </si>
  <si>
    <t xml:space="preserve">Reunión semanal para discutir temas de la división con los miembros. </t>
  </si>
  <si>
    <t>GUN-11563</t>
  </si>
  <si>
    <t xml:space="preserve">Conferencia: Introducción a la energía eólica. </t>
  </si>
  <si>
    <t>"Conferencia de una hora de duración en la que se tratarán los conceptos fundamentales de la energía eólica. La conferencia será dictada por Alberto Striedinger, quien tiene una amplia experiencia en el sector de la energía eólica. 
"</t>
  </si>
  <si>
    <t>https://drive.google.com/open?id=1GwRQkNUZKA5CXKgTMhJZlwyIUrqIxiY5</t>
  </si>
  <si>
    <t>https://uninorte.zoom.us/meeting/register/tZMpfuqhrT4jE9OlXGhLm4Ja8YqOJ4Nam7F3</t>
  </si>
  <si>
    <t>GUN-11564</t>
  </si>
  <si>
    <t>Historia de la psicología</t>
  </si>
  <si>
    <t>El evento tiene por nombre Historia de la psicología, se tocaran temas relacionados con la historia de la psicología y algunos autores importantes en esta. Este se llevará a cabo el día 15 de noviembre del año en curso, en horas de la mañana (9:30, aprx). La dinámica como tal se hará por medio de historias de Instagram,  en la cuenta de CDIEP. Consiste en realizar una serie de preguntas, con sus respectivas opciones de respuesta; esto para generar interacción con los usuarios. Dichas preguntas van a ser explicadas en las siguientes historias, por medio de una línea del tiempo.</t>
  </si>
  <si>
    <t>GUN-11565</t>
  </si>
  <si>
    <t>Paula Andrea Romero Alquerque
palquerque@uninorte.edu.co
3237138634</t>
  </si>
  <si>
    <t>Aspectos importantes de la historia de la psicología.</t>
  </si>
  <si>
    <t>Evento asincrónico que contará con la participación del Doctor Amalio Blanco.
Será una entrevista que se publicará en las redes de CDIEP el día 19 de Noviembre.
Se abordarán los demás de cómo se ha ido desarrollando la psicología a lo largo del tiempo, además de destacar los grandes aportes que se han dado dentro de la Psicología Social, aprovechando la experticia del ponente invitado.</t>
  </si>
  <si>
    <t>https://drive.google.com/open?id=1y-8losAti8rcas81qYT2nk1bO1_iuMWr</t>
  </si>
  <si>
    <t>GUN-11566</t>
  </si>
  <si>
    <t>II Torneo de debate: RONDA 1 - Sesión A: Legalización de la prostitución</t>
  </si>
  <si>
    <t xml:space="preserve">Primera sesión del II Torneo de Debate: vacúnate de conocimiento. Los participantes discutirán sobre la legalización de la prostitución. </t>
  </si>
  <si>
    <t>https://drive.google.com/open?id=1cCoIbvoT9NpLrP_9MkXqpmBJbv6YhTi4</t>
  </si>
  <si>
    <t>https://uninorte.zoom.us/j/83299828401?pwd=UmV0OGZweWNJN25sU2NhVjZaK0x3UT09</t>
  </si>
  <si>
    <t>GUN-11567</t>
  </si>
  <si>
    <t>RONDA 1: II Torneo de Debate - Sesión 2: Retirada de Estados Unidos de Afganistán</t>
  </si>
  <si>
    <t>Sesión de la primera ronda del II Torneo de Debate: vacúnate de conocimiento. Los participantes discutirán sobre la retirada de Estados Unidos de Afganistán</t>
  </si>
  <si>
    <t>https://drive.google.com/open?id=1CI0G8VFqQeOOfu5tWSjztDPHQOnoMmL5</t>
  </si>
  <si>
    <t>https://uninorte.zoom.us/j/88586048582?pwd=d3lyRGZFRGRRd0JjWUNmUFFzcEdXUT09</t>
  </si>
  <si>
    <t>GUN-11568</t>
  </si>
  <si>
    <t>Charla sobre: Función de la conducta en niños</t>
  </si>
  <si>
    <t>Esta temática que se expondrá es importante para comprender la conducta de los niños y saber actuar en diversas situaciones en la interacción con ellos, sobre todo en este marco dónde como voluntarios de CK retomaremos actividades presenciales. 
Ponente: Blanca Inés Robayo Londoño. 
»Psicóloga Clínica, con experiencia en el área de atención de niños, jóvenes y adultos.</t>
  </si>
  <si>
    <t>https://drive.google.com/open?id=1kD6Y1e_ZI-9Gex10QKLX_8uaRdekZwwPg9OPOYSeThI</t>
  </si>
  <si>
    <t>https://meet.google.com/inw-fzxz-piw</t>
  </si>
  <si>
    <t>GUN-11569</t>
  </si>
  <si>
    <t>Introducción al análisis y diseño estructural de edificaciones utilizando el software CYPECAD</t>
  </si>
  <si>
    <t>Charla virtual a cargo del ingeniero Keibyn Molina</t>
  </si>
  <si>
    <t>https://uninorte.zoom.us/j/89644941156?pwd=dVNJbUtyZWNmRUJxVVh6QlFYZERPUT09</t>
  </si>
  <si>
    <t>GUN-11570</t>
  </si>
  <si>
    <t>{Hello World} Vida profesional STEM</t>
  </si>
  <si>
    <t xml:space="preserve">Esta es una actividad que se realizará con la ingeniera electricista y analista del grupo CIGRE Colombia, Camila Restrepo. Donde se podrá conversar un poco con ella y conocer su experiencia como ingeniera. </t>
  </si>
  <si>
    <t>https://drive.google.com/open?id=1QTP-OzSGYtRZFer9Em8kBu9NoBRD1FDy</t>
  </si>
  <si>
    <t>https://uninorte.zoom.us/meeting/register/tZAqfuGhqTMuHdE4RZSPL7WX-bXrHXDhkdov</t>
  </si>
  <si>
    <t>GUN-11571</t>
  </si>
  <si>
    <t>STEM to maintenance</t>
  </si>
  <si>
    <t>Conferencia sobre anécdotas y experiencias de la ingeniera electricista Luz Dary Montenegro.</t>
  </si>
  <si>
    <t>https://drive.google.com/open?id=1HS5EixR86bvb8drOLdAEzmsybLkJVXjm</t>
  </si>
  <si>
    <t>https://uninorte.zoom.us/meeting/register/tZYqc-ysrzMvHdRnAWLTk3BncpfsvKMrIbpz</t>
  </si>
  <si>
    <t>GUN-11572</t>
  </si>
  <si>
    <t>Errores que puede cometer un psicológo.</t>
  </si>
  <si>
    <t>Evento tipo conversatorio por medio de la plataforma de zoom en dónde se expondrán los distintos errores posibles que se pueden cometer desde la profesión de psicología.</t>
  </si>
  <si>
    <t>https://drive.google.com/open?id=1Zlq6IRSRhJY2qU2SOAkSEyeXKt4-COOY</t>
  </si>
  <si>
    <t>https://uninorte.zoom.us/j/82761238197?pwd=SXNWU0RxUmxCMmNLano2N3lBeGlEUT09</t>
  </si>
  <si>
    <t>GUN-11573</t>
  </si>
  <si>
    <t xml:space="preserve">ll Torneo de debate </t>
  </si>
  <si>
    <t xml:space="preserve">Primera ronda del segundo torneo de debate: Legalización de la prostitución. </t>
  </si>
  <si>
    <t>https://drive.google.com/open?id=1KWHLP2StK1otRKOGGGRvT--ZXZHGqFkb</t>
  </si>
  <si>
    <t xml:space="preserve">	https://uninorte.zoom.us/j/83299828401?pwd=UmV0OGZweWNJN25sU2NhVjZaK0x3UT09 </t>
  </si>
  <si>
    <t>GUN-11574</t>
  </si>
  <si>
    <t xml:space="preserve">Segundo torneo de debate - sesión 2: retirada de Estados Unidos de Afganistán. </t>
  </si>
  <si>
    <t>https://drive.google.com/open?id=1xOH6ibbyN9OVsbGPRfk2a5TRBSbj3TLj</t>
  </si>
  <si>
    <t xml:space="preserve">	https://uninorte.zoom.us/j/88586048582?pwd=d3lyRGZFRGRRd0JjWUNmUFFzcEdXUT09</t>
  </si>
  <si>
    <t>GUN-11575</t>
  </si>
  <si>
    <t>Segundo torneo de debate - sesión 3: Antivacunas.</t>
  </si>
  <si>
    <t>https://drive.google.com/open?id=14KCao3phMogD8k8aAgym8F5S0go-vRy_</t>
  </si>
  <si>
    <t xml:space="preserve">	https://uninorte.zoom.us/j/82344574498?pwd=TUxlWmdIVXlmMHZhRlR1eWNCTndUQT09 </t>
  </si>
  <si>
    <t>GUN-11576</t>
  </si>
  <si>
    <t xml:space="preserve">Segundo torneo de debate - sesión 4: Ser intolerantes con la intolerancia. </t>
  </si>
  <si>
    <t>https://drive.google.com/open?id=1l3x5o0DV3gv5RW6MJ_HaITIxc9M5G8o3</t>
  </si>
  <si>
    <t xml:space="preserve">https://uninorte.zoom.us/j/81665055575?pwd=UUF6SGtFckFuaDZlWEwyeU8rU2F5Zz09 </t>
  </si>
  <si>
    <t>GUN-11577</t>
  </si>
  <si>
    <t>Mujeres, racismo y la industria cinematográfica</t>
  </si>
  <si>
    <t>Un post con una visión interseccional acerca de las mujeres de distintas etnias dentro de la industria cinematográfica, teniendo en cuenta factores como la animación, la desigualdad salarial, y el maquillaje y peinado en los sets de filmación.</t>
  </si>
  <si>
    <t>GUN-11578</t>
  </si>
  <si>
    <t>Nomu Happy</t>
  </si>
  <si>
    <t>Actividad cuyo objetivo es generar un espacio ameno entre los miembros del grupo que les permita relajarse antes de los parciales finales.</t>
  </si>
  <si>
    <t xml:space="preserve"> https://uninorte.zoom.us/j/89300593674</t>
  </si>
  <si>
    <t>GUN-11579</t>
  </si>
  <si>
    <t>El destino del aborto en Colombia</t>
  </si>
  <si>
    <t>Una publicación informativa acerca del proceso de despenalización del aborto en Colombia y su importancia para las mujeres colombianas.</t>
  </si>
  <si>
    <t>GUN-11580</t>
  </si>
  <si>
    <t>Animalaton</t>
  </si>
  <si>
    <t>Felinorte ha sido invitado a una animalaton los días 20 y 21 de noviembre, en este evento se planea llevar a varios gatos bebés para dar en adopción y adicional un catálogo con todos los gatos adultos adoptables.</t>
  </si>
  <si>
    <t>GUN-11581</t>
  </si>
  <si>
    <t>Manejo de ansiedad y estrés</t>
  </si>
  <si>
    <t>Se tiene planeado dar una charla con ayuda de un miembro de bienestar sobre cómo manejar la ansiedad y el estrés.</t>
  </si>
  <si>
    <t>https://uninorte.zoom.us/j/84027449641</t>
  </si>
  <si>
    <t>GUN-11582</t>
  </si>
  <si>
    <t>GUN-11583</t>
  </si>
  <si>
    <t>Miguel Ángel Terán Romero, teranma@uninorte.edu.co</t>
  </si>
  <si>
    <t xml:space="preserve">Conferencia: Introducción a la mecánica computacional. </t>
  </si>
  <si>
    <t xml:space="preserve">Charla de 1 hora de duración en la que se presentará un introducción a la mecánica computacional, comenzando por sus inicios hasta las últimas novedades. </t>
  </si>
  <si>
    <t>https://drive.google.com/open?id=1uLdztIPNh9lF8HGF2el_lwAQspEstFZK</t>
  </si>
  <si>
    <t>https://uninorte.zoom.us/meeting/register/tZEtdOioqz0uH9xHOF2JI9-sipKH82ZItP_Y</t>
  </si>
  <si>
    <t>GUN-11584</t>
  </si>
  <si>
    <t>Sesión de yoga</t>
  </si>
  <si>
    <t>Se planea hacer una sesión de yoga con la ayuda de un miembro de bienestar.</t>
  </si>
  <si>
    <t>https://uninorte.zoom.us/j/84961812343</t>
  </si>
  <si>
    <t>GUN-11585</t>
  </si>
  <si>
    <t>CEIM HOLIDAY WEEK 2021: TALLER 4: CHRISTMAS LOOK</t>
  </si>
  <si>
    <t>TALLER DE AUTOMAQUILLAJE PARA LOOK DE NAVIDAD</t>
  </si>
  <si>
    <t>https://drive.google.com/open?id=1Rmwh3zi-cY2__QUjd6TNXhZ0Ef-ctEDV</t>
  </si>
  <si>
    <t xml:space="preserve"> https://uninorte.zoom.us/w/88446878149?tk=GfINsjb-QzY87a8ENtbB-WNKsJsVDPNGH2SjMdaOwEQ.DQMAAAAUl9hBxRZJeks3MkYwblNVNmRLWlVfYkhPTVpRAAAAAAAAAAAAAAAAAAAAAAAAAAAAAA&amp;pwd=VFBxSTlUQnBWOHM5eVJrWEl0dVJmdz09</t>
  </si>
  <si>
    <t>GUN-11586</t>
  </si>
  <si>
    <t>CEIM HOLIDAY WEEK 2021: EVENTO 5 PELICULA: HOHOMOVIE</t>
  </si>
  <si>
    <t>ZOOM PELICULA DE NAVIDAD</t>
  </si>
  <si>
    <t>https://uninorte.zoom.us/j/83952971626?pwd=RWYvc1JRYjR5aHU2eUtIWklXdW5Vdz09</t>
  </si>
  <si>
    <t>GUN-11587</t>
  </si>
  <si>
    <t>GUN-11588</t>
  </si>
  <si>
    <t>Space Exploration and Conquering: An Engineering Point of View: Blue Origin, Maxar Technologies</t>
  </si>
  <si>
    <t>Es una presentación breve que describe el funcionamiento/generalidades de la empresa Maxar Technologies y Blue Origin, oportunidades para ingenierios en esta empresa, proyecciones de la empresa etc. Posteriormente se espera que se comparta sobre el recorrido profesional del ponente, sus alcances en la empresa, su trayecto dentro de la industria y un mensaje de empoderamiento para los estudiantes asistentes.</t>
  </si>
  <si>
    <t>https://drive.google.com/open?id=1YEEf8go7l2QPxVrgicEBL0avctLtzZ7Q</t>
  </si>
  <si>
    <t>https://www.google.com/url?q=https://uninorte.zoom.us/j/87027327062&amp;sa=D&amp;source=calendar&amp;ust=1637769697671647&amp;usg=AOvVaw1kD49QqHnmuGufdFl__GLL</t>
  </si>
  <si>
    <t>GUN-11589</t>
  </si>
  <si>
    <t>CEIM HOLIDAY WEEK: TALLER 1: NAVIDAD ACUARELEABLE</t>
  </si>
  <si>
    <t>TALLER DE DISEÑO DE TARJETAS DE NAVIDAD(FLORES)</t>
  </si>
  <si>
    <t>https://drive.google.com/open?id=1A_MZnhlPwUJCTIispwx0tv79C3W4lpGK</t>
  </si>
  <si>
    <t>https://uninorte.zoom.us/w/84567915306?tk=y0YLOr23rL-8DW52z-NAFRWsm0AG5dStLoDCV-oBHf4.DQMAAAATsKP7KhZSYUluWWM3NFNRdVhYT1JLLWJxNVpnAAAAAAAAAAAAAAAAAAAAAAAAAAAAAA&amp;pwd=eTRRMTgwVUxkV0ppMHJtOHBSeW1TUT09#success</t>
  </si>
  <si>
    <t>GUN-11590</t>
  </si>
  <si>
    <t>CEIM holiday week: TALLER 2: Let’s cookie</t>
  </si>
  <si>
    <t xml:space="preserve">Taller de repostería: Galletas de navidad </t>
  </si>
  <si>
    <t>https://drive.google.com/open?id=1ZWj1VLsZUZPyWK2e9f5L684e-yJTWwQs</t>
  </si>
  <si>
    <t>https://uninorte.zoom.us/w/83688479116?tk=soEK7Xq9u5BkE5XnKUNjm8UfvjaPBFM0Rqq9ZRNPQ4c.DQMAAAATfDjZjBZjWWR1dkRFUVI4eTR0ZW0yaVRZc1p3AAAAAAAAAAAAAAAAAAAAAAAAAAAAAA&amp;pwd=aWdtbzBydDh5WUlKQjZYMG5GNEJoQT09</t>
  </si>
  <si>
    <t>GUN-11591</t>
  </si>
  <si>
    <t>Visita industrial a PANADERÍA LA FRONTERA</t>
  </si>
  <si>
    <t>En este evento se llevarán 9 estudiantes acompañados de un profesor en donde se realiazará un recorrido presencial a las instalaciones y conocer el proceso de producción de la planta</t>
  </si>
  <si>
    <t>GUN-11592</t>
  </si>
  <si>
    <t>Visita industrial a panadería la frontera</t>
  </si>
  <si>
    <t>En este evento llevaremos a 9 estudiantes incluyendo a un profesor para conocer los procesos de manufactura de la empresa</t>
  </si>
  <si>
    <t>GUN-11593</t>
  </si>
  <si>
    <t>ll Torneo de debate - Semifinal</t>
  </si>
  <si>
    <t>Semifinal del segundo torneo de debate - sesión 5: Experimentación en Seres humanos: ¿Necesario para el desarrollo o aberración científica?</t>
  </si>
  <si>
    <t>https://drive.google.com/open?id=1Jxh_hQ6xBjxsd7oIZy9XR0ZY4XADMBTm</t>
  </si>
  <si>
    <t>https://uninorte.zoom.us/j/89877810901?pwd=TzB2MHcxTk16aE5zRytzZzRhekp1Zz09</t>
  </si>
  <si>
    <t>aprobado</t>
  </si>
  <si>
    <t>GUN-11594</t>
  </si>
  <si>
    <t xml:space="preserve">ll Torneo de Debate </t>
  </si>
  <si>
    <t xml:space="preserve">Segundo Torneo de debate - Sesión final: Subsidios: ¿herramienta para el desarrollo o un ancla para la pobreza? 
</t>
  </si>
  <si>
    <t>https://drive.google.com/open?id=1Yxiba8PqJrY-cx3wZRoeV3Ri_JNfqJoL</t>
  </si>
  <si>
    <t>https://uninorte.zoom.us/j/81239402828?pwd=bDloRlltS0xWOXkwN0pnT0Ywd2lMQT09</t>
  </si>
  <si>
    <t>GUN-11595</t>
  </si>
  <si>
    <t>Las ONG's y su importancia en las migraciones</t>
  </si>
  <si>
    <t xml:space="preserve">Espacio creado para capacitarnos sobre el funcionamiento de las Organizaciones No Gubernamentales, y su incidencia en la sociedad civil, haciendo énfasis en el caso de las migraciones. </t>
  </si>
  <si>
    <t>https://drive.google.com/open?id=1omn2KtRbKsz0sYBkJYvLLw9HOuYsizWQ</t>
  </si>
  <si>
    <t xml:space="preserve"> https://meet.google.com/xae-faej-fbg</t>
  </si>
  <si>
    <t>GUN-11596</t>
  </si>
  <si>
    <t>lfamador@uninorte.edu.co</t>
  </si>
  <si>
    <t>Una Ingeniera que deja su huella en el espacio</t>
  </si>
  <si>
    <t>Conoce a la Dra. Bonnie Prado, ingeniera astrodinámica para la compañía espacial LeoLabs en California, donde desarrolla algoritmos para evitar colisiones entre satélites en órbitas muy cercanas a la tierra.</t>
  </si>
  <si>
    <t>https://drive.google.com/open?id=10e-1cUEyFO4iKgFKTaCdIWjE4Wr_tpIz</t>
  </si>
  <si>
    <t>https://uninorte.zoom.us/meeting/register/tZ0lcOquqTIvGtCxFy8Ow-c0fBJHu5g2owss</t>
  </si>
  <si>
    <t>GUN-11597</t>
  </si>
  <si>
    <t>Jóvenes Ingenieras: Motor del cambio</t>
  </si>
  <si>
    <t>Se mostrará cómo ha sido la experiencia de mujeres ingenieras recién graduadas, desde el momento en que empezaron a estudiar su carrera hasta su vida laboral actualmente.</t>
  </si>
  <si>
    <t>https://drive.google.com/open?id=1huyr4S6kQ02OR4uBqqeCQ1kqrzUoHkEe</t>
  </si>
  <si>
    <t xml:space="preserve">https://uninorte.zoom.us/meeting/register/tZIocuGrqTkvHdDCJ8vYX2yrdpEAkKUrIZjN </t>
  </si>
  <si>
    <t>GUN-11598</t>
  </si>
  <si>
    <t>https://drive.google.com/open?id=1tRoKHgmzyGIDGa4qDCQLMLq_5fFSWL-m</t>
  </si>
  <si>
    <t xml:space="preserve"> https://uninorte.zoom.us/meeting/register/tZ0lcOquqTIvGtCxFy8Ow-c0fBJHu5g2owss </t>
  </si>
  <si>
    <t>GUN-11599</t>
  </si>
  <si>
    <t xml:space="preserve">Panel liderado por 4 grupos estudiantiles en el que participarán jóvenes ingenieras con experiencia laboral. En este evento se harán preguntas a las participantes acerca de su rol como ingenieras durante la carrera y su vida profesional. El objetivo es reforzar el rol de la mujer en las carreras STEM. </t>
  </si>
  <si>
    <t>https://drive.google.com/open?id=1YUpvbfwdjm3JgMoqh-_389_Y_H8XOZRZ</t>
  </si>
  <si>
    <t>https://uninorte.zoom.us/meeting/register/tZIocuGrqTkvHdDCJ8vYX2yrdpEAkKUrIZjN</t>
  </si>
  <si>
    <t>GUN-11600</t>
  </si>
  <si>
    <t>Prueba</t>
  </si>
  <si>
    <t>Prueba correo</t>
  </si>
  <si>
    <t>Meet</t>
  </si>
  <si>
    <t>GUN-11601</t>
  </si>
  <si>
    <t>Prisioneros palestinos en cárceles israelíes: un enfoque de género.</t>
  </si>
  <si>
    <t>En este evento realizado en conjunto con el grupo estudiantil CERI y en compañía de Alicia Alonso, será acerca de los prisioneros palestinos en cárceles israelíes visto desde una perspectiva de género. Consideramos que tanto para las Relaciones Internacionales como para los feminismos este tema es de suma importancia.</t>
  </si>
  <si>
    <t>https://drive.google.com/open?id=1eac94ix1slJXfRO2YLpFfKxlM4glkY_4</t>
  </si>
  <si>
    <t>https://meet.google.com/fju-uauf-dvp?hs=224</t>
  </si>
  <si>
    <t>GUN-11602</t>
  </si>
  <si>
    <t>Prisioneros palestinos en cárceles israelíes: un enfoque de género</t>
  </si>
  <si>
    <t xml:space="preserve">Desde CERI y FeminUn, pensado desde un enfoque de genero, hablaremos sobre la problemática de lxs prisionerxs palestinos en cárceles israelíes. </t>
  </si>
  <si>
    <t>https://drive.google.com/open?id=1LMCPjB8jXC1AQ5WH07EhlMd-e0FZ__ef</t>
  </si>
  <si>
    <t>https://meet.google.com/fju-uauf-dvp?pli=1&amp;authuser=1</t>
  </si>
  <si>
    <t>GUN-11603</t>
  </si>
  <si>
    <t>Sharon Andrea Vareo Martínez, svarelo@uninorte.edu.co, 3008854432</t>
  </si>
  <si>
    <t>Integración de final de semestre</t>
  </si>
  <si>
    <t>Integración de final de semestre.</t>
  </si>
  <si>
    <t>https://uninorte.zoom.us/j/85940516757?pwd=WWNVV2w2RjVEUEkya09uV1BveVA1Zz09</t>
  </si>
  <si>
    <t>GUN-11604</t>
  </si>
  <si>
    <t>Space Exploration and Conquering: An Engineering Point of View (Virgin Galactic)</t>
  </si>
  <si>
    <t xml:space="preserve">This session will be a one-hour space in which you will be able to share your experience in the industry through a presentation, which consists of a brief description of your road up to this point, what challenges both you as an engineer and the company itself face right now relative to space conquering and what is there to come both in the near and far future. Finally, there will be a few minutes to answer a couple of questions from the audience.   </t>
  </si>
  <si>
    <t>https://drive.google.com/open?id=1cXhWxxdri0SqmgzaQlT9R3VlbYqmNONk</t>
  </si>
  <si>
    <t>https://uninorte.zoom.us/j/86520771676</t>
  </si>
  <si>
    <t>GUN-11605</t>
  </si>
  <si>
    <t>Mariana Carolina Campo Almazo, almazom@unninorte.edu.co, 1001780889</t>
  </si>
  <si>
    <t>CEIM HOLIDAY SEASON 2021: TALLER 3: TALLER LETTERING</t>
  </si>
  <si>
    <t>TALLER DE LETTERING</t>
  </si>
  <si>
    <t>https://drive.google.com/open?id=1frubAtkPgL_S79qZgymSPW1mtEY_0ewB</t>
  </si>
  <si>
    <t>https://uninorte.zoom.us/meeting/register/tZUtdeChpzotGdVsJ9Df00bC6X0pfnvNk5Z5</t>
  </si>
  <si>
    <t>GUN-11606</t>
  </si>
  <si>
    <t>Clausura CEIM 2021-30</t>
  </si>
  <si>
    <t>Clausura semestral para reconocer a los miembros destacados de cada división</t>
  </si>
  <si>
    <t>GUN-11607</t>
  </si>
  <si>
    <t xml:space="preserve">TikTok 5 cosas que todo estudiante de ingenieria mecanica deberia saber </t>
  </si>
  <si>
    <t xml:space="preserve">Video en la plataforma Tik Tok que dice 5 curiosidades sobre la carrera </t>
  </si>
  <si>
    <t>https://vm.tiktok.com/ZM8tNhmau/</t>
  </si>
  <si>
    <t>GUN-11608</t>
  </si>
  <si>
    <t>Certificaciones de SolidWorks</t>
  </si>
  <si>
    <t>Certificaciones apoyadas por el Comité de Estudiantes de Ingeniería Mecánica para acreditar las competencias de los estudiantes en el programa de SolidWorks</t>
  </si>
  <si>
    <t>GUN-11609</t>
  </si>
  <si>
    <t>Navidad Ceim JD 2021</t>
  </si>
  <si>
    <t>Cena de navidad entre los miembros de la junta directiva</t>
  </si>
  <si>
    <t>GUN-11610</t>
  </si>
  <si>
    <t>Reunión Junta Directiva CEIM</t>
  </si>
  <si>
    <t>Espacio donde la junta directiva discute eventos y planes a futuro para le grupo estudiantil.</t>
  </si>
  <si>
    <t>GUN-11611</t>
  </si>
  <si>
    <t>Feli-rifa</t>
  </si>
  <si>
    <t>Se realizó una rifa con el fin de recaudar fondos para las futuras emergencias veterinarianas que puedan haber.</t>
  </si>
  <si>
    <t>GUN-11612</t>
  </si>
  <si>
    <t>SL - Charla: Educación felina</t>
  </si>
  <si>
    <t>Se presentaran los resultados sobre la actividad investigativa realizada por miembros del dpto sobre "Educación Felina" para que todas las personas conozcan cuales son las mejores maneras de educar a sus gatitos y puedan entenderlos mejor.</t>
  </si>
  <si>
    <t>https://www.google.com/url?q=https://uninorte.zoom.us/j/88413516932?pwd%3DaXErTHg3azVXb0VNN2FweEhnTU1nZz09&amp;sa=D&amp;source=calendar&amp;ust=1640039759054049&amp;usg=AOvVaw0eU8luov9BnwAYo7LdFbTE</t>
  </si>
  <si>
    <t>GUN-11613</t>
  </si>
  <si>
    <t xml:space="preserve">Dear santa </t>
  </si>
  <si>
    <t>Fue un evento navideño con el fin de conseguir donaciones para los gatitos que las necesitaran para procesos veterinarios u apadrinamientos entre otros.</t>
  </si>
  <si>
    <t>GUN-11614</t>
  </si>
  <si>
    <t>gruposestudiantiles@uninorte.edu.co</t>
  </si>
  <si>
    <t>MAESTROS DE VIDA</t>
  </si>
  <si>
    <t>Esto es una solicitud de prueba, lrabelo@uninorte.edu.co, 3007141242</t>
  </si>
  <si>
    <t>Solicitud de prueba</t>
  </si>
  <si>
    <t>https://drive.google.com/open?id=19g4p1F3R845P-T-kbH-slqyNpZ9QHTK50qlNCb8b3C8</t>
  </si>
  <si>
    <t>GUN-11615</t>
  </si>
  <si>
    <t>SGA UNINORTE</t>
  </si>
  <si>
    <t>XI Limpieza de Playas</t>
  </si>
  <si>
    <t>Por undécima vez, la Universidad del Norte a través de la Dirección de Sostenibilidad Ambiental y el Departamento de Ingeniería Civil y Ambiental organiza una Limpieza de Playas en Punta Roca, Salgar. Esta actividad tiene como fin sensibilizar a la comunidad universitaria y externa sobre el grado de contaminación de las playas, fomentando la acción colectiva para el reconocimiento de los impactos ambientales.</t>
  </si>
  <si>
    <t>25/09/2021 07.30:00</t>
  </si>
  <si>
    <t>25/09/2021 12.30:00</t>
  </si>
  <si>
    <t>GUN-11616</t>
  </si>
  <si>
    <t>GUN-11617</t>
  </si>
  <si>
    <t>GUN-11618</t>
  </si>
  <si>
    <r>
      <rPr/>
      <t xml:space="preserve">De parte de SIGHT🙌, EMBS🧠 y CEIM⚙️, te invitamos a conocer más sobre la inteligencia artificial en este viaje general a través de ella. Este 22 de febrero el Ing. Randy Consuegra hablará sobre aspectos generales de AI, Machine Learning y Deep Learning. ¡Te esperamos! Link de Meet: </t>
    </r>
    <r>
      <rPr>
        <color rgb="FF1155CC"/>
        <u/>
      </rPr>
      <t>https://meet.google.com/poc-cohf-afa</t>
    </r>
  </si>
  <si>
    <r>
      <rPr/>
      <t xml:space="preserve">✨  Charlemos con el Ingeniero Biomédico Pedro Villalba.  ✨
¿Te llama la atención la medicina y eres ingeniero?  ¿Alguna vez has pensado en enfocarte en Ingeniería Médica?  ¿Te has preguntado qué hay que hacer para ser Ingeniero Biomédico? ✅
Te invitamos a conocer cómo fue la experiencia del Ing. Pedro Villalba, quién se graduó del programa de Ing. Mecánica , y hoy es profesor del Departamento de Medicina , coordinador de Maestría en Ciencias Biomédicas  y parte del Grupo de Investigación en Biotecnología. Si tienes curiosidad, no te lo pierdas!!
📆 Fecha: Martes 16 de Febrero.
🕟 Hora: 4:30 p.m.
📌 Link: </t>
    </r>
    <r>
      <rPr>
        <color rgb="FF1155CC"/>
        <u/>
      </rPr>
      <t>https://uninorte.zoom.us/s/87674130956</t>
    </r>
  </si>
  <si>
    <r>
      <rPr/>
      <t xml:space="preserve">¿Te gustaría aprender a programar tu primer robot? 💻
El capítulo de Ras te invita a que hagas parte de nuestro primer taller de Webots. Este es un software de simulación donde hay diferentes tipos de robots, los cuales puedes programar para realizar diferentes funciones, además de ofrecer la posibilidad de alterar las físicas del mundo y mucho más. 
¡Anímate y atrévete a usar y configurar tu primer robot! 🕹️⚙️
Puedes ingresar desde este link: </t>
    </r>
    <r>
      <rPr>
        <color rgb="FF1155CC"/>
        <u/>
      </rPr>
      <t>https://meet.google.com/rtq-frse-ufg</t>
    </r>
  </si>
  <si>
    <r>
      <rPr/>
      <t xml:space="preserve">¡Buenos días, chicos! De parte de IAS en conjunto con EMBS le extendemos la invitación a participar en este espectacular evento el día Jueves 15 de Abril a las 9:30 A.M., en el cuál abordaremos la temática de procesamiento de señales a partir de inteligencia artificial y los distintos enfoques de aplicación de estas técnicas. 
¡Los esperamos!
Día: Jueves 15 de Abril
Hora: 9.30 A.M.
Enlace de la reunión: </t>
    </r>
    <r>
      <rPr>
        <color rgb="FF1155CC"/>
        <u/>
      </rPr>
      <t>https://uninorte.zoom.us/j/2018028267</t>
    </r>
  </si>
  <si>
    <r>
      <rPr/>
      <t xml:space="preserve">¡Buenos días, chicos! De parte de IAS te extendemos la invitación a nuestra maravillosa charla sobre ciertas emociones que podemos estar experimentando los estudiantes en estos semestres virtuales. Puede asistir cualquier estudiante de cualquier carrera este Viernes 23 de Abril a las 3:30P.M.
PONENTE: Jaime Andrés García Vilaró, psicólogo egresado Uninorte
¡Los esperamos!
Por el siguiente enlace: </t>
    </r>
    <r>
      <rPr>
        <color rgb="FF1155CC"/>
        <u/>
      </rPr>
      <t>https://meet.google.com/ire-qbqn-gcj?authuser=1</t>
    </r>
  </si>
  <si>
    <r>
      <rPr/>
      <t xml:space="preserve">¡Para!, es hora de expresarnos 📢📝✍️
Taller de asistencia psicológica 🤍
Tallerista: Daniela Rosero (psicóloga)
En este taller se tratará sobre ¿qué son los primeros auxilios psicológicos?, seguido de una actividad de meditación como forma de expresión de emociones; de este manera se creará un espacio seguro de escucha y sanación. Atrévete a conocerte y a ayudar a todas aquellas personas que pueden ser  afectadas por situaciones como la que estamos viviendo en Colombia actualmente.
Sábado 22 de mayo, 9: 00 a 10:30 am
Valor: gratis
Por Zoom 💙
Inscripción: </t>
    </r>
    <r>
      <rPr>
        <color rgb="FF1155CC"/>
        <u/>
      </rPr>
      <t>https://forms.gle/6D2SMqFiwjkZw5Di9</t>
    </r>
  </si>
  <si>
    <t>ID de la solicitud de evento</t>
  </si>
  <si>
    <t>Espacio solicitado</t>
  </si>
  <si>
    <t>Plataforma</t>
  </si>
  <si>
    <t>¿Que tipo de cuenta usara?</t>
  </si>
  <si>
    <t>Enlace virtual creado con el correo institucional del grupo o red o redes social en la cual se realizara la campaña  o evento virtual (Instagram, Facebook, Twitter)</t>
  </si>
  <si>
    <t>Reserva de recursos Audiovisuales</t>
  </si>
  <si>
    <t>¿Cuales recursos solicita?</t>
  </si>
  <si>
    <t>Cantidad</t>
  </si>
  <si>
    <t>¿Solicita reserva de recursos físicos?</t>
  </si>
  <si>
    <t>¿Que recursos solicita?</t>
  </si>
  <si>
    <t>Solicitud de ingreso de personal</t>
  </si>
  <si>
    <t>Recursos de papeleria</t>
  </si>
  <si>
    <t>Solicitud del pendón del grupo y la araña</t>
  </si>
  <si>
    <t>Recursos adicionales</t>
  </si>
  <si>
    <t>ESTADO</t>
  </si>
  <si>
    <t>ENVIAR CORREO</t>
  </si>
  <si>
    <t>Notas JOHANA</t>
  </si>
  <si>
    <t>Virtual (Meet, Zoom, entre otras)</t>
  </si>
  <si>
    <t>Google Meet</t>
  </si>
  <si>
    <t xml:space="preserve">https://meet.google.com/sea-mfmj-huc </t>
  </si>
  <si>
    <t>Compartir la información en redes sociales</t>
  </si>
  <si>
    <t xml:space="preserve">Las actividades de la Feria no tendrán promoción en un lugar diferente a la página web, estas serán ubicadas en un panel de programación de actividades de grupos en el stand virtual determinado para Grupos Estudiantiles </t>
  </si>
  <si>
    <t>Salón de clases</t>
  </si>
  <si>
    <t>https://drive.google.com/open?id=1aK3WurgNLrh5AbPVVUagjmzKc70mPktl</t>
  </si>
  <si>
    <t>Una mesa y una silla dentro del salón donde el profesor pueda dar la charla con facilidad</t>
  </si>
  <si>
    <t>Por el momento no se están gestionando recursos físicos</t>
  </si>
  <si>
    <t>Redes sociales</t>
  </si>
  <si>
    <t>Instagram</t>
  </si>
  <si>
    <t>Instagram de CESG, Green Generation, Volta, Aneiap e IEEE</t>
  </si>
  <si>
    <t>Para finalizar la semana de la energía queremos realizar una dinámica para generar conciencia en los universitarios acerca de que tan importante es la energía para ellos. La idea es realizar una apagaton por el planeta, 15 mins durante los cuales los participantes a luz de vela nos cuenten en video como creerían que sería su vida sin electricidad y como creen que es la vida de esas personas en el mundo que aún no cuentan con acceso a esta. La idea se está realizando con el profesor Gustavo Espitia, del departamento de energía eléctrica y electrónica, para que mediante sus clases proponga a sus alumnos realizar la dinámica. Queremos (hablando en referente a todos los grupos organizadores) que ellos etiqueten a @bienestaruninorte y @emasuninorte para que publiquen sus testimonios como historia y dar mejor visibilidad. De la misma manera en conjunto con bienestar, el profesor Gustavo y un representante de nuestros grupos, elegir al mejor testimonio en torno originalidad, calidad de la reflexión y ambientación, premiándolo con algún premio de bonos Dunord. Todo esto tanto para incentivar a más estudiantes a participar como para premiar al mejor de los participantes.</t>
  </si>
  <si>
    <t>@ceimuninorte</t>
  </si>
  <si>
    <t>Requerimos apoyo con la difusión de este evento mediante sus redes sociales (sobre todo Instagram)</t>
  </si>
  <si>
    <t>Será difundido a partir del lunes, día en el que se acostumbra a publicar agenda de grupos en las redes de Bienestar</t>
  </si>
  <si>
    <t>Zoom</t>
  </si>
  <si>
    <t>Cuenta independiente</t>
  </si>
  <si>
    <t>Instagram: pangeaglobalUN</t>
  </si>
  <si>
    <t xml:space="preserve">1. Bonos dunord: 3 bonos de 25.000 cada uno 
2. Patrocinio por parte de Bienestar para el bingo (donación de productos) </t>
  </si>
  <si>
    <t>Los bonos fueron enviados a su correo electronico</t>
  </si>
  <si>
    <t xml:space="preserve">GUN-10211 </t>
  </si>
  <si>
    <t>https://meet.google.com/xwt-ktcx-wio</t>
  </si>
  <si>
    <t>Recibido</t>
  </si>
  <si>
    <t>https://meet.google.com/rwt-wzbh-bom</t>
  </si>
  <si>
    <t>https://instagram.com/cdiep_uninorte?igshid=g9fpvprbyyzq</t>
  </si>
  <si>
    <t>Pasillos del L</t>
  </si>
  <si>
    <t>SI</t>
  </si>
  <si>
    <t>Equipo de grabación</t>
  </si>
  <si>
    <t>Si</t>
  </si>
  <si>
    <t>El equipo de grabación no es mandatario conseguirlo, si no los pueden facilitar seria de gran ayuda para grabar una buena toma con nuestro equipo de comunicadoras. Lo que si necesitamos encarecidamente es el pendón del grupo para dar una muestra de la imagen del grupo. Muchas gracias de antemano</t>
  </si>
  <si>
    <t>Por el momento no se están gestionando recursos físicos, ni espacio para actividades presenciales. Ustedes como estudiantes pueden acceder a la universidad teniendo en cuenta los protocolos de bioseguridad que esta maneja y en los espacios permitidos, sin embargo desde Bienestar Universitario no está habilitada esta gestión.</t>
  </si>
  <si>
    <t xml:space="preserve">GUN-10374 </t>
  </si>
  <si>
    <t>https://instagram.com/stories/gg_uninorte/2530047698186087793?utm_source=ig_story_item_share&amp;igshid=1inyor35okfv4</t>
  </si>
  <si>
    <t xml:space="preserve">Difusión en redes sociales. </t>
  </si>
  <si>
    <t>YouTube</t>
  </si>
  <si>
    <t>@agoraeconomica (Twitter) https://twitter.com/AgoraEconomica @agorauninorte (Instagram) https://www.instagram.com/agorauninorte/  @economia_uninorte (Instagram) https://www.instagram.com/economia_uninorte/</t>
  </si>
  <si>
    <t>https://drive.google.com/open?id=1VxEbm2FrWLec6CrN6V4fr-7izeKPiMk9</t>
  </si>
  <si>
    <t xml:space="preserve">Canal Uninorte Académico Youtube </t>
  </si>
  <si>
    <t>La solicitud fue aprobada por parte de los encargados del Canal Uninorte Académico</t>
  </si>
  <si>
    <t>lurangelyu@uninorte.edu.co</t>
  </si>
  <si>
    <t xml:space="preserve">https://meet.google.com/rez-gkaq-fse </t>
  </si>
  <si>
    <t>https://meet.google.com/rez-gkaq-fse</t>
  </si>
  <si>
    <t>https://www.instagram.com/gg_uninorte/</t>
  </si>
  <si>
    <t xml:space="preserve">Al ser una publicación en sus redes, porfavor etiquetar a Bienestar Universitario para así repostear su vídeo </t>
  </si>
  <si>
    <t>Cuenta institucional de grupos estudiantiles</t>
  </si>
  <si>
    <t>Bonos de Du Nord por $20000: 3, se sortearán al final de cada día del simposio del transporte.</t>
  </si>
  <si>
    <t xml:space="preserve">Los bonos están siendo gestionados, esto puede tardar unos días, una vez los recibamos se los haremos llegar a tráves del correo electronico. </t>
  </si>
  <si>
    <t>Bonos de Du Nord por $50000: 1, será el premio al ganador de un concurso de señales de tránsitos.</t>
  </si>
  <si>
    <t xml:space="preserve">Premios para los dos ganadores del concurso. </t>
  </si>
  <si>
    <t xml:space="preserve">Estimado grupo, ¿qué clase de premio es el que se solicita? Tengan en cuenta que debido a la contingencia por Covid-19, no se tramitarán recursos físicos, por el momento solo se procesan las solicitudes de Bonos de Du Nord como premios. </t>
  </si>
  <si>
    <t>https://uninorte.zoom.us/j/84581970178?pwd=NkM1c2hqVCtmbk8rSHYxeU5qUmJ0UT09</t>
  </si>
  <si>
    <t>https://meet.google.com/agz-wnwj-csg</t>
  </si>
  <si>
    <t>https://meet.google.com/zsh-jhch-bpo</t>
  </si>
  <si>
    <t>https://meet.google.com/bsw-nvkp-qiy</t>
  </si>
  <si>
    <t>https://uninorte.zoom.us/j/81199689072?pwd=TVdDSHFPQ3F4Y2o5L1RETUN0RE1wdz09</t>
  </si>
  <si>
    <t>Difusión en redes</t>
  </si>
  <si>
    <t xml:space="preserve">Las difusiones de la semana se realizan los días lunes, por lo que no podremos difundir esta. </t>
  </si>
  <si>
    <t>YouTube Académico.</t>
  </si>
  <si>
    <t>https://www.instagram.com/agorauninorte/</t>
  </si>
  <si>
    <t>NR</t>
  </si>
  <si>
    <t>https://meet.google.com/svc-touw-zwk</t>
  </si>
  <si>
    <t>1. 23 Bonos Du Nord por el valor de 25.000 cada uno. 2. 23 camisetas del grupo con el diseño por definir. </t>
  </si>
  <si>
    <t>Gestionados</t>
  </si>
  <si>
    <t>-</t>
  </si>
  <si>
    <t>Se tuvo una reunión para responder a la solicitud</t>
  </si>
  <si>
    <t>Certificados de participación a asistentes</t>
  </si>
  <si>
    <t>No es un espacio, es el pendón de Felinorte</t>
  </si>
  <si>
    <t>Facebook</t>
  </si>
  <si>
    <t>Aún no está listo</t>
  </si>
  <si>
    <t xml:space="preserve">Este será entregado el día lunes en horas de la mañana antes de la grabación, sin embargo se encuentra sujeto a disponibilidad ya que no podemos asegurar el buen aspecto de los materiales debido a que no han sido utilizados en más de un año. </t>
  </si>
  <si>
    <t>mgcastillo@uninorte.edu.co</t>
  </si>
  <si>
    <t>Mesas en frente de los laboratorios</t>
  </si>
  <si>
    <t>youtube</t>
  </si>
  <si>
    <t>Aún no está</t>
  </si>
  <si>
    <t>Ipad</t>
  </si>
  <si>
    <t>Si es posible, 2</t>
  </si>
  <si>
    <t>Discord</t>
  </si>
  <si>
    <t>Varios Canales</t>
  </si>
  <si>
    <t>2 Bonos de Dunord de $20000</t>
  </si>
  <si>
    <t xml:space="preserve">5 bonos du Nord de 50.000 pesos </t>
  </si>
  <si>
    <t>Computador, Video Beam con telón, Amplificación (bafle y micrófono), Micrófono, Cámara</t>
  </si>
  <si>
    <t>Uno de cada uno, solicitud para un salón adaptado para clases bimodales.</t>
  </si>
  <si>
    <t>Estimado grupo, por le momento este recurso no es posible solicitarlo debido a que todas las reuniones deben hacerse virtual.</t>
  </si>
  <si>
    <t>Un espacio dentro del boletín de la universidad en el que se de a conocer este grupo de eventos preparados por el grupo.</t>
  </si>
  <si>
    <t xml:space="preserve">Mención el el boletín universitario sobre el grupo de eventos que uninorte diverso realizará del 7 al 11 de septiembre. </t>
  </si>
  <si>
    <t>Estimado grupo que evento seria el que desean publicar para realizar la gestion.</t>
  </si>
  <si>
    <t>El enlace de zoom será creado con cuenta independiente</t>
  </si>
  <si>
    <t>Bonos dunord: 4 bonos de $25.000 cada uno</t>
  </si>
  <si>
    <t>Computador, Video Beam con telón</t>
  </si>
  <si>
    <t>Computador: 1; Video beam:1</t>
  </si>
  <si>
    <t>Estimado grupo, por el momento solo se estan realizando  activdades virtuales razon por la cual no es posible la reservacion del salon declases</t>
  </si>
  <si>
    <t>No.</t>
  </si>
  <si>
    <t>Premio para regalar en la actividad "All Hallow's gala".</t>
  </si>
  <si>
    <t>Estimado grupo, qu etipo de premio solicitan?</t>
  </si>
  <si>
    <t>Youtube</t>
  </si>
  <si>
    <t>Youtube: Grupo Estudiantil PANGEA</t>
  </si>
  <si>
    <t>3 bonos dunord de $25.000</t>
  </si>
  <si>
    <t>ID DE SOLICITUD:</t>
  </si>
  <si>
    <t>Nombre del grupo estudiantil</t>
  </si>
  <si>
    <t>Reporte de documentación PUNTOS (MANUAL)</t>
  </si>
  <si>
    <t>Plan de formación PUNTOS (MANUAL)</t>
  </si>
  <si>
    <t>Alianzas y convenios PUNTOS (MANUAL)</t>
  </si>
  <si>
    <t>Actividades internas SUM/MAX</t>
  </si>
  <si>
    <t>Actividades internas PUNTOS</t>
  </si>
  <si>
    <t>Evento abierto SUM/MAX</t>
  </si>
  <si>
    <t>Evento abierto PUNTOS</t>
  </si>
  <si>
    <t>Capacitaciones SUM/MAX</t>
  </si>
  <si>
    <t>Capacitaciones PUNTOS</t>
  </si>
  <si>
    <t>Campañas en redes sociales SUM/MAX</t>
  </si>
  <si>
    <t>Campañas en redes sociales PUNTOS</t>
  </si>
  <si>
    <t>Publicaciones SUM/MAX</t>
  </si>
  <si>
    <t>Publicaciones PUNTOS</t>
  </si>
  <si>
    <t>Proyecto de intervención social SUM/MAX</t>
  </si>
  <si>
    <t>Proyecto de intervención social PUNTOS</t>
  </si>
  <si>
    <t>Eventos masivos SUM/MAX</t>
  </si>
  <si>
    <t>Eventos masivos PUNTOS</t>
  </si>
  <si>
    <t>Eventos institucionales SUM/MAX</t>
  </si>
  <si>
    <t>Eventos institucionales PUNTOS</t>
  </si>
  <si>
    <t>Eventos de Bienestar Universitario SUM/MAX</t>
  </si>
  <si>
    <t>Eventos de Bienestar Universitario PUNTOS</t>
  </si>
  <si>
    <t>Invitados locales (CANTIDAD DE EVENTOS)</t>
  </si>
  <si>
    <t>Invitados nacionales (CANTIDAD DE EVENTOS)</t>
  </si>
  <si>
    <t>Invitados internacionales (CANTIDAD DE EVENTOS)</t>
  </si>
  <si>
    <t>PUNTOS POR INVITADOS (MANUAL)</t>
  </si>
  <si>
    <t>Solicitudes retrazadas</t>
  </si>
  <si>
    <t>Solicitudes DENEGADAS</t>
  </si>
  <si>
    <t>TOTAL PUNTOS</t>
  </si>
  <si>
    <t>CATEGORIA</t>
  </si>
  <si>
    <t>ACEU</t>
  </si>
  <si>
    <t>ACM Student Chapter</t>
  </si>
  <si>
    <t>AIESEC</t>
  </si>
  <si>
    <t>Porcentajes de corte</t>
  </si>
  <si>
    <t>Puntos</t>
  </si>
  <si>
    <t>INTERPRETACIÓN</t>
  </si>
  <si>
    <t>ENTRE</t>
  </si>
  <si>
    <t>INACTIVO</t>
  </si>
  <si>
    <t>ROBLE MORADO</t>
  </si>
  <si>
    <t>ROBLE ROSADO</t>
  </si>
  <si>
    <t>ROBLE AMARILLO</t>
  </si>
  <si>
    <t>Maximos de puntos</t>
  </si>
  <si>
    <t>CEIM</t>
  </si>
  <si>
    <t>COMITÉ JURIDICO</t>
  </si>
  <si>
    <t>GEIFA</t>
  </si>
  <si>
    <t>GO</t>
  </si>
  <si>
    <t>MOVIMIENTO POETICO</t>
  </si>
  <si>
    <t>SCG</t>
  </si>
  <si>
    <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</si>
</sst>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M/yyyy H:mm:ss"/>
    <numFmt numFmtId="165" formatCode="m/d/yyyy h:mm:ss"/>
    <numFmt numFmtId="166" formatCode="dd/mm/yyyy h:mm:ss"/>
    <numFmt numFmtId="167" formatCode="d&quot;/&quot;mmm&quot;/&quot;yyyy&quot; &quot;h&quot;:&quot;mm&quot; &quot;am/pm"/>
  </numFmts>
  <fonts count="23">
    <font>
      <sz val="10.0"/>
      <color rgb="FF000000"/>
      <name val="Arial"/>
      <scheme val="minor"/>
    </font>
    <font>
      <b/>
      <sz val="11.0"/>
      <color rgb="FF000000"/>
      <name val="Inconsolata"/>
    </font>
    <font>
      <b/>
      <color theme="1"/>
      <name val="Arial"/>
      <scheme val="minor"/>
    </font>
    <font>
      <b/>
      <color theme="1"/>
      <name val="Arial"/>
    </font>
    <font>
      <b/>
      <sz val="11.0"/>
      <color rgb="FF7E3794"/>
      <name val="Arial"/>
    </font>
    <font>
      <b/>
      <sz val="11.0"/>
      <color rgb="FF11A9CC"/>
      <name val="Arial"/>
    </font>
    <font>
      <color theme="1"/>
      <name val="Arial"/>
      <scheme val="minor"/>
    </font>
    <font>
      <color theme="1"/>
      <name val="Arial"/>
    </font>
    <font>
      <u/>
      <color rgb="FF0000FF"/>
    </font>
    <font>
      <u/>
      <color rgb="FF0000FF"/>
    </font>
    <font>
      <u/>
      <color rgb="FF1155CC"/>
    </font>
    <font>
      <u/>
      <color rgb="FF0000FF"/>
    </font>
    <font>
      <u/>
      <color rgb="FF1155CC"/>
    </font>
    <font>
      <sz val="11.0"/>
      <color theme="1"/>
      <name val="Arial"/>
      <scheme val="minor"/>
    </font>
    <font>
      <u/>
      <sz val="11.0"/>
      <color rgb="FF1155CC"/>
    </font>
    <font>
      <color rgb="FF000000"/>
      <name val="Arial"/>
    </font>
    <font>
      <sz val="11.0"/>
      <color rgb="FF000000"/>
      <name val="Inconsolata"/>
    </font>
    <font>
      <b/>
      <sz val="10.0"/>
      <color theme="1"/>
      <name val="Arial"/>
    </font>
    <font>
      <sz val="11.0"/>
      <color theme="1"/>
      <name val="Inconsolata"/>
    </font>
    <font/>
    <font>
      <sz val="11.0"/>
      <color rgb="FF4285F4"/>
      <name val="Inconsolata"/>
    </font>
    <font>
      <sz val="11.0"/>
      <color theme="0"/>
      <name val="Inconsolata"/>
    </font>
    <font>
      <color theme="0"/>
      <name val="Arial"/>
      <scheme val="minor"/>
    </font>
  </fonts>
  <fills count="18">
    <fill>
      <patternFill patternType="none"/>
    </fill>
    <fill>
      <patternFill patternType="lightGray"/>
    </fill>
    <fill>
      <patternFill patternType="solid">
        <fgColor rgb="FFFFFFFF"/>
        <bgColor rgb="FFFFFFFF"/>
      </patternFill>
    </fill>
    <fill>
      <patternFill patternType="solid">
        <fgColor rgb="FFE6B8AF"/>
        <bgColor rgb="FFE6B8AF"/>
      </patternFill>
    </fill>
    <fill>
      <patternFill patternType="solid">
        <fgColor rgb="FFD597FF"/>
        <bgColor rgb="FFD597FF"/>
      </patternFill>
    </fill>
    <fill>
      <patternFill patternType="solid">
        <fgColor rgb="FFFF00FF"/>
        <bgColor rgb="FFFF00FF"/>
      </patternFill>
    </fill>
    <fill>
      <patternFill patternType="solid">
        <fgColor rgb="FF00FFFF"/>
        <bgColor rgb="FF00FFFF"/>
      </patternFill>
    </fill>
    <fill>
      <patternFill patternType="solid">
        <fgColor rgb="FFFFFF00"/>
        <bgColor rgb="FFFFFF00"/>
      </patternFill>
    </fill>
    <fill>
      <patternFill patternType="solid">
        <fgColor rgb="FFF4CCCC"/>
        <bgColor rgb="FFF4CCCC"/>
      </patternFill>
    </fill>
    <fill>
      <patternFill patternType="solid">
        <fgColor rgb="FF00FF00"/>
        <bgColor rgb="FF00FF00"/>
      </patternFill>
    </fill>
    <fill>
      <patternFill patternType="solid">
        <fgColor rgb="FF000000"/>
        <bgColor rgb="FF000000"/>
      </patternFill>
    </fill>
    <fill>
      <patternFill patternType="solid">
        <fgColor rgb="FFFF9900"/>
        <bgColor rgb="FFFF9900"/>
      </patternFill>
    </fill>
    <fill>
      <patternFill patternType="solid">
        <fgColor rgb="FFFF0000"/>
        <bgColor rgb="FFFF0000"/>
      </patternFill>
    </fill>
    <fill>
      <patternFill patternType="solid">
        <fgColor rgb="FFEA9999"/>
        <bgColor rgb="FFEA9999"/>
      </patternFill>
    </fill>
    <fill>
      <patternFill patternType="solid">
        <fgColor rgb="FFEA4335"/>
        <bgColor rgb="FFEA4335"/>
      </patternFill>
    </fill>
    <fill>
      <patternFill patternType="solid">
        <fgColor rgb="FF7E3794"/>
        <bgColor rgb="FF7E3794"/>
      </patternFill>
    </fill>
    <fill>
      <patternFill patternType="solid">
        <fgColor rgb="FFF180CC"/>
        <bgColor rgb="FFF180CC"/>
      </patternFill>
    </fill>
    <fill>
      <patternFill patternType="solid">
        <fgColor rgb="FFFBBC04"/>
        <bgColor rgb="FFFBBC04"/>
      </patternFill>
    </fill>
  </fills>
  <borders count="8">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82">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0" fontId="2" numFmtId="0" xfId="0" applyAlignment="1" applyFont="1">
      <alignment shrinkToFit="0" wrapText="1"/>
    </xf>
    <xf borderId="0" fillId="0" fontId="2" numFmtId="164" xfId="0" applyAlignment="1" applyFont="1" applyNumberFormat="1">
      <alignment shrinkToFit="0" wrapText="1"/>
    </xf>
    <xf borderId="0" fillId="0" fontId="2" numFmtId="0" xfId="0" applyAlignment="1" applyFont="1">
      <alignment readingOrder="0" shrinkToFit="0" wrapText="1"/>
    </xf>
    <xf borderId="0" fillId="0" fontId="3" numFmtId="0" xfId="0" applyAlignment="1" applyFont="1">
      <alignment shrinkToFit="0" vertical="bottom" wrapText="1"/>
    </xf>
    <xf borderId="0" fillId="0" fontId="4" numFmtId="0" xfId="0" applyAlignment="1" applyFont="1">
      <alignment shrinkToFit="0" vertical="bottom" wrapText="1"/>
    </xf>
    <xf borderId="0" fillId="0" fontId="4" numFmtId="0" xfId="0" applyAlignment="1" applyFont="1">
      <alignment readingOrder="0" shrinkToFit="0" vertical="bottom" wrapText="1"/>
    </xf>
    <xf borderId="0" fillId="0" fontId="5" numFmtId="0" xfId="0" applyAlignment="1" applyFont="1">
      <alignment readingOrder="0" shrinkToFit="0" vertical="bottom" wrapText="1"/>
    </xf>
    <xf borderId="0" fillId="0" fontId="6" numFmtId="0" xfId="0" applyAlignment="1" applyFont="1">
      <alignment shrinkToFit="0" wrapText="1"/>
    </xf>
    <xf borderId="0" fillId="0" fontId="6" numFmtId="0" xfId="0" applyAlignment="1" applyFont="1">
      <alignment readingOrder="0"/>
    </xf>
    <xf borderId="0" fillId="0" fontId="6" numFmtId="165" xfId="0" applyAlignment="1" applyFont="1" applyNumberFormat="1">
      <alignment readingOrder="0"/>
    </xf>
    <xf borderId="0" fillId="3" fontId="6" numFmtId="164" xfId="0" applyAlignment="1" applyFill="1" applyFont="1" applyNumberFormat="1">
      <alignment readingOrder="0"/>
    </xf>
    <xf borderId="0" fillId="0" fontId="7" numFmtId="0" xfId="0" applyAlignment="1" applyFont="1">
      <alignment vertical="bottom"/>
    </xf>
    <xf borderId="0" fillId="0" fontId="8" numFmtId="0" xfId="0" applyAlignment="1" applyFont="1">
      <alignment readingOrder="0" shrinkToFit="0" wrapText="1"/>
    </xf>
    <xf borderId="0" fillId="0" fontId="7" numFmtId="0" xfId="0" applyAlignment="1" applyFont="1">
      <alignment vertical="bottom"/>
    </xf>
    <xf borderId="0" fillId="3" fontId="6" numFmtId="165" xfId="0" applyAlignment="1" applyFont="1" applyNumberFormat="1">
      <alignment readingOrder="0"/>
    </xf>
    <xf borderId="0" fillId="4" fontId="6" numFmtId="165" xfId="0" applyAlignment="1" applyFill="1" applyFont="1" applyNumberFormat="1">
      <alignment readingOrder="0"/>
    </xf>
    <xf borderId="0" fillId="0" fontId="9" numFmtId="0" xfId="0" applyAlignment="1" applyFont="1">
      <alignment readingOrder="0"/>
    </xf>
    <xf borderId="0" fillId="0" fontId="10" numFmtId="0" xfId="0" applyAlignment="1" applyFont="1">
      <alignment readingOrder="0"/>
    </xf>
    <xf borderId="0" fillId="5" fontId="7" numFmtId="0" xfId="0" applyAlignment="1" applyFill="1" applyFont="1">
      <alignment vertical="bottom"/>
    </xf>
    <xf borderId="0" fillId="5" fontId="6" numFmtId="0" xfId="0" applyAlignment="1" applyFont="1">
      <alignment readingOrder="0"/>
    </xf>
    <xf borderId="0" fillId="5" fontId="6" numFmtId="165" xfId="0" applyAlignment="1" applyFont="1" applyNumberFormat="1">
      <alignment readingOrder="0"/>
    </xf>
    <xf borderId="0" fillId="6" fontId="6" numFmtId="165" xfId="0" applyAlignment="1" applyFill="1" applyFont="1" applyNumberFormat="1">
      <alignment horizontal="right" readingOrder="0"/>
    </xf>
    <xf borderId="0" fillId="6" fontId="6" numFmtId="165" xfId="0" applyAlignment="1" applyFont="1" applyNumberFormat="1">
      <alignment readingOrder="0"/>
    </xf>
    <xf borderId="0" fillId="4" fontId="6" numFmtId="164" xfId="0" applyAlignment="1" applyFont="1" applyNumberFormat="1">
      <alignment readingOrder="0"/>
    </xf>
    <xf borderId="0" fillId="0" fontId="11" numFmtId="0" xfId="0" applyAlignment="1" applyFont="1">
      <alignment readingOrder="0"/>
    </xf>
    <xf borderId="0" fillId="0" fontId="6" numFmtId="0" xfId="0" applyAlignment="1" applyFont="1">
      <alignment readingOrder="0" shrinkToFit="0" wrapText="1"/>
    </xf>
    <xf borderId="0" fillId="7" fontId="6" numFmtId="165" xfId="0" applyAlignment="1" applyFill="1" applyFont="1" applyNumberFormat="1">
      <alignment readingOrder="0"/>
    </xf>
    <xf borderId="0" fillId="8" fontId="6" numFmtId="165" xfId="0" applyAlignment="1" applyFill="1" applyFont="1" applyNumberFormat="1">
      <alignment readingOrder="0"/>
    </xf>
    <xf borderId="0" fillId="9" fontId="6" numFmtId="0" xfId="0" applyAlignment="1" applyFill="1" applyFont="1">
      <alignment readingOrder="0"/>
    </xf>
    <xf borderId="0" fillId="0" fontId="6" numFmtId="0" xfId="0" applyAlignment="1" applyFont="1">
      <alignment readingOrder="0" shrinkToFit="0" wrapText="0"/>
    </xf>
    <xf borderId="0" fillId="10" fontId="6" numFmtId="165" xfId="0" applyAlignment="1" applyFill="1" applyFont="1" applyNumberFormat="1">
      <alignment readingOrder="0"/>
    </xf>
    <xf borderId="0" fillId="11" fontId="6" numFmtId="165" xfId="0" applyAlignment="1" applyFill="1" applyFont="1" applyNumberFormat="1">
      <alignment readingOrder="0"/>
    </xf>
    <xf borderId="0" fillId="0" fontId="6" numFmtId="0" xfId="0" applyAlignment="1" applyFont="1">
      <alignment readingOrder="0" shrinkToFit="0" wrapText="0"/>
    </xf>
    <xf borderId="0" fillId="0" fontId="6" numFmtId="0" xfId="0" applyAlignment="1" applyFont="1">
      <alignment readingOrder="0" shrinkToFit="0" wrapText="1"/>
    </xf>
    <xf borderId="0" fillId="12" fontId="6" numFmtId="165" xfId="0" applyAlignment="1" applyFill="1" applyFont="1" applyNumberFormat="1">
      <alignment readingOrder="0"/>
    </xf>
    <xf borderId="0" fillId="0" fontId="12" numFmtId="0" xfId="0" applyAlignment="1" applyFont="1">
      <alignment readingOrder="0" shrinkToFit="0" wrapText="1"/>
    </xf>
    <xf borderId="0" fillId="0" fontId="13" numFmtId="0" xfId="0" applyAlignment="1" applyFont="1">
      <alignment readingOrder="0"/>
    </xf>
    <xf borderId="0" fillId="0" fontId="13" numFmtId="0" xfId="0" applyAlignment="1" applyFont="1">
      <alignment readingOrder="0" shrinkToFit="0" wrapText="1"/>
    </xf>
    <xf borderId="0" fillId="0" fontId="14" numFmtId="0" xfId="0" applyAlignment="1" applyFont="1">
      <alignment readingOrder="0" shrinkToFit="0" wrapText="1"/>
    </xf>
    <xf borderId="0" fillId="9" fontId="6" numFmtId="165" xfId="0" applyAlignment="1" applyFont="1" applyNumberFormat="1">
      <alignment readingOrder="0"/>
    </xf>
    <xf borderId="0" fillId="13" fontId="6" numFmtId="165" xfId="0" applyAlignment="1" applyFill="1" applyFont="1" applyNumberFormat="1">
      <alignment readingOrder="0"/>
    </xf>
    <xf borderId="0" fillId="0" fontId="6" numFmtId="0" xfId="0" applyAlignment="1" applyFont="1">
      <alignment readingOrder="0" shrinkToFit="0" wrapText="1"/>
    </xf>
    <xf borderId="1" fillId="0" fontId="7" numFmtId="0" xfId="0" applyAlignment="1" applyBorder="1" applyFont="1">
      <alignment vertical="bottom"/>
    </xf>
    <xf borderId="0" fillId="2" fontId="15" numFmtId="0" xfId="0" applyAlignment="1" applyFont="1">
      <alignment horizontal="left" readingOrder="0"/>
    </xf>
    <xf borderId="0" fillId="9" fontId="6" numFmtId="0" xfId="0" applyAlignment="1" applyFont="1">
      <alignment horizontal="right" readingOrder="0" shrinkToFit="0" wrapText="0"/>
    </xf>
    <xf borderId="0" fillId="9" fontId="6" numFmtId="166" xfId="0" applyAlignment="1" applyFont="1" applyNumberFormat="1">
      <alignment horizontal="right" readingOrder="0" shrinkToFit="0" wrapText="0"/>
    </xf>
    <xf borderId="0" fillId="0" fontId="6" numFmtId="164" xfId="0" applyFont="1" applyNumberFormat="1"/>
    <xf borderId="0" fillId="0" fontId="2" numFmtId="0" xfId="0" applyFont="1"/>
    <xf borderId="0" fillId="0" fontId="6" numFmtId="165" xfId="0" applyFont="1" applyNumberFormat="1"/>
    <xf borderId="0" fillId="2" fontId="16" numFmtId="0" xfId="0" applyFont="1"/>
    <xf borderId="0" fillId="0" fontId="6" numFmtId="0" xfId="0" applyFont="1"/>
    <xf borderId="0" fillId="0" fontId="6" numFmtId="167" xfId="0" applyFont="1" applyNumberFormat="1"/>
    <xf borderId="1" fillId="0" fontId="17" numFmtId="0" xfId="0" applyAlignment="1" applyBorder="1" applyFont="1">
      <alignment horizontal="center" readingOrder="0" shrinkToFit="0" vertical="center" wrapText="1"/>
    </xf>
    <xf borderId="1" fillId="0" fontId="17" numFmtId="0" xfId="0" applyAlignment="1" applyBorder="1" applyFont="1">
      <alignment horizontal="center" shrinkToFit="0" vertical="center" wrapText="1"/>
    </xf>
    <xf borderId="1" fillId="0" fontId="17" numFmtId="3" xfId="0" applyAlignment="1" applyBorder="1" applyFont="1" applyNumberFormat="1">
      <alignment horizontal="center" readingOrder="0" shrinkToFit="0" vertical="center" wrapText="1"/>
    </xf>
    <xf borderId="1" fillId="7" fontId="17" numFmtId="0" xfId="0" applyAlignment="1" applyBorder="1" applyFont="1">
      <alignment horizontal="center" readingOrder="0" shrinkToFit="0" vertical="center" wrapText="1"/>
    </xf>
    <xf borderId="1" fillId="0" fontId="6" numFmtId="0" xfId="0" applyAlignment="1" applyBorder="1" applyFont="1">
      <alignment readingOrder="0"/>
    </xf>
    <xf borderId="1" fillId="0" fontId="6" numFmtId="0" xfId="0" applyBorder="1" applyFont="1"/>
    <xf borderId="1" fillId="2" fontId="18" numFmtId="0" xfId="0" applyAlignment="1" applyBorder="1" applyFont="1">
      <alignment readingOrder="0"/>
    </xf>
    <xf borderId="1" fillId="2" fontId="16" numFmtId="0" xfId="0" applyBorder="1" applyFont="1"/>
    <xf borderId="1" fillId="2" fontId="18" numFmtId="3" xfId="0" applyAlignment="1" applyBorder="1" applyFont="1" applyNumberFormat="1">
      <alignment readingOrder="0"/>
    </xf>
    <xf borderId="1" fillId="2" fontId="16" numFmtId="0" xfId="0" applyBorder="1" applyFont="1"/>
    <xf borderId="1" fillId="0" fontId="2" numFmtId="0" xfId="0" applyAlignment="1" applyBorder="1" applyFont="1">
      <alignment readingOrder="0"/>
    </xf>
    <xf borderId="2" fillId="0" fontId="6" numFmtId="0" xfId="0" applyAlignment="1" applyBorder="1" applyFont="1">
      <alignment horizontal="center" readingOrder="0"/>
    </xf>
    <xf borderId="3" fillId="0" fontId="19" numFmtId="0" xfId="0" applyBorder="1" applyFont="1"/>
    <xf borderId="4" fillId="0" fontId="19" numFmtId="0" xfId="0" applyBorder="1" applyFont="1"/>
    <xf borderId="0" fillId="2" fontId="20" numFmtId="0" xfId="0" applyAlignment="1" applyFont="1">
      <alignment readingOrder="0"/>
    </xf>
    <xf borderId="1" fillId="0" fontId="6" numFmtId="9" xfId="0" applyAlignment="1" applyBorder="1" applyFont="1" applyNumberFormat="1">
      <alignment readingOrder="0"/>
    </xf>
    <xf borderId="1" fillId="0" fontId="6" numFmtId="1" xfId="0" applyBorder="1" applyFont="1" applyNumberFormat="1"/>
    <xf borderId="5" fillId="0" fontId="6" numFmtId="0" xfId="0" applyAlignment="1" applyBorder="1" applyFont="1">
      <alignment horizontal="center" readingOrder="0" shrinkToFit="0" vertical="center" wrapText="1"/>
    </xf>
    <xf borderId="1" fillId="0" fontId="6" numFmtId="9" xfId="0" applyBorder="1" applyFont="1" applyNumberFormat="1"/>
    <xf borderId="1" fillId="14" fontId="21" numFmtId="0" xfId="0" applyBorder="1" applyFill="1" applyFont="1"/>
    <xf borderId="6" fillId="0" fontId="19" numFmtId="0" xfId="0" applyBorder="1" applyFont="1"/>
    <xf borderId="1" fillId="15" fontId="21" numFmtId="0" xfId="0" applyAlignment="1" applyBorder="1" applyFill="1" applyFont="1">
      <alignment readingOrder="0"/>
    </xf>
    <xf borderId="1" fillId="16" fontId="21" numFmtId="0" xfId="0" applyAlignment="1" applyBorder="1" applyFill="1" applyFont="1">
      <alignment readingOrder="0"/>
    </xf>
    <xf borderId="7" fillId="0" fontId="19" numFmtId="0" xfId="0" applyBorder="1" applyFont="1"/>
    <xf borderId="1" fillId="17" fontId="22" numFmtId="0" xfId="0" applyAlignment="1" applyBorder="1" applyFill="1" applyFont="1">
      <alignment readingOrder="0"/>
    </xf>
    <xf borderId="0" fillId="2" fontId="18" numFmtId="0" xfId="0" applyAlignment="1" applyFont="1">
      <alignment readingOrder="0"/>
    </xf>
    <xf borderId="0" fillId="0" fontId="6" numFmtId="3" xfId="0" applyFont="1" applyNumberFormat="1"/>
    <xf borderId="0" fillId="0" fontId="6" numFmtId="1" xfId="0" applyFont="1" applyNumberFormat="1"/>
  </cellXfs>
  <cellStyles count="1">
    <cellStyle xfId="0" name="Normal" builtinId="0"/>
  </cellStyles>
  <dxfs count="4">
    <dxf>
      <font>
        <color rgb="FFFFFFFF"/>
      </font>
      <fill>
        <patternFill patternType="solid">
          <fgColor rgb="FFEA4335"/>
          <bgColor rgb="FFEA4335"/>
        </patternFill>
      </fill>
      <border/>
    </dxf>
    <dxf>
      <font>
        <color rgb="FFFFFFFF"/>
      </font>
      <fill>
        <patternFill patternType="solid">
          <fgColor rgb="FF7E3794"/>
          <bgColor rgb="FF7E3794"/>
        </patternFill>
      </fill>
      <border/>
    </dxf>
    <dxf>
      <font>
        <color rgb="FFFFFFFF"/>
      </font>
      <fill>
        <patternFill patternType="solid">
          <fgColor rgb="FFF180CC"/>
          <bgColor rgb="FFF180CC"/>
        </patternFill>
      </fill>
      <border/>
    </dxf>
    <dxf>
      <font>
        <color rgb="FFFFFFFF"/>
      </font>
      <fill>
        <patternFill patternType="solid">
          <fgColor rgb="FFFBBC04"/>
          <bgColor rgb="FFFBBC04"/>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0" Type="http://schemas.openxmlformats.org/officeDocument/2006/relationships/worksheet" Target="worksheets/sheet7.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drive.google.com/open?id=1ljrS8YcxdlluPY09QTsMliYmtc5A750g" TargetMode="External"/><Relationship Id="rId194" Type="http://schemas.openxmlformats.org/officeDocument/2006/relationships/hyperlink" Target="https://drive.google.com/open?id=1P2l3kelo_qLCfmMFVgymA9Li6n5luGzB" TargetMode="External"/><Relationship Id="rId193" Type="http://schemas.openxmlformats.org/officeDocument/2006/relationships/hyperlink" Target="https://drive.google.com/open?id=1RCZP35wpEMBEoBz7z8vwFcGBibXuw9Kf" TargetMode="External"/><Relationship Id="rId192" Type="http://schemas.openxmlformats.org/officeDocument/2006/relationships/hyperlink" Target="https://drive.google.com/open?id=1amXguvSAG8dBdpxOeAFSclo_ciayR455" TargetMode="External"/><Relationship Id="rId191" Type="http://schemas.openxmlformats.org/officeDocument/2006/relationships/hyperlink" Target="https://drive.google.com/open?id=1WN2-nYqFIkowSdUdb0QytxVEc5B_9dvj" TargetMode="External"/><Relationship Id="rId187" Type="http://schemas.openxmlformats.org/officeDocument/2006/relationships/hyperlink" Target="https://drive.google.com/open?id=1hjDYGtbb4kEVIEYmqkIQ-k5q3gEy8Eq6" TargetMode="External"/><Relationship Id="rId186" Type="http://schemas.openxmlformats.org/officeDocument/2006/relationships/hyperlink" Target="https://drive.google.com/open?id=1R-cyS3_C6M-HGjNeSCYW5HDijQGvena8" TargetMode="External"/><Relationship Id="rId185" Type="http://schemas.openxmlformats.org/officeDocument/2006/relationships/hyperlink" Target="https://drive.google.com/open?id=1gquZVuxOqH8WfD_ZJ2He7sqq_NZK4cE8" TargetMode="External"/><Relationship Id="rId184" Type="http://schemas.openxmlformats.org/officeDocument/2006/relationships/hyperlink" Target="https://drive.google.com/open?id=1k0cui09xwWnD7xiWZehBPsqkbUZlzw3R" TargetMode="External"/><Relationship Id="rId189" Type="http://schemas.openxmlformats.org/officeDocument/2006/relationships/hyperlink" Target="https://drive.google.com/open?id=1JuxoNdOSrekRd2P_2p_qeSnI6RpNuD5h" TargetMode="External"/><Relationship Id="rId188" Type="http://schemas.openxmlformats.org/officeDocument/2006/relationships/hyperlink" Target="https://drive.google.com/open?id=1xtTUQ0zn1rgrXUNH-5eX8GiK4ARXhp6X" TargetMode="External"/><Relationship Id="rId183" Type="http://schemas.openxmlformats.org/officeDocument/2006/relationships/hyperlink" Target="https://drive.google.com/open?id=1gw3ctkBqHORMvghXmMffvMoKtw74RC1-" TargetMode="External"/><Relationship Id="rId182" Type="http://schemas.openxmlformats.org/officeDocument/2006/relationships/hyperlink" Target="https://drive.google.com/open?id=1DnIj_6Cao4u_lJG-V9WyFnlqw5sKJq5C" TargetMode="External"/><Relationship Id="rId181" Type="http://schemas.openxmlformats.org/officeDocument/2006/relationships/hyperlink" Target="https://drive.google.com/open?id=13GTFONiK2YD3d0APUD41ywdoF0cWWvn4" TargetMode="External"/><Relationship Id="rId180" Type="http://schemas.openxmlformats.org/officeDocument/2006/relationships/hyperlink" Target="https://drive.google.com/open?id=1Ml0WIwjopfIM4zH2nVXABJKuBRResTzB" TargetMode="External"/><Relationship Id="rId176" Type="http://schemas.openxmlformats.org/officeDocument/2006/relationships/hyperlink" Target="https://drive.google.com/open?id=1OC4X3yHxYO0d-K2Y4Z5htCTbk8SSDoiQ" TargetMode="External"/><Relationship Id="rId175" Type="http://schemas.openxmlformats.org/officeDocument/2006/relationships/hyperlink" Target="https://drive.google.com/open?id=1AVZkgKjGCWdkP-7LDRyjIdXoUEWIMVtz" TargetMode="External"/><Relationship Id="rId174" Type="http://schemas.openxmlformats.org/officeDocument/2006/relationships/hyperlink" Target="https://drive.google.com/open?id=1oNHli20Iw9k8RpIine4htQNpxHuka-bk" TargetMode="External"/><Relationship Id="rId173" Type="http://schemas.openxmlformats.org/officeDocument/2006/relationships/hyperlink" Target="https://drive.google.com/open?id=1DboJX91HbTajFNcxed6bp0s6w4Xp_0cB" TargetMode="External"/><Relationship Id="rId179" Type="http://schemas.openxmlformats.org/officeDocument/2006/relationships/hyperlink" Target="https://drive.google.com/open?id=1qytxxHnHvQlLhCoXQ19XjkO6XYW6Kcu8" TargetMode="External"/><Relationship Id="rId178" Type="http://schemas.openxmlformats.org/officeDocument/2006/relationships/hyperlink" Target="https://forms.gle/6D2SMqFiwjkZw5Di9" TargetMode="External"/><Relationship Id="rId177" Type="http://schemas.openxmlformats.org/officeDocument/2006/relationships/hyperlink" Target="https://drive.google.com/open?id=1yR_LfBKVwvbtGwp66zzm38OrY0PJZi29" TargetMode="External"/><Relationship Id="rId198" Type="http://schemas.openxmlformats.org/officeDocument/2006/relationships/hyperlink" Target="https://drive.google.com/open?id=1AOUVErrSf7lRvMI1d1rYVRxm5s87v5EQ" TargetMode="External"/><Relationship Id="rId197" Type="http://schemas.openxmlformats.org/officeDocument/2006/relationships/hyperlink" Target="https://drive.google.com/open?id=1JH34J3kn54zqZIKISvT03uv4gORm-cDO" TargetMode="External"/><Relationship Id="rId196" Type="http://schemas.openxmlformats.org/officeDocument/2006/relationships/hyperlink" Target="https://drive.google.com/open?id=1si6mpZMYgclZo-47tbJDGTWOUjxbXAhB" TargetMode="External"/><Relationship Id="rId195" Type="http://schemas.openxmlformats.org/officeDocument/2006/relationships/hyperlink" Target="https://drive.google.com/open?id=1XEUWvC7NtX3gGp8LkkzPPxIx1aBtQDLa" TargetMode="External"/><Relationship Id="rId199" Type="http://schemas.openxmlformats.org/officeDocument/2006/relationships/hyperlink" Target="https://drive.google.com/open?id=1UXuoBaw3t71rK_x-R1-GX4tV9lzRlAWY" TargetMode="External"/><Relationship Id="rId150" Type="http://schemas.openxmlformats.org/officeDocument/2006/relationships/hyperlink" Target="https://drive.google.com/open?id=1Zi0kFMGfaVjAsfLh_oSAFGmxi7mvv_QU" TargetMode="External"/><Relationship Id="rId392" Type="http://schemas.openxmlformats.org/officeDocument/2006/relationships/hyperlink" Target="https://drive.google.com/open?id=1Vf15VoMo5HjkfzguVdHpf12XKLUE7n-z" TargetMode="External"/><Relationship Id="rId391" Type="http://schemas.openxmlformats.org/officeDocument/2006/relationships/hyperlink" Target="https://uninorte.zoom.us/j/82053368618?pwd=eDJDMzB2U0FCN1ArWmVmc01CdkRFZz09" TargetMode="External"/><Relationship Id="rId390" Type="http://schemas.openxmlformats.org/officeDocument/2006/relationships/hyperlink" Target="https://uninorte.zoom.us/j/82053368618?pwd=eDJDMzB2U0FCN1ArWmVmc01CdkRFZz09" TargetMode="External"/><Relationship Id="rId1" Type="http://schemas.openxmlformats.org/officeDocument/2006/relationships/hyperlink" Target="https://uninorte.zoom.us/j/3299010108" TargetMode="External"/><Relationship Id="rId2" Type="http://schemas.openxmlformats.org/officeDocument/2006/relationships/hyperlink" Target="https://drive.google.com/open?id=19-fuG-Le7D_76n2LOBYEcbmwPs1gBp_t" TargetMode="External"/><Relationship Id="rId3" Type="http://schemas.openxmlformats.org/officeDocument/2006/relationships/hyperlink" Target="https://drive.google.com/open?id=1L8ZaoHmyabtVB5lNMfr95L2I20qOE2OA" TargetMode="External"/><Relationship Id="rId149" Type="http://schemas.openxmlformats.org/officeDocument/2006/relationships/hyperlink" Target="https://drive.google.com/open?id=1bNFZmxCH6P7cf8LMv2MHINguxqdRGgID" TargetMode="External"/><Relationship Id="rId4" Type="http://schemas.openxmlformats.org/officeDocument/2006/relationships/hyperlink" Target="https://drive.google.com/open?id=1L2jv6OWRuAJT1B5q8QSuD_v2yyuDmqIT" TargetMode="External"/><Relationship Id="rId148" Type="http://schemas.openxmlformats.org/officeDocument/2006/relationships/hyperlink" Target="https://drive.google.com/open?id=15wwJbfN5D2w62tN8f6TphCtU3q3MD9ll" TargetMode="External"/><Relationship Id="rId9" Type="http://schemas.openxmlformats.org/officeDocument/2006/relationships/hyperlink" Target="https://drive.google.com/open?id=1jtqIkNZLlqLrSWF1UWEbhlCE6--zg8Ye" TargetMode="External"/><Relationship Id="rId143" Type="http://schemas.openxmlformats.org/officeDocument/2006/relationships/hyperlink" Target="https://drive.google.com/open?id=1PRQoTO9wdcfbmRDy4kVNZ7MXUX9wfqIgJgLnmth58Zw" TargetMode="External"/><Relationship Id="rId385" Type="http://schemas.openxmlformats.org/officeDocument/2006/relationships/hyperlink" Target="https://www.instagram.com/unortediverso/?hl=es-la" TargetMode="External"/><Relationship Id="rId142" Type="http://schemas.openxmlformats.org/officeDocument/2006/relationships/hyperlink" Target="https://drive.google.com/open?id=1f5Wg-Cc0Hxz2ROSogitydgIGgzI4yxoi" TargetMode="External"/><Relationship Id="rId384" Type="http://schemas.openxmlformats.org/officeDocument/2006/relationships/hyperlink" Target="https://www.instagram.com/unortediverso/?hl=es-la" TargetMode="External"/><Relationship Id="rId141" Type="http://schemas.openxmlformats.org/officeDocument/2006/relationships/hyperlink" Target="https://drive.google.com/open?id=1vOcSNrgZdE2RKKB563NWUFhIcg3sZUBv" TargetMode="External"/><Relationship Id="rId383" Type="http://schemas.openxmlformats.org/officeDocument/2006/relationships/hyperlink" Target="https://www.instagram.com/unortediverso/?hl=es-la" TargetMode="External"/><Relationship Id="rId140" Type="http://schemas.openxmlformats.org/officeDocument/2006/relationships/hyperlink" Target="https://drive.google.com/open?id=1cVcC5VuD7qSCqww67isdwKaK8hBNcLTj" TargetMode="External"/><Relationship Id="rId382" Type="http://schemas.openxmlformats.org/officeDocument/2006/relationships/hyperlink" Target="https://www.instagram.com/unortediverso/?hl=es-la" TargetMode="External"/><Relationship Id="rId5" Type="http://schemas.openxmlformats.org/officeDocument/2006/relationships/hyperlink" Target="https://drive.google.com/open?id=1PsJTepZXiBuM3fIq1GLfReAeAdLfPaTr" TargetMode="External"/><Relationship Id="rId147" Type="http://schemas.openxmlformats.org/officeDocument/2006/relationships/hyperlink" Target="https://drive.google.com/open?id=1myZJnb0EXRGN6i0fAlMEQgNNGXCvQVpR" TargetMode="External"/><Relationship Id="rId389" Type="http://schemas.openxmlformats.org/officeDocument/2006/relationships/hyperlink" Target="https://drive.google.com/open?id=1qe8T-boCUEpiOBFzUEWRXQDSpZDFq-uP" TargetMode="External"/><Relationship Id="rId6" Type="http://schemas.openxmlformats.org/officeDocument/2006/relationships/hyperlink" Target="https://drive.google.com/open?id=1XhIC25GXvqSE-chh5KeUCyYavCPt_mB3" TargetMode="External"/><Relationship Id="rId146" Type="http://schemas.openxmlformats.org/officeDocument/2006/relationships/hyperlink" Target="https://drive.google.com/open?id=1gk9kIZ3zBNvB-llZnmbGkDgzRGhSAvR1" TargetMode="External"/><Relationship Id="rId388" Type="http://schemas.openxmlformats.org/officeDocument/2006/relationships/hyperlink" Target="https://www.instagram.com/unortediverso/?hl=es-la" TargetMode="External"/><Relationship Id="rId7" Type="http://schemas.openxmlformats.org/officeDocument/2006/relationships/hyperlink" Target="https://drive.google.com/open?id=17iTw_69QXj-y29716ebJFNfOY48pca0l" TargetMode="External"/><Relationship Id="rId145" Type="http://schemas.openxmlformats.org/officeDocument/2006/relationships/hyperlink" Target="https://drive.google.com/open?id=12b-tRK4KnMPLxn1Wa8TfmtFw4uAdYylk" TargetMode="External"/><Relationship Id="rId387" Type="http://schemas.openxmlformats.org/officeDocument/2006/relationships/hyperlink" Target="https://www.instagram.com/unortediverso/?hl=es-la" TargetMode="External"/><Relationship Id="rId8" Type="http://schemas.openxmlformats.org/officeDocument/2006/relationships/hyperlink" Target="https://drive.google.com/open?id=1NZ9bHg3hXcDvR3TPl7dUwFITV7htrXMt" TargetMode="External"/><Relationship Id="rId144" Type="http://schemas.openxmlformats.org/officeDocument/2006/relationships/hyperlink" Target="https://drive.google.com/open?id=1WBMQME7NmjzJnaOo0IQUK5W0j7mtkc2o" TargetMode="External"/><Relationship Id="rId386" Type="http://schemas.openxmlformats.org/officeDocument/2006/relationships/hyperlink" Target="https://www.instagram.com/unortediverso/?hl=es-la" TargetMode="External"/><Relationship Id="rId381" Type="http://schemas.openxmlformats.org/officeDocument/2006/relationships/hyperlink" Target="https://uninorte.zoom.us/j/89993873299?pwd=ZEZyL3IxVFpGOGk3MWpSdnJrbzd6Zz09" TargetMode="External"/><Relationship Id="rId380" Type="http://schemas.openxmlformats.org/officeDocument/2006/relationships/hyperlink" Target="https://drive.google.com/open?id=14rDXvPMZ67FQG8bx0X_x_7CLl5h5RWxZ" TargetMode="External"/><Relationship Id="rId139" Type="http://schemas.openxmlformats.org/officeDocument/2006/relationships/hyperlink" Target="https://drive.google.com/open?id=1ndzy8Eaha8P8kLmU5fbBqNplNZRLG_6Z" TargetMode="External"/><Relationship Id="rId138" Type="http://schemas.openxmlformats.org/officeDocument/2006/relationships/hyperlink" Target="https://drive.google.com/open?id=1MTnRKSHdrT1szd3BH01qurCGQ4hwRnCN" TargetMode="External"/><Relationship Id="rId137" Type="http://schemas.openxmlformats.org/officeDocument/2006/relationships/hyperlink" Target="https://drive.google.com/open?id=1Jk8ar8WXOCxTZYM4ERuXvK7o-wj6xgQo" TargetMode="External"/><Relationship Id="rId379" Type="http://schemas.openxmlformats.org/officeDocument/2006/relationships/hyperlink" Target="https://www.instagram.com/felinorte/?hl=es" TargetMode="External"/><Relationship Id="rId132" Type="http://schemas.openxmlformats.org/officeDocument/2006/relationships/hyperlink" Target="https://drive.google.com/open?id=1RRBm4jmVOc8DVUMKFlICLeNwGnoN9PR_" TargetMode="External"/><Relationship Id="rId374" Type="http://schemas.openxmlformats.org/officeDocument/2006/relationships/hyperlink" Target="https://drive.google.com/open?id=1Gl6X4WTwHyOJjaSQ3Euf3S9rVftBx6Cg" TargetMode="External"/><Relationship Id="rId131" Type="http://schemas.openxmlformats.org/officeDocument/2006/relationships/hyperlink" Target="https://drive.google.com/open?id=11IbmBRb75PpaYQ6XYv-9gwN09SugeJ7W" TargetMode="External"/><Relationship Id="rId373" Type="http://schemas.openxmlformats.org/officeDocument/2006/relationships/hyperlink" Target="https://www.instagram.com/p/CTLYoQsL8_C/?utm_medium=copy_link" TargetMode="External"/><Relationship Id="rId130" Type="http://schemas.openxmlformats.org/officeDocument/2006/relationships/hyperlink" Target="https://drive.google.com/open?id=1vrrSJjIotw3U0eqEBD0kZX4b6z71xMoy" TargetMode="External"/><Relationship Id="rId372" Type="http://schemas.openxmlformats.org/officeDocument/2006/relationships/hyperlink" Target="https://www.uninorte.edu.co/web/felinorte/blog" TargetMode="External"/><Relationship Id="rId371" Type="http://schemas.openxmlformats.org/officeDocument/2006/relationships/hyperlink" Target="https://uninorte.zoom.us/j/85019447473?pwd=MUpTdkFmU0pJdXI3ZWtLbUZFQ0o3Zz09" TargetMode="External"/><Relationship Id="rId136" Type="http://schemas.openxmlformats.org/officeDocument/2006/relationships/hyperlink" Target="https://drive.google.com/open?id=1Kszk9HnBHeRutRY6_jK7sV_NTyiOkc_M" TargetMode="External"/><Relationship Id="rId378" Type="http://schemas.openxmlformats.org/officeDocument/2006/relationships/hyperlink" Target="https://www.instagram.com/felinorte/?hl=es" TargetMode="External"/><Relationship Id="rId135" Type="http://schemas.openxmlformats.org/officeDocument/2006/relationships/hyperlink" Target="https://drive.google.com/open?id=1EfuIea5lTHXp_ieZYXXBCa__j5dR3wl8" TargetMode="External"/><Relationship Id="rId377" Type="http://schemas.openxmlformats.org/officeDocument/2006/relationships/hyperlink" Target="https://uninorte.zoom.us/j/89602525961" TargetMode="External"/><Relationship Id="rId134" Type="http://schemas.openxmlformats.org/officeDocument/2006/relationships/hyperlink" Target="https://drive.google.com/open?id=1lzuEMT_B5GoioAGAlDFxf5Czkzu_t0ZM" TargetMode="External"/><Relationship Id="rId376" Type="http://schemas.openxmlformats.org/officeDocument/2006/relationships/hyperlink" Target="https://drive.google.com/open?id=1Kkmo-sV9P4P7YlLQJ6ARzwDTfgRmE4b6" TargetMode="External"/><Relationship Id="rId133" Type="http://schemas.openxmlformats.org/officeDocument/2006/relationships/hyperlink" Target="https://drive.google.com/open?id=1qt_dgbzzFAS0fXjYneIsJou-j1TRlEUbzmwizoOtQvI" TargetMode="External"/><Relationship Id="rId375" Type="http://schemas.openxmlformats.org/officeDocument/2006/relationships/hyperlink" Target="https://uninorte.zoom.us/j/81695918750?pwd=RUhOZ2I4Q2xLVkxJWlA4aHJFN1NWdz09" TargetMode="External"/><Relationship Id="rId172" Type="http://schemas.openxmlformats.org/officeDocument/2006/relationships/hyperlink" Target="https://drive.google.com/open?id=1_vRF4dMSVsbLyHcNGdO-VtYsqVz1_a2-" TargetMode="External"/><Relationship Id="rId171" Type="http://schemas.openxmlformats.org/officeDocument/2006/relationships/hyperlink" Target="https://drive.google.com/open?id=1MiMHVJH2XMmEJVBi5w0-J3kTzH3tPz0_" TargetMode="External"/><Relationship Id="rId170" Type="http://schemas.openxmlformats.org/officeDocument/2006/relationships/hyperlink" Target="https://drive.google.com/open?id=1iEhRReEq0xgmz7Lc09d2xltaVwJiAQ9l" TargetMode="External"/><Relationship Id="rId165" Type="http://schemas.openxmlformats.org/officeDocument/2006/relationships/hyperlink" Target="https://drive.google.com/open?id=1RewcpNwDIDYhMmRbwc3NcgQBntlR7WMA" TargetMode="External"/><Relationship Id="rId164" Type="http://schemas.openxmlformats.org/officeDocument/2006/relationships/hyperlink" Target="https://drive.google.com/open?id=1dJXcaEJwRXffl-ZREc7ef6HAuz2LG87g" TargetMode="External"/><Relationship Id="rId163" Type="http://schemas.openxmlformats.org/officeDocument/2006/relationships/hyperlink" Target="https://drive.google.com/open?id=1qWyaknLCSZXY0bsQlXT1uKvDqXsSSP5_" TargetMode="External"/><Relationship Id="rId162" Type="http://schemas.openxmlformats.org/officeDocument/2006/relationships/hyperlink" Target="https://drive.google.com/open?id=1gknA8565xZCCGkh15INklq70DtqIeIen" TargetMode="External"/><Relationship Id="rId169" Type="http://schemas.openxmlformats.org/officeDocument/2006/relationships/hyperlink" Target="https://drive.google.com/open?id=1umy_Pn_w9_wNjA6wq4foJAkCZeESMy3K" TargetMode="External"/><Relationship Id="rId168" Type="http://schemas.openxmlformats.org/officeDocument/2006/relationships/hyperlink" Target="https://drive.google.com/open?id=1UaFToo17QrauYtTb57Dr27BxmCPnh_6F" TargetMode="External"/><Relationship Id="rId167" Type="http://schemas.openxmlformats.org/officeDocument/2006/relationships/hyperlink" Target="https://drive.google.com/open?id=16ewOaT3tInohcPuR1-lkiM__nUDAJXL_" TargetMode="External"/><Relationship Id="rId166" Type="http://schemas.openxmlformats.org/officeDocument/2006/relationships/hyperlink" Target="https://drive.google.com/open?id=1JftRaGCPB7Qlae51lT57lOP-AUbSfeLb" TargetMode="External"/><Relationship Id="rId161" Type="http://schemas.openxmlformats.org/officeDocument/2006/relationships/hyperlink" Target="https://drive.google.com/open?id=1MPcgJWrdUdDpS3zRql2f9s9E_OIhu7ls" TargetMode="External"/><Relationship Id="rId160" Type="http://schemas.openxmlformats.org/officeDocument/2006/relationships/hyperlink" Target="https://drive.google.com/open?id=1iImuA1FEc3Lts_Co2lzLpWxwPWkfoi7M" TargetMode="External"/><Relationship Id="rId159" Type="http://schemas.openxmlformats.org/officeDocument/2006/relationships/hyperlink" Target="https://drive.google.com/open?id=1iwbaqDDT_POPp-RDIBpDlZjNRyOYExZE" TargetMode="External"/><Relationship Id="rId154" Type="http://schemas.openxmlformats.org/officeDocument/2006/relationships/hyperlink" Target="https://drive.google.com/open?id=15gaGdjJ14yb_2FRpwyd9r6glwy8t3bEK" TargetMode="External"/><Relationship Id="rId396" Type="http://schemas.openxmlformats.org/officeDocument/2006/relationships/hyperlink" Target="https://uninorte.zoom.us/j/86837690616?pwd=NC84aTRsYlZ5dmxRWTQvWlp3VHpxUT09" TargetMode="External"/><Relationship Id="rId153" Type="http://schemas.openxmlformats.org/officeDocument/2006/relationships/hyperlink" Target="https://drive.google.com/open?id=1hOFy1lkDrvMgCtucjjMo0i0AMxZC2Q64" TargetMode="External"/><Relationship Id="rId395" Type="http://schemas.openxmlformats.org/officeDocument/2006/relationships/hyperlink" Target="https://drive.google.com/open?id=1KX4azMWVs2OgAWy-K7K-rxlolUfXXkwy" TargetMode="External"/><Relationship Id="rId152" Type="http://schemas.openxmlformats.org/officeDocument/2006/relationships/hyperlink" Target="https://drive.google.com/open?id=1iQbhVzngx7E3_Em1OcyP8JcWzZ2S_mbY" TargetMode="External"/><Relationship Id="rId394" Type="http://schemas.openxmlformats.org/officeDocument/2006/relationships/hyperlink" Target="https://uninorte.zoom.us/j/89163874324?pwd=c216SlF3L3AyNy80WnkzNWFic0pLUT09" TargetMode="External"/><Relationship Id="rId151" Type="http://schemas.openxmlformats.org/officeDocument/2006/relationships/hyperlink" Target="https://drive.google.com/open?id=1TxJynPURsIqJx91wCKmfm5ouEXskNaS0" TargetMode="External"/><Relationship Id="rId393" Type="http://schemas.openxmlformats.org/officeDocument/2006/relationships/hyperlink" Target="https://uninorte.zoom.us/meeting/register/tZAlcOuvrzspG9wS9gYrGij3PEHoVyopG5Fa" TargetMode="External"/><Relationship Id="rId158" Type="http://schemas.openxmlformats.org/officeDocument/2006/relationships/hyperlink" Target="https://drive.google.com/open?id=1OTlgqZIk3gyqD64nMnrKTnZSKnze6Wqf" TargetMode="External"/><Relationship Id="rId157" Type="http://schemas.openxmlformats.org/officeDocument/2006/relationships/hyperlink" Target="https://drive.google.com/open?id=1xBpGAzMBxrBNzAz8bEWyOxCoD_PhkGsn" TargetMode="External"/><Relationship Id="rId399" Type="http://schemas.openxmlformats.org/officeDocument/2006/relationships/hyperlink" Target="https://drive.google.com/open?id=1KAFO0Gi9mIKVIoGgZAh_BO9KvK5czQf9" TargetMode="External"/><Relationship Id="rId156" Type="http://schemas.openxmlformats.org/officeDocument/2006/relationships/hyperlink" Target="https://drive.google.com/open?id=1HvvQb7hmgZkREIJ1x1qo93Y76X0U9Eub" TargetMode="External"/><Relationship Id="rId398" Type="http://schemas.openxmlformats.org/officeDocument/2006/relationships/hyperlink" Target="https://uninorte.zoom.us/j/86009212183?pwd=QlpWaE1PSFdQaktBbmNTanlEcnY3dz09" TargetMode="External"/><Relationship Id="rId155" Type="http://schemas.openxmlformats.org/officeDocument/2006/relationships/hyperlink" Target="https://drive.google.com/open?id=1NHOA2nT3sGUfXKgwVszUy6V93pBPJIGx" TargetMode="External"/><Relationship Id="rId397" Type="http://schemas.openxmlformats.org/officeDocument/2006/relationships/hyperlink" Target="https://drive.google.com/open?id=12XlE3QjjlH7IDrt1a6dnBlmINTtAIkxQ" TargetMode="External"/><Relationship Id="rId808" Type="http://schemas.openxmlformats.org/officeDocument/2006/relationships/hyperlink" Target="https://uninorte.zoom.us/j/85019447473?pwd=MUpTdkFmU0pJdXI3ZWtLbUZFQ0o3Zz09" TargetMode="External"/><Relationship Id="rId807" Type="http://schemas.openxmlformats.org/officeDocument/2006/relationships/hyperlink" Target="https://uninorte.zoom.us/j/85019447473?pwd=MUpTdkFmU0pJdXI3ZWtLbUZFQ0o3Zz09" TargetMode="External"/><Relationship Id="rId806" Type="http://schemas.openxmlformats.org/officeDocument/2006/relationships/hyperlink" Target="https://uninorte.zoom.us/j/85019447473?pwd=MUpTdkFmU0pJdXI3ZWtLbUZFQ0o3Zz09" TargetMode="External"/><Relationship Id="rId805" Type="http://schemas.openxmlformats.org/officeDocument/2006/relationships/hyperlink" Target="https://uninorte.zoom.us/j/85019447473?pwd=MUpTdkFmU0pJdXI3ZWtLbUZFQ0o3Zz09" TargetMode="External"/><Relationship Id="rId809" Type="http://schemas.openxmlformats.org/officeDocument/2006/relationships/hyperlink" Target="https://drive.google.com/open?id=19uJdfzzHYcfNwidRcY9gaAUuHvr69Cbq" TargetMode="External"/><Relationship Id="rId800" Type="http://schemas.openxmlformats.org/officeDocument/2006/relationships/hyperlink" Target="https://uninorte.zoom.us/j/85131692060?pwd=MTlSWi9VY0V3N04wOElEMVUzRnNuQT09" TargetMode="External"/><Relationship Id="rId804" Type="http://schemas.openxmlformats.org/officeDocument/2006/relationships/hyperlink" Target="https://uninorte.zoom.us/j/85019447473?pwd=MUpTdkFmU0pJdXI3ZWtLbUZFQ0o3Zz09" TargetMode="External"/><Relationship Id="rId803" Type="http://schemas.openxmlformats.org/officeDocument/2006/relationships/hyperlink" Target="https://uninorte.zoom.us/j/85019447473?pwd=MUpTdkFmU0pJdXI3ZWtLbUZFQ0o3Zz09" TargetMode="External"/><Relationship Id="rId802" Type="http://schemas.openxmlformats.org/officeDocument/2006/relationships/hyperlink" Target="https://drive.google.com/open?id=13Lqigph4h1cBR0-Msislmv4c3a-cbjkO" TargetMode="External"/><Relationship Id="rId801" Type="http://schemas.openxmlformats.org/officeDocument/2006/relationships/hyperlink" Target="https://uninorte.zoom.us/j/83788065958?pwd=THNZN1ZWd29ET3FsSVhyUWt5clVaZz09" TargetMode="External"/><Relationship Id="rId40" Type="http://schemas.openxmlformats.org/officeDocument/2006/relationships/hyperlink" Target="https://drive.google.com/open?id=1uMNepHU1MdjASfSH1OvPwA2-CbIoBz6f" TargetMode="External"/><Relationship Id="rId42" Type="http://schemas.openxmlformats.org/officeDocument/2006/relationships/hyperlink" Target="https://drive.google.com/open?id=1Y6mpETOsQQj9bVTnRkbH2HYJxxHyYsSw" TargetMode="External"/><Relationship Id="rId41" Type="http://schemas.openxmlformats.org/officeDocument/2006/relationships/hyperlink" Target="https://drive.google.com/open?id=1KcKHxNzZgJ5MAwwH_lZkiN6wgoO6FfZw" TargetMode="External"/><Relationship Id="rId44" Type="http://schemas.openxmlformats.org/officeDocument/2006/relationships/hyperlink" Target="https://drive.google.com/open?id=1AjSa8iG7ByVYGSuonRgDJNx0VKxgP7Vp" TargetMode="External"/><Relationship Id="rId43" Type="http://schemas.openxmlformats.org/officeDocument/2006/relationships/hyperlink" Target="https://drive.google.com/open?id=1k6rb7QX14ApAef645TCtHR4zIFZArkVU" TargetMode="External"/><Relationship Id="rId46" Type="http://schemas.openxmlformats.org/officeDocument/2006/relationships/hyperlink" Target="https://drive.google.com/open?id=1Mp0OAAOhy_o07CV7bSm4UFdrrJfrDYIm" TargetMode="External"/><Relationship Id="rId45" Type="http://schemas.openxmlformats.org/officeDocument/2006/relationships/hyperlink" Target="https://drive.google.com/open?id=13PhRpJsChvdLR_Hm2nNvU6Ez9Zc6isH2" TargetMode="External"/><Relationship Id="rId509" Type="http://schemas.openxmlformats.org/officeDocument/2006/relationships/hyperlink" Target="https://uninorte.zoom.us/j/85010118462?pwd=YkpraEErQm95TW91enJRcXJMb0dIUT09" TargetMode="External"/><Relationship Id="rId508" Type="http://schemas.openxmlformats.org/officeDocument/2006/relationships/hyperlink" Target="https://docs.google.com/forms/d/e/1FAIpQLScAlBJnU_cxqlo3TnKutupvJ177vpfbpCgw4lY4tpb2GeJMwQ/viewform?usp=pp_url" TargetMode="External"/><Relationship Id="rId503" Type="http://schemas.openxmlformats.org/officeDocument/2006/relationships/hyperlink" Target="https://uninorte.zoom.us/j/83570240548" TargetMode="External"/><Relationship Id="rId745" Type="http://schemas.openxmlformats.org/officeDocument/2006/relationships/hyperlink" Target="https://uninorte.zoom.us/j/88413516932?pwd=aXErTHg3azVXb0VNN2FweEhnTU1nZz09" TargetMode="External"/><Relationship Id="rId502" Type="http://schemas.openxmlformats.org/officeDocument/2006/relationships/hyperlink" Target="https://uninorte.zoom.us/meeting/register/tZAlcOuvrzspG9wS9gYrGij3PEHoVyopG5Fa" TargetMode="External"/><Relationship Id="rId744" Type="http://schemas.openxmlformats.org/officeDocument/2006/relationships/hyperlink" Target="https://meet.google.com/dcp-atbm-jzk" TargetMode="External"/><Relationship Id="rId501" Type="http://schemas.openxmlformats.org/officeDocument/2006/relationships/hyperlink" Target="https://uninorte.zoom.us/j/84359955219" TargetMode="External"/><Relationship Id="rId743" Type="http://schemas.openxmlformats.org/officeDocument/2006/relationships/hyperlink" Target="https://uninorte.zoom.us/meeting/register/tZwvd-yorjsuG9JyNf0uai6_w4a_IfjCX4ih" TargetMode="External"/><Relationship Id="rId500" Type="http://schemas.openxmlformats.org/officeDocument/2006/relationships/hyperlink" Target="https://cdiep7.wixsite.com/misitio" TargetMode="External"/><Relationship Id="rId742" Type="http://schemas.openxmlformats.org/officeDocument/2006/relationships/hyperlink" Target="https://drive.google.com/open?id=1I7ASQ19wjh2NvxY5cRz47c4el1A529DX" TargetMode="External"/><Relationship Id="rId507" Type="http://schemas.openxmlformats.org/officeDocument/2006/relationships/hyperlink" Target="https://drive.google.com/open?id=1r6BXckVMKm3kU2qOBOcZYw-nW-392jLN" TargetMode="External"/><Relationship Id="rId749" Type="http://schemas.openxmlformats.org/officeDocument/2006/relationships/hyperlink" Target="https://uninorte.zoom.us/j/82129940875?pwd=SnhnZUhic2ZSQWQyK2N5dHNXVDBRUT09" TargetMode="External"/><Relationship Id="rId506" Type="http://schemas.openxmlformats.org/officeDocument/2006/relationships/hyperlink" Target="https://uninorte.zoom.us/j/85019447473?pwd=MUpTdkFmU0pJdXI3ZWtLbUZFQ0o3Zz09" TargetMode="External"/><Relationship Id="rId748" Type="http://schemas.openxmlformats.org/officeDocument/2006/relationships/hyperlink" Target="https://uninorte.zoom.us/j/81835370233?pwd=THBJVWNWRDliR2R0RWNjdVVBRENQZz09" TargetMode="External"/><Relationship Id="rId505" Type="http://schemas.openxmlformats.org/officeDocument/2006/relationships/hyperlink" Target="http://meet.google.com/amb-vrhh-upo" TargetMode="External"/><Relationship Id="rId747" Type="http://schemas.openxmlformats.org/officeDocument/2006/relationships/hyperlink" Target="https://www.uninorte.edu.co/web/ceimun/home?p_p_id=33&amp;p_p_lifecycle=0&amp;p_p_state=normal&amp;p_p_mode=view&amp;p_p_col_id=column-2&amp;p_p_col_pos=1&amp;p_p_col_count=2" TargetMode="External"/><Relationship Id="rId504" Type="http://schemas.openxmlformats.org/officeDocument/2006/relationships/hyperlink" Target="https://uninorte.zoom.us/j/84428113809?pwd=WWswOFlENUMrYUdGUGR6QzFxOVBPUT09" TargetMode="External"/><Relationship Id="rId746" Type="http://schemas.openxmlformats.org/officeDocument/2006/relationships/hyperlink" Target="https://uninorte.zoom.us/j/82673365707?pwd=aUdwOHR1eDQ2OFRaZWg5SW9hVTk3UT09" TargetMode="External"/><Relationship Id="rId48" Type="http://schemas.openxmlformats.org/officeDocument/2006/relationships/hyperlink" Target="https://drive.google.com/open?id=1ydA4b0dh4GqXKmSZvixPIGzCkILPIFQi" TargetMode="External"/><Relationship Id="rId47" Type="http://schemas.openxmlformats.org/officeDocument/2006/relationships/hyperlink" Target="https://drive.google.com/open?id=1a6ColGcGVukS7rGm0dWbvREho8eS69ng" TargetMode="External"/><Relationship Id="rId49" Type="http://schemas.openxmlformats.org/officeDocument/2006/relationships/hyperlink" Target="https://drive.google.com/open?id=13bG_KGDsr7Npn-oSUwBiqqnJLG4OnIWI" TargetMode="External"/><Relationship Id="rId741" Type="http://schemas.openxmlformats.org/officeDocument/2006/relationships/hyperlink" Target="https://uninorte.zoom.us/meeting/register/tZUqfuyvpz0qHtxlj_X8nQe_52WLwPTrje85" TargetMode="External"/><Relationship Id="rId740" Type="http://schemas.openxmlformats.org/officeDocument/2006/relationships/hyperlink" Target="https://drive.google.com/open?id=1DgXujGF06bm9TMh8kcGi7cy1dIOaQkkW" TargetMode="External"/><Relationship Id="rId31" Type="http://schemas.openxmlformats.org/officeDocument/2006/relationships/hyperlink" Target="https://drive.google.com/open?id=1waY6yr1Fkn_fuOhC80zCcwpggm24UkG1" TargetMode="External"/><Relationship Id="rId30" Type="http://schemas.openxmlformats.org/officeDocument/2006/relationships/hyperlink" Target="https://drive.google.com/open?id=19blqB9i-Y0skkvE5qQWktOYWlDYRReWR" TargetMode="External"/><Relationship Id="rId33" Type="http://schemas.openxmlformats.org/officeDocument/2006/relationships/hyperlink" Target="https://drive.google.com/open?id=1LWNakUfwsNbk_1X1OHrG0VMsI22Sn5TO" TargetMode="External"/><Relationship Id="rId32" Type="http://schemas.openxmlformats.org/officeDocument/2006/relationships/hyperlink" Target="https://drive.google.com/open?id=1v5plU7JXauS4iE1q_uvDmCx-LH700ZXv" TargetMode="External"/><Relationship Id="rId35" Type="http://schemas.openxmlformats.org/officeDocument/2006/relationships/hyperlink" Target="https://drive.google.com/open?id=1AMuVziJ4PHAuYssPWgqdbPCo64SyoeDl" TargetMode="External"/><Relationship Id="rId34" Type="http://schemas.openxmlformats.org/officeDocument/2006/relationships/hyperlink" Target="https://drive.google.com/open?id=12fH7aZKUzP6NzmrikYPEkzQ-WkEDZsjF" TargetMode="External"/><Relationship Id="rId739" Type="http://schemas.openxmlformats.org/officeDocument/2006/relationships/hyperlink" Target="https://meet.google.com/tks-drzw-qhd" TargetMode="External"/><Relationship Id="rId734" Type="http://schemas.openxmlformats.org/officeDocument/2006/relationships/hyperlink" Target="https://uninorte.zoom.us/j/88934513321?pwd=U25RdFh6eDNkdmhCT1FnYVdPWkpnQT09" TargetMode="External"/><Relationship Id="rId733" Type="http://schemas.openxmlformats.org/officeDocument/2006/relationships/hyperlink" Target="https://uninorte.zoom.us/j/88547334221" TargetMode="External"/><Relationship Id="rId732" Type="http://schemas.openxmlformats.org/officeDocument/2006/relationships/hyperlink" Target="https://uninorte.zoom.us/meeting/register/tZYsde6qrTotGtPM86tCQzNbjc0p_3lB71y_" TargetMode="External"/><Relationship Id="rId731" Type="http://schemas.openxmlformats.org/officeDocument/2006/relationships/hyperlink" Target="https://uninorte.zoom.us/j/83124299154?pwd=U1JKc1ZLdm10ME40QUhlL0wxSS9uZz09" TargetMode="External"/><Relationship Id="rId738" Type="http://schemas.openxmlformats.org/officeDocument/2006/relationships/hyperlink" Target="https://drive.google.com/open?id=1W79qXMFcvKWSgEloAlHHVw1Wo_hy1ufQ" TargetMode="External"/><Relationship Id="rId737" Type="http://schemas.openxmlformats.org/officeDocument/2006/relationships/hyperlink" Target="https://uninorte.zoom.us/j/83266115788?pwd=U1JmZTA4NXNnTHRnOGhmZkExeVdvUT09" TargetMode="External"/><Relationship Id="rId736" Type="http://schemas.openxmlformats.org/officeDocument/2006/relationships/hyperlink" Target="https://drive.google.com/open?id=1zxacZPH8hJHT5nQCK15iCtQmxEY9XuCF" TargetMode="External"/><Relationship Id="rId735" Type="http://schemas.openxmlformats.org/officeDocument/2006/relationships/hyperlink" Target="https://meet.google.com/rkb-gjwy-rqc" TargetMode="External"/><Relationship Id="rId37" Type="http://schemas.openxmlformats.org/officeDocument/2006/relationships/hyperlink" Target="https://drive.google.com/open?id=1w4PRB7n5wQLPzdJag1owN5NFa4LYOrvw" TargetMode="External"/><Relationship Id="rId36" Type="http://schemas.openxmlformats.org/officeDocument/2006/relationships/hyperlink" Target="https://drive.google.com/open?id=1bf0ZGUcvuekBDruv5nzYvEEYH-mwKKjJ" TargetMode="External"/><Relationship Id="rId39" Type="http://schemas.openxmlformats.org/officeDocument/2006/relationships/hyperlink" Target="https://drive.google.com/open?id=1HcYVcVq9afT-xU6JeXdGVJ3AmnzmcX_e" TargetMode="External"/><Relationship Id="rId38" Type="http://schemas.openxmlformats.org/officeDocument/2006/relationships/hyperlink" Target="https://drive.google.com/open?id=1i7C0X8rKuApZbu2Q6eiK6BPKbdEpk0wS" TargetMode="External"/><Relationship Id="rId730" Type="http://schemas.openxmlformats.org/officeDocument/2006/relationships/hyperlink" Target="https://uninorte.zoom.us/j/89744822440?pwd=Qi9JeHhTeGhxVUh0Mm9ST2VUQndNZz09" TargetMode="External"/><Relationship Id="rId20" Type="http://schemas.openxmlformats.org/officeDocument/2006/relationships/hyperlink" Target="https://drive.google.com/open?id=1VP_JNsWk0PdRrzm88409HGL1cjG_bJ4Z" TargetMode="External"/><Relationship Id="rId22" Type="http://schemas.openxmlformats.org/officeDocument/2006/relationships/hyperlink" Target="https://drive.google.com/open?id=1-bCDFAStQZ9dolHnBV5lTvADkimNKqSK" TargetMode="External"/><Relationship Id="rId21" Type="http://schemas.openxmlformats.org/officeDocument/2006/relationships/hyperlink" Target="https://drive.google.com/open?id=1ozpDS-uS-qT8xNkorIWEld1IPdSr3V4a" TargetMode="External"/><Relationship Id="rId24" Type="http://schemas.openxmlformats.org/officeDocument/2006/relationships/hyperlink" Target="https://drive.google.com/open?id=1s8oDj8So9UvJVTYsBt4wxaQmwOaDVGu-GJZ8ELvlV0I" TargetMode="External"/><Relationship Id="rId23" Type="http://schemas.openxmlformats.org/officeDocument/2006/relationships/hyperlink" Target="https://drive.google.com/open?id=1rPRbM6Xd7BnMDZ09KBlJc7xybNKo8zCi" TargetMode="External"/><Relationship Id="rId525" Type="http://schemas.openxmlformats.org/officeDocument/2006/relationships/hyperlink" Target="http://instagram.com/pcuninorte" TargetMode="External"/><Relationship Id="rId767" Type="http://schemas.openxmlformats.org/officeDocument/2006/relationships/hyperlink" Target="https://uninorte.zoom.us/j/85019447473?pwd=MUpTdkFmU0pJdXI3ZWtLbUZFQ0o3Zz09" TargetMode="External"/><Relationship Id="rId524" Type="http://schemas.openxmlformats.org/officeDocument/2006/relationships/hyperlink" Target="https://forms.gle/k54nLKBSnQTiJcA2A" TargetMode="External"/><Relationship Id="rId766" Type="http://schemas.openxmlformats.org/officeDocument/2006/relationships/hyperlink" Target="https://uninorte.zoom.us/j/85019447473?pwd=MUpTdkFmU0pJdXI3ZWtLbUZFQ0o3Zz09" TargetMode="External"/><Relationship Id="rId523" Type="http://schemas.openxmlformats.org/officeDocument/2006/relationships/hyperlink" Target="https://meet.google.com/fum-tjmj-gme" TargetMode="External"/><Relationship Id="rId765" Type="http://schemas.openxmlformats.org/officeDocument/2006/relationships/hyperlink" Target="https://uninorte.zoom.us/j/85019447473?pwd=MUpTdkFmU0pJdXI3ZWtLbUZFQ0o3Zz09" TargetMode="External"/><Relationship Id="rId522" Type="http://schemas.openxmlformats.org/officeDocument/2006/relationships/hyperlink" Target="https://meet.google.com/sna-bhww-uds" TargetMode="External"/><Relationship Id="rId764" Type="http://schemas.openxmlformats.org/officeDocument/2006/relationships/hyperlink" Target="https://uninorte.zoom.us/j/85019447473?pwd=MUpTdkFmU0pJdXI3ZWtLbUZFQ0o3Zz09" TargetMode="External"/><Relationship Id="rId529" Type="http://schemas.openxmlformats.org/officeDocument/2006/relationships/hyperlink" Target="https://uninorte.zoom.us/j/88677357889?pwd=WkhxMWVxaTg2R2tIT1BvQnl2TG9Sdz09" TargetMode="External"/><Relationship Id="rId528" Type="http://schemas.openxmlformats.org/officeDocument/2006/relationships/hyperlink" Target="https://meet.google.com/sna-bhww-uds" TargetMode="External"/><Relationship Id="rId527" Type="http://schemas.openxmlformats.org/officeDocument/2006/relationships/hyperlink" Target="https://uninorte.zoom.us/j/83627087305?pwd=OG1QQ3hrRWY3eHpRV3N4VHBvSFl0Zz09" TargetMode="External"/><Relationship Id="rId769" Type="http://schemas.openxmlformats.org/officeDocument/2006/relationships/hyperlink" Target="https://uninorte.zoom.us/j/81955188229" TargetMode="External"/><Relationship Id="rId526" Type="http://schemas.openxmlformats.org/officeDocument/2006/relationships/hyperlink" Target="https://drive.google.com/open?id=1GoTccboZwMlvmO9mhPrLzIChkVveQWFZLCjjlUn5M9c" TargetMode="External"/><Relationship Id="rId768" Type="http://schemas.openxmlformats.org/officeDocument/2006/relationships/hyperlink" Target="https://meet.google.com/fpg-hzdi-eqp" TargetMode="External"/><Relationship Id="rId26" Type="http://schemas.openxmlformats.org/officeDocument/2006/relationships/hyperlink" Target="https://drive.google.com/open?id=1K93I4gaNZaDoc4-U4EXCufTezUAPQG3m" TargetMode="External"/><Relationship Id="rId25" Type="http://schemas.openxmlformats.org/officeDocument/2006/relationships/hyperlink" Target="https://drive.google.com/open?id=1sBq80Vqx1bMnuXXlqBRRvyWFHvR1yEgO" TargetMode="External"/><Relationship Id="rId28" Type="http://schemas.openxmlformats.org/officeDocument/2006/relationships/hyperlink" Target="https://drive.google.com/open?id=16mPcoWgkUpau14fG4_IiI7Zs99b3H-Fi" TargetMode="External"/><Relationship Id="rId27" Type="http://schemas.openxmlformats.org/officeDocument/2006/relationships/hyperlink" Target="https://drive.google.com/open?id=1SZI-PHjvIGI6UAkOdbLCwOo-JHNwcONj" TargetMode="External"/><Relationship Id="rId521" Type="http://schemas.openxmlformats.org/officeDocument/2006/relationships/hyperlink" Target="https://uninorte.zoom.us/j/86086766356" TargetMode="External"/><Relationship Id="rId763" Type="http://schemas.openxmlformats.org/officeDocument/2006/relationships/hyperlink" Target="https://uninorte.zoom.us/j/85019447473?pwd=MUpTdkFmU0pJdXI3ZWtLbUZFQ0o3Zz09" TargetMode="External"/><Relationship Id="rId29" Type="http://schemas.openxmlformats.org/officeDocument/2006/relationships/hyperlink" Target="https://drive.google.com/open?id=1mqzJMSyOhgMl9mHR6zPWuwMBxXTmkCL3" TargetMode="External"/><Relationship Id="rId520" Type="http://schemas.openxmlformats.org/officeDocument/2006/relationships/hyperlink" Target="https://drive.google.com/open?id=1IJ1QrZK7KM6jozRLwRQj6OVMwwNEjo9k" TargetMode="External"/><Relationship Id="rId762" Type="http://schemas.openxmlformats.org/officeDocument/2006/relationships/hyperlink" Target="https://www.instagram.com/feminun/?hl=en" TargetMode="External"/><Relationship Id="rId761" Type="http://schemas.openxmlformats.org/officeDocument/2006/relationships/hyperlink" Target="https://uninorte.zoom.us/j/85019447473?pwd=MUpTdkFmU0pJdXI3ZWtLbUZFQ0o3Zz09" TargetMode="External"/><Relationship Id="rId760" Type="http://schemas.openxmlformats.org/officeDocument/2006/relationships/hyperlink" Target="https://meet.google.com/vvn-xyxh-mkt" TargetMode="External"/><Relationship Id="rId11" Type="http://schemas.openxmlformats.org/officeDocument/2006/relationships/hyperlink" Target="https://drive.google.com/open?id=1XXFPZlAYpAFejEeRb6CtJXEecmfzvRWA" TargetMode="External"/><Relationship Id="rId10" Type="http://schemas.openxmlformats.org/officeDocument/2006/relationships/hyperlink" Target="https://drive.google.com/open?id=1g3XFHJQuSPV91a85s90unh9YshULn3Lx" TargetMode="External"/><Relationship Id="rId13" Type="http://schemas.openxmlformats.org/officeDocument/2006/relationships/hyperlink" Target="https://drive.google.com/open?id=1Va0ZqG12IJcJtXlfqYnVTrEA_56aS3rQ" TargetMode="External"/><Relationship Id="rId12" Type="http://schemas.openxmlformats.org/officeDocument/2006/relationships/hyperlink" Target="https://drive.google.com/open?id=1wcDP_Izgtyu5yOc3UgdnlvfKQQEMRtKJ" TargetMode="External"/><Relationship Id="rId519" Type="http://schemas.openxmlformats.org/officeDocument/2006/relationships/hyperlink" Target="https://www.instagram.com/createcun/" TargetMode="External"/><Relationship Id="rId514" Type="http://schemas.openxmlformats.org/officeDocument/2006/relationships/hyperlink" Target="https://meet.google.com/xpc-znif-fha" TargetMode="External"/><Relationship Id="rId756" Type="http://schemas.openxmlformats.org/officeDocument/2006/relationships/hyperlink" Target="https://drive.google.com/open?id=11KNmKUAkaSSIFNy1ZYT3xL4rtGIZZK5uWySIJMctfJY" TargetMode="External"/><Relationship Id="rId513" Type="http://schemas.openxmlformats.org/officeDocument/2006/relationships/hyperlink" Target="https://www.instagram.com/wstemunbq/" TargetMode="External"/><Relationship Id="rId755" Type="http://schemas.openxmlformats.org/officeDocument/2006/relationships/hyperlink" Target="https://drive.google.com/open?id=10rJ_pWqXccUJKwHatwao0xvGsIW3G8Lc" TargetMode="External"/><Relationship Id="rId512" Type="http://schemas.openxmlformats.org/officeDocument/2006/relationships/hyperlink" Target="https://uninorte.zoom.us/j/87389394029" TargetMode="External"/><Relationship Id="rId754" Type="http://schemas.openxmlformats.org/officeDocument/2006/relationships/hyperlink" Target="https://www.instagram.com/feminun/?hl=en" TargetMode="External"/><Relationship Id="rId511" Type="http://schemas.openxmlformats.org/officeDocument/2006/relationships/hyperlink" Target="https://uninorte.zoom.us/j/82005684288" TargetMode="External"/><Relationship Id="rId753" Type="http://schemas.openxmlformats.org/officeDocument/2006/relationships/hyperlink" Target="http://meet.google.com/fum-tjmj-gme" TargetMode="External"/><Relationship Id="rId518" Type="http://schemas.openxmlformats.org/officeDocument/2006/relationships/hyperlink" Target="https://www.youtube.com/c/CEIMUninorte" TargetMode="External"/><Relationship Id="rId517" Type="http://schemas.openxmlformats.org/officeDocument/2006/relationships/hyperlink" Target="http://meet.google.com/aop-most-qkx" TargetMode="External"/><Relationship Id="rId759" Type="http://schemas.openxmlformats.org/officeDocument/2006/relationships/hyperlink" Target="https://uninorte.zoom.us/j/89155207128?pwd=bXJnaDdQMVFReXhXYXkyeFhpY1pGQT09" TargetMode="External"/><Relationship Id="rId516" Type="http://schemas.openxmlformats.org/officeDocument/2006/relationships/hyperlink" Target="https://drive.google.com/open?id=19PyTWYI6eTwTNu7lUwbKO-4_cP0vGmOU" TargetMode="External"/><Relationship Id="rId758" Type="http://schemas.openxmlformats.org/officeDocument/2006/relationships/hyperlink" Target="https://drive.google.com/open?id=1-rmZaOOyNdjAzfGl7Poolrj8KqwLRPx5ojAora-tGZs" TargetMode="External"/><Relationship Id="rId515" Type="http://schemas.openxmlformats.org/officeDocument/2006/relationships/hyperlink" Target="https://uninorte.zoom.us/j/88413516932?pwd=aXErTHg3azVXb0VNN2FweEhnTU1nZz09" TargetMode="External"/><Relationship Id="rId757" Type="http://schemas.openxmlformats.org/officeDocument/2006/relationships/hyperlink" Target="https://uninorte.zoom.us/j/89671714026?pwd=QW5XMGRMZm14eGpFdGFQRGw2eStnUT09" TargetMode="External"/><Relationship Id="rId15" Type="http://schemas.openxmlformats.org/officeDocument/2006/relationships/hyperlink" Target="https://drive.google.com/open?id=1U5qlxx-MSJ9WRYwRbgrg27ik8zNt0Q0L" TargetMode="External"/><Relationship Id="rId14" Type="http://schemas.openxmlformats.org/officeDocument/2006/relationships/hyperlink" Target="https://drive.google.com/open?id=1N72eFFycSsS3rovQdljVPwqlF3vfPxAC" TargetMode="External"/><Relationship Id="rId17" Type="http://schemas.openxmlformats.org/officeDocument/2006/relationships/hyperlink" Target="https://drive.google.com/open?id=1qeFGV7d7-Xw7ffyzr2lykYSOmn6GYSa6" TargetMode="External"/><Relationship Id="rId16" Type="http://schemas.openxmlformats.org/officeDocument/2006/relationships/hyperlink" Target="https://drive.google.com/open?id=1-OFdLgacBtvCZHoTlgSxJI6WMcmC5nkL91vm-51MVH4" TargetMode="External"/><Relationship Id="rId19" Type="http://schemas.openxmlformats.org/officeDocument/2006/relationships/hyperlink" Target="https://meet.google.com/poc-cohf-afa" TargetMode="External"/><Relationship Id="rId510" Type="http://schemas.openxmlformats.org/officeDocument/2006/relationships/hyperlink" Target="https://drive.google.com/open?id=1g-bSXEVQ3LfSzF8j8OP4SJj_OnrYps0V" TargetMode="External"/><Relationship Id="rId752" Type="http://schemas.openxmlformats.org/officeDocument/2006/relationships/hyperlink" Target="https://uninorte.zoom.us/j/89631517885?pwd=Szlmbk9XclRwSnVuVUI4bVpvMllSZz09" TargetMode="External"/><Relationship Id="rId18" Type="http://schemas.openxmlformats.org/officeDocument/2006/relationships/hyperlink" Target="https://drive.google.com/open?id=1kLKELTOuvSkei8uTEpcpauzRb23Tcjfh" TargetMode="External"/><Relationship Id="rId751" Type="http://schemas.openxmlformats.org/officeDocument/2006/relationships/hyperlink" Target="https://meet.google.com/jev-nqmy-qaf" TargetMode="External"/><Relationship Id="rId750" Type="http://schemas.openxmlformats.org/officeDocument/2006/relationships/hyperlink" Target="https://uninorte.zoom.us/j/87002186016?pwd=S1Q2OWVDUG9RV0Y3eUJlUks2aFNEZz09" TargetMode="External"/><Relationship Id="rId84" Type="http://schemas.openxmlformats.org/officeDocument/2006/relationships/hyperlink" Target="https://drive.google.com/open?id=1-wedFiHQt6p5fWmwcEjYdSGYgUD1bBRo" TargetMode="External"/><Relationship Id="rId83" Type="http://schemas.openxmlformats.org/officeDocument/2006/relationships/hyperlink" Target="https://drive.google.com/open?id=1Lgx_n_pzetx_4r5SBRSr0ON2-ZnvYpJ7" TargetMode="External"/><Relationship Id="rId86" Type="http://schemas.openxmlformats.org/officeDocument/2006/relationships/hyperlink" Target="https://drive.google.com/open?id=1UFiaLOyQZJFpA4A85wUO7bkEJU5ZA9g9" TargetMode="External"/><Relationship Id="rId85" Type="http://schemas.openxmlformats.org/officeDocument/2006/relationships/hyperlink" Target="https://drive.google.com/open?id=1BhNkf_Do6oBRMi7dFZN_km-0kJFYVkZt" TargetMode="External"/><Relationship Id="rId88" Type="http://schemas.openxmlformats.org/officeDocument/2006/relationships/hyperlink" Target="https://drive.google.com/open?id=1t0LB3u1GjTegKB6DaRaChRMitEeKSzAU" TargetMode="External"/><Relationship Id="rId87" Type="http://schemas.openxmlformats.org/officeDocument/2006/relationships/hyperlink" Target="https://drive.google.com/open?id=1vz5IjScVxYRH8hFI0elqSsOrEsijODZh" TargetMode="External"/><Relationship Id="rId89" Type="http://schemas.openxmlformats.org/officeDocument/2006/relationships/hyperlink" Target="https://drive.google.com/open?id=1pgLbbbpqA7Spy3N7cK5ofWpKUYj6gUke" TargetMode="External"/><Relationship Id="rId709" Type="http://schemas.openxmlformats.org/officeDocument/2006/relationships/hyperlink" Target="https://uninorte.zoom.us/j/85301516446?pwd=ZHRxWGs5TmVPZHJVV3pQTlV1SVpPdz09" TargetMode="External"/><Relationship Id="rId708" Type="http://schemas.openxmlformats.org/officeDocument/2006/relationships/hyperlink" Target="https://www.tiktok.com/@.feminun?_d=secCgwIARCbDRjEFSACKAESPgo875eWQEjq%2BHF3OjF3HeWrpCW1haSCWTbE%2ByFnXgYHiJRjcqEk6FgUw2Nfptv3HuXV2ZY%2FK7DuJGn82MaKGgA%3D&amp;language=es&amp;preview_pb=0&amp;sec_user_id=MS4wLjABAAAAAr2GgbbMImoMDNZixxxLWhLqZ7-FCOeuVIoLf3YBW4JFmbouo_bNFefh8MprOSZS&amp;share_app_id=1233&amp;share_item_id=7022311510064024838&amp;share_link_id=ca10581b-c3c1-4f0a-98b1-2901f6a09452&amp;source=h5_m&amp;timestamp=1635009313&amp;u_code=dea5m76iel3l88&amp;user_id=6869052874082649090&amp;utm_campaign=client_share&amp;utm_medium=android&amp;utm_source=copy&amp;_r=1" TargetMode="External"/><Relationship Id="rId707" Type="http://schemas.openxmlformats.org/officeDocument/2006/relationships/hyperlink" Target="https://uninorte.zoom.us/j/85019447473?pwd=MUpTdkFmU0pJdXI3ZWtLbUZFQ0o3Zz09" TargetMode="External"/><Relationship Id="rId706" Type="http://schemas.openxmlformats.org/officeDocument/2006/relationships/hyperlink" Target="https://drive.google.com/open?id=1W7M_6EJotPpaXBKLU20w11-dUaH-IBN7" TargetMode="External"/><Relationship Id="rId80" Type="http://schemas.openxmlformats.org/officeDocument/2006/relationships/hyperlink" Target="https://drive.google.com/open?id=1ZZo4YTsb3Kj4H7ksIMpF5p23d3_xjufd" TargetMode="External"/><Relationship Id="rId82" Type="http://schemas.openxmlformats.org/officeDocument/2006/relationships/hyperlink" Target="https://drive.google.com/open?id=1PVc5jEifmjY7oLcWdvQs-CuqSoufD2ME" TargetMode="External"/><Relationship Id="rId81" Type="http://schemas.openxmlformats.org/officeDocument/2006/relationships/hyperlink" Target="https://drive.google.com/open?id=1b4wbzAAvBIc34cc8YDDG2sojbiGISpGK" TargetMode="External"/><Relationship Id="rId701" Type="http://schemas.openxmlformats.org/officeDocument/2006/relationships/hyperlink" Target="https://uninorte.zoom.us/j/84909245007?pwd=VGpFMnUwYnVTaURkSWRHUHdZVnd1QT09" TargetMode="External"/><Relationship Id="rId700" Type="http://schemas.openxmlformats.org/officeDocument/2006/relationships/hyperlink" Target="https://drive.google.com/open?id=1WT-BQWt73Rzvn-SXoDxlGTdZu6afVrQc" TargetMode="External"/><Relationship Id="rId705" Type="http://schemas.openxmlformats.org/officeDocument/2006/relationships/hyperlink" Target="https://www.youtube.com/c/CEIMUninorte" TargetMode="External"/><Relationship Id="rId704" Type="http://schemas.openxmlformats.org/officeDocument/2006/relationships/hyperlink" Target="https://vm.tiktok.com/ZM8mdLhFf/" TargetMode="External"/><Relationship Id="rId703" Type="http://schemas.openxmlformats.org/officeDocument/2006/relationships/hyperlink" Target="https://uninorte.zoom.us/j/83981536836" TargetMode="External"/><Relationship Id="rId702" Type="http://schemas.openxmlformats.org/officeDocument/2006/relationships/hyperlink" Target="https://drive.google.com/open?id=1I_jL332KsVVMwsSzKtXg5PG6SdrphRRU" TargetMode="External"/><Relationship Id="rId73" Type="http://schemas.openxmlformats.org/officeDocument/2006/relationships/hyperlink" Target="https://drive.google.com/open?id=1CkfazP20ydO0CKfdoV9uIeZTyz-77W36" TargetMode="External"/><Relationship Id="rId72" Type="http://schemas.openxmlformats.org/officeDocument/2006/relationships/hyperlink" Target="https://drive.google.com/open?id=1ba9P_9fSCEIl85uhPxfqh6J28hrOkILR" TargetMode="External"/><Relationship Id="rId75" Type="http://schemas.openxmlformats.org/officeDocument/2006/relationships/hyperlink" Target="https://drive.google.com/open?id=1_U3U0Xw9d2NYAv2y4rENk9gd2KfXqH4s" TargetMode="External"/><Relationship Id="rId74" Type="http://schemas.openxmlformats.org/officeDocument/2006/relationships/hyperlink" Target="https://drive.google.com/open?id=1UqJVY7ikmunjVLJACLcek3m3BLqdq729" TargetMode="External"/><Relationship Id="rId77" Type="http://schemas.openxmlformats.org/officeDocument/2006/relationships/hyperlink" Target="https://drive.google.com/open?id=1T5YAZLDP1dfXP52c6yFIBcAg2PXCI_Xx" TargetMode="External"/><Relationship Id="rId76" Type="http://schemas.openxmlformats.org/officeDocument/2006/relationships/hyperlink" Target="https://drive.google.com/open?id=1oKKsApt1q6H49_EEQm8fwmieKj3LNdlH" TargetMode="External"/><Relationship Id="rId79" Type="http://schemas.openxmlformats.org/officeDocument/2006/relationships/hyperlink" Target="https://drive.google.com/open?id=1D7My0uFIZy6pDNTK9zE79jbXWj_eGeeE" TargetMode="External"/><Relationship Id="rId78" Type="http://schemas.openxmlformats.org/officeDocument/2006/relationships/hyperlink" Target="https://drive.google.com/open?id=1f3ynj__Nav2ZFkQFfL3ApHZiZhT2uoHz" TargetMode="External"/><Relationship Id="rId71" Type="http://schemas.openxmlformats.org/officeDocument/2006/relationships/hyperlink" Target="https://drive.google.com/open?id=1W5fVe09Sj0OEFSny-g0BaN7YTmHGLpTy" TargetMode="External"/><Relationship Id="rId70" Type="http://schemas.openxmlformats.org/officeDocument/2006/relationships/hyperlink" Target="https://drive.google.com/open?id=1SgaBVlDN0Z5AsNH-3gDnYh_Wk75SEZOY" TargetMode="External"/><Relationship Id="rId62" Type="http://schemas.openxmlformats.org/officeDocument/2006/relationships/hyperlink" Target="https://drive.google.com/open?id=1ThR1NPduMvPXU0Oda2SVqV6LXE9LnfrX" TargetMode="External"/><Relationship Id="rId61" Type="http://schemas.openxmlformats.org/officeDocument/2006/relationships/hyperlink" Target="https://drive.google.com/open?id=1PbH6jckEy7oOn4EF3jbkqN2LeC3EKAjR" TargetMode="External"/><Relationship Id="rId64" Type="http://schemas.openxmlformats.org/officeDocument/2006/relationships/hyperlink" Target="https://drive.google.com/open?id=14VxBmyEc1lkfp_YGZq0ZHqUmp6UH8hC2" TargetMode="External"/><Relationship Id="rId63" Type="http://schemas.openxmlformats.org/officeDocument/2006/relationships/hyperlink" Target="https://meet.google.com/rtq-frse-ufg" TargetMode="External"/><Relationship Id="rId66" Type="http://schemas.openxmlformats.org/officeDocument/2006/relationships/hyperlink" Target="https://drive.google.com/open?id=1FrWLVVJLJ5qghp_w0biRKB3jRebktaqk" TargetMode="External"/><Relationship Id="rId65" Type="http://schemas.openxmlformats.org/officeDocument/2006/relationships/hyperlink" Target="https://drive.google.com/open?id=1Gkf9cCXvdxwvXmq3zHxI6id6HLAjYNvK" TargetMode="External"/><Relationship Id="rId68" Type="http://schemas.openxmlformats.org/officeDocument/2006/relationships/hyperlink" Target="https://drive.google.com/open?id=1pNIwZEVvnURk8p6sjdOdH3sXjylxZw8o" TargetMode="External"/><Relationship Id="rId67" Type="http://schemas.openxmlformats.org/officeDocument/2006/relationships/hyperlink" Target="https://drive.google.com/open?id=1w2Haer2Thu1ac6FdBw_8EGSDCrmVfJLn" TargetMode="External"/><Relationship Id="rId729" Type="http://schemas.openxmlformats.org/officeDocument/2006/relationships/hyperlink" Target="https://uninorte.zoom.us/j/89744822440?pwd=Qi9JeHhTeGhxVUh0Mm9ST2VUQndNZz09" TargetMode="External"/><Relationship Id="rId728" Type="http://schemas.openxmlformats.org/officeDocument/2006/relationships/hyperlink" Target="https://uninorte.zoom.us/j/85852274137?pwd=ajFUU3FWcmprenYwOWZuOFpIak5qQT09" TargetMode="External"/><Relationship Id="rId60" Type="http://schemas.openxmlformats.org/officeDocument/2006/relationships/hyperlink" Target="https://uninorte.zoom.us/s/87674130956" TargetMode="External"/><Relationship Id="rId723" Type="http://schemas.openxmlformats.org/officeDocument/2006/relationships/hyperlink" Target="https://www.instagram.com/p/CTryVJoL2MU/?utm_medium=copy_link" TargetMode="External"/><Relationship Id="rId722" Type="http://schemas.openxmlformats.org/officeDocument/2006/relationships/hyperlink" Target="https://www.instagram.com/p/CTns7nbLe3e/?utm_medium=copy_link" TargetMode="External"/><Relationship Id="rId721" Type="http://schemas.openxmlformats.org/officeDocument/2006/relationships/hyperlink" Target="https://www.instagram.com/p/CTk9Xxerdvx/?utm_medium=copy_link" TargetMode="External"/><Relationship Id="rId720" Type="http://schemas.openxmlformats.org/officeDocument/2006/relationships/hyperlink" Target="https://www.instagram.com/p/CTiO9oUra6U/?utm_medium=copy_link" TargetMode="External"/><Relationship Id="rId727" Type="http://schemas.openxmlformats.org/officeDocument/2006/relationships/hyperlink" Target="https://drive.google.com/open?id=1NXBLFE44ksbTRQuZ18lEEH_hAtEUiekC" TargetMode="External"/><Relationship Id="rId726" Type="http://schemas.openxmlformats.org/officeDocument/2006/relationships/hyperlink" Target="https://www.instagram.com/p/CVTUjE1rfSM/?utm_medium=copy_link" TargetMode="External"/><Relationship Id="rId725" Type="http://schemas.openxmlformats.org/officeDocument/2006/relationships/hyperlink" Target="https://www.instagram.com/p/CVTQrt7rjhF/?utm_medium=copy_link" TargetMode="External"/><Relationship Id="rId724" Type="http://schemas.openxmlformats.org/officeDocument/2006/relationships/hyperlink" Target="https://www.instagram.com/p/CU-uQlKrAvU/?utm_medium=copy_link" TargetMode="External"/><Relationship Id="rId69" Type="http://schemas.openxmlformats.org/officeDocument/2006/relationships/hyperlink" Target="https://drive.google.com/open?id=1fj5fqJAra6z2jfHgMiCRlkkWt8Pl3RSi" TargetMode="External"/><Relationship Id="rId51" Type="http://schemas.openxmlformats.org/officeDocument/2006/relationships/hyperlink" Target="https://drive.google.com/open?id=1vapq_lT7vCrqcMvx0GXB8K710p1csrox" TargetMode="External"/><Relationship Id="rId50" Type="http://schemas.openxmlformats.org/officeDocument/2006/relationships/hyperlink" Target="https://drive.google.com/open?id=1mPe6VqWoRTdQpmZgbrBDjq4u1Cm0_Fdd" TargetMode="External"/><Relationship Id="rId53" Type="http://schemas.openxmlformats.org/officeDocument/2006/relationships/hyperlink" Target="https://drive.google.com/open?id=1qXQRO9qpMgg1tSxvQCEvjbUoRuk3_5rT" TargetMode="External"/><Relationship Id="rId52" Type="http://schemas.openxmlformats.org/officeDocument/2006/relationships/hyperlink" Target="https://drive.google.com/open?id=1kI1Ka_TJUnmEvJ7dymOtAsipPviI0Mg5" TargetMode="External"/><Relationship Id="rId55" Type="http://schemas.openxmlformats.org/officeDocument/2006/relationships/hyperlink" Target="https://drive.google.com/open?id=1Bl_taCuplvKZ4tEJNjfjwiS540LyScnk" TargetMode="External"/><Relationship Id="rId54" Type="http://schemas.openxmlformats.org/officeDocument/2006/relationships/hyperlink" Target="https://drive.google.com/open?id=13292dhgbkl8YAy9ytx_1SeQ95z33FBzh" TargetMode="External"/><Relationship Id="rId57" Type="http://schemas.openxmlformats.org/officeDocument/2006/relationships/hyperlink" Target="https://drive.google.com/open?id=18GwHnX4jcvPnyX12HLHD9qtttqkq3gri" TargetMode="External"/><Relationship Id="rId56" Type="http://schemas.openxmlformats.org/officeDocument/2006/relationships/hyperlink" Target="https://drive.google.com/open?id=1NV-j6ZKVvtFbiDOhbA7S1p_pZpadpJqe" TargetMode="External"/><Relationship Id="rId719" Type="http://schemas.openxmlformats.org/officeDocument/2006/relationships/hyperlink" Target="https://www.instagram.com/p/CSFnt42LDpD/?utm_medium=copy_link" TargetMode="External"/><Relationship Id="rId718" Type="http://schemas.openxmlformats.org/officeDocument/2006/relationships/hyperlink" Target="https://www.instagram.com/p/CSFnMojrU-2/?utm_medium=copy_link" TargetMode="External"/><Relationship Id="rId717" Type="http://schemas.openxmlformats.org/officeDocument/2006/relationships/hyperlink" Target="https://uninorte.zoom.us/j/88139257105?pwd=czhybnAzSzZ6UHRMcnZRL1ZmK0VSQT09" TargetMode="External"/><Relationship Id="rId712" Type="http://schemas.openxmlformats.org/officeDocument/2006/relationships/hyperlink" Target="https://uninorte.zoom.us/meeting/register/tZwodeChrjgvHtZlBYsoqf61cHPIC_qPXdzf" TargetMode="External"/><Relationship Id="rId711" Type="http://schemas.openxmlformats.org/officeDocument/2006/relationships/hyperlink" Target="https://forms.gle/Cd3x5j9Hh5L7dd498" TargetMode="External"/><Relationship Id="rId710" Type="http://schemas.openxmlformats.org/officeDocument/2006/relationships/hyperlink" Target="https://docs.google.com/forms/d/1uNpxlMcv0eUqoEIBVfM2jweVwJOanNEjcTUOyjbGbgM/edit" TargetMode="External"/><Relationship Id="rId716" Type="http://schemas.openxmlformats.org/officeDocument/2006/relationships/hyperlink" Target="https://forms.gle/QZNaHv4fM9V7L19Z7" TargetMode="External"/><Relationship Id="rId715" Type="http://schemas.openxmlformats.org/officeDocument/2006/relationships/hyperlink" Target="https://uninorte.zoom.us/j/83679020341?pwd=Q2UrcjdjR1VlYmcrWmNHZEVKNytjUT09" TargetMode="External"/><Relationship Id="rId714" Type="http://schemas.openxmlformats.org/officeDocument/2006/relationships/hyperlink" Target="https://uninorte.zoom.us/j/5073504232" TargetMode="External"/><Relationship Id="rId713" Type="http://schemas.openxmlformats.org/officeDocument/2006/relationships/hyperlink" Target="https://www.instagram.com/cassuninorte/live/" TargetMode="External"/><Relationship Id="rId59" Type="http://schemas.openxmlformats.org/officeDocument/2006/relationships/hyperlink" Target="https://drive.google.com/open?id=1LGul6OoADbJwZCMUVfo5Fl_aJBHdj_DY" TargetMode="External"/><Relationship Id="rId58" Type="http://schemas.openxmlformats.org/officeDocument/2006/relationships/hyperlink" Target="https://drive.google.com/open?id=1aOcsAmd6-z3xmWBqc2wNP4zp2PfJkX-f" TargetMode="External"/><Relationship Id="rId590" Type="http://schemas.openxmlformats.org/officeDocument/2006/relationships/hyperlink" Target="https://drive.google.com/open?id=1z7AdEDKVB4NyKgUkzW4OYULTt97XytKZ" TargetMode="External"/><Relationship Id="rId107" Type="http://schemas.openxmlformats.org/officeDocument/2006/relationships/hyperlink" Target="https://drive.google.com/open?id=1piVjO1JKYJut3_MCu9G3_jp5sfzQo1Za" TargetMode="External"/><Relationship Id="rId349" Type="http://schemas.openxmlformats.org/officeDocument/2006/relationships/hyperlink" Target="http://meet.google.com/fao-bmew-ffn" TargetMode="External"/><Relationship Id="rId106" Type="http://schemas.openxmlformats.org/officeDocument/2006/relationships/hyperlink" Target="https://drive.google.com/open?id=1-ozMPNtqL-nyP5x4XTJbZFVLY4tdECDn" TargetMode="External"/><Relationship Id="rId348" Type="http://schemas.openxmlformats.org/officeDocument/2006/relationships/hyperlink" Target="https://instagram.com/ceriuninorte?utm_medium=copy_link" TargetMode="External"/><Relationship Id="rId105" Type="http://schemas.openxmlformats.org/officeDocument/2006/relationships/hyperlink" Target="https://drive.google.com/open?id=1LW3HS01Ks8GYrac98FRES8zJgogJdh2z" TargetMode="External"/><Relationship Id="rId347" Type="http://schemas.openxmlformats.org/officeDocument/2006/relationships/hyperlink" Target="https://uninorte.zoom.us/j/88091568135?pwd=cFNyQXlpb0FJN3hYMysya25RcnhXZz09" TargetMode="External"/><Relationship Id="rId589" Type="http://schemas.openxmlformats.org/officeDocument/2006/relationships/hyperlink" Target="https://uninorte.zoom.us/j/3299010108" TargetMode="External"/><Relationship Id="rId104" Type="http://schemas.openxmlformats.org/officeDocument/2006/relationships/hyperlink" Target="https://drive.google.com/open?id=1Tb0LxYR0qeL0_tDsDyv5opk_ewSFxDYe8Yt-1UoOD9I" TargetMode="External"/><Relationship Id="rId346" Type="http://schemas.openxmlformats.org/officeDocument/2006/relationships/hyperlink" Target="https://uninorte.zoom.us/j/85696753927" TargetMode="External"/><Relationship Id="rId588" Type="http://schemas.openxmlformats.org/officeDocument/2006/relationships/hyperlink" Target="http://meet.google.com/amb-vrhh-upo" TargetMode="External"/><Relationship Id="rId109" Type="http://schemas.openxmlformats.org/officeDocument/2006/relationships/hyperlink" Target="https://drive.google.com/open?id=1MvgfNIj1M4jYOgXjt9_wU1VMpn7JzdfI" TargetMode="External"/><Relationship Id="rId108" Type="http://schemas.openxmlformats.org/officeDocument/2006/relationships/hyperlink" Target="https://drive.google.com/open?id=1UPNGmG7_Q2AUZB8npWPpWGUjrkOX8ILf" TargetMode="External"/><Relationship Id="rId341" Type="http://schemas.openxmlformats.org/officeDocument/2006/relationships/hyperlink" Target="https://meet.google.com/gmq-qnsz-eyb" TargetMode="External"/><Relationship Id="rId583" Type="http://schemas.openxmlformats.org/officeDocument/2006/relationships/hyperlink" Target="https://uninorte.zoom.us/j/88051161495?pwd=MnRpZ3ZvbjdsR1FlUVJVcW4rbGtNZz09" TargetMode="External"/><Relationship Id="rId340" Type="http://schemas.openxmlformats.org/officeDocument/2006/relationships/hyperlink" Target="https://uninorte.zoom.us/j/81695918750?pwd=RUhOZ2I4Q2xLVkxJWlA4aHJFN1NWdz09" TargetMode="External"/><Relationship Id="rId582" Type="http://schemas.openxmlformats.org/officeDocument/2006/relationships/hyperlink" Target="https://drive.google.com/open?id=1GXa25EnoKiSMwvcswOrYoY7lzPDXo0Sw" TargetMode="External"/><Relationship Id="rId581" Type="http://schemas.openxmlformats.org/officeDocument/2006/relationships/hyperlink" Target="https://instagram.com/feminun?utm_medium=copy_link" TargetMode="External"/><Relationship Id="rId580" Type="http://schemas.openxmlformats.org/officeDocument/2006/relationships/hyperlink" Target="https://instagram.com/feminun?utm_medium=copy_link" TargetMode="External"/><Relationship Id="rId103" Type="http://schemas.openxmlformats.org/officeDocument/2006/relationships/hyperlink" Target="https://drive.google.com/open?id=14WO0FSjK2uK84_zAouakfJZU-c3p0lSt" TargetMode="External"/><Relationship Id="rId345" Type="http://schemas.openxmlformats.org/officeDocument/2006/relationships/hyperlink" Target="https://uninorte.zoom.us/meeting/register/tZMrcemprzMtHdL6d0CNJpZAoRZwqCh2pWZZ" TargetMode="External"/><Relationship Id="rId587" Type="http://schemas.openxmlformats.org/officeDocument/2006/relationships/hyperlink" Target="https://meet.google.com/dcp-atbm-jzk" TargetMode="External"/><Relationship Id="rId102" Type="http://schemas.openxmlformats.org/officeDocument/2006/relationships/hyperlink" Target="https://drive.google.com/open?id=1hdQWUPwpluYzWd7poVlaBs870ZLV-ceE" TargetMode="External"/><Relationship Id="rId344" Type="http://schemas.openxmlformats.org/officeDocument/2006/relationships/hyperlink" Target="https://uninorte.zoom.us/meeting/register/tZwocuyhqjMtEtGq6LX9j6olhUCZZi2Xn4-O" TargetMode="External"/><Relationship Id="rId586" Type="http://schemas.openxmlformats.org/officeDocument/2006/relationships/hyperlink" Target="https://www.youtube.com/channel/UCSLU0zobLVGFIdJUzHBeZmA" TargetMode="External"/><Relationship Id="rId101" Type="http://schemas.openxmlformats.org/officeDocument/2006/relationships/hyperlink" Target="https://drive.google.com/open?id=1QpK2dfaOr2oJNEthi8tFI-PpCN7BDLJ6" TargetMode="External"/><Relationship Id="rId343" Type="http://schemas.openxmlformats.org/officeDocument/2006/relationships/hyperlink" Target="https://drive.google.com/open?id=1yySCU_a582ghRLrjGkAzdZh1FSSpRv9L" TargetMode="External"/><Relationship Id="rId585" Type="http://schemas.openxmlformats.org/officeDocument/2006/relationships/hyperlink" Target="https://uninorte.zoom.us/j/3299010108" TargetMode="External"/><Relationship Id="rId100" Type="http://schemas.openxmlformats.org/officeDocument/2006/relationships/hyperlink" Target="https://drive.google.com/open?id=1KU0EHXTjaHRJgtjn8_E6eMvEIJMM6KqAZ1cqOtbrdAg" TargetMode="External"/><Relationship Id="rId342" Type="http://schemas.openxmlformats.org/officeDocument/2006/relationships/hyperlink" Target="https://uninorte.zoom.us/j/87389394029" TargetMode="External"/><Relationship Id="rId584" Type="http://schemas.openxmlformats.org/officeDocument/2006/relationships/hyperlink" Target="https://uninorte.zoom.us/j/3299010108" TargetMode="External"/><Relationship Id="rId338" Type="http://schemas.openxmlformats.org/officeDocument/2006/relationships/hyperlink" Target="http://meet.google.com/rxn-ghga-ksh" TargetMode="External"/><Relationship Id="rId337" Type="http://schemas.openxmlformats.org/officeDocument/2006/relationships/hyperlink" Target="https://forms.gle/Z3VBWCKVCTJrFzMQ7" TargetMode="External"/><Relationship Id="rId579" Type="http://schemas.openxmlformats.org/officeDocument/2006/relationships/hyperlink" Target="https://www.google.com/url?q=https://uninorte.zoom.us/j/89908529625?pwd%3DamppOXl6c3ZJbmNYOE02SGtiRHQ3Zz09&amp;sa=D&amp;source=calendar&amp;ust=1633270769356509&amp;usg=AOvVaw1ZufetNfOauLwM_dc21eMq" TargetMode="External"/><Relationship Id="rId336" Type="http://schemas.openxmlformats.org/officeDocument/2006/relationships/hyperlink" Target="https://drive.google.com/open?id=1Ygj8B9s_gxCzAgt7KP697d0NCYMmaIww" TargetMode="External"/><Relationship Id="rId578" Type="http://schemas.openxmlformats.org/officeDocument/2006/relationships/hyperlink" Target="https://uninorte.zoom.us/j/3299010108" TargetMode="External"/><Relationship Id="rId335" Type="http://schemas.openxmlformats.org/officeDocument/2006/relationships/hyperlink" Target="https://meet.google.com/wax-myfq-vef" TargetMode="External"/><Relationship Id="rId577" Type="http://schemas.openxmlformats.org/officeDocument/2006/relationships/hyperlink" Target="https://uninorte.zoom.us/j/87324382575?pwd=UVpGakF5cXV3S0NDS2FKK203VklaQT09" TargetMode="External"/><Relationship Id="rId339" Type="http://schemas.openxmlformats.org/officeDocument/2006/relationships/hyperlink" Target="https://drive.google.com/open?id=1S1Jt5ejA4xFJj7aHcbg3qRCcoVDUzTQM" TargetMode="External"/><Relationship Id="rId330" Type="http://schemas.openxmlformats.org/officeDocument/2006/relationships/hyperlink" Target="https://meet.google.com/oct-kdgc-mxi" TargetMode="External"/><Relationship Id="rId572" Type="http://schemas.openxmlformats.org/officeDocument/2006/relationships/hyperlink" Target="https://www.uninorte.edu.co/web/ceimun/home?p_p_id=33&amp;p_p_lifecycle=0&amp;p_p_state=normal&amp;p_p_mode=view&amp;p_p_col_id=column-2&amp;p_p_col_pos=1&amp;p_p_col_count=2" TargetMode="External"/><Relationship Id="rId571" Type="http://schemas.openxmlformats.org/officeDocument/2006/relationships/hyperlink" Target="https://uninorte.zoom.us/j/89844134767" TargetMode="External"/><Relationship Id="rId570" Type="http://schemas.openxmlformats.org/officeDocument/2006/relationships/hyperlink" Target="https://uninorte.zoom.us/s/82663690452" TargetMode="External"/><Relationship Id="rId334" Type="http://schemas.openxmlformats.org/officeDocument/2006/relationships/hyperlink" Target="https://uninorte.zoom.us/j/89758466085" TargetMode="External"/><Relationship Id="rId576" Type="http://schemas.openxmlformats.org/officeDocument/2006/relationships/hyperlink" Target="https://forms.gle/k54nLKBSnQTiJcA2A" TargetMode="External"/><Relationship Id="rId333" Type="http://schemas.openxmlformats.org/officeDocument/2006/relationships/hyperlink" Target="https://drive.google.com/open?id=1LYew1ETFrljZzocm1g7GutYrnyDTrRxR" TargetMode="External"/><Relationship Id="rId575" Type="http://schemas.openxmlformats.org/officeDocument/2006/relationships/hyperlink" Target="https://uninorte.zoom.us/j/8729670906" TargetMode="External"/><Relationship Id="rId332" Type="http://schemas.openxmlformats.org/officeDocument/2006/relationships/hyperlink" Target="https://www.instagram.com/p/CS90SffLKir/?utm_source=ig_web_copy_link" TargetMode="External"/><Relationship Id="rId574" Type="http://schemas.openxmlformats.org/officeDocument/2006/relationships/hyperlink" Target="https://uninorte.zoom.us/j/84793185207?pwd=Slo4dXprMFlmc1NwUFNDVERoWlUwdz09" TargetMode="External"/><Relationship Id="rId331" Type="http://schemas.openxmlformats.org/officeDocument/2006/relationships/hyperlink" Target="https://youtu.be/xNpyQzWwBDg" TargetMode="External"/><Relationship Id="rId573" Type="http://schemas.openxmlformats.org/officeDocument/2006/relationships/hyperlink" Target="https://instagram.com/feminun?utm_medium=copy_link" TargetMode="External"/><Relationship Id="rId370" Type="http://schemas.openxmlformats.org/officeDocument/2006/relationships/hyperlink" Target="https://uninorte.zoom.us/j/85019447473?pwd=MUpTdkFmU0pJdXI3ZWtLbUZFQ0o3Zz09" TargetMode="External"/><Relationship Id="rId129" Type="http://schemas.openxmlformats.org/officeDocument/2006/relationships/hyperlink" Target="https://drive.google.com/open?id=1SgjZk6QkODIp8736e5C1iKtuTbZ4K32pnJK1J7phxJQ" TargetMode="External"/><Relationship Id="rId128" Type="http://schemas.openxmlformats.org/officeDocument/2006/relationships/hyperlink" Target="https://drive.google.com/open?id=1qqArK43qmSihEqSz_7BobpYd2tm66Ulc" TargetMode="External"/><Relationship Id="rId127" Type="http://schemas.openxmlformats.org/officeDocument/2006/relationships/hyperlink" Target="https://drive.google.com/open?id=1Gserz7pvOcpsy2LiaaqWcKImVZVHCzr8" TargetMode="External"/><Relationship Id="rId369" Type="http://schemas.openxmlformats.org/officeDocument/2006/relationships/hyperlink" Target="https://uninorte.zoom.us/j/85019447473?pwd=MUpTdkFmU0pJdXI3ZWtLbUZFQ0o3Zz09" TargetMode="External"/><Relationship Id="rId126" Type="http://schemas.openxmlformats.org/officeDocument/2006/relationships/hyperlink" Target="https://drive.google.com/open?id=1oZsXQcTmWWU8hcrJ88tK07iV-YnTbrp0" TargetMode="External"/><Relationship Id="rId368" Type="http://schemas.openxmlformats.org/officeDocument/2006/relationships/hyperlink" Target="https://uninorte.zoom.us/j/85019447473?pwd=MUpTdkFmU0pJdXI3ZWtLbUZFQ0o3Zz09" TargetMode="External"/><Relationship Id="rId121" Type="http://schemas.openxmlformats.org/officeDocument/2006/relationships/hyperlink" Target="https://drive.google.com/open?id=1Q-41zfjA_0DDxnieLtNeN3rMVi29liH0" TargetMode="External"/><Relationship Id="rId363" Type="http://schemas.openxmlformats.org/officeDocument/2006/relationships/hyperlink" Target="https://uninorte.zoom.us/j/85019447473?pwd=MUpTdkFmU0pJdXI3ZWtLbUZFQ0o3Zz09" TargetMode="External"/><Relationship Id="rId120" Type="http://schemas.openxmlformats.org/officeDocument/2006/relationships/hyperlink" Target="https://drive.google.com/open?id=1j9_Vi_Rm1S3fpe-AQ-An4a-SKnnUF-i1yngbZ-Hor8A" TargetMode="External"/><Relationship Id="rId362" Type="http://schemas.openxmlformats.org/officeDocument/2006/relationships/hyperlink" Target="https://uninorte.zoom.us/j/89245450358?pwd=NFFINXhFMnJWZWh0NWhqblpKTzBHdz09" TargetMode="External"/><Relationship Id="rId361" Type="http://schemas.openxmlformats.org/officeDocument/2006/relationships/hyperlink" Target="https://www.instagram.com/ceimuninorte/" TargetMode="External"/><Relationship Id="rId360" Type="http://schemas.openxmlformats.org/officeDocument/2006/relationships/hyperlink" Target="https://instagram.com/ceriuninorte?utm_medium=copy_link" TargetMode="External"/><Relationship Id="rId125" Type="http://schemas.openxmlformats.org/officeDocument/2006/relationships/hyperlink" Target="https://drive.google.com/open?id=1Zy_QBgzwZwZknLGAN216DLCIxRBhNc3R" TargetMode="External"/><Relationship Id="rId367" Type="http://schemas.openxmlformats.org/officeDocument/2006/relationships/hyperlink" Target="https://uninorte.zoom.us/j/85019447473?pwd=MUpTdkFmU0pJdXI3ZWtLbUZFQ0o3Zz09" TargetMode="External"/><Relationship Id="rId124" Type="http://schemas.openxmlformats.org/officeDocument/2006/relationships/hyperlink" Target="https://drive.google.com/open?id=1EzeT5G_G-gvoPGBeM24BBINsaDYamiNW" TargetMode="External"/><Relationship Id="rId366" Type="http://schemas.openxmlformats.org/officeDocument/2006/relationships/hyperlink" Target="https://drive.google.com/open?id=1TQFgEsVCVG8UEIiKNbi_H9VSKAFQnLul" TargetMode="External"/><Relationship Id="rId123" Type="http://schemas.openxmlformats.org/officeDocument/2006/relationships/hyperlink" Target="https://drive.google.com/open?id=1J85o04EftlS9rwnrt8sju2wsgr2QVYH-" TargetMode="External"/><Relationship Id="rId365" Type="http://schemas.openxmlformats.org/officeDocument/2006/relationships/hyperlink" Target="https://uninorte.zoom.us/j/86381470171" TargetMode="External"/><Relationship Id="rId122" Type="http://schemas.openxmlformats.org/officeDocument/2006/relationships/hyperlink" Target="https://drive.google.com/open?id=1NbqBuyWgX8A0wbL_wRzUjvQ2CrKVHlFE" TargetMode="External"/><Relationship Id="rId364" Type="http://schemas.openxmlformats.org/officeDocument/2006/relationships/hyperlink" Target="https://drive.google.com/open?id=1_C2YdgOvSSM1NmQvBy8t3FJvtzvQEiUN" TargetMode="External"/><Relationship Id="rId95" Type="http://schemas.openxmlformats.org/officeDocument/2006/relationships/hyperlink" Target="https://drive.google.com/open?id=1Kxbg5vkIP_7LmcvXACiwvXlnbMLHjARt" TargetMode="External"/><Relationship Id="rId94" Type="http://schemas.openxmlformats.org/officeDocument/2006/relationships/hyperlink" Target="https://drive.google.com/open?id=1A6Shjm5eeklEauuDyAxqYZFwapvQ9qzB" TargetMode="External"/><Relationship Id="rId97" Type="http://schemas.openxmlformats.org/officeDocument/2006/relationships/hyperlink" Target="https://drive.google.com/open?id=1Wm9vULgOtXpsCF7hM7EldU6_ljkzFoDZ" TargetMode="External"/><Relationship Id="rId96" Type="http://schemas.openxmlformats.org/officeDocument/2006/relationships/hyperlink" Target="https://drive.google.com/open?id=15UOGce38U43qUciiZT8GrqMeNdoib3Bg" TargetMode="External"/><Relationship Id="rId99" Type="http://schemas.openxmlformats.org/officeDocument/2006/relationships/hyperlink" Target="https://drive.google.com/open?id=1MW9M_-r1W00ujeQ11k-p7bxY5HuX6sFP" TargetMode="External"/><Relationship Id="rId98" Type="http://schemas.openxmlformats.org/officeDocument/2006/relationships/hyperlink" Target="https://drive.google.com/open?id=1J4VvypZmm3w3uNA2RkmGJ8gNW_9us4Kd" TargetMode="External"/><Relationship Id="rId91" Type="http://schemas.openxmlformats.org/officeDocument/2006/relationships/hyperlink" Target="https://drive.google.com/open?id=1heXkcoYvM8Ak_YOlz8nhnVrSb-9NMgXN" TargetMode="External"/><Relationship Id="rId90" Type="http://schemas.openxmlformats.org/officeDocument/2006/relationships/hyperlink" Target="https://uninorte.zoom.us/j/2018028267" TargetMode="External"/><Relationship Id="rId93" Type="http://schemas.openxmlformats.org/officeDocument/2006/relationships/hyperlink" Target="https://drive.google.com/open?id=1aotMwW2OvOF7ztwDRyRCUVJeXyYT_5p-" TargetMode="External"/><Relationship Id="rId92" Type="http://schemas.openxmlformats.org/officeDocument/2006/relationships/hyperlink" Target="https://drive.google.com/open?id=1dkVs_-csTIvbMzn_31WlxXW2upHCvVoz" TargetMode="External"/><Relationship Id="rId118" Type="http://schemas.openxmlformats.org/officeDocument/2006/relationships/hyperlink" Target="https://drive.google.com/open?id=1rlBJlak2HqdBNk7Z_V-e1pDeZ2sn3h8T" TargetMode="External"/><Relationship Id="rId117" Type="http://schemas.openxmlformats.org/officeDocument/2006/relationships/hyperlink" Target="https://drive.google.com/open?id=1Lzn755wf5eqzPALbP5nGUcedw6NqyP1D" TargetMode="External"/><Relationship Id="rId359" Type="http://schemas.openxmlformats.org/officeDocument/2006/relationships/hyperlink" Target="https://meet.google.com/dcp-atbm-jzk" TargetMode="External"/><Relationship Id="rId116" Type="http://schemas.openxmlformats.org/officeDocument/2006/relationships/hyperlink" Target="https://drive.google.com/open?id=1195Hqda1FLZzlywO8Gck2xA2mAF3JXb8" TargetMode="External"/><Relationship Id="rId358" Type="http://schemas.openxmlformats.org/officeDocument/2006/relationships/hyperlink" Target="https://www.uninorte.edu.co/web/ceimun/home?p_p_id=33&amp;p_p_lifecycle=0&amp;p_p_state=normal&amp;p_p_mode=view&amp;p_p_col_id=column-2&amp;p_p_col_pos=1&amp;p_p_col_count=2" TargetMode="External"/><Relationship Id="rId115" Type="http://schemas.openxmlformats.org/officeDocument/2006/relationships/hyperlink" Target="https://drive.google.com/open?id=1uL7eTlzmXexoFj_lRxRHSzLhqNvjtamQ" TargetMode="External"/><Relationship Id="rId357" Type="http://schemas.openxmlformats.org/officeDocument/2006/relationships/hyperlink" Target="https://instagram.com/gazetadcpri?utm_medium=copy_link" TargetMode="External"/><Relationship Id="rId599" Type="http://schemas.openxmlformats.org/officeDocument/2006/relationships/hyperlink" Target="https://uninorte.zoom.us/j/3299010108" TargetMode="External"/><Relationship Id="rId119" Type="http://schemas.openxmlformats.org/officeDocument/2006/relationships/hyperlink" Target="https://meet.google.com/ire-qbqn-gcj?authuser=1" TargetMode="External"/><Relationship Id="rId110" Type="http://schemas.openxmlformats.org/officeDocument/2006/relationships/hyperlink" Target="https://drive.google.com/open?id=1xs1QZ4KFSMhigEUqwHhrfoYESiTG-s9o" TargetMode="External"/><Relationship Id="rId352" Type="http://schemas.openxmlformats.org/officeDocument/2006/relationships/hyperlink" Target="http://meet.google.com/amb-vrhh-upo" TargetMode="External"/><Relationship Id="rId594" Type="http://schemas.openxmlformats.org/officeDocument/2006/relationships/hyperlink" Target="https://uninorte.zoom.us/j/3299010108" TargetMode="External"/><Relationship Id="rId351" Type="http://schemas.openxmlformats.org/officeDocument/2006/relationships/hyperlink" Target="https://uninorte.zoom.us/meeting/register/tZwocuyhqjMtEtGq6LX9j6olhUCZZi2Xn4-O" TargetMode="External"/><Relationship Id="rId593" Type="http://schemas.openxmlformats.org/officeDocument/2006/relationships/hyperlink" Target="https://uninorte.zoom.us/j/3299010108" TargetMode="External"/><Relationship Id="rId350" Type="http://schemas.openxmlformats.org/officeDocument/2006/relationships/hyperlink" Target="https://drive.google.com/open?id=11agaC4KyA_RofBTsU5f-aEAEVOVJcgPA" TargetMode="External"/><Relationship Id="rId592" Type="http://schemas.openxmlformats.org/officeDocument/2006/relationships/hyperlink" Target="https://uninorte.zoom.us/j/89245450358?pwd=NFFINXhFMnJWZWh0NWhqblpKTzBHdz09" TargetMode="External"/><Relationship Id="rId591" Type="http://schemas.openxmlformats.org/officeDocument/2006/relationships/hyperlink" Target="https://uninorte.zoom.us/j/82461917974" TargetMode="External"/><Relationship Id="rId114" Type="http://schemas.openxmlformats.org/officeDocument/2006/relationships/hyperlink" Target="https://drive.google.com/open?id=1AHwE6oRXfSiTRW-BQ6wfq4rmfck24A9D-fZ0Wi_A1jQ" TargetMode="External"/><Relationship Id="rId356" Type="http://schemas.openxmlformats.org/officeDocument/2006/relationships/hyperlink" Target="https://meet.google.com/amb-vrhh-upo" TargetMode="External"/><Relationship Id="rId598" Type="http://schemas.openxmlformats.org/officeDocument/2006/relationships/hyperlink" Target="https://uninorte.zoom.us/j/3299010108" TargetMode="External"/><Relationship Id="rId113" Type="http://schemas.openxmlformats.org/officeDocument/2006/relationships/hyperlink" Target="https://drive.google.com/open?id=18coVokzp7__WpnKcTvKaKQBXGtDBnq7W" TargetMode="External"/><Relationship Id="rId355" Type="http://schemas.openxmlformats.org/officeDocument/2006/relationships/hyperlink" Target="https://meet.google.com/dcp-atbm-jzk" TargetMode="External"/><Relationship Id="rId597" Type="http://schemas.openxmlformats.org/officeDocument/2006/relationships/hyperlink" Target="https://uninorte.zoom.us/j/3299010108" TargetMode="External"/><Relationship Id="rId112" Type="http://schemas.openxmlformats.org/officeDocument/2006/relationships/hyperlink" Target="https://drive.google.com/open?id=1CbA3S4MrEfnj9qSn063OyD2R3iB7fTFQ" TargetMode="External"/><Relationship Id="rId354" Type="http://schemas.openxmlformats.org/officeDocument/2006/relationships/hyperlink" Target="https://uninorte.zoom.us/meeting/register/tZMrcemprzMtHdL6d0CNJpZAoRZwqCh2pWZZ" TargetMode="External"/><Relationship Id="rId596" Type="http://schemas.openxmlformats.org/officeDocument/2006/relationships/hyperlink" Target="https://uninorte.zoom.us/j/3299010108" TargetMode="External"/><Relationship Id="rId111" Type="http://schemas.openxmlformats.org/officeDocument/2006/relationships/hyperlink" Target="https://drive.google.com/open?id=1mXSPKoJNhCefA4yVcKrcQ1WV8P3tuKUV4hZP_d2KkWQ" TargetMode="External"/><Relationship Id="rId353" Type="http://schemas.openxmlformats.org/officeDocument/2006/relationships/hyperlink" Target="https://uninorte.zoom.us/j/89245450358?pwd=NFFINXhFMnJWZWh0NWhqblpKTzBHdz09" TargetMode="External"/><Relationship Id="rId595" Type="http://schemas.openxmlformats.org/officeDocument/2006/relationships/hyperlink" Target="https://uninorte.zoom.us/j/85019447473?pwd=MUpTdkFmU0pJdXI3ZWtLbUZFQ0o3Zz09" TargetMode="External"/><Relationship Id="rId305" Type="http://schemas.openxmlformats.org/officeDocument/2006/relationships/hyperlink" Target="https://uninorte.zoom.us/j/85977463980?pwd=S1N0RlZkNnhtL0d4V0lKNkVLV3Zvdz09" TargetMode="External"/><Relationship Id="rId547" Type="http://schemas.openxmlformats.org/officeDocument/2006/relationships/hyperlink" Target="https://drive.google.com/open?id=15YXrk-gBBxaMMEOHvsTgSfIE4H1cLmNC" TargetMode="External"/><Relationship Id="rId789" Type="http://schemas.openxmlformats.org/officeDocument/2006/relationships/hyperlink" Target="https://uninorte.zoom.us/j/82465860169?pwd=OUhOQ1h4OExvWHBBOXJoZ1J1THQxZz09" TargetMode="External"/><Relationship Id="rId304" Type="http://schemas.openxmlformats.org/officeDocument/2006/relationships/hyperlink" Target="https://uninorte.zoom.us/j/87350621459" TargetMode="External"/><Relationship Id="rId546" Type="http://schemas.openxmlformats.org/officeDocument/2006/relationships/hyperlink" Target="https://uninorte.zoom.us/j/84793185207?pwd=Slo4dXprMFlmc1NwUFNDVERoWlUwdz09" TargetMode="External"/><Relationship Id="rId788" Type="http://schemas.openxmlformats.org/officeDocument/2006/relationships/hyperlink" Target="https://drive.google.com/open?id=1AjLr6BBzL23t0nf7-cMnRkY2fWtkEbJ3" TargetMode="External"/><Relationship Id="rId303" Type="http://schemas.openxmlformats.org/officeDocument/2006/relationships/hyperlink" Target="https://uninorte.zoom.us/j/87350621459" TargetMode="External"/><Relationship Id="rId545" Type="http://schemas.openxmlformats.org/officeDocument/2006/relationships/hyperlink" Target="https://meet.google.com/fum-tjmj-gme" TargetMode="External"/><Relationship Id="rId787" Type="http://schemas.openxmlformats.org/officeDocument/2006/relationships/hyperlink" Target="https://www.questionpro.com/t/AMIOdZoozP" TargetMode="External"/><Relationship Id="rId302" Type="http://schemas.openxmlformats.org/officeDocument/2006/relationships/hyperlink" Target="https://www.facebook.com/funsacof/?ref=page_internal" TargetMode="External"/><Relationship Id="rId544" Type="http://schemas.openxmlformats.org/officeDocument/2006/relationships/hyperlink" Target="https://drive.google.com/open?id=1odrDQqES04WWuPuZ_E79nAQm_28Jdyrh" TargetMode="External"/><Relationship Id="rId786" Type="http://schemas.openxmlformats.org/officeDocument/2006/relationships/hyperlink" Target="https://www.instagram.com/feminun/?hl=en" TargetMode="External"/><Relationship Id="rId309" Type="http://schemas.openxmlformats.org/officeDocument/2006/relationships/hyperlink" Target="https://uninorte.zoom.us/j/83197576067?pwd=TmpxRkt2bkVMUTBlT1hReU1oNUhHdz09" TargetMode="External"/><Relationship Id="rId308" Type="http://schemas.openxmlformats.org/officeDocument/2006/relationships/hyperlink" Target="https://uninorte.zoom.us/j/84805215698?pwd=VWVpSk05Zk9ZT251RnZOQ0Jka09vdz09" TargetMode="External"/><Relationship Id="rId307" Type="http://schemas.openxmlformats.org/officeDocument/2006/relationships/hyperlink" Target="https://forms.gle/42A4Qpy4kkX5LZ948" TargetMode="External"/><Relationship Id="rId549" Type="http://schemas.openxmlformats.org/officeDocument/2006/relationships/hyperlink" Target="https://uninorte.zoom.us/j/86844685052?pwd=eExnckVDNWxJQWx1TGFTY2lxemxyUT09" TargetMode="External"/><Relationship Id="rId306" Type="http://schemas.openxmlformats.org/officeDocument/2006/relationships/hyperlink" Target="https://drive.google.com/open?id=1fUPOh78mN08IZyhG3Ns4dj1H006RAp-A" TargetMode="External"/><Relationship Id="rId548" Type="http://schemas.openxmlformats.org/officeDocument/2006/relationships/hyperlink" Target="https://us02web.zoom.us/j/89398945134?pwd=Z3ZMa25sckJSNnhkNEF0aW1MSjNxUT09" TargetMode="External"/><Relationship Id="rId781" Type="http://schemas.openxmlformats.org/officeDocument/2006/relationships/hyperlink" Target="https://uninorte.zoom.us/meeting/register/tZIodu6qqTkoG9AVxgM5REGTdtc4neXcle5S" TargetMode="External"/><Relationship Id="rId780" Type="http://schemas.openxmlformats.org/officeDocument/2006/relationships/hyperlink" Target="https://drive.google.com/open?id=1U3Rjs7qxHNS_q8dCTM1NmpB6iheH4DLr" TargetMode="External"/><Relationship Id="rId301" Type="http://schemas.openxmlformats.org/officeDocument/2006/relationships/hyperlink" Target="https://drive.google.com/open?id=1ihIDaR2t2Sfb-A8wNnSyOWDVt7wDIiWJTHd8egQakcc" TargetMode="External"/><Relationship Id="rId543" Type="http://schemas.openxmlformats.org/officeDocument/2006/relationships/hyperlink" Target="https://uninorte.zoom.us/j/84110261960?pwd=SkIzaFJJT2huOFlxT0ZlcXVqWVhtUT09" TargetMode="External"/><Relationship Id="rId785" Type="http://schemas.openxmlformats.org/officeDocument/2006/relationships/hyperlink" Target="https://uninorte.zoom.us/meeting/register/tZIpcemprT0jGNJKHuID5XL8_D5IAf56450h" TargetMode="External"/><Relationship Id="rId300" Type="http://schemas.openxmlformats.org/officeDocument/2006/relationships/hyperlink" Target="https://uninorte.zoom.us/j/83258464622?pwd=SVAxNFNRQXF0YloxamR3dE5CUjY3Zz09" TargetMode="External"/><Relationship Id="rId542" Type="http://schemas.openxmlformats.org/officeDocument/2006/relationships/hyperlink" Target="https://uninorte.zoom.us/j/87389394029" TargetMode="External"/><Relationship Id="rId784" Type="http://schemas.openxmlformats.org/officeDocument/2006/relationships/hyperlink" Target="https://drive.google.com/open?id=1qENAzb6CEgH2PurMLhjEMSq8kOzmnWzD" TargetMode="External"/><Relationship Id="rId541" Type="http://schemas.openxmlformats.org/officeDocument/2006/relationships/hyperlink" Target="https://forms.gle/jf6q4d7qiCsuA8WF8" TargetMode="External"/><Relationship Id="rId783" Type="http://schemas.openxmlformats.org/officeDocument/2006/relationships/hyperlink" Target="https://uninorte.zoom.us/meeting/register/tZUqc-qhqTguH9YbA42zwwJP6SN4gORRGQ1a" TargetMode="External"/><Relationship Id="rId540" Type="http://schemas.openxmlformats.org/officeDocument/2006/relationships/hyperlink" Target="https://drive.google.com/open?id=1kI68RvtcLEANh25CZNAUwXdenI_7r4ko" TargetMode="External"/><Relationship Id="rId782" Type="http://schemas.openxmlformats.org/officeDocument/2006/relationships/hyperlink" Target="https://drive.google.com/open?id=1l5Yp3Q9TI9OZMj2_dzgGniDIvSDXpNRH" TargetMode="External"/><Relationship Id="rId536" Type="http://schemas.openxmlformats.org/officeDocument/2006/relationships/hyperlink" Target="https://instagram.com/feminun?utm_medium=copy_link" TargetMode="External"/><Relationship Id="rId778" Type="http://schemas.openxmlformats.org/officeDocument/2006/relationships/hyperlink" Target="https://uninorte.zoom.us/j/85835986170?pwd=M3R6YnNJVzBNWTQrc20raldBMEJ6dz09" TargetMode="External"/><Relationship Id="rId535" Type="http://schemas.openxmlformats.org/officeDocument/2006/relationships/hyperlink" Target="https://www.uninorte.edu.co/web/ceimun/home?p_p_id=33&amp;p_p_lifecycle=0&amp;p_p_state=normal&amp;p_p_mode=view&amp;p_p_col_id=column-2&amp;p_p_col_pos=1&amp;p_p_col_count=2" TargetMode="External"/><Relationship Id="rId777" Type="http://schemas.openxmlformats.org/officeDocument/2006/relationships/hyperlink" Target="https://meet.google.com/amb-vrhh-upo" TargetMode="External"/><Relationship Id="rId534" Type="http://schemas.openxmlformats.org/officeDocument/2006/relationships/hyperlink" Target="https://www.uninorte.edu.co/web/bie-univ/estudiantesopinan" TargetMode="External"/><Relationship Id="rId776" Type="http://schemas.openxmlformats.org/officeDocument/2006/relationships/hyperlink" Target="http://meet.google.com/qpz-bsev-drh" TargetMode="External"/><Relationship Id="rId533" Type="http://schemas.openxmlformats.org/officeDocument/2006/relationships/hyperlink" Target="https://www.instagram.com/aneicuninorte/?hl=es" TargetMode="External"/><Relationship Id="rId775" Type="http://schemas.openxmlformats.org/officeDocument/2006/relationships/hyperlink" Target="https://drive.google.com/open?id=1epJEIU20EEjCX4AA8OABgvRAL5vq-8na" TargetMode="External"/><Relationship Id="rId539" Type="http://schemas.openxmlformats.org/officeDocument/2006/relationships/hyperlink" Target="https://drive.google.com/" TargetMode="External"/><Relationship Id="rId538" Type="http://schemas.openxmlformats.org/officeDocument/2006/relationships/hyperlink" Target="https://uninorte.zoom.us/j/88324042568?pwd=TDV6OUtUQ3VzYmlWU0VscGRRTlJBZz09" TargetMode="External"/><Relationship Id="rId537" Type="http://schemas.openxmlformats.org/officeDocument/2006/relationships/hyperlink" Target="https://drive.google.com/open?id=1XsMeORmALAwZmDIEL-NSEE2W4kR4Y_6F" TargetMode="External"/><Relationship Id="rId779" Type="http://schemas.openxmlformats.org/officeDocument/2006/relationships/hyperlink" Target="https://uninorte.zoom.us/j/89993873299?pwd=ZEZyL3IxVFpGOGk3MWpSdnJrbzd6Zz09" TargetMode="External"/><Relationship Id="rId770" Type="http://schemas.openxmlformats.org/officeDocument/2006/relationships/hyperlink" Target="http://meet.google.com/ymm-syga-cve" TargetMode="External"/><Relationship Id="rId532" Type="http://schemas.openxmlformats.org/officeDocument/2006/relationships/hyperlink" Target="https://uninorte.zoom.us/j/88953361316?pwd=N29qRnp2VTJoTzg4WmlpeVAzMFZNQT09" TargetMode="External"/><Relationship Id="rId774" Type="http://schemas.openxmlformats.org/officeDocument/2006/relationships/hyperlink" Target="https://uninorte.zoom.us/j/86389006433?pwd=ZzNwaTRqZ2YzK3pmM2dSWUlTbXJwUT09" TargetMode="External"/><Relationship Id="rId531" Type="http://schemas.openxmlformats.org/officeDocument/2006/relationships/hyperlink" Target="https://meet.google.com/ogp-xdbq-nio" TargetMode="External"/><Relationship Id="rId773" Type="http://schemas.openxmlformats.org/officeDocument/2006/relationships/hyperlink" Target="https://uninorte.zoom.us/j/84141916645" TargetMode="External"/><Relationship Id="rId530" Type="http://schemas.openxmlformats.org/officeDocument/2006/relationships/hyperlink" Target="https://uninorte.zoom.us/j/87514490161?pwd=Q20vaWVWUmlxMzVSTVF3eTdIYTdJZz09" TargetMode="External"/><Relationship Id="rId772" Type="http://schemas.openxmlformats.org/officeDocument/2006/relationships/hyperlink" Target="https://uninorte.zoom.us/j/88988796582" TargetMode="External"/><Relationship Id="rId771" Type="http://schemas.openxmlformats.org/officeDocument/2006/relationships/hyperlink" Target="https://uninorte.zoom.us/j/83574007755" TargetMode="External"/><Relationship Id="rId327" Type="http://schemas.openxmlformats.org/officeDocument/2006/relationships/hyperlink" Target="https://drive.google.com/open?id=11z96eiEL0xUDtwOFsHl5AV7vQ-dtu52s" TargetMode="External"/><Relationship Id="rId569" Type="http://schemas.openxmlformats.org/officeDocument/2006/relationships/hyperlink" Target="https://drive.google.com/open?id=1PXeDWWgNVPs3MmPBQy9n_vhWczuuYR6v" TargetMode="External"/><Relationship Id="rId326" Type="http://schemas.openxmlformats.org/officeDocument/2006/relationships/hyperlink" Target="https://uninorte.zoom.us/j/89245450358?pwd=NFFINXhFMnJWZWh0NWhqblpKTzBHdz09" TargetMode="External"/><Relationship Id="rId568" Type="http://schemas.openxmlformats.org/officeDocument/2006/relationships/hyperlink" Target="https://meet.google.com/gnc-pmbr-cui" TargetMode="External"/><Relationship Id="rId325" Type="http://schemas.openxmlformats.org/officeDocument/2006/relationships/hyperlink" Target="https://uninorte.zoom.us/j/87042277507?pwd=THhTTkNTdkpqOGxvQmsxR0lJTVMxQT09" TargetMode="External"/><Relationship Id="rId567" Type="http://schemas.openxmlformats.org/officeDocument/2006/relationships/hyperlink" Target="https://uninorte.zoom.us/j/89844134767" TargetMode="External"/><Relationship Id="rId324" Type="http://schemas.openxmlformats.org/officeDocument/2006/relationships/hyperlink" Target="https://uninorte.zoom.us/j/87042277507?pwd=THhTTkNTdkpqOGxvQmsxR0lJTVMxQT09" TargetMode="External"/><Relationship Id="rId566" Type="http://schemas.openxmlformats.org/officeDocument/2006/relationships/hyperlink" Target="https://uninorte.zoom.us/j/86379951255" TargetMode="External"/><Relationship Id="rId329" Type="http://schemas.openxmlformats.org/officeDocument/2006/relationships/hyperlink" Target="https://meet.google.com/qzj-heke-hxr" TargetMode="External"/><Relationship Id="rId328" Type="http://schemas.openxmlformats.org/officeDocument/2006/relationships/hyperlink" Target="https://uninorte.zoom.us/j/84743469065?pwd=U2Ntay9FVlBXbGdMcis3ZENsOFMwQT09" TargetMode="External"/><Relationship Id="rId561" Type="http://schemas.openxmlformats.org/officeDocument/2006/relationships/hyperlink" Target="https://drive.google.com/open?id=1I_8tFS_dkYlh6t-81POZ4pC4kz104aFH" TargetMode="External"/><Relationship Id="rId560" Type="http://schemas.openxmlformats.org/officeDocument/2006/relationships/hyperlink" Target="https://uninorte.zoom.us/j/85019447473?pwd=MUpTdkFmU0pJdXI3ZWtLbUZFQ0o3Zz09" TargetMode="External"/><Relationship Id="rId323" Type="http://schemas.openxmlformats.org/officeDocument/2006/relationships/hyperlink" Target="https://uninorte.zoom.us/j/89359682967?pwd=YXp2ZXQxR3NSSXFDTS9vbnRWL0FTQT09" TargetMode="External"/><Relationship Id="rId565" Type="http://schemas.openxmlformats.org/officeDocument/2006/relationships/hyperlink" Target="https://drive.google.com/open?id=1QcJnB5UkIBHmQInoDesk5vSv0zCK616q" TargetMode="External"/><Relationship Id="rId322" Type="http://schemas.openxmlformats.org/officeDocument/2006/relationships/hyperlink" Target="https://uninorte.zoom.us/j/84254858150?pwd=UEtHNEY2WEVWcSsyNHFDaU9DNFhaUT09" TargetMode="External"/><Relationship Id="rId564" Type="http://schemas.openxmlformats.org/officeDocument/2006/relationships/hyperlink" Target="https://uninorte.zoom.us/meeting/register/tZUrduCgqTMiE9Tm5jMdaRsns39o7OeX5oz6" TargetMode="External"/><Relationship Id="rId321" Type="http://schemas.openxmlformats.org/officeDocument/2006/relationships/hyperlink" Target="https://uninorte.zoom.us/j/85019447473?pwd=MUpTdkFmU0pJdXI3ZWtLbUZFQ0o3Zz09" TargetMode="External"/><Relationship Id="rId563" Type="http://schemas.openxmlformats.org/officeDocument/2006/relationships/hyperlink" Target="https://drive.google.com/open?id=1MLeuBgvY3TP9eEumgTambbaIGJdwACVo" TargetMode="External"/><Relationship Id="rId320" Type="http://schemas.openxmlformats.org/officeDocument/2006/relationships/hyperlink" Target="https://meet.google.com/zrb-wjiu-yjq" TargetMode="External"/><Relationship Id="rId562" Type="http://schemas.openxmlformats.org/officeDocument/2006/relationships/hyperlink" Target="https://uninorte.zoom.us/j/83738086962?pwd=YXNYSW45Y2VWbXRBUGdscW5EVTFGQT09" TargetMode="External"/><Relationship Id="rId316" Type="http://schemas.openxmlformats.org/officeDocument/2006/relationships/hyperlink" Target="http://meet.google.com/amb-vrhh-upo" TargetMode="External"/><Relationship Id="rId558" Type="http://schemas.openxmlformats.org/officeDocument/2006/relationships/hyperlink" Target="https://www.youtube.com/channel/UCQT8Zbojep2eyF2cauTDZ8g" TargetMode="External"/><Relationship Id="rId315" Type="http://schemas.openxmlformats.org/officeDocument/2006/relationships/hyperlink" Target="https://uninorte.zoom.us/j/81643463755" TargetMode="External"/><Relationship Id="rId557" Type="http://schemas.openxmlformats.org/officeDocument/2006/relationships/hyperlink" Target="https://www.instagram.com/createcun/" TargetMode="External"/><Relationship Id="rId799" Type="http://schemas.openxmlformats.org/officeDocument/2006/relationships/hyperlink" Target="https://www.instagram.com/seedbed_un/?hl=es" TargetMode="External"/><Relationship Id="rId314" Type="http://schemas.openxmlformats.org/officeDocument/2006/relationships/hyperlink" Target="https://uninorte.zoom.us/j/84727092196?pwd=SnQ0b2RybGVPQVpabU5JNkJrdTRRdz09" TargetMode="External"/><Relationship Id="rId556" Type="http://schemas.openxmlformats.org/officeDocument/2006/relationships/hyperlink" Target="https://uninorte.zoom.us/j/85641672017?pwd=aUt1WWxyb1ZYUVB6N1BxUmNmaTZiQT09" TargetMode="External"/><Relationship Id="rId798" Type="http://schemas.openxmlformats.org/officeDocument/2006/relationships/hyperlink" Target="https://drive.google.com/open?id=1G2uX0KI7r1hGDjQUzuAM9A8FIKD8at-u" TargetMode="External"/><Relationship Id="rId313" Type="http://schemas.openxmlformats.org/officeDocument/2006/relationships/hyperlink" Target="https://drive.google.com/open?id=1wR7P-mIkoZnvkhvgpKUXCRmbPYJc_UC9" TargetMode="External"/><Relationship Id="rId555" Type="http://schemas.openxmlformats.org/officeDocument/2006/relationships/hyperlink" Target="https://instagram.com/feminun?utm_medium=copy_link" TargetMode="External"/><Relationship Id="rId797" Type="http://schemas.openxmlformats.org/officeDocument/2006/relationships/hyperlink" Target="https://uninorte.zoom.us/j/87110850093?pwd=MkhjbktmTGVpcWtTQ09ZL2RzdzZHQT09" TargetMode="External"/><Relationship Id="rId319" Type="http://schemas.openxmlformats.org/officeDocument/2006/relationships/hyperlink" Target="https://meet.google.com/sge-gvub-ahi" TargetMode="External"/><Relationship Id="rId318" Type="http://schemas.openxmlformats.org/officeDocument/2006/relationships/hyperlink" Target="https://meet.google.com/pnu-upjm-aik" TargetMode="External"/><Relationship Id="rId317" Type="http://schemas.openxmlformats.org/officeDocument/2006/relationships/hyperlink" Target="https://uninorte.zoom.us/j/3487890298" TargetMode="External"/><Relationship Id="rId559" Type="http://schemas.openxmlformats.org/officeDocument/2006/relationships/hyperlink" Target="https://uninorte.zoom.us/j/85019447473?pwd=MUpTdkFmU0pJdXI3ZWtLbUZFQ0o3Zz09" TargetMode="External"/><Relationship Id="rId550" Type="http://schemas.openxmlformats.org/officeDocument/2006/relationships/hyperlink" Target="https://uninorte.zoom.us/j/8729670906" TargetMode="External"/><Relationship Id="rId792" Type="http://schemas.openxmlformats.org/officeDocument/2006/relationships/hyperlink" Target="https://instagram.com/ceriuninorte?utm_medium=copy_link" TargetMode="External"/><Relationship Id="rId791" Type="http://schemas.openxmlformats.org/officeDocument/2006/relationships/hyperlink" Target="https://www.instagram.com/feminun/?hl=en" TargetMode="External"/><Relationship Id="rId790" Type="http://schemas.openxmlformats.org/officeDocument/2006/relationships/hyperlink" Target="http://uninorte.zoom.us/88988796582" TargetMode="External"/><Relationship Id="rId312" Type="http://schemas.openxmlformats.org/officeDocument/2006/relationships/hyperlink" Target="https://teams.microsoft.com/l/meetup-join/19%3a839e3518540d4adaa4416eeec628781c%40thread.tacv2/1629323031261?context=%7b%22Tid%22%3a%226a12a5be-97ff-43e5-b5b5-7ccb1e88fd4e%22%2c%22Oid%22%3a%22cfadbda1-97ae-4573-841c-ae7196e56c39%22%7d" TargetMode="External"/><Relationship Id="rId554" Type="http://schemas.openxmlformats.org/officeDocument/2006/relationships/hyperlink" Target="https://instagram.com/feminun?utm_medium=copy_link" TargetMode="External"/><Relationship Id="rId796" Type="http://schemas.openxmlformats.org/officeDocument/2006/relationships/hyperlink" Target="https://drive.google.com/open?id=1YLUOW0Q80GgqXFYIgtTfJe7dcZwjbaki" TargetMode="External"/><Relationship Id="rId311" Type="http://schemas.openxmlformats.org/officeDocument/2006/relationships/hyperlink" Target="https://instagram.com/cdiep_uninorte?utm_medium=copy_link" TargetMode="External"/><Relationship Id="rId553" Type="http://schemas.openxmlformats.org/officeDocument/2006/relationships/hyperlink" Target="https://uninorte.zoom.us/j/82692901246?pwd=ZG85M1dNbUlHcUR2OW9vL2ZNenB4UT09" TargetMode="External"/><Relationship Id="rId795" Type="http://schemas.openxmlformats.org/officeDocument/2006/relationships/hyperlink" Target="https://uninorte.zoom.us/j/84869067405?pwd=N21paC8rbUV5U0Q2WEpYaXpZVEdUUT09" TargetMode="External"/><Relationship Id="rId310" Type="http://schemas.openxmlformats.org/officeDocument/2006/relationships/hyperlink" Target="https://uninorte.zoom.us/j/89993873299?pwd=ZEZyL3IxVFpGOGk3MWpSdnJrbzd6Zz09" TargetMode="External"/><Relationship Id="rId552" Type="http://schemas.openxmlformats.org/officeDocument/2006/relationships/hyperlink" Target="https://drive.google.com/open?id=1ld9MX5EnKjDdx-oGsO9SqdeG3C6hn9de" TargetMode="External"/><Relationship Id="rId794" Type="http://schemas.openxmlformats.org/officeDocument/2006/relationships/hyperlink" Target="https://drive.google.com/open?id=1fSK2CfoVWPXQVlBq9u7tIBQchU5ioOLj" TargetMode="External"/><Relationship Id="rId551" Type="http://schemas.openxmlformats.org/officeDocument/2006/relationships/hyperlink" Target="https://uninorte.zoom.us/j/82019266530" TargetMode="External"/><Relationship Id="rId793" Type="http://schemas.openxmlformats.org/officeDocument/2006/relationships/hyperlink" Target="https://www.redintercol.net/index.php/blog-y-publicaciones/blog.html?start=10" TargetMode="External"/><Relationship Id="rId297" Type="http://schemas.openxmlformats.org/officeDocument/2006/relationships/hyperlink" Target="https://drive.google.com/open?id=1sJM8TChiopC0-3uGl8rri9JsMa7DvmeT" TargetMode="External"/><Relationship Id="rId296" Type="http://schemas.openxmlformats.org/officeDocument/2006/relationships/hyperlink" Target="https://uninorte.zoom.us/meeting/register/tZAqdemvqzguH9ZWB7CJRJvLgjNG2wX1wh-X" TargetMode="External"/><Relationship Id="rId295" Type="http://schemas.openxmlformats.org/officeDocument/2006/relationships/hyperlink" Target="https://drive.google.com/open?id=1xKmWvQosZk1ekJwkH4GByC4sj544tBHa" TargetMode="External"/><Relationship Id="rId294" Type="http://schemas.openxmlformats.org/officeDocument/2006/relationships/hyperlink" Target="https://uninorte.zoom.us/meeting/register/tZwsc-CorD4iGdN4nVj5cZhW1NW8p3EGLnBb" TargetMode="External"/><Relationship Id="rId299" Type="http://schemas.openxmlformats.org/officeDocument/2006/relationships/hyperlink" Target="https://drive.google.com/open?id=1e2cCGWlrwWFU6L8rrsalrsllrvBYf5Fn" TargetMode="External"/><Relationship Id="rId298" Type="http://schemas.openxmlformats.org/officeDocument/2006/relationships/hyperlink" Target="https://uninorte.zoom.us/j/83258464622?pwd=SVAxNFNRQXF0YloxamR3dE5CUjY3Zz09" TargetMode="External"/><Relationship Id="rId271" Type="http://schemas.openxmlformats.org/officeDocument/2006/relationships/hyperlink" Target="https://uninorte.zoom.us/j/89236114942?pwd=N3YybW8rMmdlRG42MnNJbnBnMWxtdz09" TargetMode="External"/><Relationship Id="rId270" Type="http://schemas.openxmlformats.org/officeDocument/2006/relationships/hyperlink" Target="https://uninorte.zoom.us/j/88091568135?pwd=cFNyQXlpb0FJN3hYMysya25RcnhXZz09" TargetMode="External"/><Relationship Id="rId269" Type="http://schemas.openxmlformats.org/officeDocument/2006/relationships/hyperlink" Target="https://uninorte.zoom.us/j/88966781949?pwd=MXNKbmtFcnJnY2paZW5GYU9qSWxZZz09" TargetMode="External"/><Relationship Id="rId264" Type="http://schemas.openxmlformats.org/officeDocument/2006/relationships/hyperlink" Target="https://uninorte.zoom.us/j/84678728037?pwd=Ly9yRldYbXlQV21oN005ajlMNkhSUT09" TargetMode="External"/><Relationship Id="rId263" Type="http://schemas.openxmlformats.org/officeDocument/2006/relationships/hyperlink" Target="https://uninorte.zoom.us/j/89223140275?pwd=TG1yV2hLN0o0T0lVc3RUYTVoY042Zz09" TargetMode="External"/><Relationship Id="rId262" Type="http://schemas.openxmlformats.org/officeDocument/2006/relationships/hyperlink" Target="https://youtu.be/Pu3kSsHqNhA" TargetMode="External"/><Relationship Id="rId261" Type="http://schemas.openxmlformats.org/officeDocument/2006/relationships/hyperlink" Target="https://youtu.be/mlSDYvD-MMs" TargetMode="External"/><Relationship Id="rId268" Type="http://schemas.openxmlformats.org/officeDocument/2006/relationships/hyperlink" Target="https://meet.google.com/kxd-oovb-gsf" TargetMode="External"/><Relationship Id="rId267" Type="http://schemas.openxmlformats.org/officeDocument/2006/relationships/hyperlink" Target="https://uninorte.zoom.us/j/86583641764?pwd=RkwwOVovbC9ldUpBa3U1aUpBOXJEQT09" TargetMode="External"/><Relationship Id="rId266" Type="http://schemas.openxmlformats.org/officeDocument/2006/relationships/hyperlink" Target="https://drive.google.com/open?id=1of1Ucf_dLJM6niXZUtgPdD47sSp2f9L4" TargetMode="External"/><Relationship Id="rId265" Type="http://schemas.openxmlformats.org/officeDocument/2006/relationships/hyperlink" Target="https://uninorte.zoom.us/j/87429617029?pwd=Z3A0dDdWaWpDclNlc3I3emhkeHlnQT09" TargetMode="External"/><Relationship Id="rId260" Type="http://schemas.openxmlformats.org/officeDocument/2006/relationships/hyperlink" Target="https://forms.gle/MgcFwzuLjLfNeTTUA" TargetMode="External"/><Relationship Id="rId259" Type="http://schemas.openxmlformats.org/officeDocument/2006/relationships/hyperlink" Target="https://forms.gle/iqsUxw5Xyfw6eSmU6" TargetMode="External"/><Relationship Id="rId258" Type="http://schemas.openxmlformats.org/officeDocument/2006/relationships/hyperlink" Target="https://meet.google.com/dcp-atbm-jzk" TargetMode="External"/><Relationship Id="rId253" Type="http://schemas.openxmlformats.org/officeDocument/2006/relationships/hyperlink" Target="https://uninorte.zoom.us/j/84203803346" TargetMode="External"/><Relationship Id="rId495" Type="http://schemas.openxmlformats.org/officeDocument/2006/relationships/hyperlink" Target="https://drive.google.com/open?id=1w49F4W4wTBkP6l2SzJMljkpUpvA4niVH" TargetMode="External"/><Relationship Id="rId252" Type="http://schemas.openxmlformats.org/officeDocument/2006/relationships/hyperlink" Target="https://drive.google.com/open?id=157awfTj8-uoBkWDahJ8zlaEsbZL1EFrM" TargetMode="External"/><Relationship Id="rId494" Type="http://schemas.openxmlformats.org/officeDocument/2006/relationships/hyperlink" Target="https://drive.google.com/open?id=106YP0HCtWs4-HKJaiYzjWRbJMkjLkLat" TargetMode="External"/><Relationship Id="rId251" Type="http://schemas.openxmlformats.org/officeDocument/2006/relationships/hyperlink" Target="https://uninorte.zoom.us/s/86332282851" TargetMode="External"/><Relationship Id="rId493" Type="http://schemas.openxmlformats.org/officeDocument/2006/relationships/hyperlink" Target="https://drive.google.com/open?id=1-TuxQJbOxEtYLRWWY9UW5XQk_rZeWD1a" TargetMode="External"/><Relationship Id="rId250" Type="http://schemas.openxmlformats.org/officeDocument/2006/relationships/hyperlink" Target="https://drive.google.com/open?id=19Ecyl1VqosVM33V_Qqva_OHYLuVR7Gyn" TargetMode="External"/><Relationship Id="rId492" Type="http://schemas.openxmlformats.org/officeDocument/2006/relationships/hyperlink" Target="https://uninorte.zoom.us/j/81804014025?pwd=MVpXNUZDbXhLWE4ycEtrK2F0Q0Q0Zz09" TargetMode="External"/><Relationship Id="rId257" Type="http://schemas.openxmlformats.org/officeDocument/2006/relationships/hyperlink" Target="https://uninorte.zoom.us/meeting/register/tZcufuqorzwpGtM7fjCjJ8o8XZtJn41LarS0" TargetMode="External"/><Relationship Id="rId499" Type="http://schemas.openxmlformats.org/officeDocument/2006/relationships/hyperlink" Target="https://drive.google.com/open?id=1LESUs2c4Gp8Q8nIh75UEZszqxHnLB-JY" TargetMode="External"/><Relationship Id="rId256" Type="http://schemas.openxmlformats.org/officeDocument/2006/relationships/hyperlink" Target="https://drive.google.com/open?id=1NJWKHuzl3-RRChfVvpu7ZZjzGaDQyh5u" TargetMode="External"/><Relationship Id="rId498" Type="http://schemas.openxmlformats.org/officeDocument/2006/relationships/hyperlink" Target="https://meet.google.com/rvd-noxh-xrd" TargetMode="External"/><Relationship Id="rId255" Type="http://schemas.openxmlformats.org/officeDocument/2006/relationships/hyperlink" Target="https://uninorte.zoom.us/meeting/register/tZcufuqorzwpGtM7fjCjJ8o8XZtJn41LarS0" TargetMode="External"/><Relationship Id="rId497" Type="http://schemas.openxmlformats.org/officeDocument/2006/relationships/hyperlink" Target="https://meet.google.com/qaw-vsvv-aqe" TargetMode="External"/><Relationship Id="rId254" Type="http://schemas.openxmlformats.org/officeDocument/2006/relationships/hyperlink" Target="https://drive.google.com/open?id=1t6f2DbCm6sLzEekqRoku187ELxqOlGzX" TargetMode="External"/><Relationship Id="rId496" Type="http://schemas.openxmlformats.org/officeDocument/2006/relationships/hyperlink" Target="https://uninorte.zoom.us/j/87902052185?pwd=MUpvdkhkZGVXd0IyQXF1Q0dFbDhqQT09" TargetMode="External"/><Relationship Id="rId293" Type="http://schemas.openxmlformats.org/officeDocument/2006/relationships/hyperlink" Target="https://drive.google.com/open?id=1rPEOWi43l5zrAuobK0m0plXmjxNiDVpm" TargetMode="External"/><Relationship Id="rId292" Type="http://schemas.openxmlformats.org/officeDocument/2006/relationships/hyperlink" Target="https://uninorte.zoom.us/j/84805215698?pwd=VWVpSk05Zk9ZT251RnZOQ0Jka09vdz09" TargetMode="External"/><Relationship Id="rId291" Type="http://schemas.openxmlformats.org/officeDocument/2006/relationships/hyperlink" Target="https://uninorte.zoom.us/j/86706162285?pwd=WDdSYVdCaXJncDdOY1g4aGl1RDRkQT09" TargetMode="External"/><Relationship Id="rId290" Type="http://schemas.openxmlformats.org/officeDocument/2006/relationships/hyperlink" Target="https://instagram.com/imig.uninorte?utm_medium=copy_link" TargetMode="External"/><Relationship Id="rId286" Type="http://schemas.openxmlformats.org/officeDocument/2006/relationships/hyperlink" Target="https://uninorte.zoom.us/meeting/register/tZwsc-CorD4iGdN4nVj5cZhW1NW8p3EGLnBb" TargetMode="External"/><Relationship Id="rId285" Type="http://schemas.openxmlformats.org/officeDocument/2006/relationships/hyperlink" Target="https://drive.google.com/open?id=1FyiamQ8qjYyvv1ZxoVdu9mZMiZAdkqvJ" TargetMode="External"/><Relationship Id="rId284" Type="http://schemas.openxmlformats.org/officeDocument/2006/relationships/hyperlink" Target="https://uninorte.zoom.us/j/86001023805?pwd=TG9TMTE3UEtYVE5rSWtmVEIwMmxqdz09" TargetMode="External"/><Relationship Id="rId283" Type="http://schemas.openxmlformats.org/officeDocument/2006/relationships/hyperlink" Target="https://uninorte.zoom.us/j/87042277507?pwd=THhTTkNTdkpqOGxvQmsxR0lJTVMxQT09" TargetMode="External"/><Relationship Id="rId289" Type="http://schemas.openxmlformats.org/officeDocument/2006/relationships/hyperlink" Target="https://instagram.com/imig.uninorte?utm_medium=copy_link" TargetMode="External"/><Relationship Id="rId288" Type="http://schemas.openxmlformats.org/officeDocument/2006/relationships/hyperlink" Target="https://uninorte.zoom.us/j/89377111467?pwd=UFN1L1VhM1lzVGV5a3R2ZURvWHh1QT09" TargetMode="External"/><Relationship Id="rId287" Type="http://schemas.openxmlformats.org/officeDocument/2006/relationships/hyperlink" Target="https://uninorte.zoom.us/j/83126327038" TargetMode="External"/><Relationship Id="rId282" Type="http://schemas.openxmlformats.org/officeDocument/2006/relationships/hyperlink" Target="https://uninorte.zoom.us/j/85977463980?pwd=S1N0RlZkNnhtL0d4V0lKNkVLV3Zvdz09" TargetMode="External"/><Relationship Id="rId281" Type="http://schemas.openxmlformats.org/officeDocument/2006/relationships/hyperlink" Target="https://uninorte.zoom.us/j/85977463980?pwd=S1N0RlZkNnhtL0d4V0lKNkVLV3Zvdz09" TargetMode="External"/><Relationship Id="rId280" Type="http://schemas.openxmlformats.org/officeDocument/2006/relationships/hyperlink" Target="https://uninorte.zoom.us/j/85977463980?pwd=S1N0RlZkNnhtL0d4V0lKNkVLV3Zvdz09" TargetMode="External"/><Relationship Id="rId275" Type="http://schemas.openxmlformats.org/officeDocument/2006/relationships/hyperlink" Target="https://uninorte.zoom.us/j/89245450358?pwd=NFFINXhFMnJWZWh0NWhqblpKTzBHdz09" TargetMode="External"/><Relationship Id="rId274" Type="http://schemas.openxmlformats.org/officeDocument/2006/relationships/hyperlink" Target="https://uninorte.zoom.us/j/89287561513?pwd=dmt1NTFsZXo5MGd6Zm9YN2FZeUg2UT09" TargetMode="External"/><Relationship Id="rId273" Type="http://schemas.openxmlformats.org/officeDocument/2006/relationships/hyperlink" Target="https://uninorte.zoom.us/j/82263538398?pwd=QzdSeStEcmVCMkNmN0xIUTdVbXkrUT09" TargetMode="External"/><Relationship Id="rId272" Type="http://schemas.openxmlformats.org/officeDocument/2006/relationships/hyperlink" Target="https://uninorte.zoom.us/j/88641769600?pwd=dlhZbEFKT210M3FlM0dzbDRaOWpPQT09" TargetMode="External"/><Relationship Id="rId279" Type="http://schemas.openxmlformats.org/officeDocument/2006/relationships/hyperlink" Target="https://uninorte.zoom.us/j/86001023805?pwd=TG9TMTE3UEtYVE5rSWtmVEIwMmxqdz09" TargetMode="External"/><Relationship Id="rId278" Type="http://schemas.openxmlformats.org/officeDocument/2006/relationships/hyperlink" Target="https://uninorte.zoom.us/j/86583641764?pwd=RkwwOVovbC9ldUpBa3U1aUpBOXJEQT09" TargetMode="External"/><Relationship Id="rId277" Type="http://schemas.openxmlformats.org/officeDocument/2006/relationships/hyperlink" Target="https://drive.google.com/open?id=1gm6kUZZ9rKqnLGXXAshUoQ3flfyJlxiB" TargetMode="External"/><Relationship Id="rId276" Type="http://schemas.openxmlformats.org/officeDocument/2006/relationships/hyperlink" Target="https://uninorte.zoom.us/j/85977463980?pwd=S1N0RlZkNnhtL0d4V0lKNkVLV3Zvdz09" TargetMode="External"/><Relationship Id="rId629" Type="http://schemas.openxmlformats.org/officeDocument/2006/relationships/hyperlink" Target="https://uninorte.zoom.us/meeting/register/tZclduCoqzMqGdVlmHm0VoZTOJqmiEKkxRtg" TargetMode="External"/><Relationship Id="rId624" Type="http://schemas.openxmlformats.org/officeDocument/2006/relationships/hyperlink" Target="https://www.youtube.com/channel/UCQT8Zbojep2eyF2cauTDZ8g" TargetMode="External"/><Relationship Id="rId866" Type="http://schemas.openxmlformats.org/officeDocument/2006/relationships/hyperlink" Target="https://drive.google.com/open?id=1ZWj1VLsZUZPyWK2e9f5L684e-yJTWwQs" TargetMode="External"/><Relationship Id="rId623" Type="http://schemas.openxmlformats.org/officeDocument/2006/relationships/hyperlink" Target="https://drive.google.com/open?id=18GOOUcmsm36YLKu9KpUAju-E86gnlfbu" TargetMode="External"/><Relationship Id="rId865" Type="http://schemas.openxmlformats.org/officeDocument/2006/relationships/hyperlink" Target="https://uninorte.zoom.us/w/84567915306?tk=y0YLOr23rL-8DW52z-NAFRWsm0AG5dStLoDCV-oBHf4.DQMAAAATsKP7KhZSYUluWWM3NFNRdVhYT1JLLWJxNVpnAAAAAAAAAAAAAAAAAAAAAAAAAAAAAA&amp;pwd=eTRRMTgwVUxkV0ppMHJtOHBSeW1TUT09" TargetMode="External"/><Relationship Id="rId622" Type="http://schemas.openxmlformats.org/officeDocument/2006/relationships/hyperlink" Target="https://uninorte.zoom.us/j/3299010108" TargetMode="External"/><Relationship Id="rId864" Type="http://schemas.openxmlformats.org/officeDocument/2006/relationships/hyperlink" Target="https://drive.google.com/open?id=1A_MZnhlPwUJCTIispwx0tv79C3W4lpGK" TargetMode="External"/><Relationship Id="rId621" Type="http://schemas.openxmlformats.org/officeDocument/2006/relationships/hyperlink" Target="https://uninorte.zoom.us/j/85019447473?pwd=MUpTdkFmU0pJdXI3ZWtLbUZFQ0o3Zz09" TargetMode="External"/><Relationship Id="rId863" Type="http://schemas.openxmlformats.org/officeDocument/2006/relationships/hyperlink" Target="https://www.google.com/url?q=https://uninorte.zoom.us/j/87027327062&amp;sa=D&amp;source=calendar&amp;ust=1637769697671647&amp;usg=AOvVaw1kD49QqHnmuGufdFl__GLL" TargetMode="External"/><Relationship Id="rId628" Type="http://schemas.openxmlformats.org/officeDocument/2006/relationships/hyperlink" Target="https://drive.google.com/open?id=1f0dGtyPUJRqSWWHfwsq4vyam7F4jBdtB" TargetMode="External"/><Relationship Id="rId627" Type="http://schemas.openxmlformats.org/officeDocument/2006/relationships/hyperlink" Target="https://uninorte.zoom.us/j/3299010108" TargetMode="External"/><Relationship Id="rId869" Type="http://schemas.openxmlformats.org/officeDocument/2006/relationships/hyperlink" Target="https://uninorte.zoom.us/j/89877810901?pwd=TzB2MHcxTk16aE5zRytzZzRhekp1Zz09" TargetMode="External"/><Relationship Id="rId626" Type="http://schemas.openxmlformats.org/officeDocument/2006/relationships/hyperlink" Target="https://uninorte.zoom.us/j/83279930118" TargetMode="External"/><Relationship Id="rId868" Type="http://schemas.openxmlformats.org/officeDocument/2006/relationships/hyperlink" Target="https://drive.google.com/open?id=1Jxh_hQ6xBjxsd7oIZy9XR0ZY4XADMBTm" TargetMode="External"/><Relationship Id="rId625" Type="http://schemas.openxmlformats.org/officeDocument/2006/relationships/hyperlink" Target="https://uninorte.zoom.us/j/3299010108" TargetMode="External"/><Relationship Id="rId867" Type="http://schemas.openxmlformats.org/officeDocument/2006/relationships/hyperlink" Target="https://uninorte.zoom.us/w/83688479116?tk=soEK7Xq9u5BkE5XnKUNjm8UfvjaPBFM0Rqq9ZRNPQ4c.DQMAAAATfDjZjBZjWWR1dkRFUVI4eTR0ZW0yaVRZc1p3AAAAAAAAAAAAAAAAAAAAAAAAAAAAAA&amp;pwd=aWdtbzBydDh5WUlKQjZYMG5GNEJoQT09" TargetMode="External"/><Relationship Id="rId620" Type="http://schemas.openxmlformats.org/officeDocument/2006/relationships/hyperlink" Target="https://uninorte.zoom.us/j/3299010108" TargetMode="External"/><Relationship Id="rId862" Type="http://schemas.openxmlformats.org/officeDocument/2006/relationships/hyperlink" Target="https://drive.google.com/open?id=1YEEf8go7l2QPxVrgicEBL0avctLtzZ7Q" TargetMode="External"/><Relationship Id="rId861" Type="http://schemas.openxmlformats.org/officeDocument/2006/relationships/hyperlink" Target="https://uninorte.zoom.us/j/83952971626?pwd=RWYvc1JRYjR5aHU2eUtIWklXdW5Vdz09" TargetMode="External"/><Relationship Id="rId860" Type="http://schemas.openxmlformats.org/officeDocument/2006/relationships/hyperlink" Target="https://uninorte.zoom.us/w/88446878149?tk=GfINsjb-QzY87a8ENtbB-WNKsJsVDPNGH2SjMdaOwEQ.DQMAAAAUl9hBxRZJeks3MkYwblNVNmRLWlVfYkhPTVpRAAAAAAAAAAAAAAAAAAAAAAAAAAAAAA&amp;pwd=VFBxSTlUQnBWOHM5eVJrWEl0dVJmdz09" TargetMode="External"/><Relationship Id="rId619" Type="http://schemas.openxmlformats.org/officeDocument/2006/relationships/hyperlink" Target="https://uninorte.zoom.us/j/3299010108" TargetMode="External"/><Relationship Id="rId618" Type="http://schemas.openxmlformats.org/officeDocument/2006/relationships/hyperlink" Target="https://uninorte.zoom.us/j/3299010108" TargetMode="External"/><Relationship Id="rId613" Type="http://schemas.openxmlformats.org/officeDocument/2006/relationships/hyperlink" Target="https://uninorte.zoom.us/j/3299010108" TargetMode="External"/><Relationship Id="rId855" Type="http://schemas.openxmlformats.org/officeDocument/2006/relationships/hyperlink" Target="https://uninorte.zoom.us/j/89844134767" TargetMode="External"/><Relationship Id="rId612" Type="http://schemas.openxmlformats.org/officeDocument/2006/relationships/hyperlink" Target="https://uninorte.zoom.us/j/3299010108" TargetMode="External"/><Relationship Id="rId854" Type="http://schemas.openxmlformats.org/officeDocument/2006/relationships/hyperlink" Target="https://uninorte.zoom.us/j/84027449641" TargetMode="External"/><Relationship Id="rId611" Type="http://schemas.openxmlformats.org/officeDocument/2006/relationships/hyperlink" Target="https://uninorte.zoom.us/j/3299010108" TargetMode="External"/><Relationship Id="rId853" Type="http://schemas.openxmlformats.org/officeDocument/2006/relationships/hyperlink" Target="https://www.instagram.com/feminun/?hl=en" TargetMode="External"/><Relationship Id="rId610" Type="http://schemas.openxmlformats.org/officeDocument/2006/relationships/hyperlink" Target="https://uninorte.zoom.us/j/3299010108" TargetMode="External"/><Relationship Id="rId852" Type="http://schemas.openxmlformats.org/officeDocument/2006/relationships/hyperlink" Target="https://uninorte.zoom.us/j/89300593674" TargetMode="External"/><Relationship Id="rId617" Type="http://schemas.openxmlformats.org/officeDocument/2006/relationships/hyperlink" Target="https://uninorte.zoom.us/j/3299010108" TargetMode="External"/><Relationship Id="rId859" Type="http://schemas.openxmlformats.org/officeDocument/2006/relationships/hyperlink" Target="https://drive.google.com/open?id=1Rmwh3zi-cY2__QUjd6TNXhZ0Ef-ctEDV" TargetMode="External"/><Relationship Id="rId616" Type="http://schemas.openxmlformats.org/officeDocument/2006/relationships/hyperlink" Target="https://uninorte.zoom.us/j/3299010108" TargetMode="External"/><Relationship Id="rId858" Type="http://schemas.openxmlformats.org/officeDocument/2006/relationships/hyperlink" Target="https://uninorte.zoom.us/j/84961812343" TargetMode="External"/><Relationship Id="rId615" Type="http://schemas.openxmlformats.org/officeDocument/2006/relationships/hyperlink" Target="https://uninorte.zoom.us/j/3299010108" TargetMode="External"/><Relationship Id="rId857" Type="http://schemas.openxmlformats.org/officeDocument/2006/relationships/hyperlink" Target="https://uninorte.zoom.us/meeting/register/tZEtdOioqz0uH9xHOF2JI9-sipKH82ZItP_Y" TargetMode="External"/><Relationship Id="rId614" Type="http://schemas.openxmlformats.org/officeDocument/2006/relationships/hyperlink" Target="https://uninorte.zoom.us/j/3299010108" TargetMode="External"/><Relationship Id="rId856" Type="http://schemas.openxmlformats.org/officeDocument/2006/relationships/hyperlink" Target="https://drive.google.com/open?id=1uLdztIPNh9lF8HGF2el_lwAQspEstFZK" TargetMode="External"/><Relationship Id="rId851" Type="http://schemas.openxmlformats.org/officeDocument/2006/relationships/hyperlink" Target="https://www.instagram.com/feminun/?hl=en" TargetMode="External"/><Relationship Id="rId850" Type="http://schemas.openxmlformats.org/officeDocument/2006/relationships/hyperlink" Target="https://uninorte.zoom.us/j/81665055575?pwd=UUF6SGtFckFuaDZlWEwyeU8rU2F5Zz09" TargetMode="External"/><Relationship Id="rId409" Type="http://schemas.openxmlformats.org/officeDocument/2006/relationships/hyperlink" Target="https://uninorte.zoom.us/meeting/register/tZ0lfuGhpjgrG9dkO3fWAbUd724gjjvusun3" TargetMode="External"/><Relationship Id="rId404" Type="http://schemas.openxmlformats.org/officeDocument/2006/relationships/hyperlink" Target="https://uninorte.zoom.us/j/87843494035" TargetMode="External"/><Relationship Id="rId646" Type="http://schemas.openxmlformats.org/officeDocument/2006/relationships/hyperlink" Target="https://meet.google.com/rot-vxgh-ebk" TargetMode="External"/><Relationship Id="rId888" Type="http://schemas.openxmlformats.org/officeDocument/2006/relationships/hyperlink" Target="https://uninorte.zoom.us/j/86520771676" TargetMode="External"/><Relationship Id="rId403" Type="http://schemas.openxmlformats.org/officeDocument/2006/relationships/hyperlink" Target="https://uninorte.zoom.us/j/81695918750?pwd=RUhOZ2I4Q2xLVkxJWlA4aHJFN1NWdz09" TargetMode="External"/><Relationship Id="rId645" Type="http://schemas.openxmlformats.org/officeDocument/2006/relationships/hyperlink" Target="https://meet.google.com/jev-qzfr-dan" TargetMode="External"/><Relationship Id="rId887" Type="http://schemas.openxmlformats.org/officeDocument/2006/relationships/hyperlink" Target="https://drive.google.com/open?id=1cXhWxxdri0SqmgzaQlT9R3VlbYqmNONk" TargetMode="External"/><Relationship Id="rId402" Type="http://schemas.openxmlformats.org/officeDocument/2006/relationships/hyperlink" Target="https://drive.google.com/open?id=1ZeFPHZoYsnCs346LPAcqem1oSCr6qIFD" TargetMode="External"/><Relationship Id="rId644" Type="http://schemas.openxmlformats.org/officeDocument/2006/relationships/hyperlink" Target="https://www.instagram.com/createcun/" TargetMode="External"/><Relationship Id="rId886" Type="http://schemas.openxmlformats.org/officeDocument/2006/relationships/hyperlink" Target="https://uninorte.zoom.us/j/85940516757?pwd=WWNVV2w2RjVEUEkya09uV1BveVA1Zz09" TargetMode="External"/><Relationship Id="rId401" Type="http://schemas.openxmlformats.org/officeDocument/2006/relationships/hyperlink" Target="https://uninorte.zoom.us/j/87843494035" TargetMode="External"/><Relationship Id="rId643" Type="http://schemas.openxmlformats.org/officeDocument/2006/relationships/hyperlink" Target="https://uninorte.zoom.us/j/83897459347" TargetMode="External"/><Relationship Id="rId885" Type="http://schemas.openxmlformats.org/officeDocument/2006/relationships/hyperlink" Target="https://meet.google.com/fju-uauf-dvp?pli=1&amp;authuser=1" TargetMode="External"/><Relationship Id="rId408" Type="http://schemas.openxmlformats.org/officeDocument/2006/relationships/hyperlink" Target="https://drive.google.com/open?id=1-tFG8LjWwuj-UNOqVWjg45Oxzeb2j7en" TargetMode="External"/><Relationship Id="rId407" Type="http://schemas.openxmlformats.org/officeDocument/2006/relationships/hyperlink" Target="https://uninorte.zoom.us/j/83645443020?pwd=QkRDdkxBcGEzd0h1Q09GVmtFYnJaUT09" TargetMode="External"/><Relationship Id="rId649" Type="http://schemas.openxmlformats.org/officeDocument/2006/relationships/hyperlink" Target="https://uninorte.zoom.us/j/84207747629" TargetMode="External"/><Relationship Id="rId406" Type="http://schemas.openxmlformats.org/officeDocument/2006/relationships/hyperlink" Target="https://drive.google.com/open?id=1GF2ui_aPjrw0tthfBFPZzNrJ5bYcTIIi" TargetMode="External"/><Relationship Id="rId648" Type="http://schemas.openxmlformats.org/officeDocument/2006/relationships/hyperlink" Target="https://instagram.com/feminun?utm_medium=copy_link" TargetMode="External"/><Relationship Id="rId405" Type="http://schemas.openxmlformats.org/officeDocument/2006/relationships/hyperlink" Target="https://uninorte.zoom.us/j/87843494035" TargetMode="External"/><Relationship Id="rId647" Type="http://schemas.openxmlformats.org/officeDocument/2006/relationships/hyperlink" Target="https://www.uninorte.edu.co/web/bie-univ/estudiantesopinan" TargetMode="External"/><Relationship Id="rId889" Type="http://schemas.openxmlformats.org/officeDocument/2006/relationships/hyperlink" Target="https://drive.google.com/open?id=1frubAtkPgL_S79qZgymSPW1mtEY_0ewB" TargetMode="External"/><Relationship Id="rId880" Type="http://schemas.openxmlformats.org/officeDocument/2006/relationships/hyperlink" Target="https://drive.google.com/open?id=1YUpvbfwdjm3JgMoqh-_389_Y_H8XOZRZ" TargetMode="External"/><Relationship Id="rId400" Type="http://schemas.openxmlformats.org/officeDocument/2006/relationships/hyperlink" Target="https://meet.google.com/fzu-qywt-mbb" TargetMode="External"/><Relationship Id="rId642" Type="http://schemas.openxmlformats.org/officeDocument/2006/relationships/hyperlink" Target="https://uninorte.zoom.us/j/82545824527?pwd=U2VreGNLUjNsSTFlVGpheG1BdG4wQT09" TargetMode="External"/><Relationship Id="rId884" Type="http://schemas.openxmlformats.org/officeDocument/2006/relationships/hyperlink" Target="https://drive.google.com/open?id=1LMCPjB8jXC1AQ5WH07EhlMd-e0FZ__ef" TargetMode="External"/><Relationship Id="rId641" Type="http://schemas.openxmlformats.org/officeDocument/2006/relationships/hyperlink" Target="https://www.facebook.com/groups/felifriends/?ref=share" TargetMode="External"/><Relationship Id="rId883" Type="http://schemas.openxmlformats.org/officeDocument/2006/relationships/hyperlink" Target="https://meet.google.com/fju-uauf-dvp?hs=224" TargetMode="External"/><Relationship Id="rId640" Type="http://schemas.openxmlformats.org/officeDocument/2006/relationships/hyperlink" Target="https://uninorte.zoom.us/j/81406669421?pwd=ektjdDcrRk5hc2VXNGxUQWNYajNnUT09" TargetMode="External"/><Relationship Id="rId882" Type="http://schemas.openxmlformats.org/officeDocument/2006/relationships/hyperlink" Target="https://drive.google.com/open?id=1eac94ix1slJXfRO2YLpFfKxlM4glkY_4" TargetMode="External"/><Relationship Id="rId881" Type="http://schemas.openxmlformats.org/officeDocument/2006/relationships/hyperlink" Target="https://uninorte.zoom.us/meeting/register/tZIocuGrqTkvHdDCJ8vYX2yrdpEAkKUrIZjN" TargetMode="External"/><Relationship Id="rId635" Type="http://schemas.openxmlformats.org/officeDocument/2006/relationships/hyperlink" Target="https://uninorte.zoom.us/j/84793185207?pwd=Slo4dXprMFlmc1NwUFNDVERoWlUwdz09" TargetMode="External"/><Relationship Id="rId877" Type="http://schemas.openxmlformats.org/officeDocument/2006/relationships/hyperlink" Target="https://uninorte.zoom.us/meeting/register/tZIocuGrqTkvHdDCJ8vYX2yrdpEAkKUrIZjN" TargetMode="External"/><Relationship Id="rId634" Type="http://schemas.openxmlformats.org/officeDocument/2006/relationships/hyperlink" Target="https://meet.google.com/fum-tjmj-gme" TargetMode="External"/><Relationship Id="rId876" Type="http://schemas.openxmlformats.org/officeDocument/2006/relationships/hyperlink" Target="https://drive.google.com/open?id=1huyr4S6kQ02OR4uBqqeCQ1kqrzUoHkEe" TargetMode="External"/><Relationship Id="rId633" Type="http://schemas.openxmlformats.org/officeDocument/2006/relationships/hyperlink" Target="https://uninorte.zoom.us/j/89245450358?pwd=NFFINXhFMnJWZWh0NWhqblpKTzBHdz09" TargetMode="External"/><Relationship Id="rId875" Type="http://schemas.openxmlformats.org/officeDocument/2006/relationships/hyperlink" Target="https://uninorte.zoom.us/meeting/register/tZ0lcOquqTIvGtCxFy8Ow-c0fBJHu5g2owss" TargetMode="External"/><Relationship Id="rId632" Type="http://schemas.openxmlformats.org/officeDocument/2006/relationships/hyperlink" Target="https://www.uninorte.edu.co/web/ceimun/home?p_p_id=33&amp;p_p_lifecycle=0&amp;p_p_state=normal&amp;p_p_mode=view&amp;p_p_col_id=column-2&amp;p_p_col_pos=1&amp;p_p_col_count=2" TargetMode="External"/><Relationship Id="rId874" Type="http://schemas.openxmlformats.org/officeDocument/2006/relationships/hyperlink" Target="https://drive.google.com/open?id=10e-1cUEyFO4iKgFKTaCdIWjE4Wr_tpIz" TargetMode="External"/><Relationship Id="rId639" Type="http://schemas.openxmlformats.org/officeDocument/2006/relationships/hyperlink" Target="https://uninorte.zoom.us/j/87002186016?pwd=S1Q2OWVDUG9RV0Y3eUJlUks2aFNEZz09" TargetMode="External"/><Relationship Id="rId638" Type="http://schemas.openxmlformats.org/officeDocument/2006/relationships/hyperlink" Target="https://uninorte.zoom.us/j/83812377058?pwd=Z01BWDRKaTI2RWFKNk5idmdidFQxUT09" TargetMode="External"/><Relationship Id="rId637" Type="http://schemas.openxmlformats.org/officeDocument/2006/relationships/hyperlink" Target="https://uninorte.zoom.us/j/8729670906" TargetMode="External"/><Relationship Id="rId879" Type="http://schemas.openxmlformats.org/officeDocument/2006/relationships/hyperlink" Target="https://uninorte.zoom.us/meeting/register/tZ0lcOquqTIvGtCxFy8Ow-c0fBJHu5g2owss" TargetMode="External"/><Relationship Id="rId636" Type="http://schemas.openxmlformats.org/officeDocument/2006/relationships/hyperlink" Target="https://uninorte.zoom.us/j/3299010108" TargetMode="External"/><Relationship Id="rId878" Type="http://schemas.openxmlformats.org/officeDocument/2006/relationships/hyperlink" Target="https://drive.google.com/open?id=1tRoKHgmzyGIDGa4qDCQLMLq_5fFSWL-m" TargetMode="External"/><Relationship Id="rId631" Type="http://schemas.openxmlformats.org/officeDocument/2006/relationships/hyperlink" Target="https://instagram.com/feminun?utm_medium=copy_link" TargetMode="External"/><Relationship Id="rId873" Type="http://schemas.openxmlformats.org/officeDocument/2006/relationships/hyperlink" Target="https://meet.google.com/xae-faej-fbg" TargetMode="External"/><Relationship Id="rId630" Type="http://schemas.openxmlformats.org/officeDocument/2006/relationships/hyperlink" Target="https://uninorte.zoom.us/j/89844134767" TargetMode="External"/><Relationship Id="rId872" Type="http://schemas.openxmlformats.org/officeDocument/2006/relationships/hyperlink" Target="https://drive.google.com/open?id=1omn2KtRbKsz0sYBkJYvLLw9HOuYsizWQ" TargetMode="External"/><Relationship Id="rId871" Type="http://schemas.openxmlformats.org/officeDocument/2006/relationships/hyperlink" Target="https://uninorte.zoom.us/j/81239402828?pwd=bDloRlltS0xWOXkwN0pnT0Ywd2lMQT09" TargetMode="External"/><Relationship Id="rId870" Type="http://schemas.openxmlformats.org/officeDocument/2006/relationships/hyperlink" Target="https://drive.google.com/open?id=1Yxiba8PqJrY-cx3wZRoeV3Ri_JNfqJoL" TargetMode="External"/><Relationship Id="rId829" Type="http://schemas.openxmlformats.org/officeDocument/2006/relationships/hyperlink" Target="https://instagram.com/cdiep_uninorte?utm_medium=copy_link" TargetMode="External"/><Relationship Id="rId828" Type="http://schemas.openxmlformats.org/officeDocument/2006/relationships/hyperlink" Target="https://drive.google.com/open?id=1y-8losAti8rcas81qYT2nk1bO1_iuMWr" TargetMode="External"/><Relationship Id="rId827" Type="http://schemas.openxmlformats.org/officeDocument/2006/relationships/hyperlink" Target="https://instagram.com/cdiep_uninorte?utm_medium=copy_link" TargetMode="External"/><Relationship Id="rId822" Type="http://schemas.openxmlformats.org/officeDocument/2006/relationships/hyperlink" Target="https://drive.google.com/open?id=19mgG7u3ghnY1MbZtJtqYulbL8FF1bd-D" TargetMode="External"/><Relationship Id="rId821" Type="http://schemas.openxmlformats.org/officeDocument/2006/relationships/hyperlink" Target="https://uninorte.zoom.us/meeting/register/tZctf-iprDkoHNW79AtiVUn2OlRE07_Lb34U" TargetMode="External"/><Relationship Id="rId820" Type="http://schemas.openxmlformats.org/officeDocument/2006/relationships/hyperlink" Target="https://drive.google.com/open?id=1wa-gWZwkPeBtAk14VFOgyAtf_1BAnCLB" TargetMode="External"/><Relationship Id="rId826" Type="http://schemas.openxmlformats.org/officeDocument/2006/relationships/hyperlink" Target="https://uninorte.zoom.us/meeting/register/tZMpfuqhrT4jE9OlXGhLm4Ja8YqOJ4Nam7F3" TargetMode="External"/><Relationship Id="rId825" Type="http://schemas.openxmlformats.org/officeDocument/2006/relationships/hyperlink" Target="https://drive.google.com/open?id=1GwRQkNUZKA5CXKgTMhJZlwyIUrqIxiY5" TargetMode="External"/><Relationship Id="rId824" Type="http://schemas.openxmlformats.org/officeDocument/2006/relationships/hyperlink" Target="https://meet.google.com/dcp-atbm-jzk" TargetMode="External"/><Relationship Id="rId823" Type="http://schemas.openxmlformats.org/officeDocument/2006/relationships/hyperlink" Target="https://uninorte.zoom.us/meeting/register/tZIod-Ctrz0rGtWOey5cm9oOsiMl1-OcuEs3" TargetMode="External"/><Relationship Id="rId819" Type="http://schemas.openxmlformats.org/officeDocument/2006/relationships/hyperlink" Target="https://uninorte.zoom.us/meeting/register/tZIod-mspjMtHNADl6IF0rRv-WPzg80M7X4q" TargetMode="External"/><Relationship Id="rId818" Type="http://schemas.openxmlformats.org/officeDocument/2006/relationships/hyperlink" Target="https://drive.google.com/open?id=1kIViCWI1FVIPtn8iyTZYoVoyvSSzgG6b" TargetMode="External"/><Relationship Id="rId817" Type="http://schemas.openxmlformats.org/officeDocument/2006/relationships/hyperlink" Target="https://www.instagram.com/ceimuninorte/" TargetMode="External"/><Relationship Id="rId816" Type="http://schemas.openxmlformats.org/officeDocument/2006/relationships/hyperlink" Target="https://uninorte.zoom.us/j/87110850093?pwd=MkhjbktmTGVpcWtTQ09ZL2RzdzZHQT09" TargetMode="External"/><Relationship Id="rId811" Type="http://schemas.openxmlformats.org/officeDocument/2006/relationships/hyperlink" Target="https://uninorte.zoom.us/j/85019447473?pwd=MUpTdkFmU0pJdXI3ZWtLbUZFQ0o3Zz09" TargetMode="External"/><Relationship Id="rId810" Type="http://schemas.openxmlformats.org/officeDocument/2006/relationships/hyperlink" Target="https://uninorte.zoom.us/j/85019447473?pwd=MUpTdkFmU0pJdXI3ZWtLbUZFQ0o3Zz09" TargetMode="External"/><Relationship Id="rId815" Type="http://schemas.openxmlformats.org/officeDocument/2006/relationships/hyperlink" Target="https://drive.google.com/open?id=1a6AYTILgvZbgc-DUZSiuze8Mz3Fzf-bP" TargetMode="External"/><Relationship Id="rId814" Type="http://schemas.openxmlformats.org/officeDocument/2006/relationships/hyperlink" Target="https://www.instagram.com/feminun/?hl=en" TargetMode="External"/><Relationship Id="rId813" Type="http://schemas.openxmlformats.org/officeDocument/2006/relationships/hyperlink" Target="https://uninorte.zoom.us/j/85019447473?pwd=MUpTdkFmU0pJdXI3ZWtLbUZFQ0o3Zz09" TargetMode="External"/><Relationship Id="rId812" Type="http://schemas.openxmlformats.org/officeDocument/2006/relationships/hyperlink" Target="https://uninorte.zoom.us/j/85019447473?pwd=MUpTdkFmU0pJdXI3ZWtLbUZFQ0o3Zz09" TargetMode="External"/><Relationship Id="rId609" Type="http://schemas.openxmlformats.org/officeDocument/2006/relationships/hyperlink" Target="https://uninorte.zoom.us/j/3299010108" TargetMode="External"/><Relationship Id="rId608" Type="http://schemas.openxmlformats.org/officeDocument/2006/relationships/hyperlink" Target="https://uninorte.zoom.us/j/3299010108" TargetMode="External"/><Relationship Id="rId607" Type="http://schemas.openxmlformats.org/officeDocument/2006/relationships/hyperlink" Target="https://uninorte.zoom.us/j/3299010108" TargetMode="External"/><Relationship Id="rId849" Type="http://schemas.openxmlformats.org/officeDocument/2006/relationships/hyperlink" Target="https://drive.google.com/open?id=1l3x5o0DV3gv5RW6MJ_HaITIxc9M5G8o3" TargetMode="External"/><Relationship Id="rId602" Type="http://schemas.openxmlformats.org/officeDocument/2006/relationships/hyperlink" Target="https://uninorte.zoom.us/j/3299010108" TargetMode="External"/><Relationship Id="rId844" Type="http://schemas.openxmlformats.org/officeDocument/2006/relationships/hyperlink" Target="https://uninorte.zoom.us/j/83299828401?pwd=UmV0OGZweWNJN25sU2NhVjZaK0x3UT09" TargetMode="External"/><Relationship Id="rId601" Type="http://schemas.openxmlformats.org/officeDocument/2006/relationships/hyperlink" Target="https://uninorte.zoom.us/j/87971942585?pwd=Y2xXbGxyN05uY1BPZUREMG8xaWI5Zz09" TargetMode="External"/><Relationship Id="rId843" Type="http://schemas.openxmlformats.org/officeDocument/2006/relationships/hyperlink" Target="https://drive.google.com/open?id=1KWHLP2StK1otRKOGGGRvT--ZXZHGqFkb" TargetMode="External"/><Relationship Id="rId600" Type="http://schemas.openxmlformats.org/officeDocument/2006/relationships/hyperlink" Target="https://uninorte.zoom.us/j/3299010108" TargetMode="External"/><Relationship Id="rId842" Type="http://schemas.openxmlformats.org/officeDocument/2006/relationships/hyperlink" Target="https://uninorte.zoom.us/j/82761238197?pwd=SXNWU0RxUmxCMmNLano2N3lBeGlEUT09" TargetMode="External"/><Relationship Id="rId841" Type="http://schemas.openxmlformats.org/officeDocument/2006/relationships/hyperlink" Target="https://drive.google.com/open?id=1Zlq6IRSRhJY2qU2SOAkSEyeXKt4-COOY" TargetMode="External"/><Relationship Id="rId606" Type="http://schemas.openxmlformats.org/officeDocument/2006/relationships/hyperlink" Target="https://uninorte.zoom.us/j/3299010108" TargetMode="External"/><Relationship Id="rId848" Type="http://schemas.openxmlformats.org/officeDocument/2006/relationships/hyperlink" Target="https://uninorte.zoom.us/j/82344574498?pwd=TUxlWmdIVXlmMHZhRlR1eWNCTndUQT09" TargetMode="External"/><Relationship Id="rId605" Type="http://schemas.openxmlformats.org/officeDocument/2006/relationships/hyperlink" Target="https://uninorte.zoom.us/j/3299010108" TargetMode="External"/><Relationship Id="rId847" Type="http://schemas.openxmlformats.org/officeDocument/2006/relationships/hyperlink" Target="https://drive.google.com/open?id=14KCao3phMogD8k8aAgym8F5S0go-vRy_" TargetMode="External"/><Relationship Id="rId604" Type="http://schemas.openxmlformats.org/officeDocument/2006/relationships/hyperlink" Target="https://uninorte.zoom.us/j/3299010108" TargetMode="External"/><Relationship Id="rId846" Type="http://schemas.openxmlformats.org/officeDocument/2006/relationships/hyperlink" Target="https://uninorte.zoom.us/j/88586048582?pwd=d3lyRGZFRGRRd0JjWUNmUFFzcEdXUT09" TargetMode="External"/><Relationship Id="rId603" Type="http://schemas.openxmlformats.org/officeDocument/2006/relationships/hyperlink" Target="https://uninorte.zoom.us/j/3299010108" TargetMode="External"/><Relationship Id="rId845" Type="http://schemas.openxmlformats.org/officeDocument/2006/relationships/hyperlink" Target="https://drive.google.com/open?id=1xOH6ibbyN9OVsbGPRfk2a5TRBSbj3TLj" TargetMode="External"/><Relationship Id="rId840" Type="http://schemas.openxmlformats.org/officeDocument/2006/relationships/hyperlink" Target="https://uninorte.zoom.us/meeting/register/tZYqc-ysrzMvHdRnAWLTk3BncpfsvKMrIbpz" TargetMode="External"/><Relationship Id="rId839" Type="http://schemas.openxmlformats.org/officeDocument/2006/relationships/hyperlink" Target="https://drive.google.com/open?id=1HS5EixR86bvb8drOLdAEzmsybLkJVXjm" TargetMode="External"/><Relationship Id="rId838" Type="http://schemas.openxmlformats.org/officeDocument/2006/relationships/hyperlink" Target="https://uninorte.zoom.us/meeting/register/tZAqfuGhqTMuHdE4RZSPL7WX-bXrHXDhkdov" TargetMode="External"/><Relationship Id="rId833" Type="http://schemas.openxmlformats.org/officeDocument/2006/relationships/hyperlink" Target="https://uninorte.zoom.us/j/88586048582?pwd=d3lyRGZFRGRRd0JjWUNmUFFzcEdXUT09" TargetMode="External"/><Relationship Id="rId832" Type="http://schemas.openxmlformats.org/officeDocument/2006/relationships/hyperlink" Target="https://drive.google.com/open?id=1CI0G8VFqQeOOfu5tWSjztDPHQOnoMmL5" TargetMode="External"/><Relationship Id="rId831" Type="http://schemas.openxmlformats.org/officeDocument/2006/relationships/hyperlink" Target="https://uninorte.zoom.us/j/83299828401?pwd=UmV0OGZweWNJN25sU2NhVjZaK0x3UT09" TargetMode="External"/><Relationship Id="rId830" Type="http://schemas.openxmlformats.org/officeDocument/2006/relationships/hyperlink" Target="https://drive.google.com/open?id=1cCoIbvoT9NpLrP_9MkXqpmBJbv6YhTi4" TargetMode="External"/><Relationship Id="rId837" Type="http://schemas.openxmlformats.org/officeDocument/2006/relationships/hyperlink" Target="https://drive.google.com/open?id=1QTP-OzSGYtRZFer9Em8kBu9NoBRD1FDy" TargetMode="External"/><Relationship Id="rId836" Type="http://schemas.openxmlformats.org/officeDocument/2006/relationships/hyperlink" Target="https://uninorte.zoom.us/j/89644941156?pwd=dVNJbUtyZWNmRUJxVVh6QlFYZERPUT09" TargetMode="External"/><Relationship Id="rId835" Type="http://schemas.openxmlformats.org/officeDocument/2006/relationships/hyperlink" Target="https://meet.google.com/inw-fzxz-piw" TargetMode="External"/><Relationship Id="rId834" Type="http://schemas.openxmlformats.org/officeDocument/2006/relationships/hyperlink" Target="https://drive.google.com/open?id=1kD6Y1e_ZI-9Gex10QKLX_8uaRdekZwwPg9OPOYSeThI" TargetMode="External"/><Relationship Id="rId228" Type="http://schemas.openxmlformats.org/officeDocument/2006/relationships/hyperlink" Target="https://meet.google.com/rme-cwjj-tkg" TargetMode="External"/><Relationship Id="rId227" Type="http://schemas.openxmlformats.org/officeDocument/2006/relationships/hyperlink" Target="https://uninorte.zoom.us/j/89993873299?pwd=ZEZyL3IxVFpGOGk3MWpSdnJrbzd6Zz09" TargetMode="External"/><Relationship Id="rId469" Type="http://schemas.openxmlformats.org/officeDocument/2006/relationships/hyperlink" Target="https://meet.google.com/ota-fnbg-chf" TargetMode="External"/><Relationship Id="rId226" Type="http://schemas.openxmlformats.org/officeDocument/2006/relationships/hyperlink" Target="https://meet.google.com/heh-sttk-uvo?hs=224" TargetMode="External"/><Relationship Id="rId468" Type="http://schemas.openxmlformats.org/officeDocument/2006/relationships/hyperlink" Target="https://meet.google.com/drb-xmpi-fhm" TargetMode="External"/><Relationship Id="rId225" Type="http://schemas.openxmlformats.org/officeDocument/2006/relationships/hyperlink" Target="https://meet.google.com/qkn-deue-xbb" TargetMode="External"/><Relationship Id="rId467" Type="http://schemas.openxmlformats.org/officeDocument/2006/relationships/hyperlink" Target="https://meet.google.com/qyq-osss-dqe" TargetMode="External"/><Relationship Id="rId229" Type="http://schemas.openxmlformats.org/officeDocument/2006/relationships/hyperlink" Target="https://meet.google.com/fum-tjmj-gme" TargetMode="External"/><Relationship Id="rId220" Type="http://schemas.openxmlformats.org/officeDocument/2006/relationships/hyperlink" Target="https://meet.google.com/jxg-bppd-yfn" TargetMode="External"/><Relationship Id="rId462" Type="http://schemas.openxmlformats.org/officeDocument/2006/relationships/hyperlink" Target="https://uninorte.zoom.us/j/88618078835" TargetMode="External"/><Relationship Id="rId461" Type="http://schemas.openxmlformats.org/officeDocument/2006/relationships/hyperlink" Target="https://drive.google.com/open?id=1ENk0cREy4RnzYphLzJa9H1Xb_kvLqInC" TargetMode="External"/><Relationship Id="rId460" Type="http://schemas.openxmlformats.org/officeDocument/2006/relationships/hyperlink" Target="https://meet.google.com/ikw-jmie-bre" TargetMode="External"/><Relationship Id="rId224" Type="http://schemas.openxmlformats.org/officeDocument/2006/relationships/hyperlink" Target="https://meet.google.com/wdw-vhdm-dms" TargetMode="External"/><Relationship Id="rId466" Type="http://schemas.openxmlformats.org/officeDocument/2006/relationships/hyperlink" Target="https://instagram.com/createcun?utm_medium=copy_link" TargetMode="External"/><Relationship Id="rId223" Type="http://schemas.openxmlformats.org/officeDocument/2006/relationships/hyperlink" Target="https://meet.google.com/naq-fxwz-rwp" TargetMode="External"/><Relationship Id="rId465" Type="http://schemas.openxmlformats.org/officeDocument/2006/relationships/hyperlink" Target="https://mail.google.com/" TargetMode="External"/><Relationship Id="rId222" Type="http://schemas.openxmlformats.org/officeDocument/2006/relationships/hyperlink" Target="https://meet.google.com/naq-fxwz-rwp" TargetMode="External"/><Relationship Id="rId464" Type="http://schemas.openxmlformats.org/officeDocument/2006/relationships/hyperlink" Target="https://mail.google.com/" TargetMode="External"/><Relationship Id="rId221" Type="http://schemas.openxmlformats.org/officeDocument/2006/relationships/hyperlink" Target="https://meet.google.com/jiu-qxkg-zin" TargetMode="External"/><Relationship Id="rId463" Type="http://schemas.openxmlformats.org/officeDocument/2006/relationships/hyperlink" Target="https://uninorte.zoom.us/j/83534808161" TargetMode="External"/><Relationship Id="rId217" Type="http://schemas.openxmlformats.org/officeDocument/2006/relationships/hyperlink" Target="https://meet.google.com/dae-npwd-shq" TargetMode="External"/><Relationship Id="rId459" Type="http://schemas.openxmlformats.org/officeDocument/2006/relationships/hyperlink" Target="https://uninorte.zoom.us/j/89289868003?pwd=SGZUdkRXWks2Q2Z6bnhCNEVZcGV6QT09" TargetMode="External"/><Relationship Id="rId216" Type="http://schemas.openxmlformats.org/officeDocument/2006/relationships/hyperlink" Target="https://uninorte.zoom.us/j/89245450358?pwd=NFFINXhFMnJWZWh0NWhqblpKTzBHdz09" TargetMode="External"/><Relationship Id="rId458" Type="http://schemas.openxmlformats.org/officeDocument/2006/relationships/hyperlink" Target="https://drive.google.com/open?id=1tEOfKXaVBJlcRSyhiv7HY33GydXCV10r" TargetMode="External"/><Relationship Id="rId215" Type="http://schemas.openxmlformats.org/officeDocument/2006/relationships/hyperlink" Target="https://www.instagram.com/faunaticosun/" TargetMode="External"/><Relationship Id="rId457" Type="http://schemas.openxmlformats.org/officeDocument/2006/relationships/hyperlink" Target="https://uninorte.zoom.us/j/85019447473?pwd=MUpTdkFmU0pJdXI3ZWtLbUZFQ0o3Zz09" TargetMode="External"/><Relationship Id="rId699" Type="http://schemas.openxmlformats.org/officeDocument/2006/relationships/hyperlink" Target="https://uninorte.zoom.us/j/85019447473?pwd=MUpTdkFmU0pJdXI3ZWtLbUZFQ0o3Zz09" TargetMode="External"/><Relationship Id="rId214" Type="http://schemas.openxmlformats.org/officeDocument/2006/relationships/hyperlink" Target="https://instagram.com/cdiep_uninorte?utm_medium=copy_link" TargetMode="External"/><Relationship Id="rId456" Type="http://schemas.openxmlformats.org/officeDocument/2006/relationships/hyperlink" Target="https://uninorte.zoom.us/meeting/register/tZAude6rrjsrGdGvIsjjQ9_9W77ZJChWb-1p" TargetMode="External"/><Relationship Id="rId698" Type="http://schemas.openxmlformats.org/officeDocument/2006/relationships/hyperlink" Target="https://www.youtube.com/channel/UCc1LRz956ycFXYJ0JGkUzkw" TargetMode="External"/><Relationship Id="rId219" Type="http://schemas.openxmlformats.org/officeDocument/2006/relationships/hyperlink" Target="https://www.instagram.com/imig.uninorte/?hl=es" TargetMode="External"/><Relationship Id="rId218" Type="http://schemas.openxmlformats.org/officeDocument/2006/relationships/hyperlink" Target="https://meet.google.com/gmq-qnsz-eyb" TargetMode="External"/><Relationship Id="rId451" Type="http://schemas.openxmlformats.org/officeDocument/2006/relationships/hyperlink" Target="https://uninorte.zoom.us/j/89993873299?pwd=ZEZyL3IxVFpGOGk3MWpSdnJrbzd6Zz09" TargetMode="External"/><Relationship Id="rId693" Type="http://schemas.openxmlformats.org/officeDocument/2006/relationships/hyperlink" Target="https://www.instagram.com/unortediverso/?hl=es-la" TargetMode="External"/><Relationship Id="rId450" Type="http://schemas.openxmlformats.org/officeDocument/2006/relationships/hyperlink" Target="https://uninorte.zoom.us/j/84793185207?pwd=Slo4dXprMFlmc1NwUFNDVERoWlUwdz09" TargetMode="External"/><Relationship Id="rId692" Type="http://schemas.openxmlformats.org/officeDocument/2006/relationships/hyperlink" Target="https://www.instagram.com/unortediverso/?hl=es-la" TargetMode="External"/><Relationship Id="rId691" Type="http://schemas.openxmlformats.org/officeDocument/2006/relationships/hyperlink" Target="https://www.instagram.com/unortediverso/?hl=es-la" TargetMode="External"/><Relationship Id="rId690" Type="http://schemas.openxmlformats.org/officeDocument/2006/relationships/hyperlink" Target="https://www.instagram.com/unortediverso/?hl=es-la" TargetMode="External"/><Relationship Id="rId213" Type="http://schemas.openxmlformats.org/officeDocument/2006/relationships/hyperlink" Target="http://meet.google.com/amb-vrhh-upo" TargetMode="External"/><Relationship Id="rId455" Type="http://schemas.openxmlformats.org/officeDocument/2006/relationships/hyperlink" Target="https://uninorte.zoom.us/j/8729670906" TargetMode="External"/><Relationship Id="rId697" Type="http://schemas.openxmlformats.org/officeDocument/2006/relationships/hyperlink" Target="https://meet.google.com/gjq-fxjk-hom" TargetMode="External"/><Relationship Id="rId212" Type="http://schemas.openxmlformats.org/officeDocument/2006/relationships/hyperlink" Target="https://meet.google.com/dcp-atbm-jzk" TargetMode="External"/><Relationship Id="rId454" Type="http://schemas.openxmlformats.org/officeDocument/2006/relationships/hyperlink" Target="https://uninorte.zoom.us/j/3299010108" TargetMode="External"/><Relationship Id="rId696" Type="http://schemas.openxmlformats.org/officeDocument/2006/relationships/hyperlink" Target="https://www.instagram.com/feminun/?hl=en" TargetMode="External"/><Relationship Id="rId211" Type="http://schemas.openxmlformats.org/officeDocument/2006/relationships/hyperlink" Target="https://meet.google.com/gmq-qnsz-eyb" TargetMode="External"/><Relationship Id="rId453" Type="http://schemas.openxmlformats.org/officeDocument/2006/relationships/hyperlink" Target="https://uninorte.zoom.us/j/89993873299?pwd=ZEZyL3IxVFpGOGk3MWpSdnJrbzd6Zz09" TargetMode="External"/><Relationship Id="rId695" Type="http://schemas.openxmlformats.org/officeDocument/2006/relationships/hyperlink" Target="https://instagram.com/cdiep_uninorte?utm_medium=copy_link" TargetMode="External"/><Relationship Id="rId210" Type="http://schemas.openxmlformats.org/officeDocument/2006/relationships/hyperlink" Target="https://instagram.com/cdiep_uninorte?utm_medium=copy_link" TargetMode="External"/><Relationship Id="rId452" Type="http://schemas.openxmlformats.org/officeDocument/2006/relationships/hyperlink" Target="https://meet.google.com/dcp-atbm-jzk" TargetMode="External"/><Relationship Id="rId694" Type="http://schemas.openxmlformats.org/officeDocument/2006/relationships/hyperlink" Target="https://drive.google.com/open?id=1xXZkt3p05-njqAq1KswK1cTDAYcgZazk" TargetMode="External"/><Relationship Id="rId491" Type="http://schemas.openxmlformats.org/officeDocument/2006/relationships/hyperlink" Target="https://www.instagram.com/p/CTpbDuIrRTp/?utm_source=ig_web_copy_link" TargetMode="External"/><Relationship Id="rId490" Type="http://schemas.openxmlformats.org/officeDocument/2006/relationships/hyperlink" Target="https://uninorte.zoom.us/j/87002186016?pwd=S1Q2OWVDUG9RV0Y3eUJlUks2aFNEZz09" TargetMode="External"/><Relationship Id="rId249" Type="http://schemas.openxmlformats.org/officeDocument/2006/relationships/hyperlink" Target="https://instagram.com/createcun?utm_medium=copy_link" TargetMode="External"/><Relationship Id="rId248" Type="http://schemas.openxmlformats.org/officeDocument/2006/relationships/hyperlink" Target="https://uninorte.zoom.us/j/86009595973" TargetMode="External"/><Relationship Id="rId247" Type="http://schemas.openxmlformats.org/officeDocument/2006/relationships/hyperlink" Target="https://meet.google.com/rme-cwjj-tkg" TargetMode="External"/><Relationship Id="rId489" Type="http://schemas.openxmlformats.org/officeDocument/2006/relationships/hyperlink" Target="https://uninorte.zoom.us/j/8729670906" TargetMode="External"/><Relationship Id="rId242" Type="http://schemas.openxmlformats.org/officeDocument/2006/relationships/hyperlink" Target="https://instagram.com/createcun?utm_medium=copy_link" TargetMode="External"/><Relationship Id="rId484" Type="http://schemas.openxmlformats.org/officeDocument/2006/relationships/hyperlink" Target="https://uninorte.zoom.us/j/84792638070" TargetMode="External"/><Relationship Id="rId241" Type="http://schemas.openxmlformats.org/officeDocument/2006/relationships/hyperlink" Target="https://instagram.com/createcun?utm_medium=copy_link" TargetMode="External"/><Relationship Id="rId483" Type="http://schemas.openxmlformats.org/officeDocument/2006/relationships/hyperlink" Target="https://uninorte.zoom.us/j/84793185207?pwd=Slo4dXprMFlmc1NwUFNDVERoWlUwdz09" TargetMode="External"/><Relationship Id="rId240" Type="http://schemas.openxmlformats.org/officeDocument/2006/relationships/hyperlink" Target="https://instagram.com/createcun?utm_medium=copy_link" TargetMode="External"/><Relationship Id="rId482" Type="http://schemas.openxmlformats.org/officeDocument/2006/relationships/hyperlink" Target="https://www.instagram.com/p/CT2uNdtJeUr/" TargetMode="External"/><Relationship Id="rId481" Type="http://schemas.openxmlformats.org/officeDocument/2006/relationships/hyperlink" Target="https://meet.google.com/dcp-atbm-jzk" TargetMode="External"/><Relationship Id="rId246" Type="http://schemas.openxmlformats.org/officeDocument/2006/relationships/hyperlink" Target="https://instagram.com/createcun?utm_medium=copy_link" TargetMode="External"/><Relationship Id="rId488" Type="http://schemas.openxmlformats.org/officeDocument/2006/relationships/hyperlink" Target="https://www.uninorte.edu.co/web/ceimun/home?p_p_id=33&amp;p_p_lifecycle=0&amp;p_p_state=normal&amp;p_p_mode=view&amp;p_p_col_id=column-2&amp;p_p_col_pos=1&amp;p_p_col_count=2" TargetMode="External"/><Relationship Id="rId245" Type="http://schemas.openxmlformats.org/officeDocument/2006/relationships/hyperlink" Target="https://meet.google.com/rme-cwjj-tkg" TargetMode="External"/><Relationship Id="rId487" Type="http://schemas.openxmlformats.org/officeDocument/2006/relationships/hyperlink" Target="https://uninorte.zoom.us/j/89844134767" TargetMode="External"/><Relationship Id="rId244" Type="http://schemas.openxmlformats.org/officeDocument/2006/relationships/hyperlink" Target="https://uninorte.zoom.us/meeting/register/tZcodeqhrzMvHdKVG2nejE4RUtnlNUEXjPpq" TargetMode="External"/><Relationship Id="rId486" Type="http://schemas.openxmlformats.org/officeDocument/2006/relationships/hyperlink" Target="https://uninorte.zoom.us/j/85019447473?pwd=MUpTdkFmU0pJdXI3ZWtLbUZFQ0o3Zz09" TargetMode="External"/><Relationship Id="rId243" Type="http://schemas.openxmlformats.org/officeDocument/2006/relationships/hyperlink" Target="https://drive.google.com/open?id=19C52kS-CiFcXblNmyJHacnsJayFsfm4h" TargetMode="External"/><Relationship Id="rId485" Type="http://schemas.openxmlformats.org/officeDocument/2006/relationships/hyperlink" Target="https://drive.google.com/open?id=1jFuQCD8YN81xcFvfto4ZMOG6wZ0_B2AC" TargetMode="External"/><Relationship Id="rId480" Type="http://schemas.openxmlformats.org/officeDocument/2006/relationships/hyperlink" Target="https://youtu.be/5YAtIW7wEmc" TargetMode="External"/><Relationship Id="rId239" Type="http://schemas.openxmlformats.org/officeDocument/2006/relationships/hyperlink" Target="https://instagram.com/createcun?utm_medium=copy_link" TargetMode="External"/><Relationship Id="rId238" Type="http://schemas.openxmlformats.org/officeDocument/2006/relationships/hyperlink" Target="https://uninorte.zoom.us/j/89245450358?pwd=NFFINXhFMnJWZWh0NWhqblpKTzBHdz09" TargetMode="External"/><Relationship Id="rId237" Type="http://schemas.openxmlformats.org/officeDocument/2006/relationships/hyperlink" Target="https://uninorte.zoom.us/j/89245450358?pwd=NFFINXhFMnJWZWh0NWhqblpKTzBHdz09" TargetMode="External"/><Relationship Id="rId479" Type="http://schemas.openxmlformats.org/officeDocument/2006/relationships/hyperlink" Target="https://uninorte.zoom.us/j/84302642392" TargetMode="External"/><Relationship Id="rId236" Type="http://schemas.openxmlformats.org/officeDocument/2006/relationships/hyperlink" Target="https://instagram.com/createcun?utm_medium=copy_link" TargetMode="External"/><Relationship Id="rId478" Type="http://schemas.openxmlformats.org/officeDocument/2006/relationships/hyperlink" Target="https://www.google.com/url?q=https://uninorte.zoom.us/j/88562529893?pwd%3Da3VMblZBTXV2ZCsvSTV1WURtUm11Zz09&amp;sa=D&amp;source=calendar&amp;ust=1631592708273168&amp;usg=AOvVaw1saoWBawSPz9vwzdxtpn7T" TargetMode="External"/><Relationship Id="rId231" Type="http://schemas.openxmlformats.org/officeDocument/2006/relationships/hyperlink" Target="https://meet.google.com/udg-dhfo-bby" TargetMode="External"/><Relationship Id="rId473" Type="http://schemas.openxmlformats.org/officeDocument/2006/relationships/hyperlink" Target="https://www.google.com/url?q=https://uninorte.zoom.us/j/86934305615?pwd%3DMzBNaFE5dzJmY3M5K2xiMG1abXVQdz09&amp;sa=D&amp;source=calendar&amp;ust=1631592709937842&amp;usg=AOvVaw0K7ml99zbprFHVU15yFHb9" TargetMode="External"/><Relationship Id="rId230" Type="http://schemas.openxmlformats.org/officeDocument/2006/relationships/hyperlink" Target="https://meet.google.com/fum-tjmj-gme" TargetMode="External"/><Relationship Id="rId472" Type="http://schemas.openxmlformats.org/officeDocument/2006/relationships/hyperlink" Target="https://uninorte.zoom.us/j/83402054011?pwd=cWNhYkorQUFJVGdPZ0pKODVtYU43UT09" TargetMode="External"/><Relationship Id="rId471" Type="http://schemas.openxmlformats.org/officeDocument/2006/relationships/hyperlink" Target="https://drive.google.com/open?id=1xdJSQi1JXz2jDiCnnMmToSa4vkQcyyZa" TargetMode="External"/><Relationship Id="rId470" Type="http://schemas.openxmlformats.org/officeDocument/2006/relationships/hyperlink" Target="https://www.google.com/url?q=https://uninorte.zoom.us/j/89612787258?pwd%3Db29neG1hS2IxOWg3QTVzVkM0akpvZz09&amp;sa=D&amp;source=calendar&amp;ust=1631475962705881&amp;usg=AOvVaw2DHsBCbvdRS8Dqf5ffqRbL" TargetMode="External"/><Relationship Id="rId235" Type="http://schemas.openxmlformats.org/officeDocument/2006/relationships/hyperlink" Target="https://uninorte.zoom.us/j/81210750493?pwd=cVNWR0NLMkg0TGZkZDBOMVZIdXVOUT09" TargetMode="External"/><Relationship Id="rId477" Type="http://schemas.openxmlformats.org/officeDocument/2006/relationships/hyperlink" Target="https://meet.google.com/kya-fwwt-sjy" TargetMode="External"/><Relationship Id="rId234" Type="http://schemas.openxmlformats.org/officeDocument/2006/relationships/hyperlink" Target="https://drive.google.com/open?id=1CP7xWmCQBz8AwSiQ4raGaqb1omlGKHnI" TargetMode="External"/><Relationship Id="rId476" Type="http://schemas.openxmlformats.org/officeDocument/2006/relationships/hyperlink" Target="https://uninorte.zoom.us/j/89562962503?pwd=QjYzMld1UGd2TWNWQmZlSDU5VGZ6UT09" TargetMode="External"/><Relationship Id="rId233" Type="http://schemas.openxmlformats.org/officeDocument/2006/relationships/hyperlink" Target="https://meet.google.com/amb-vrhh-upo" TargetMode="External"/><Relationship Id="rId475" Type="http://schemas.openxmlformats.org/officeDocument/2006/relationships/hyperlink" Target="https://uninorte.zoom.us/j/84302642392" TargetMode="External"/><Relationship Id="rId232" Type="http://schemas.openxmlformats.org/officeDocument/2006/relationships/hyperlink" Target="https://uninorte.zoom.us/j/89993873299?pwd=ZEZyL3IxVFpGOGk3MWpSdnJrbzd6Zz09" TargetMode="External"/><Relationship Id="rId474" Type="http://schemas.openxmlformats.org/officeDocument/2006/relationships/hyperlink" Target="https://uninorte.zoom.us/j/84302642392" TargetMode="External"/><Relationship Id="rId426" Type="http://schemas.openxmlformats.org/officeDocument/2006/relationships/hyperlink" Target="https://uninorte.zoom.us/j/87973336330" TargetMode="External"/><Relationship Id="rId668" Type="http://schemas.openxmlformats.org/officeDocument/2006/relationships/hyperlink" Target="https://uninorte.zoom.us/j/87484820488" TargetMode="External"/><Relationship Id="rId425" Type="http://schemas.openxmlformats.org/officeDocument/2006/relationships/hyperlink" Target="https://www.youtube.com/watch?v=QY9YDF2d9PU" TargetMode="External"/><Relationship Id="rId667" Type="http://schemas.openxmlformats.org/officeDocument/2006/relationships/hyperlink" Target="https://instagram.com/feminun?utm_medium=copy_link" TargetMode="External"/><Relationship Id="rId424" Type="http://schemas.openxmlformats.org/officeDocument/2006/relationships/hyperlink" Target="https://drive.google.com/open?id=1AJFiwgpqb0Dn1fblf14K9xVA-7mjJKFi" TargetMode="External"/><Relationship Id="rId666" Type="http://schemas.openxmlformats.org/officeDocument/2006/relationships/hyperlink" Target="https://uninorte.zoom.us/j/85614214282?pwd=L05heXZENnI4c2IxdVNwK2oyWURWdz09" TargetMode="External"/><Relationship Id="rId423" Type="http://schemas.openxmlformats.org/officeDocument/2006/relationships/hyperlink" Target="https://www.youtube.com/watch?v=QY9YDF2d9PU" TargetMode="External"/><Relationship Id="rId665" Type="http://schemas.openxmlformats.org/officeDocument/2006/relationships/hyperlink" Target="https://meet.google.com/ath-ttcf-gno" TargetMode="External"/><Relationship Id="rId429" Type="http://schemas.openxmlformats.org/officeDocument/2006/relationships/hyperlink" Target="https://www.google.com/url?q=https://uninorte.zoom.us/j/89612787258?pwd%3Db29neG1hS2IxOWg3QTVzVkM0akpvZz09&amp;sa=D&amp;source=calendar&amp;ust=1631395726507744&amp;usg=AOvVaw0I8qDVfZ4g5Fx_SC_tzuMV" TargetMode="External"/><Relationship Id="rId428" Type="http://schemas.openxmlformats.org/officeDocument/2006/relationships/hyperlink" Target="https://www.instagram.com/p/CTfPm5QrwB9/?utm_medium=copy_link" TargetMode="External"/><Relationship Id="rId427" Type="http://schemas.openxmlformats.org/officeDocument/2006/relationships/hyperlink" Target="https://uninorte.zoom.us/j/85176040142" TargetMode="External"/><Relationship Id="rId669" Type="http://schemas.openxmlformats.org/officeDocument/2006/relationships/hyperlink" Target="https://instagram.com/feminun?utm_medium=copy_link" TargetMode="External"/><Relationship Id="rId660" Type="http://schemas.openxmlformats.org/officeDocument/2006/relationships/hyperlink" Target="https://instagram.com/feminun?utm_medium=copy_link" TargetMode="External"/><Relationship Id="rId422" Type="http://schemas.openxmlformats.org/officeDocument/2006/relationships/hyperlink" Target="https://drive.google.com/open?id=1mKCrzzUEUoZMv29uQAIFPqaOdnnXldSJ" TargetMode="External"/><Relationship Id="rId664" Type="http://schemas.openxmlformats.org/officeDocument/2006/relationships/hyperlink" Target="https://forms.gle/2negrqnMyr9absZr7" TargetMode="External"/><Relationship Id="rId421" Type="http://schemas.openxmlformats.org/officeDocument/2006/relationships/hyperlink" Target="https://instagram.com/cdiep_uninorte?utm_medium=copy_link" TargetMode="External"/><Relationship Id="rId663" Type="http://schemas.openxmlformats.org/officeDocument/2006/relationships/hyperlink" Target="https://drive.google.com/open?id=1V1DbGQY5uwOee9eKilNuhjAYgiC9ChO-" TargetMode="External"/><Relationship Id="rId420" Type="http://schemas.openxmlformats.org/officeDocument/2006/relationships/hyperlink" Target="https://instagram.com/cdiep_uninorte?utm_medium=copy_link" TargetMode="External"/><Relationship Id="rId662" Type="http://schemas.openxmlformats.org/officeDocument/2006/relationships/hyperlink" Target="https://instagram.com/cdiep_uninorte?utm_medium=copy_link" TargetMode="External"/><Relationship Id="rId661" Type="http://schemas.openxmlformats.org/officeDocument/2006/relationships/hyperlink" Target="https://instagram.com/cdiep_uninorte?utm_medium=copy_link" TargetMode="External"/><Relationship Id="rId415" Type="http://schemas.openxmlformats.org/officeDocument/2006/relationships/hyperlink" Target="https://meet.google.com/bpy-tknq-iod" TargetMode="External"/><Relationship Id="rId657" Type="http://schemas.openxmlformats.org/officeDocument/2006/relationships/hyperlink" Target="https://drive.google.com/open?id=10UHA_XCAm3pFf6PVkboi1bW-Si4HrBWF" TargetMode="External"/><Relationship Id="rId414" Type="http://schemas.openxmlformats.org/officeDocument/2006/relationships/hyperlink" Target="https://uninorte.zoom.us/j/82348745118?pwd=Nk5ITjVRTWUwcmZVdWt6RG8zVzhmQT09" TargetMode="External"/><Relationship Id="rId656" Type="http://schemas.openxmlformats.org/officeDocument/2006/relationships/hyperlink" Target="https://www.instagram.com/ceimuninorte/" TargetMode="External"/><Relationship Id="rId413" Type="http://schemas.openxmlformats.org/officeDocument/2006/relationships/hyperlink" Target="https://drive.google.com/open?id=1AXEIXDvB1pPPbrsOwaAEJm-LyIgluLeu" TargetMode="External"/><Relationship Id="rId655" Type="http://schemas.openxmlformats.org/officeDocument/2006/relationships/hyperlink" Target="https://www.instagram.com/ceimuninorte/" TargetMode="External"/><Relationship Id="rId412" Type="http://schemas.openxmlformats.org/officeDocument/2006/relationships/hyperlink" Target="https://www.instagram.com/p/CTXzkMDLqnp/?utm_medium=copy_link" TargetMode="External"/><Relationship Id="rId654" Type="http://schemas.openxmlformats.org/officeDocument/2006/relationships/hyperlink" Target="https://www.instagram.com/ceimuninorte/" TargetMode="External"/><Relationship Id="rId419" Type="http://schemas.openxmlformats.org/officeDocument/2006/relationships/hyperlink" Target="https://uninorte.zoom.us/j/87611764690" TargetMode="External"/><Relationship Id="rId418" Type="http://schemas.openxmlformats.org/officeDocument/2006/relationships/hyperlink" Target="https://drive.google.com/open?id=1HKMkIyAq-BhRJO7CobXRlgDjAwOZJuni" TargetMode="External"/><Relationship Id="rId417" Type="http://schemas.openxmlformats.org/officeDocument/2006/relationships/hyperlink" Target="https://uninorte.zoom.us/j/83823790612" TargetMode="External"/><Relationship Id="rId659" Type="http://schemas.openxmlformats.org/officeDocument/2006/relationships/hyperlink" Target="https://uninorte.zoom.us/j/89569145566?pwd=cXp6UFJ2d0JEMVgzY2F1dk1jQWFxUT09" TargetMode="External"/><Relationship Id="rId416" Type="http://schemas.openxmlformats.org/officeDocument/2006/relationships/hyperlink" Target="https://uninorte.zoom.us/j/89245450358?pwd=NFFINXhFMnJWZWh0NWhqblpKTzBHdz09" TargetMode="External"/><Relationship Id="rId658" Type="http://schemas.openxmlformats.org/officeDocument/2006/relationships/hyperlink" Target="https://forms.gle/2negrqnMyr9absZr7" TargetMode="External"/><Relationship Id="rId891" Type="http://schemas.openxmlformats.org/officeDocument/2006/relationships/hyperlink" Target="https://vm.tiktok.com/ZM8tNhmau/" TargetMode="External"/><Relationship Id="rId890" Type="http://schemas.openxmlformats.org/officeDocument/2006/relationships/hyperlink" Target="https://uninorte.zoom.us/meeting/register/tZUtdeChpzotGdVsJ9Df00bC6X0pfnvNk5Z5" TargetMode="External"/><Relationship Id="rId411" Type="http://schemas.openxmlformats.org/officeDocument/2006/relationships/hyperlink" Target="https://uninorte.zoom.us/j/83352921589" TargetMode="External"/><Relationship Id="rId653" Type="http://schemas.openxmlformats.org/officeDocument/2006/relationships/hyperlink" Target="https://www.instagram.com/ceimuninorte/" TargetMode="External"/><Relationship Id="rId895" Type="http://schemas.openxmlformats.org/officeDocument/2006/relationships/drawing" Target="../drawings/drawing1.xml"/><Relationship Id="rId410" Type="http://schemas.openxmlformats.org/officeDocument/2006/relationships/hyperlink" Target="https://drive.google.com/open?id=1LlJE6Ae1ZJ0zouYwiNlmX1CR812C-dz0" TargetMode="External"/><Relationship Id="rId652" Type="http://schemas.openxmlformats.org/officeDocument/2006/relationships/hyperlink" Target="https://meet.google.com/gmq-qnsz-eyb" TargetMode="External"/><Relationship Id="rId894" Type="http://schemas.openxmlformats.org/officeDocument/2006/relationships/hyperlink" Target="https://drive.google.com/open?id=19g4p1F3R845P-T-kbH-slqyNpZ9QHTK50qlNCb8b3C8" TargetMode="External"/><Relationship Id="rId651" Type="http://schemas.openxmlformats.org/officeDocument/2006/relationships/hyperlink" Target="https://meet.google.com/gmq-qnsz-eyb" TargetMode="External"/><Relationship Id="rId893" Type="http://schemas.openxmlformats.org/officeDocument/2006/relationships/hyperlink" Target="https://www.google.com/url?q=https://uninorte.zoom.us/j/88413516932?pwd%3DaXErTHg3azVXb0VNN2FweEhnTU1nZz09&amp;sa=D&amp;source=calendar&amp;ust=1640039759054049&amp;usg=AOvVaw0eU8luov9BnwAYo7LdFbTE" TargetMode="External"/><Relationship Id="rId650" Type="http://schemas.openxmlformats.org/officeDocument/2006/relationships/hyperlink" Target="https://drive.google.com/open?id=1ypqDFclC05sYTzgvekfGAqKA9x0HfjcZ" TargetMode="External"/><Relationship Id="rId892" Type="http://schemas.openxmlformats.org/officeDocument/2006/relationships/hyperlink" Target="https://uninorte.zoom.us/j/85835986170?pwd=M3R6YnNJVzBNWTQrc20raldBMEJ6dz09" TargetMode="External"/><Relationship Id="rId206" Type="http://schemas.openxmlformats.org/officeDocument/2006/relationships/hyperlink" Target="https://drive.google.com/open?id=1xvlbYUPNvtYEptz3T55LuabNZEq5MNXi" TargetMode="External"/><Relationship Id="rId448" Type="http://schemas.openxmlformats.org/officeDocument/2006/relationships/hyperlink" Target="https://drive.google.com/open?id=1g2R1rxbJXqpva0pBtz4r90Cdx-WJFHr9" TargetMode="External"/><Relationship Id="rId205" Type="http://schemas.openxmlformats.org/officeDocument/2006/relationships/hyperlink" Target="https://drive.google.com/open?id=1NCEx5KijKUJ9TgOfE2gxGnD9-wRz52G8" TargetMode="External"/><Relationship Id="rId447" Type="http://schemas.openxmlformats.org/officeDocument/2006/relationships/hyperlink" Target="https://uninorte.zoom.us/j/89245450358?pwd=NFFINXhFMnJWZWh0NWhqblpKTzBHdz09" TargetMode="External"/><Relationship Id="rId689" Type="http://schemas.openxmlformats.org/officeDocument/2006/relationships/hyperlink" Target="https://docs.google.com/forms/d/e/1FAIpQLSdxOOO3hT5SuxxSei8VQQJQooH_tm5UjlLaKYl2vXZBqXjwCA/viewform" TargetMode="External"/><Relationship Id="rId204" Type="http://schemas.openxmlformats.org/officeDocument/2006/relationships/hyperlink" Target="https://drive.google.com/open?id=1wmoH2IYx8ljHWmD9YfYFg9hMbD_WCzZh" TargetMode="External"/><Relationship Id="rId446" Type="http://schemas.openxmlformats.org/officeDocument/2006/relationships/hyperlink" Target="https://mail.google.com/" TargetMode="External"/><Relationship Id="rId688" Type="http://schemas.openxmlformats.org/officeDocument/2006/relationships/hyperlink" Target="https://uninorte.zoom.us/j/87863678583?pwd=MTFXai9BdGJsMUFFbE92QUFjUnN0dz09" TargetMode="External"/><Relationship Id="rId203" Type="http://schemas.openxmlformats.org/officeDocument/2006/relationships/hyperlink" Target="https://drive.google.com/open?id=1aRPszpnn7IhRBF8X8Pl6NlDBM3Rpzc1d" TargetMode="External"/><Relationship Id="rId445" Type="http://schemas.openxmlformats.org/officeDocument/2006/relationships/hyperlink" Target="https://meet.google.com/xpc-znif-fha" TargetMode="External"/><Relationship Id="rId687" Type="http://schemas.openxmlformats.org/officeDocument/2006/relationships/hyperlink" Target="https://instagram.com/feminun?utm_medium=copy_link" TargetMode="External"/><Relationship Id="rId209" Type="http://schemas.openxmlformats.org/officeDocument/2006/relationships/hyperlink" Target="https://meet.google.com/ibo-hkzb-qcq" TargetMode="External"/><Relationship Id="rId208" Type="http://schemas.openxmlformats.org/officeDocument/2006/relationships/hyperlink" Target="https://meet.google.com/tfp-zkio-fuc" TargetMode="External"/><Relationship Id="rId207" Type="http://schemas.openxmlformats.org/officeDocument/2006/relationships/hyperlink" Target="https://uninorte.zoom.us/j/82053368618?pwd=eDJDMzB2U0FCN1ArWmVmc01CdkRFZz09" TargetMode="External"/><Relationship Id="rId449" Type="http://schemas.openxmlformats.org/officeDocument/2006/relationships/hyperlink" Target="https://uninorte.zoom.us/j/85019447473?pwd=MUpTdkFmU0pJdXI3ZWtLbUZFQ0o3Zz09" TargetMode="External"/><Relationship Id="rId440" Type="http://schemas.openxmlformats.org/officeDocument/2006/relationships/hyperlink" Target="https://meet.google.com/wfh-ykws-biu" TargetMode="External"/><Relationship Id="rId682" Type="http://schemas.openxmlformats.org/officeDocument/2006/relationships/hyperlink" Target="https://instagram.com/feminun?utm_medium=copy_link" TargetMode="External"/><Relationship Id="rId681" Type="http://schemas.openxmlformats.org/officeDocument/2006/relationships/hyperlink" Target="https://instagram.com/feminun?utm_medium=copy_link" TargetMode="External"/><Relationship Id="rId680" Type="http://schemas.openxmlformats.org/officeDocument/2006/relationships/hyperlink" Target="https://uninorte.zoom.us/meeting/register/tZYvcOCtrz4pEt391aPmOwtd7xEvgHUeo3FX" TargetMode="External"/><Relationship Id="rId202" Type="http://schemas.openxmlformats.org/officeDocument/2006/relationships/hyperlink" Target="https://drive.google.com/open?id=1LVR04vYoIqeXGQDgRYU4ZcMV-VgJgJ5D" TargetMode="External"/><Relationship Id="rId444" Type="http://schemas.openxmlformats.org/officeDocument/2006/relationships/hyperlink" Target="https://zoom.us/meeting/register/tJElduiuqjoqH9GA9bbS_8F6JBFP6pnYGVkM" TargetMode="External"/><Relationship Id="rId686" Type="http://schemas.openxmlformats.org/officeDocument/2006/relationships/hyperlink" Target="https://instagram.com/feminun?utm_medium=copy_link" TargetMode="External"/><Relationship Id="rId201" Type="http://schemas.openxmlformats.org/officeDocument/2006/relationships/hyperlink" Target="https://drive.google.com/open?id=1C8CzzMmaqxQPK3GwHMISAHyQYip318m6" TargetMode="External"/><Relationship Id="rId443" Type="http://schemas.openxmlformats.org/officeDocument/2006/relationships/hyperlink" Target="https://drive.google.com/open?id=106-DPeZvPKEAek8aWhQCzYWmTRwdxxpp" TargetMode="External"/><Relationship Id="rId685" Type="http://schemas.openxmlformats.org/officeDocument/2006/relationships/hyperlink" Target="https://www.instagram.com/feminun/?hl=en" TargetMode="External"/><Relationship Id="rId200" Type="http://schemas.openxmlformats.org/officeDocument/2006/relationships/hyperlink" Target="https://drive.google.com/open?id=1tDPJUC-KFW9wSXkKtergMWc22Dx5Rs8w" TargetMode="External"/><Relationship Id="rId442" Type="http://schemas.openxmlformats.org/officeDocument/2006/relationships/hyperlink" Target="https://meet.google.com/gmq-qnsz-eyb?pli=1&amp;authuser=3" TargetMode="External"/><Relationship Id="rId684" Type="http://schemas.openxmlformats.org/officeDocument/2006/relationships/hyperlink" Target="https://uninorte.zoom.us/meeting/register/tZwofuqtpzIvGt0Onun4NKzyF6BtknVFsZl1" TargetMode="External"/><Relationship Id="rId441" Type="http://schemas.openxmlformats.org/officeDocument/2006/relationships/hyperlink" Target="https://meet.google.com/gmq-qnsz-eyb?pli=1&amp;authuser=3" TargetMode="External"/><Relationship Id="rId683" Type="http://schemas.openxmlformats.org/officeDocument/2006/relationships/hyperlink" Target="https://instagram.com/feminun?utm_medium=copy_link" TargetMode="External"/><Relationship Id="rId437" Type="http://schemas.openxmlformats.org/officeDocument/2006/relationships/hyperlink" Target="https://uninorte.zoom.us/j/89245450358?pwd=NFFINXhFMnJWZWh0NWhqblpKTzBHdz09" TargetMode="External"/><Relationship Id="rId679" Type="http://schemas.openxmlformats.org/officeDocument/2006/relationships/hyperlink" Target="https://drive.google.com/open?id=1jr3jESy8vAmq8qpoqiHhSaApQ1lBZWm6" TargetMode="External"/><Relationship Id="rId436" Type="http://schemas.openxmlformats.org/officeDocument/2006/relationships/hyperlink" Target="https://meet.google.com/dcp-atbm-jzk" TargetMode="External"/><Relationship Id="rId678" Type="http://schemas.openxmlformats.org/officeDocument/2006/relationships/hyperlink" Target="https://uninorte.zoom.us/meeting/register/tZMkcOigqj4pGd0vST28VqnrXKaleBI9b0_S" TargetMode="External"/><Relationship Id="rId435" Type="http://schemas.openxmlformats.org/officeDocument/2006/relationships/hyperlink" Target="https://www.youtube.com/c/CEIMUninorte" TargetMode="External"/><Relationship Id="rId677" Type="http://schemas.openxmlformats.org/officeDocument/2006/relationships/hyperlink" Target="http://meet.google.com/idx-csua-kdd" TargetMode="External"/><Relationship Id="rId434" Type="http://schemas.openxmlformats.org/officeDocument/2006/relationships/hyperlink" Target="https://www.uninorte.edu.co/web/ceimun/home?p_p_id=33&amp;p_p_lifecycle=0&amp;p_p_state=normal&amp;p_p_mode=view&amp;p_p_col_id=column-2&amp;p_p_col_pos=1&amp;p_p_col_count=2" TargetMode="External"/><Relationship Id="rId676" Type="http://schemas.openxmlformats.org/officeDocument/2006/relationships/hyperlink" Target="https://www.youtube.com/channel/UCc1LRz956ycFXYJ0JGkUzkw" TargetMode="External"/><Relationship Id="rId439" Type="http://schemas.openxmlformats.org/officeDocument/2006/relationships/hyperlink" Target="https://drive.google.com/open?id=1l3q1lIjepKx13eF6UrJbZYEaGJUQb8ww" TargetMode="External"/><Relationship Id="rId438" Type="http://schemas.openxmlformats.org/officeDocument/2006/relationships/hyperlink" Target="https://meet.google.com/kiy-zshj-krf" TargetMode="External"/><Relationship Id="rId671" Type="http://schemas.openxmlformats.org/officeDocument/2006/relationships/hyperlink" Target="https://teams.microsoft.com/_" TargetMode="External"/><Relationship Id="rId670" Type="http://schemas.openxmlformats.org/officeDocument/2006/relationships/hyperlink" Target="https://uninorte.zoom.us/j/87484820488" TargetMode="External"/><Relationship Id="rId433" Type="http://schemas.openxmlformats.org/officeDocument/2006/relationships/hyperlink" Target="https://uninorte.zoom.us/j/3299010108" TargetMode="External"/><Relationship Id="rId675" Type="http://schemas.openxmlformats.org/officeDocument/2006/relationships/hyperlink" Target="https://www.instagram.com/ceimuninorte/" TargetMode="External"/><Relationship Id="rId432" Type="http://schemas.openxmlformats.org/officeDocument/2006/relationships/hyperlink" Target="https://instagram.com/cdiep_uninorte?utm_medium=copy_link" TargetMode="External"/><Relationship Id="rId674" Type="http://schemas.openxmlformats.org/officeDocument/2006/relationships/hyperlink" Target="https://uninorte.zoom.us/j/85056406965?pwd=MytXTWFWd2h2bWFrUWM1R2U5TzI0dz09" TargetMode="External"/><Relationship Id="rId431" Type="http://schemas.openxmlformats.org/officeDocument/2006/relationships/hyperlink" Target="https://uninorte.zoom.us/j/86516344489" TargetMode="External"/><Relationship Id="rId673" Type="http://schemas.openxmlformats.org/officeDocument/2006/relationships/hyperlink" Target="https://drive.google.com/open?id=10KuLBR0-94cBxHAqPwJyDIcwb1LKfg9j" TargetMode="External"/><Relationship Id="rId430" Type="http://schemas.openxmlformats.org/officeDocument/2006/relationships/hyperlink" Target="https://drive.google.com/open?id=1hAL5p4ZlJ7yhb0rW35Lcy6imgDYc8xgn" TargetMode="External"/><Relationship Id="rId672" Type="http://schemas.openxmlformats.org/officeDocument/2006/relationships/hyperlink" Target="https://uninorte.zoom.us/j/87863678583?pwd=MTFXai9BdGJsMUFFbE92QUFjUnN0dz09" TargetMode="External"/></Relationships>
</file>

<file path=xl/worksheets/_rels/sheet2.xml.rels><?xml version="1.0" encoding="UTF-8" standalone="yes"?><Relationships xmlns="http://schemas.openxmlformats.org/package/2006/relationships"><Relationship Id="rId190" Type="http://schemas.openxmlformats.org/officeDocument/2006/relationships/hyperlink" Target="https://drive.google.com/open?id=1ljrS8YcxdlluPY09QTsMliYmtc5A750g" TargetMode="External"/><Relationship Id="rId194" Type="http://schemas.openxmlformats.org/officeDocument/2006/relationships/hyperlink" Target="https://drive.google.com/open?id=1P2l3kelo_qLCfmMFVgymA9Li6n5luGzB" TargetMode="External"/><Relationship Id="rId193" Type="http://schemas.openxmlformats.org/officeDocument/2006/relationships/hyperlink" Target="https://drive.google.com/open?id=1RCZP35wpEMBEoBz7z8vwFcGBibXuw9Kf" TargetMode="External"/><Relationship Id="rId192" Type="http://schemas.openxmlformats.org/officeDocument/2006/relationships/hyperlink" Target="https://drive.google.com/open?id=1amXguvSAG8dBdpxOeAFSclo_ciayR455" TargetMode="External"/><Relationship Id="rId191" Type="http://schemas.openxmlformats.org/officeDocument/2006/relationships/hyperlink" Target="https://drive.google.com/open?id=1WN2-nYqFIkowSdUdb0QytxVEc5B_9dvj" TargetMode="External"/><Relationship Id="rId187" Type="http://schemas.openxmlformats.org/officeDocument/2006/relationships/hyperlink" Target="https://drive.google.com/open?id=1hjDYGtbb4kEVIEYmqkIQ-k5q3gEy8Eq6" TargetMode="External"/><Relationship Id="rId186" Type="http://schemas.openxmlformats.org/officeDocument/2006/relationships/hyperlink" Target="https://drive.google.com/open?id=1R-cyS3_C6M-HGjNeSCYW5HDijQGvena8" TargetMode="External"/><Relationship Id="rId185" Type="http://schemas.openxmlformats.org/officeDocument/2006/relationships/hyperlink" Target="https://drive.google.com/open?id=1gquZVuxOqH8WfD_ZJ2He7sqq_NZK4cE8" TargetMode="External"/><Relationship Id="rId184" Type="http://schemas.openxmlformats.org/officeDocument/2006/relationships/hyperlink" Target="https://drive.google.com/open?id=1k0cui09xwWnD7xiWZehBPsqkbUZlzw3R" TargetMode="External"/><Relationship Id="rId189" Type="http://schemas.openxmlformats.org/officeDocument/2006/relationships/hyperlink" Target="https://drive.google.com/open?id=1JuxoNdOSrekRd2P_2p_qeSnI6RpNuD5h" TargetMode="External"/><Relationship Id="rId188" Type="http://schemas.openxmlformats.org/officeDocument/2006/relationships/hyperlink" Target="https://drive.google.com/open?id=1xtTUQ0zn1rgrXUNH-5eX8GiK4ARXhp6X" TargetMode="External"/><Relationship Id="rId183" Type="http://schemas.openxmlformats.org/officeDocument/2006/relationships/hyperlink" Target="https://drive.google.com/open?id=1gw3ctkBqHORMvghXmMffvMoKtw74RC1-" TargetMode="External"/><Relationship Id="rId182" Type="http://schemas.openxmlformats.org/officeDocument/2006/relationships/hyperlink" Target="https://drive.google.com/open?id=1DnIj_6Cao4u_lJG-V9WyFnlqw5sKJq5C" TargetMode="External"/><Relationship Id="rId181" Type="http://schemas.openxmlformats.org/officeDocument/2006/relationships/hyperlink" Target="https://drive.google.com/open?id=13GTFONiK2YD3d0APUD41ywdoF0cWWvn4" TargetMode="External"/><Relationship Id="rId180" Type="http://schemas.openxmlformats.org/officeDocument/2006/relationships/hyperlink" Target="https://drive.google.com/open?id=1Ml0WIwjopfIM4zH2nVXABJKuBRResTzB" TargetMode="External"/><Relationship Id="rId176" Type="http://schemas.openxmlformats.org/officeDocument/2006/relationships/hyperlink" Target="https://drive.google.com/open?id=1OC4X3yHxYO0d-K2Y4Z5htCTbk8SSDoiQ" TargetMode="External"/><Relationship Id="rId175" Type="http://schemas.openxmlformats.org/officeDocument/2006/relationships/hyperlink" Target="https://drive.google.com/open?id=1AVZkgKjGCWdkP-7LDRyjIdXoUEWIMVtz" TargetMode="External"/><Relationship Id="rId174" Type="http://schemas.openxmlformats.org/officeDocument/2006/relationships/hyperlink" Target="https://drive.google.com/open?id=1oNHli20Iw9k8RpIine4htQNpxHuka-bk" TargetMode="External"/><Relationship Id="rId173" Type="http://schemas.openxmlformats.org/officeDocument/2006/relationships/hyperlink" Target="https://drive.google.com/open?id=1DboJX91HbTajFNcxed6bp0s6w4Xp_0cB" TargetMode="External"/><Relationship Id="rId179" Type="http://schemas.openxmlformats.org/officeDocument/2006/relationships/hyperlink" Target="https://drive.google.com/open?id=1qytxxHnHvQlLhCoXQ19XjkO6XYW6Kcu8" TargetMode="External"/><Relationship Id="rId178" Type="http://schemas.openxmlformats.org/officeDocument/2006/relationships/hyperlink" Target="https://forms.gle/6D2SMqFiwjkZw5Di9" TargetMode="External"/><Relationship Id="rId177" Type="http://schemas.openxmlformats.org/officeDocument/2006/relationships/hyperlink" Target="https://drive.google.com/open?id=1yR_LfBKVwvbtGwp66zzm38OrY0PJZi29" TargetMode="External"/><Relationship Id="rId198" Type="http://schemas.openxmlformats.org/officeDocument/2006/relationships/hyperlink" Target="https://drive.google.com/open?id=1AOUVErrSf7lRvMI1d1rYVRxm5s87v5EQ" TargetMode="External"/><Relationship Id="rId197" Type="http://schemas.openxmlformats.org/officeDocument/2006/relationships/hyperlink" Target="https://drive.google.com/open?id=1JH34J3kn54zqZIKISvT03uv4gORm-cDO" TargetMode="External"/><Relationship Id="rId196" Type="http://schemas.openxmlformats.org/officeDocument/2006/relationships/hyperlink" Target="https://drive.google.com/open?id=1si6mpZMYgclZo-47tbJDGTWOUjxbXAhB" TargetMode="External"/><Relationship Id="rId195" Type="http://schemas.openxmlformats.org/officeDocument/2006/relationships/hyperlink" Target="https://drive.google.com/open?id=1XEUWvC7NtX3gGp8LkkzPPxIx1aBtQDLa" TargetMode="External"/><Relationship Id="rId199" Type="http://schemas.openxmlformats.org/officeDocument/2006/relationships/hyperlink" Target="https://drive.google.com/open?id=1UXuoBaw3t71rK_x-R1-GX4tV9lzRlAWY" TargetMode="External"/><Relationship Id="rId150" Type="http://schemas.openxmlformats.org/officeDocument/2006/relationships/hyperlink" Target="https://drive.google.com/open?id=1Zi0kFMGfaVjAsfLh_oSAFGmxi7mvv_QU" TargetMode="External"/><Relationship Id="rId1" Type="http://schemas.openxmlformats.org/officeDocument/2006/relationships/hyperlink" Target="https://uninorte.zoom.us/j/3299010108" TargetMode="External"/><Relationship Id="rId2" Type="http://schemas.openxmlformats.org/officeDocument/2006/relationships/hyperlink" Target="https://drive.google.com/open?id=19-fuG-Le7D_76n2LOBYEcbmwPs1gBp_t" TargetMode="External"/><Relationship Id="rId3" Type="http://schemas.openxmlformats.org/officeDocument/2006/relationships/hyperlink" Target="https://drive.google.com/open?id=1L8ZaoHmyabtVB5lNMfr95L2I20qOE2OA" TargetMode="External"/><Relationship Id="rId149" Type="http://schemas.openxmlformats.org/officeDocument/2006/relationships/hyperlink" Target="https://drive.google.com/open?id=1bNFZmxCH6P7cf8LMv2MHINguxqdRGgID" TargetMode="External"/><Relationship Id="rId4" Type="http://schemas.openxmlformats.org/officeDocument/2006/relationships/hyperlink" Target="https://drive.google.com/open?id=1L2jv6OWRuAJT1B5q8QSuD_v2yyuDmqIT" TargetMode="External"/><Relationship Id="rId148" Type="http://schemas.openxmlformats.org/officeDocument/2006/relationships/hyperlink" Target="https://drive.google.com/open?id=15wwJbfN5D2w62tN8f6TphCtU3q3MD9ll" TargetMode="External"/><Relationship Id="rId9" Type="http://schemas.openxmlformats.org/officeDocument/2006/relationships/hyperlink" Target="https://drive.google.com/open?id=1jtqIkNZLlqLrSWF1UWEbhlCE6--zg8Ye" TargetMode="External"/><Relationship Id="rId143" Type="http://schemas.openxmlformats.org/officeDocument/2006/relationships/hyperlink" Target="https://drive.google.com/open?id=1PRQoTO9wdcfbmRDy4kVNZ7MXUX9wfqIgJgLnmth58Zw" TargetMode="External"/><Relationship Id="rId142" Type="http://schemas.openxmlformats.org/officeDocument/2006/relationships/hyperlink" Target="https://drive.google.com/open?id=1f5Wg-Cc0Hxz2ROSogitydgIGgzI4yxoi" TargetMode="External"/><Relationship Id="rId141" Type="http://schemas.openxmlformats.org/officeDocument/2006/relationships/hyperlink" Target="https://drive.google.com/open?id=1vOcSNrgZdE2RKKB563NWUFhIcg3sZUBv" TargetMode="External"/><Relationship Id="rId140" Type="http://schemas.openxmlformats.org/officeDocument/2006/relationships/hyperlink" Target="https://drive.google.com/open?id=1cVcC5VuD7qSCqww67isdwKaK8hBNcLTj" TargetMode="External"/><Relationship Id="rId5" Type="http://schemas.openxmlformats.org/officeDocument/2006/relationships/hyperlink" Target="https://drive.google.com/open?id=1PsJTepZXiBuM3fIq1GLfReAeAdLfPaTr" TargetMode="External"/><Relationship Id="rId147" Type="http://schemas.openxmlformats.org/officeDocument/2006/relationships/hyperlink" Target="https://drive.google.com/open?id=1myZJnb0EXRGN6i0fAlMEQgNNGXCvQVpR" TargetMode="External"/><Relationship Id="rId6" Type="http://schemas.openxmlformats.org/officeDocument/2006/relationships/hyperlink" Target="https://drive.google.com/open?id=1XhIC25GXvqSE-chh5KeUCyYavCPt_mB3" TargetMode="External"/><Relationship Id="rId146" Type="http://schemas.openxmlformats.org/officeDocument/2006/relationships/hyperlink" Target="https://drive.google.com/open?id=1gk9kIZ3zBNvB-llZnmbGkDgzRGhSAvR1" TargetMode="External"/><Relationship Id="rId7" Type="http://schemas.openxmlformats.org/officeDocument/2006/relationships/hyperlink" Target="https://drive.google.com/open?id=17iTw_69QXj-y29716ebJFNfOY48pca0l" TargetMode="External"/><Relationship Id="rId145" Type="http://schemas.openxmlformats.org/officeDocument/2006/relationships/hyperlink" Target="https://drive.google.com/open?id=12b-tRK4KnMPLxn1Wa8TfmtFw4uAdYylk" TargetMode="External"/><Relationship Id="rId8" Type="http://schemas.openxmlformats.org/officeDocument/2006/relationships/hyperlink" Target="https://drive.google.com/open?id=1NZ9bHg3hXcDvR3TPl7dUwFITV7htrXMt" TargetMode="External"/><Relationship Id="rId144" Type="http://schemas.openxmlformats.org/officeDocument/2006/relationships/hyperlink" Target="https://drive.google.com/open?id=1WBMQME7NmjzJnaOo0IQUK5W0j7mtkc2o" TargetMode="External"/><Relationship Id="rId139" Type="http://schemas.openxmlformats.org/officeDocument/2006/relationships/hyperlink" Target="https://drive.google.com/open?id=1ndzy8Eaha8P8kLmU5fbBqNplNZRLG_6Z" TargetMode="External"/><Relationship Id="rId138" Type="http://schemas.openxmlformats.org/officeDocument/2006/relationships/hyperlink" Target="https://drive.google.com/open?id=1MTnRKSHdrT1szd3BH01qurCGQ4hwRnCN" TargetMode="External"/><Relationship Id="rId137" Type="http://schemas.openxmlformats.org/officeDocument/2006/relationships/hyperlink" Target="https://drive.google.com/open?id=1Jk8ar8WXOCxTZYM4ERuXvK7o-wj6xgQo" TargetMode="External"/><Relationship Id="rId132" Type="http://schemas.openxmlformats.org/officeDocument/2006/relationships/hyperlink" Target="https://drive.google.com/open?id=1RRBm4jmVOc8DVUMKFlICLeNwGnoN9PR_" TargetMode="External"/><Relationship Id="rId131" Type="http://schemas.openxmlformats.org/officeDocument/2006/relationships/hyperlink" Target="https://drive.google.com/open?id=11IbmBRb75PpaYQ6XYv-9gwN09SugeJ7W" TargetMode="External"/><Relationship Id="rId130" Type="http://schemas.openxmlformats.org/officeDocument/2006/relationships/hyperlink" Target="https://drive.google.com/open?id=1vrrSJjIotw3U0eqEBD0kZX4b6z71xMoy" TargetMode="External"/><Relationship Id="rId136" Type="http://schemas.openxmlformats.org/officeDocument/2006/relationships/hyperlink" Target="https://drive.google.com/open?id=1Kszk9HnBHeRutRY6_jK7sV_NTyiOkc_M" TargetMode="External"/><Relationship Id="rId135" Type="http://schemas.openxmlformats.org/officeDocument/2006/relationships/hyperlink" Target="https://drive.google.com/open?id=1EfuIea5lTHXp_ieZYXXBCa__j5dR3wl8" TargetMode="External"/><Relationship Id="rId134" Type="http://schemas.openxmlformats.org/officeDocument/2006/relationships/hyperlink" Target="https://drive.google.com/open?id=1lzuEMT_B5GoioAGAlDFxf5Czkzu_t0ZM" TargetMode="External"/><Relationship Id="rId133" Type="http://schemas.openxmlformats.org/officeDocument/2006/relationships/hyperlink" Target="https://drive.google.com/open?id=1qt_dgbzzFAS0fXjYneIsJou-j1TRlEUbzmwizoOtQvI" TargetMode="External"/><Relationship Id="rId172" Type="http://schemas.openxmlformats.org/officeDocument/2006/relationships/hyperlink" Target="https://drive.google.com/open?id=1_vRF4dMSVsbLyHcNGdO-VtYsqVz1_a2-" TargetMode="External"/><Relationship Id="rId171" Type="http://schemas.openxmlformats.org/officeDocument/2006/relationships/hyperlink" Target="https://drive.google.com/open?id=1MiMHVJH2XMmEJVBi5w0-J3kTzH3tPz0_" TargetMode="External"/><Relationship Id="rId170" Type="http://schemas.openxmlformats.org/officeDocument/2006/relationships/hyperlink" Target="https://drive.google.com/open?id=1iEhRReEq0xgmz7Lc09d2xltaVwJiAQ9l" TargetMode="External"/><Relationship Id="rId165" Type="http://schemas.openxmlformats.org/officeDocument/2006/relationships/hyperlink" Target="https://drive.google.com/open?id=1RewcpNwDIDYhMmRbwc3NcgQBntlR7WMA" TargetMode="External"/><Relationship Id="rId164" Type="http://schemas.openxmlformats.org/officeDocument/2006/relationships/hyperlink" Target="https://drive.google.com/open?id=1dJXcaEJwRXffl-ZREc7ef6HAuz2LG87g" TargetMode="External"/><Relationship Id="rId163" Type="http://schemas.openxmlformats.org/officeDocument/2006/relationships/hyperlink" Target="https://drive.google.com/open?id=1qWyaknLCSZXY0bsQlXT1uKvDqXsSSP5_" TargetMode="External"/><Relationship Id="rId162" Type="http://schemas.openxmlformats.org/officeDocument/2006/relationships/hyperlink" Target="https://drive.google.com/open?id=1gknA8565xZCCGkh15INklq70DtqIeIen" TargetMode="External"/><Relationship Id="rId169" Type="http://schemas.openxmlformats.org/officeDocument/2006/relationships/hyperlink" Target="https://drive.google.com/open?id=1umy_Pn_w9_wNjA6wq4foJAkCZeESMy3K" TargetMode="External"/><Relationship Id="rId168" Type="http://schemas.openxmlformats.org/officeDocument/2006/relationships/hyperlink" Target="https://drive.google.com/open?id=1UaFToo17QrauYtTb57Dr27BxmCPnh_6F" TargetMode="External"/><Relationship Id="rId167" Type="http://schemas.openxmlformats.org/officeDocument/2006/relationships/hyperlink" Target="https://drive.google.com/open?id=16ewOaT3tInohcPuR1-lkiM__nUDAJXL_" TargetMode="External"/><Relationship Id="rId166" Type="http://schemas.openxmlformats.org/officeDocument/2006/relationships/hyperlink" Target="https://drive.google.com/open?id=1JftRaGCPB7Qlae51lT57lOP-AUbSfeLb" TargetMode="External"/><Relationship Id="rId161" Type="http://schemas.openxmlformats.org/officeDocument/2006/relationships/hyperlink" Target="https://drive.google.com/open?id=1MPcgJWrdUdDpS3zRql2f9s9E_OIhu7ls" TargetMode="External"/><Relationship Id="rId160" Type="http://schemas.openxmlformats.org/officeDocument/2006/relationships/hyperlink" Target="https://drive.google.com/open?id=1iImuA1FEc3Lts_Co2lzLpWxwPWkfoi7M" TargetMode="External"/><Relationship Id="rId159" Type="http://schemas.openxmlformats.org/officeDocument/2006/relationships/hyperlink" Target="https://drive.google.com/open?id=1iwbaqDDT_POPp-RDIBpDlZjNRyOYExZE" TargetMode="External"/><Relationship Id="rId154" Type="http://schemas.openxmlformats.org/officeDocument/2006/relationships/hyperlink" Target="https://drive.google.com/open?id=15gaGdjJ14yb_2FRpwyd9r6glwy8t3bEK" TargetMode="External"/><Relationship Id="rId153" Type="http://schemas.openxmlformats.org/officeDocument/2006/relationships/hyperlink" Target="https://drive.google.com/open?id=1hOFy1lkDrvMgCtucjjMo0i0AMxZC2Q64" TargetMode="External"/><Relationship Id="rId152" Type="http://schemas.openxmlformats.org/officeDocument/2006/relationships/hyperlink" Target="https://drive.google.com/open?id=1iQbhVzngx7E3_Em1OcyP8JcWzZ2S_mbY" TargetMode="External"/><Relationship Id="rId151" Type="http://schemas.openxmlformats.org/officeDocument/2006/relationships/hyperlink" Target="https://drive.google.com/open?id=1TxJynPURsIqJx91wCKmfm5ouEXskNaS0" TargetMode="External"/><Relationship Id="rId158" Type="http://schemas.openxmlformats.org/officeDocument/2006/relationships/hyperlink" Target="https://drive.google.com/open?id=1OTlgqZIk3gyqD64nMnrKTnZSKnze6Wqf" TargetMode="External"/><Relationship Id="rId157" Type="http://schemas.openxmlformats.org/officeDocument/2006/relationships/hyperlink" Target="https://drive.google.com/open?id=1xBpGAzMBxrBNzAz8bEWyOxCoD_PhkGsn" TargetMode="External"/><Relationship Id="rId156" Type="http://schemas.openxmlformats.org/officeDocument/2006/relationships/hyperlink" Target="https://drive.google.com/open?id=1HvvQb7hmgZkREIJ1x1qo93Y76X0U9Eub" TargetMode="External"/><Relationship Id="rId155" Type="http://schemas.openxmlformats.org/officeDocument/2006/relationships/hyperlink" Target="https://drive.google.com/open?id=1NHOA2nT3sGUfXKgwVszUy6V93pBPJIGx" TargetMode="External"/><Relationship Id="rId40" Type="http://schemas.openxmlformats.org/officeDocument/2006/relationships/hyperlink" Target="https://drive.google.com/open?id=1uMNepHU1MdjASfSH1OvPwA2-CbIoBz6f" TargetMode="External"/><Relationship Id="rId42" Type="http://schemas.openxmlformats.org/officeDocument/2006/relationships/hyperlink" Target="https://drive.google.com/open?id=1Y6mpETOsQQj9bVTnRkbH2HYJxxHyYsSw" TargetMode="External"/><Relationship Id="rId41" Type="http://schemas.openxmlformats.org/officeDocument/2006/relationships/hyperlink" Target="https://drive.google.com/open?id=1KcKHxNzZgJ5MAwwH_lZkiN6wgoO6FfZw" TargetMode="External"/><Relationship Id="rId44" Type="http://schemas.openxmlformats.org/officeDocument/2006/relationships/hyperlink" Target="https://drive.google.com/open?id=1AjSa8iG7ByVYGSuonRgDJNx0VKxgP7Vp" TargetMode="External"/><Relationship Id="rId43" Type="http://schemas.openxmlformats.org/officeDocument/2006/relationships/hyperlink" Target="https://drive.google.com/open?id=1k6rb7QX14ApAef645TCtHR4zIFZArkVU" TargetMode="External"/><Relationship Id="rId46" Type="http://schemas.openxmlformats.org/officeDocument/2006/relationships/hyperlink" Target="https://drive.google.com/open?id=1Mp0OAAOhy_o07CV7bSm4UFdrrJfrDYIm" TargetMode="External"/><Relationship Id="rId45" Type="http://schemas.openxmlformats.org/officeDocument/2006/relationships/hyperlink" Target="https://drive.google.com/open?id=13PhRpJsChvdLR_Hm2nNvU6Ez9Zc6isH2" TargetMode="External"/><Relationship Id="rId48" Type="http://schemas.openxmlformats.org/officeDocument/2006/relationships/hyperlink" Target="https://drive.google.com/open?id=1ydA4b0dh4GqXKmSZvixPIGzCkILPIFQi" TargetMode="External"/><Relationship Id="rId47" Type="http://schemas.openxmlformats.org/officeDocument/2006/relationships/hyperlink" Target="https://drive.google.com/open?id=1a6ColGcGVukS7rGm0dWbvREho8eS69ng" TargetMode="External"/><Relationship Id="rId49" Type="http://schemas.openxmlformats.org/officeDocument/2006/relationships/hyperlink" Target="https://drive.google.com/open?id=13bG_KGDsr7Npn-oSUwBiqqnJLG4OnIWI" TargetMode="External"/><Relationship Id="rId31" Type="http://schemas.openxmlformats.org/officeDocument/2006/relationships/hyperlink" Target="https://drive.google.com/open?id=1waY6yr1Fkn_fuOhC80zCcwpggm24UkG1" TargetMode="External"/><Relationship Id="rId30" Type="http://schemas.openxmlformats.org/officeDocument/2006/relationships/hyperlink" Target="https://drive.google.com/open?id=19blqB9i-Y0skkvE5qQWktOYWlDYRReWR" TargetMode="External"/><Relationship Id="rId33" Type="http://schemas.openxmlformats.org/officeDocument/2006/relationships/hyperlink" Target="https://drive.google.com/open?id=1LWNakUfwsNbk_1X1OHrG0VMsI22Sn5TO" TargetMode="External"/><Relationship Id="rId32" Type="http://schemas.openxmlformats.org/officeDocument/2006/relationships/hyperlink" Target="https://drive.google.com/open?id=1v5plU7JXauS4iE1q_uvDmCx-LH700ZXv" TargetMode="External"/><Relationship Id="rId35" Type="http://schemas.openxmlformats.org/officeDocument/2006/relationships/hyperlink" Target="https://drive.google.com/open?id=1AMuVziJ4PHAuYssPWgqdbPCo64SyoeDl" TargetMode="External"/><Relationship Id="rId34" Type="http://schemas.openxmlformats.org/officeDocument/2006/relationships/hyperlink" Target="https://drive.google.com/open?id=12fH7aZKUzP6NzmrikYPEkzQ-WkEDZsjF" TargetMode="External"/><Relationship Id="rId37" Type="http://schemas.openxmlformats.org/officeDocument/2006/relationships/hyperlink" Target="https://drive.google.com/open?id=1w4PRB7n5wQLPzdJag1owN5NFa4LYOrvw" TargetMode="External"/><Relationship Id="rId36" Type="http://schemas.openxmlformats.org/officeDocument/2006/relationships/hyperlink" Target="https://drive.google.com/open?id=1bf0ZGUcvuekBDruv5nzYvEEYH-mwKKjJ" TargetMode="External"/><Relationship Id="rId39" Type="http://schemas.openxmlformats.org/officeDocument/2006/relationships/hyperlink" Target="https://drive.google.com/open?id=1HcYVcVq9afT-xU6JeXdGVJ3AmnzmcX_e" TargetMode="External"/><Relationship Id="rId38" Type="http://schemas.openxmlformats.org/officeDocument/2006/relationships/hyperlink" Target="https://drive.google.com/open?id=1i7C0X8rKuApZbu2Q6eiK6BPKbdEpk0wS" TargetMode="External"/><Relationship Id="rId20" Type="http://schemas.openxmlformats.org/officeDocument/2006/relationships/hyperlink" Target="https://drive.google.com/open?id=1VP_JNsWk0PdRrzm88409HGL1cjG_bJ4Z" TargetMode="External"/><Relationship Id="rId22" Type="http://schemas.openxmlformats.org/officeDocument/2006/relationships/hyperlink" Target="https://drive.google.com/open?id=1-bCDFAStQZ9dolHnBV5lTvADkimNKqSK" TargetMode="External"/><Relationship Id="rId21" Type="http://schemas.openxmlformats.org/officeDocument/2006/relationships/hyperlink" Target="https://drive.google.com/open?id=1ozpDS-uS-qT8xNkorIWEld1IPdSr3V4a" TargetMode="External"/><Relationship Id="rId24" Type="http://schemas.openxmlformats.org/officeDocument/2006/relationships/hyperlink" Target="https://drive.google.com/open?id=1s8oDj8So9UvJVTYsBt4wxaQmwOaDVGu-GJZ8ELvlV0I" TargetMode="External"/><Relationship Id="rId23" Type="http://schemas.openxmlformats.org/officeDocument/2006/relationships/hyperlink" Target="https://drive.google.com/open?id=1rPRbM6Xd7BnMDZ09KBlJc7xybNKo8zCi" TargetMode="External"/><Relationship Id="rId26" Type="http://schemas.openxmlformats.org/officeDocument/2006/relationships/hyperlink" Target="https://drive.google.com/open?id=1K93I4gaNZaDoc4-U4EXCufTezUAPQG3m" TargetMode="External"/><Relationship Id="rId25" Type="http://schemas.openxmlformats.org/officeDocument/2006/relationships/hyperlink" Target="https://drive.google.com/open?id=1sBq80Vqx1bMnuXXlqBRRvyWFHvR1yEgO" TargetMode="External"/><Relationship Id="rId28" Type="http://schemas.openxmlformats.org/officeDocument/2006/relationships/hyperlink" Target="https://drive.google.com/open?id=16mPcoWgkUpau14fG4_IiI7Zs99b3H-Fi" TargetMode="External"/><Relationship Id="rId27" Type="http://schemas.openxmlformats.org/officeDocument/2006/relationships/hyperlink" Target="https://drive.google.com/open?id=1SZI-PHjvIGI6UAkOdbLCwOo-JHNwcONj" TargetMode="External"/><Relationship Id="rId29" Type="http://schemas.openxmlformats.org/officeDocument/2006/relationships/hyperlink" Target="https://drive.google.com/open?id=1mqzJMSyOhgMl9mHR6zPWuwMBxXTmkCL3" TargetMode="External"/><Relationship Id="rId11" Type="http://schemas.openxmlformats.org/officeDocument/2006/relationships/hyperlink" Target="https://drive.google.com/open?id=1XXFPZlAYpAFejEeRb6CtJXEecmfzvRWA" TargetMode="External"/><Relationship Id="rId10" Type="http://schemas.openxmlformats.org/officeDocument/2006/relationships/hyperlink" Target="https://drive.google.com/open?id=1g3XFHJQuSPV91a85s90unh9YshULn3Lx" TargetMode="External"/><Relationship Id="rId13" Type="http://schemas.openxmlformats.org/officeDocument/2006/relationships/hyperlink" Target="https://drive.google.com/open?id=1Va0ZqG12IJcJtXlfqYnVTrEA_56aS3rQ" TargetMode="External"/><Relationship Id="rId12" Type="http://schemas.openxmlformats.org/officeDocument/2006/relationships/hyperlink" Target="https://drive.google.com/open?id=1wcDP_Izgtyu5yOc3UgdnlvfKQQEMRtKJ" TargetMode="External"/><Relationship Id="rId15" Type="http://schemas.openxmlformats.org/officeDocument/2006/relationships/hyperlink" Target="https://drive.google.com/open?id=1U5qlxx-MSJ9WRYwRbgrg27ik8zNt0Q0L" TargetMode="External"/><Relationship Id="rId14" Type="http://schemas.openxmlformats.org/officeDocument/2006/relationships/hyperlink" Target="https://drive.google.com/open?id=1N72eFFycSsS3rovQdljVPwqlF3vfPxAC" TargetMode="External"/><Relationship Id="rId17" Type="http://schemas.openxmlformats.org/officeDocument/2006/relationships/hyperlink" Target="https://drive.google.com/open?id=1qeFGV7d7-Xw7ffyzr2lykYSOmn6GYSa6" TargetMode="External"/><Relationship Id="rId16" Type="http://schemas.openxmlformats.org/officeDocument/2006/relationships/hyperlink" Target="https://drive.google.com/open?id=1-OFdLgacBtvCZHoTlgSxJI6WMcmC5nkL91vm-51MVH4" TargetMode="External"/><Relationship Id="rId19" Type="http://schemas.openxmlformats.org/officeDocument/2006/relationships/hyperlink" Target="https://meet.google.com/poc-cohf-afa" TargetMode="External"/><Relationship Id="rId18" Type="http://schemas.openxmlformats.org/officeDocument/2006/relationships/hyperlink" Target="https://drive.google.com/open?id=1kLKELTOuvSkei8uTEpcpauzRb23Tcjfh" TargetMode="External"/><Relationship Id="rId84" Type="http://schemas.openxmlformats.org/officeDocument/2006/relationships/hyperlink" Target="https://drive.google.com/open?id=1-wedFiHQt6p5fWmwcEjYdSGYgUD1bBRo" TargetMode="External"/><Relationship Id="rId83" Type="http://schemas.openxmlformats.org/officeDocument/2006/relationships/hyperlink" Target="https://drive.google.com/open?id=1Lgx_n_pzetx_4r5SBRSr0ON2-ZnvYpJ7" TargetMode="External"/><Relationship Id="rId86" Type="http://schemas.openxmlformats.org/officeDocument/2006/relationships/hyperlink" Target="https://drive.google.com/open?id=1UFiaLOyQZJFpA4A85wUO7bkEJU5ZA9g9" TargetMode="External"/><Relationship Id="rId85" Type="http://schemas.openxmlformats.org/officeDocument/2006/relationships/hyperlink" Target="https://drive.google.com/open?id=1BhNkf_Do6oBRMi7dFZN_km-0kJFYVkZt" TargetMode="External"/><Relationship Id="rId88" Type="http://schemas.openxmlformats.org/officeDocument/2006/relationships/hyperlink" Target="https://drive.google.com/open?id=1t0LB3u1GjTegKB6DaRaChRMitEeKSzAU" TargetMode="External"/><Relationship Id="rId87" Type="http://schemas.openxmlformats.org/officeDocument/2006/relationships/hyperlink" Target="https://drive.google.com/open?id=1vz5IjScVxYRH8hFI0elqSsOrEsijODZh" TargetMode="External"/><Relationship Id="rId89" Type="http://schemas.openxmlformats.org/officeDocument/2006/relationships/hyperlink" Target="https://drive.google.com/open?id=1pgLbbbpqA7Spy3N7cK5ofWpKUYj6gUke" TargetMode="External"/><Relationship Id="rId80" Type="http://schemas.openxmlformats.org/officeDocument/2006/relationships/hyperlink" Target="https://drive.google.com/open?id=1ZZo4YTsb3Kj4H7ksIMpF5p23d3_xjufd" TargetMode="External"/><Relationship Id="rId82" Type="http://schemas.openxmlformats.org/officeDocument/2006/relationships/hyperlink" Target="https://drive.google.com/open?id=1PVc5jEifmjY7oLcWdvQs-CuqSoufD2ME" TargetMode="External"/><Relationship Id="rId81" Type="http://schemas.openxmlformats.org/officeDocument/2006/relationships/hyperlink" Target="https://drive.google.com/open?id=1b4wbzAAvBIc34cc8YDDG2sojbiGISpGK" TargetMode="External"/><Relationship Id="rId73" Type="http://schemas.openxmlformats.org/officeDocument/2006/relationships/hyperlink" Target="https://drive.google.com/open?id=1CkfazP20ydO0CKfdoV9uIeZTyz-77W36" TargetMode="External"/><Relationship Id="rId72" Type="http://schemas.openxmlformats.org/officeDocument/2006/relationships/hyperlink" Target="https://drive.google.com/open?id=1ba9P_9fSCEIl85uhPxfqh6J28hrOkILR" TargetMode="External"/><Relationship Id="rId75" Type="http://schemas.openxmlformats.org/officeDocument/2006/relationships/hyperlink" Target="https://drive.google.com/open?id=1_U3U0Xw9d2NYAv2y4rENk9gd2KfXqH4s" TargetMode="External"/><Relationship Id="rId74" Type="http://schemas.openxmlformats.org/officeDocument/2006/relationships/hyperlink" Target="https://drive.google.com/open?id=1UqJVY7ikmunjVLJACLcek3m3BLqdq729" TargetMode="External"/><Relationship Id="rId77" Type="http://schemas.openxmlformats.org/officeDocument/2006/relationships/hyperlink" Target="https://drive.google.com/open?id=1T5YAZLDP1dfXP52c6yFIBcAg2PXCI_Xx" TargetMode="External"/><Relationship Id="rId76" Type="http://schemas.openxmlformats.org/officeDocument/2006/relationships/hyperlink" Target="https://drive.google.com/open?id=1oKKsApt1q6H49_EEQm8fwmieKj3LNdlH" TargetMode="External"/><Relationship Id="rId79" Type="http://schemas.openxmlformats.org/officeDocument/2006/relationships/hyperlink" Target="https://drive.google.com/open?id=1D7My0uFIZy6pDNTK9zE79jbXWj_eGeeE" TargetMode="External"/><Relationship Id="rId78" Type="http://schemas.openxmlformats.org/officeDocument/2006/relationships/hyperlink" Target="https://drive.google.com/open?id=1f3ynj__Nav2ZFkQFfL3ApHZiZhT2uoHz" TargetMode="External"/><Relationship Id="rId71" Type="http://schemas.openxmlformats.org/officeDocument/2006/relationships/hyperlink" Target="https://drive.google.com/open?id=1W5fVe09Sj0OEFSny-g0BaN7YTmHGLpTy" TargetMode="External"/><Relationship Id="rId70" Type="http://schemas.openxmlformats.org/officeDocument/2006/relationships/hyperlink" Target="https://drive.google.com/open?id=1SgaBVlDN0Z5AsNH-3gDnYh_Wk75SEZOY" TargetMode="External"/><Relationship Id="rId62" Type="http://schemas.openxmlformats.org/officeDocument/2006/relationships/hyperlink" Target="https://drive.google.com/open?id=1ThR1NPduMvPXU0Oda2SVqV6LXE9LnfrX" TargetMode="External"/><Relationship Id="rId61" Type="http://schemas.openxmlformats.org/officeDocument/2006/relationships/hyperlink" Target="https://drive.google.com/open?id=1PbH6jckEy7oOn4EF3jbkqN2LeC3EKAjR" TargetMode="External"/><Relationship Id="rId64" Type="http://schemas.openxmlformats.org/officeDocument/2006/relationships/hyperlink" Target="https://drive.google.com/open?id=14VxBmyEc1lkfp_YGZq0ZHqUmp6UH8hC2" TargetMode="External"/><Relationship Id="rId63" Type="http://schemas.openxmlformats.org/officeDocument/2006/relationships/hyperlink" Target="https://meet.google.com/rtq-frse-ufg" TargetMode="External"/><Relationship Id="rId66" Type="http://schemas.openxmlformats.org/officeDocument/2006/relationships/hyperlink" Target="https://drive.google.com/open?id=1FrWLVVJLJ5qghp_w0biRKB3jRebktaqk" TargetMode="External"/><Relationship Id="rId65" Type="http://schemas.openxmlformats.org/officeDocument/2006/relationships/hyperlink" Target="https://drive.google.com/open?id=1Gkf9cCXvdxwvXmq3zHxI6id6HLAjYNvK" TargetMode="External"/><Relationship Id="rId68" Type="http://schemas.openxmlformats.org/officeDocument/2006/relationships/hyperlink" Target="https://drive.google.com/open?id=1pNIwZEVvnURk8p6sjdOdH3sXjylxZw8o" TargetMode="External"/><Relationship Id="rId67" Type="http://schemas.openxmlformats.org/officeDocument/2006/relationships/hyperlink" Target="https://drive.google.com/open?id=1w2Haer2Thu1ac6FdBw_8EGSDCrmVfJLn" TargetMode="External"/><Relationship Id="rId60" Type="http://schemas.openxmlformats.org/officeDocument/2006/relationships/hyperlink" Target="https://uninorte.zoom.us/s/87674130956" TargetMode="External"/><Relationship Id="rId69" Type="http://schemas.openxmlformats.org/officeDocument/2006/relationships/hyperlink" Target="https://drive.google.com/open?id=1fj5fqJAra6z2jfHgMiCRlkkWt8Pl3RSi" TargetMode="External"/><Relationship Id="rId51" Type="http://schemas.openxmlformats.org/officeDocument/2006/relationships/hyperlink" Target="https://drive.google.com/open?id=1vapq_lT7vCrqcMvx0GXB8K710p1csrox" TargetMode="External"/><Relationship Id="rId50" Type="http://schemas.openxmlformats.org/officeDocument/2006/relationships/hyperlink" Target="https://drive.google.com/open?id=1mPe6VqWoRTdQpmZgbrBDjq4u1Cm0_Fdd" TargetMode="External"/><Relationship Id="rId53" Type="http://schemas.openxmlformats.org/officeDocument/2006/relationships/hyperlink" Target="https://drive.google.com/open?id=1qXQRO9qpMgg1tSxvQCEvjbUoRuk3_5rT" TargetMode="External"/><Relationship Id="rId52" Type="http://schemas.openxmlformats.org/officeDocument/2006/relationships/hyperlink" Target="https://drive.google.com/open?id=1kI1Ka_TJUnmEvJ7dymOtAsipPviI0Mg5" TargetMode="External"/><Relationship Id="rId55" Type="http://schemas.openxmlformats.org/officeDocument/2006/relationships/hyperlink" Target="https://drive.google.com/open?id=1Bl_taCuplvKZ4tEJNjfjwiS540LyScnk" TargetMode="External"/><Relationship Id="rId54" Type="http://schemas.openxmlformats.org/officeDocument/2006/relationships/hyperlink" Target="https://drive.google.com/open?id=13292dhgbkl8YAy9ytx_1SeQ95z33FBzh" TargetMode="External"/><Relationship Id="rId57" Type="http://schemas.openxmlformats.org/officeDocument/2006/relationships/hyperlink" Target="https://drive.google.com/open?id=18GwHnX4jcvPnyX12HLHD9qtttqkq3gri" TargetMode="External"/><Relationship Id="rId56" Type="http://schemas.openxmlformats.org/officeDocument/2006/relationships/hyperlink" Target="https://drive.google.com/open?id=1NV-j6ZKVvtFbiDOhbA7S1p_pZpadpJqe" TargetMode="External"/><Relationship Id="rId59" Type="http://schemas.openxmlformats.org/officeDocument/2006/relationships/hyperlink" Target="https://drive.google.com/open?id=1LGul6OoADbJwZCMUVfo5Fl_aJBHdj_DY" TargetMode="External"/><Relationship Id="rId58" Type="http://schemas.openxmlformats.org/officeDocument/2006/relationships/hyperlink" Target="https://drive.google.com/open?id=1aOcsAmd6-z3xmWBqc2wNP4zp2PfJkX-f" TargetMode="External"/><Relationship Id="rId107" Type="http://schemas.openxmlformats.org/officeDocument/2006/relationships/hyperlink" Target="https://drive.google.com/open?id=1piVjO1JKYJut3_MCu9G3_jp5sfzQo1Za" TargetMode="External"/><Relationship Id="rId106" Type="http://schemas.openxmlformats.org/officeDocument/2006/relationships/hyperlink" Target="https://drive.google.com/open?id=1-ozMPNtqL-nyP5x4XTJbZFVLY4tdECDn" TargetMode="External"/><Relationship Id="rId105" Type="http://schemas.openxmlformats.org/officeDocument/2006/relationships/hyperlink" Target="https://drive.google.com/open?id=1LW3HS01Ks8GYrac98FRES8zJgogJdh2z" TargetMode="External"/><Relationship Id="rId104" Type="http://schemas.openxmlformats.org/officeDocument/2006/relationships/hyperlink" Target="https://drive.google.com/open?id=1Tb0LxYR0qeL0_tDsDyv5opk_ewSFxDYe8Yt-1UoOD9I" TargetMode="External"/><Relationship Id="rId109" Type="http://schemas.openxmlformats.org/officeDocument/2006/relationships/hyperlink" Target="https://drive.google.com/open?id=1MvgfNIj1M4jYOgXjt9_wU1VMpn7JzdfI" TargetMode="External"/><Relationship Id="rId108" Type="http://schemas.openxmlformats.org/officeDocument/2006/relationships/hyperlink" Target="https://drive.google.com/open?id=1UPNGmG7_Q2AUZB8npWPpWGUjrkOX8ILf" TargetMode="External"/><Relationship Id="rId103" Type="http://schemas.openxmlformats.org/officeDocument/2006/relationships/hyperlink" Target="https://drive.google.com/open?id=14WO0FSjK2uK84_zAouakfJZU-c3p0lSt" TargetMode="External"/><Relationship Id="rId102" Type="http://schemas.openxmlformats.org/officeDocument/2006/relationships/hyperlink" Target="https://drive.google.com/open?id=1hdQWUPwpluYzWd7poVlaBs870ZLV-ceE" TargetMode="External"/><Relationship Id="rId101" Type="http://schemas.openxmlformats.org/officeDocument/2006/relationships/hyperlink" Target="https://drive.google.com/open?id=1QpK2dfaOr2oJNEthi8tFI-PpCN7BDLJ6" TargetMode="External"/><Relationship Id="rId100" Type="http://schemas.openxmlformats.org/officeDocument/2006/relationships/hyperlink" Target="https://drive.google.com/open?id=1KU0EHXTjaHRJgtjn8_E6eMvEIJMM6KqAZ1cqOtbrdAg" TargetMode="External"/><Relationship Id="rId129" Type="http://schemas.openxmlformats.org/officeDocument/2006/relationships/hyperlink" Target="https://drive.google.com/open?id=1SgjZk6QkODIp8736e5C1iKtuTbZ4K32pnJK1J7phxJQ" TargetMode="External"/><Relationship Id="rId128" Type="http://schemas.openxmlformats.org/officeDocument/2006/relationships/hyperlink" Target="https://drive.google.com/open?id=1qqArK43qmSihEqSz_7BobpYd2tm66Ulc" TargetMode="External"/><Relationship Id="rId127" Type="http://schemas.openxmlformats.org/officeDocument/2006/relationships/hyperlink" Target="https://drive.google.com/open?id=1Gserz7pvOcpsy2LiaaqWcKImVZVHCzr8" TargetMode="External"/><Relationship Id="rId126" Type="http://schemas.openxmlformats.org/officeDocument/2006/relationships/hyperlink" Target="https://drive.google.com/open?id=1oZsXQcTmWWU8hcrJ88tK07iV-YnTbrp0" TargetMode="External"/><Relationship Id="rId121" Type="http://schemas.openxmlformats.org/officeDocument/2006/relationships/hyperlink" Target="https://drive.google.com/open?id=1Q-41zfjA_0DDxnieLtNeN3rMVi29liH0" TargetMode="External"/><Relationship Id="rId120" Type="http://schemas.openxmlformats.org/officeDocument/2006/relationships/hyperlink" Target="https://drive.google.com/open?id=1j9_Vi_Rm1S3fpe-AQ-An4a-SKnnUF-i1yngbZ-Hor8A" TargetMode="External"/><Relationship Id="rId125" Type="http://schemas.openxmlformats.org/officeDocument/2006/relationships/hyperlink" Target="https://drive.google.com/open?id=1Zy_QBgzwZwZknLGAN216DLCIxRBhNc3R" TargetMode="External"/><Relationship Id="rId124" Type="http://schemas.openxmlformats.org/officeDocument/2006/relationships/hyperlink" Target="https://drive.google.com/open?id=1EzeT5G_G-gvoPGBeM24BBINsaDYamiNW" TargetMode="External"/><Relationship Id="rId123" Type="http://schemas.openxmlformats.org/officeDocument/2006/relationships/hyperlink" Target="https://drive.google.com/open?id=1J85o04EftlS9rwnrt8sju2wsgr2QVYH-" TargetMode="External"/><Relationship Id="rId122" Type="http://schemas.openxmlformats.org/officeDocument/2006/relationships/hyperlink" Target="https://drive.google.com/open?id=1NbqBuyWgX8A0wbL_wRzUjvQ2CrKVHlFE" TargetMode="External"/><Relationship Id="rId95" Type="http://schemas.openxmlformats.org/officeDocument/2006/relationships/hyperlink" Target="https://drive.google.com/open?id=1Kxbg5vkIP_7LmcvXACiwvXlnbMLHjARt" TargetMode="External"/><Relationship Id="rId94" Type="http://schemas.openxmlformats.org/officeDocument/2006/relationships/hyperlink" Target="https://drive.google.com/open?id=1A6Shjm5eeklEauuDyAxqYZFwapvQ9qzB" TargetMode="External"/><Relationship Id="rId97" Type="http://schemas.openxmlformats.org/officeDocument/2006/relationships/hyperlink" Target="https://drive.google.com/open?id=1Wm9vULgOtXpsCF7hM7EldU6_ljkzFoDZ" TargetMode="External"/><Relationship Id="rId96" Type="http://schemas.openxmlformats.org/officeDocument/2006/relationships/hyperlink" Target="https://drive.google.com/open?id=15UOGce38U43qUciiZT8GrqMeNdoib3Bg" TargetMode="External"/><Relationship Id="rId99" Type="http://schemas.openxmlformats.org/officeDocument/2006/relationships/hyperlink" Target="https://drive.google.com/open?id=1MW9M_-r1W00ujeQ11k-p7bxY5HuX6sFP" TargetMode="External"/><Relationship Id="rId98" Type="http://schemas.openxmlformats.org/officeDocument/2006/relationships/hyperlink" Target="https://drive.google.com/open?id=1J4VvypZmm3w3uNA2RkmGJ8gNW_9us4Kd" TargetMode="External"/><Relationship Id="rId91" Type="http://schemas.openxmlformats.org/officeDocument/2006/relationships/hyperlink" Target="https://drive.google.com/open?id=1heXkcoYvM8Ak_YOlz8nhnVrSb-9NMgXN" TargetMode="External"/><Relationship Id="rId90" Type="http://schemas.openxmlformats.org/officeDocument/2006/relationships/hyperlink" Target="https://uninorte.zoom.us/j/2018028267" TargetMode="External"/><Relationship Id="rId93" Type="http://schemas.openxmlformats.org/officeDocument/2006/relationships/hyperlink" Target="https://drive.google.com/open?id=1aotMwW2OvOF7ztwDRyRCUVJeXyYT_5p-" TargetMode="External"/><Relationship Id="rId92" Type="http://schemas.openxmlformats.org/officeDocument/2006/relationships/hyperlink" Target="https://drive.google.com/open?id=1dkVs_-csTIvbMzn_31WlxXW2upHCvVoz" TargetMode="External"/><Relationship Id="rId118" Type="http://schemas.openxmlformats.org/officeDocument/2006/relationships/hyperlink" Target="https://drive.google.com/open?id=1rlBJlak2HqdBNk7Z_V-e1pDeZ2sn3h8T" TargetMode="External"/><Relationship Id="rId117" Type="http://schemas.openxmlformats.org/officeDocument/2006/relationships/hyperlink" Target="https://drive.google.com/open?id=1Lzn755wf5eqzPALbP5nGUcedw6NqyP1D" TargetMode="External"/><Relationship Id="rId116" Type="http://schemas.openxmlformats.org/officeDocument/2006/relationships/hyperlink" Target="https://drive.google.com/open?id=1195Hqda1FLZzlywO8Gck2xA2mAF3JXb8" TargetMode="External"/><Relationship Id="rId115" Type="http://schemas.openxmlformats.org/officeDocument/2006/relationships/hyperlink" Target="https://drive.google.com/open?id=1uL7eTlzmXexoFj_lRxRHSzLhqNvjtamQ" TargetMode="External"/><Relationship Id="rId119" Type="http://schemas.openxmlformats.org/officeDocument/2006/relationships/hyperlink" Target="https://meet.google.com/ire-qbqn-gcj?authuser=1" TargetMode="External"/><Relationship Id="rId110" Type="http://schemas.openxmlformats.org/officeDocument/2006/relationships/hyperlink" Target="https://drive.google.com/open?id=1xs1QZ4KFSMhigEUqwHhrfoYESiTG-s9o" TargetMode="External"/><Relationship Id="rId114" Type="http://schemas.openxmlformats.org/officeDocument/2006/relationships/hyperlink" Target="https://drive.google.com/open?id=1AHwE6oRXfSiTRW-BQ6wfq4rmfck24A9D-fZ0Wi_A1jQ" TargetMode="External"/><Relationship Id="rId113" Type="http://schemas.openxmlformats.org/officeDocument/2006/relationships/hyperlink" Target="https://drive.google.com/open?id=18coVokzp7__WpnKcTvKaKQBXGtDBnq7W" TargetMode="External"/><Relationship Id="rId112" Type="http://schemas.openxmlformats.org/officeDocument/2006/relationships/hyperlink" Target="https://drive.google.com/open?id=1CbA3S4MrEfnj9qSn063OyD2R3iB7fTFQ" TargetMode="External"/><Relationship Id="rId111" Type="http://schemas.openxmlformats.org/officeDocument/2006/relationships/hyperlink" Target="https://drive.google.com/open?id=1mXSPKoJNhCefA4yVcKrcQ1WV8P3tuKUV4hZP_d2KkWQ" TargetMode="External"/><Relationship Id="rId200"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90" Type="http://schemas.openxmlformats.org/officeDocument/2006/relationships/hyperlink" Target="https://drive.google.com/open?id=1qe8T-boCUEpiOBFzUEWRXQDSpZDFq-uP" TargetMode="External"/><Relationship Id="rId194" Type="http://schemas.openxmlformats.org/officeDocument/2006/relationships/hyperlink" Target="https://uninorte.zoom.us/meeting/register/tZAlcOuvrzspG9wS9gYrGij3PEHoVyopG5Fa" TargetMode="External"/><Relationship Id="rId193" Type="http://schemas.openxmlformats.org/officeDocument/2006/relationships/hyperlink" Target="https://drive.google.com/open?id=1Vf15VoMo5HjkfzguVdHpf12XKLUE7n-z" TargetMode="External"/><Relationship Id="rId192" Type="http://schemas.openxmlformats.org/officeDocument/2006/relationships/hyperlink" Target="https://uninorte.zoom.us/j/82053368618?pwd=eDJDMzB2U0FCN1ArWmVmc01CdkRFZz09" TargetMode="External"/><Relationship Id="rId191" Type="http://schemas.openxmlformats.org/officeDocument/2006/relationships/hyperlink" Target="https://uninorte.zoom.us/j/82053368618?pwd=eDJDMzB2U0FCN1ArWmVmc01CdkRFZz09" TargetMode="External"/><Relationship Id="rId187" Type="http://schemas.openxmlformats.org/officeDocument/2006/relationships/hyperlink" Target="https://www.instagram.com/unortediverso/?hl=es-la" TargetMode="External"/><Relationship Id="rId186" Type="http://schemas.openxmlformats.org/officeDocument/2006/relationships/hyperlink" Target="https://www.instagram.com/unortediverso/?hl=es-la" TargetMode="External"/><Relationship Id="rId185" Type="http://schemas.openxmlformats.org/officeDocument/2006/relationships/hyperlink" Target="https://www.instagram.com/unortediverso/?hl=es-la" TargetMode="External"/><Relationship Id="rId184" Type="http://schemas.openxmlformats.org/officeDocument/2006/relationships/hyperlink" Target="https://www.instagram.com/unortediverso/?hl=es-la" TargetMode="External"/><Relationship Id="rId189" Type="http://schemas.openxmlformats.org/officeDocument/2006/relationships/hyperlink" Target="https://www.instagram.com/unortediverso/?hl=es-la" TargetMode="External"/><Relationship Id="rId188" Type="http://schemas.openxmlformats.org/officeDocument/2006/relationships/hyperlink" Target="https://www.instagram.com/unortediverso/?hl=es-la" TargetMode="External"/><Relationship Id="rId183" Type="http://schemas.openxmlformats.org/officeDocument/2006/relationships/hyperlink" Target="https://www.instagram.com/unortediverso/?hl=es-la" TargetMode="External"/><Relationship Id="rId182" Type="http://schemas.openxmlformats.org/officeDocument/2006/relationships/hyperlink" Target="https://uninorte.zoom.us/j/89993873299?pwd=ZEZyL3IxVFpGOGk3MWpSdnJrbzd6Zz09" TargetMode="External"/><Relationship Id="rId181" Type="http://schemas.openxmlformats.org/officeDocument/2006/relationships/hyperlink" Target="https://drive.google.com/open?id=14rDXvPMZ67FQG8bx0X_x_7CLl5h5RWxZ" TargetMode="External"/><Relationship Id="rId180" Type="http://schemas.openxmlformats.org/officeDocument/2006/relationships/hyperlink" Target="https://www.instagram.com/felinorte/?hl=es" TargetMode="External"/><Relationship Id="rId176" Type="http://schemas.openxmlformats.org/officeDocument/2006/relationships/hyperlink" Target="https://uninorte.zoom.us/j/81695918750?pwd=RUhOZ2I4Q2xLVkxJWlA4aHJFN1NWdz09" TargetMode="External"/><Relationship Id="rId175" Type="http://schemas.openxmlformats.org/officeDocument/2006/relationships/hyperlink" Target="https://drive.google.com/open?id=1Gl6X4WTwHyOJjaSQ3Euf3S9rVftBx6Cg" TargetMode="External"/><Relationship Id="rId174" Type="http://schemas.openxmlformats.org/officeDocument/2006/relationships/hyperlink" Target="https://www.instagram.com/p/CTLYoQsL8_C/?utm_medium=copy_link" TargetMode="External"/><Relationship Id="rId173" Type="http://schemas.openxmlformats.org/officeDocument/2006/relationships/hyperlink" Target="https://www.uninorte.edu.co/web/felinorte/blog" TargetMode="External"/><Relationship Id="rId179" Type="http://schemas.openxmlformats.org/officeDocument/2006/relationships/hyperlink" Target="https://www.instagram.com/felinorte/?hl=es" TargetMode="External"/><Relationship Id="rId178" Type="http://schemas.openxmlformats.org/officeDocument/2006/relationships/hyperlink" Target="https://uninorte.zoom.us/j/89602525961" TargetMode="External"/><Relationship Id="rId177" Type="http://schemas.openxmlformats.org/officeDocument/2006/relationships/hyperlink" Target="https://drive.google.com/open?id=1Kkmo-sV9P4P7YlLQJ6ARzwDTfgRmE4b6" TargetMode="External"/><Relationship Id="rId198" Type="http://schemas.openxmlformats.org/officeDocument/2006/relationships/hyperlink" Target="https://drive.google.com/open?id=12XlE3QjjlH7IDrt1a6dnBlmINTtAIkxQ" TargetMode="External"/><Relationship Id="rId197" Type="http://schemas.openxmlformats.org/officeDocument/2006/relationships/hyperlink" Target="https://uninorte.zoom.us/j/86837690616?pwd=NC84aTRsYlZ5dmxRWTQvWlp3VHpxUT09" TargetMode="External"/><Relationship Id="rId196" Type="http://schemas.openxmlformats.org/officeDocument/2006/relationships/hyperlink" Target="https://drive.google.com/open?id=1KX4azMWVs2OgAWy-K7K-rxlolUfXXkwy" TargetMode="External"/><Relationship Id="rId195" Type="http://schemas.openxmlformats.org/officeDocument/2006/relationships/hyperlink" Target="https://uninorte.zoom.us/j/89163874324?pwd=c216SlF3L3AyNy80WnkzNWFic0pLUT09" TargetMode="External"/><Relationship Id="rId199" Type="http://schemas.openxmlformats.org/officeDocument/2006/relationships/hyperlink" Target="https://uninorte.zoom.us/j/86009212183?pwd=QlpWaE1PSFdQaktBbmNTanlEcnY3dz09" TargetMode="External"/><Relationship Id="rId150" Type="http://schemas.openxmlformats.org/officeDocument/2006/relationships/hyperlink" Target="http://meet.google.com/fao-bmew-ffn" TargetMode="External"/><Relationship Id="rId392" Type="http://schemas.openxmlformats.org/officeDocument/2006/relationships/hyperlink" Target="https://uninorte.zoom.us/j/82461917974" TargetMode="External"/><Relationship Id="rId391" Type="http://schemas.openxmlformats.org/officeDocument/2006/relationships/hyperlink" Target="https://drive.google.com/open?id=1z7AdEDKVB4NyKgUkzW4OYULTt97XytKZ" TargetMode="External"/><Relationship Id="rId390" Type="http://schemas.openxmlformats.org/officeDocument/2006/relationships/hyperlink" Target="https://uninorte.zoom.us/j/3299010108" TargetMode="External"/><Relationship Id="rId1" Type="http://schemas.openxmlformats.org/officeDocument/2006/relationships/hyperlink" Target="https://drive.google.com/open?id=1tDPJUC-KFW9wSXkKtergMWc22Dx5Rs8w" TargetMode="External"/><Relationship Id="rId2" Type="http://schemas.openxmlformats.org/officeDocument/2006/relationships/hyperlink" Target="https://drive.google.com/open?id=1C8CzzMmaqxQPK3GwHMISAHyQYip318m6" TargetMode="External"/><Relationship Id="rId3" Type="http://schemas.openxmlformats.org/officeDocument/2006/relationships/hyperlink" Target="https://drive.google.com/open?id=1LVR04vYoIqeXGQDgRYU4ZcMV-VgJgJ5D" TargetMode="External"/><Relationship Id="rId149" Type="http://schemas.openxmlformats.org/officeDocument/2006/relationships/hyperlink" Target="https://instagram.com/ceriuninorte?utm_medium=copy_link" TargetMode="External"/><Relationship Id="rId4" Type="http://schemas.openxmlformats.org/officeDocument/2006/relationships/hyperlink" Target="https://drive.google.com/open?id=1aRPszpnn7IhRBF8X8Pl6NlDBM3Rpzc1d" TargetMode="External"/><Relationship Id="rId148" Type="http://schemas.openxmlformats.org/officeDocument/2006/relationships/hyperlink" Target="https://uninorte.zoom.us/j/88091568135?pwd=cFNyQXlpb0FJN3hYMysya25RcnhXZz09" TargetMode="External"/><Relationship Id="rId9" Type="http://schemas.openxmlformats.org/officeDocument/2006/relationships/hyperlink" Target="https://meet.google.com/tfp-zkio-fuc" TargetMode="External"/><Relationship Id="rId143" Type="http://schemas.openxmlformats.org/officeDocument/2006/relationships/hyperlink" Target="https://uninorte.zoom.us/j/87389394029" TargetMode="External"/><Relationship Id="rId385" Type="http://schemas.openxmlformats.org/officeDocument/2006/relationships/hyperlink" Target="https://uninorte.zoom.us/j/3299010108" TargetMode="External"/><Relationship Id="rId142" Type="http://schemas.openxmlformats.org/officeDocument/2006/relationships/hyperlink" Target="https://meet.google.com/gmq-qnsz-eyb" TargetMode="External"/><Relationship Id="rId384" Type="http://schemas.openxmlformats.org/officeDocument/2006/relationships/hyperlink" Target="https://uninorte.zoom.us/j/88051161495?pwd=MnRpZ3ZvbjdsR1FlUVJVcW4rbGtNZz09" TargetMode="External"/><Relationship Id="rId141" Type="http://schemas.openxmlformats.org/officeDocument/2006/relationships/hyperlink" Target="https://uninorte.zoom.us/j/81695918750?pwd=RUhOZ2I4Q2xLVkxJWlA4aHJFN1NWdz09" TargetMode="External"/><Relationship Id="rId383" Type="http://schemas.openxmlformats.org/officeDocument/2006/relationships/hyperlink" Target="https://drive.google.com/open?id=1GXa25EnoKiSMwvcswOrYoY7lzPDXo0Sw" TargetMode="External"/><Relationship Id="rId140" Type="http://schemas.openxmlformats.org/officeDocument/2006/relationships/hyperlink" Target="https://drive.google.com/open?id=1S1Jt5ejA4xFJj7aHcbg3qRCcoVDUzTQM" TargetMode="External"/><Relationship Id="rId382" Type="http://schemas.openxmlformats.org/officeDocument/2006/relationships/hyperlink" Target="https://instagram.com/feminun?utm_medium=copy_link" TargetMode="External"/><Relationship Id="rId5" Type="http://schemas.openxmlformats.org/officeDocument/2006/relationships/hyperlink" Target="https://drive.google.com/open?id=1wmoH2IYx8ljHWmD9YfYFg9hMbD_WCzZh" TargetMode="External"/><Relationship Id="rId147" Type="http://schemas.openxmlformats.org/officeDocument/2006/relationships/hyperlink" Target="https://uninorte.zoom.us/j/85696753927" TargetMode="External"/><Relationship Id="rId389" Type="http://schemas.openxmlformats.org/officeDocument/2006/relationships/hyperlink" Target="http://meet.google.com/amb-vrhh-upo" TargetMode="External"/><Relationship Id="rId6" Type="http://schemas.openxmlformats.org/officeDocument/2006/relationships/hyperlink" Target="https://drive.google.com/open?id=1NCEx5KijKUJ9TgOfE2gxGnD9-wRz52G8" TargetMode="External"/><Relationship Id="rId146" Type="http://schemas.openxmlformats.org/officeDocument/2006/relationships/hyperlink" Target="https://uninorte.zoom.us/meeting/register/tZMrcemprzMtHdL6d0CNJpZAoRZwqCh2pWZZ" TargetMode="External"/><Relationship Id="rId388" Type="http://schemas.openxmlformats.org/officeDocument/2006/relationships/hyperlink" Target="https://meet.google.com/dcp-atbm-jzk" TargetMode="External"/><Relationship Id="rId7" Type="http://schemas.openxmlformats.org/officeDocument/2006/relationships/hyperlink" Target="https://drive.google.com/open?id=1xvlbYUPNvtYEptz3T55LuabNZEq5MNXi" TargetMode="External"/><Relationship Id="rId145" Type="http://schemas.openxmlformats.org/officeDocument/2006/relationships/hyperlink" Target="https://uninorte.zoom.us/meeting/register/tZwocuyhqjMtEtGq6LX9j6olhUCZZi2Xn4-O" TargetMode="External"/><Relationship Id="rId387" Type="http://schemas.openxmlformats.org/officeDocument/2006/relationships/hyperlink" Target="https://www.youtube.com/channel/UCSLU0zobLVGFIdJUzHBeZmA" TargetMode="External"/><Relationship Id="rId8" Type="http://schemas.openxmlformats.org/officeDocument/2006/relationships/hyperlink" Target="https://uninorte.zoom.us/j/82053368618?pwd=eDJDMzB2U0FCN1ArWmVmc01CdkRFZz09" TargetMode="External"/><Relationship Id="rId144" Type="http://schemas.openxmlformats.org/officeDocument/2006/relationships/hyperlink" Target="https://drive.google.com/open?id=1yySCU_a582ghRLrjGkAzdZh1FSSpRv9L" TargetMode="External"/><Relationship Id="rId386" Type="http://schemas.openxmlformats.org/officeDocument/2006/relationships/hyperlink" Target="https://uninorte.zoom.us/j/3299010108" TargetMode="External"/><Relationship Id="rId381" Type="http://schemas.openxmlformats.org/officeDocument/2006/relationships/hyperlink" Target="https://instagram.com/feminun?utm_medium=copy_link" TargetMode="External"/><Relationship Id="rId380" Type="http://schemas.openxmlformats.org/officeDocument/2006/relationships/hyperlink" Target="https://www.google.com/url?q=https://uninorte.zoom.us/j/89908529625?pwd%3DamppOXl6c3ZJbmNYOE02SGtiRHQ3Zz09&amp;sa=D&amp;source=calendar&amp;ust=1633270769356509&amp;usg=AOvVaw1ZufetNfOauLwM_dc21eMq" TargetMode="External"/><Relationship Id="rId139" Type="http://schemas.openxmlformats.org/officeDocument/2006/relationships/hyperlink" Target="http://meet.google.com/rxn-ghga-ksh" TargetMode="External"/><Relationship Id="rId138" Type="http://schemas.openxmlformats.org/officeDocument/2006/relationships/hyperlink" Target="https://forms.gle/Z3VBWCKVCTJrFzMQ7" TargetMode="External"/><Relationship Id="rId137" Type="http://schemas.openxmlformats.org/officeDocument/2006/relationships/hyperlink" Target="https://drive.google.com/open?id=1Ygj8B9s_gxCzAgt7KP697d0NCYMmaIww" TargetMode="External"/><Relationship Id="rId379" Type="http://schemas.openxmlformats.org/officeDocument/2006/relationships/hyperlink" Target="https://uninorte.zoom.us/j/3299010108" TargetMode="External"/><Relationship Id="rId132" Type="http://schemas.openxmlformats.org/officeDocument/2006/relationships/hyperlink" Target="https://youtu.be/xNpyQzWwBDg" TargetMode="External"/><Relationship Id="rId374" Type="http://schemas.openxmlformats.org/officeDocument/2006/relationships/hyperlink" Target="https://instagram.com/feminun?utm_medium=copy_link" TargetMode="External"/><Relationship Id="rId131" Type="http://schemas.openxmlformats.org/officeDocument/2006/relationships/hyperlink" Target="https://meet.google.com/oct-kdgc-mxi" TargetMode="External"/><Relationship Id="rId373" Type="http://schemas.openxmlformats.org/officeDocument/2006/relationships/hyperlink" Target="https://www.uninorte.edu.co/web/ceimun/home?p_p_id=33&amp;p_p_lifecycle=0&amp;p_p_state=normal&amp;p_p_mode=view&amp;p_p_col_id=column-2&amp;p_p_col_pos=1&amp;p_p_col_count=2" TargetMode="External"/><Relationship Id="rId130" Type="http://schemas.openxmlformats.org/officeDocument/2006/relationships/hyperlink" Target="https://meet.google.com/qzj-heke-hxr" TargetMode="External"/><Relationship Id="rId372" Type="http://schemas.openxmlformats.org/officeDocument/2006/relationships/hyperlink" Target="https://uninorte.zoom.us/j/89844134767" TargetMode="External"/><Relationship Id="rId371" Type="http://schemas.openxmlformats.org/officeDocument/2006/relationships/hyperlink" Target="https://uninorte.zoom.us/s/82663690452" TargetMode="External"/><Relationship Id="rId136" Type="http://schemas.openxmlformats.org/officeDocument/2006/relationships/hyperlink" Target="https://meet.google.com/wax-myfq-vef" TargetMode="External"/><Relationship Id="rId378" Type="http://schemas.openxmlformats.org/officeDocument/2006/relationships/hyperlink" Target="https://uninorte.zoom.us/j/87324382575?pwd=UVpGakF5cXV3S0NDS2FKK203VklaQT09" TargetMode="External"/><Relationship Id="rId135" Type="http://schemas.openxmlformats.org/officeDocument/2006/relationships/hyperlink" Target="https://uninorte.zoom.us/j/89758466085" TargetMode="External"/><Relationship Id="rId377" Type="http://schemas.openxmlformats.org/officeDocument/2006/relationships/hyperlink" Target="https://forms.gle/k54nLKBSnQTiJcA2A" TargetMode="External"/><Relationship Id="rId134" Type="http://schemas.openxmlformats.org/officeDocument/2006/relationships/hyperlink" Target="https://drive.google.com/open?id=1LYew1ETFrljZzocm1g7GutYrnyDTrRxR" TargetMode="External"/><Relationship Id="rId376" Type="http://schemas.openxmlformats.org/officeDocument/2006/relationships/hyperlink" Target="https://uninorte.zoom.us/j/8729670906" TargetMode="External"/><Relationship Id="rId133" Type="http://schemas.openxmlformats.org/officeDocument/2006/relationships/hyperlink" Target="https://www.instagram.com/p/CS90SffLKir/?utm_source=ig_web_copy_link" TargetMode="External"/><Relationship Id="rId375" Type="http://schemas.openxmlformats.org/officeDocument/2006/relationships/hyperlink" Target="https://uninorte.zoom.us/j/84793185207?pwd=Slo4dXprMFlmc1NwUFNDVERoWlUwdz09" TargetMode="External"/><Relationship Id="rId172" Type="http://schemas.openxmlformats.org/officeDocument/2006/relationships/hyperlink" Target="https://uninorte.zoom.us/j/85019447473?pwd=MUpTdkFmU0pJdXI3ZWtLbUZFQ0o3Zz09" TargetMode="External"/><Relationship Id="rId171" Type="http://schemas.openxmlformats.org/officeDocument/2006/relationships/hyperlink" Target="https://uninorte.zoom.us/j/85019447473?pwd=MUpTdkFmU0pJdXI3ZWtLbUZFQ0o3Zz09" TargetMode="External"/><Relationship Id="rId170" Type="http://schemas.openxmlformats.org/officeDocument/2006/relationships/hyperlink" Target="https://uninorte.zoom.us/j/85019447473?pwd=MUpTdkFmU0pJdXI3ZWtLbUZFQ0o3Zz09" TargetMode="External"/><Relationship Id="rId165" Type="http://schemas.openxmlformats.org/officeDocument/2006/relationships/hyperlink" Target="https://drive.google.com/open?id=1_C2YdgOvSSM1NmQvBy8t3FJvtzvQEiUN" TargetMode="External"/><Relationship Id="rId164" Type="http://schemas.openxmlformats.org/officeDocument/2006/relationships/hyperlink" Target="https://uninorte.zoom.us/j/85019447473?pwd=MUpTdkFmU0pJdXI3ZWtLbUZFQ0o3Zz09" TargetMode="External"/><Relationship Id="rId163" Type="http://schemas.openxmlformats.org/officeDocument/2006/relationships/hyperlink" Target="https://uninorte.zoom.us/j/89245450358?pwd=NFFINXhFMnJWZWh0NWhqblpKTzBHdz09" TargetMode="External"/><Relationship Id="rId162" Type="http://schemas.openxmlformats.org/officeDocument/2006/relationships/hyperlink" Target="https://www.instagram.com/ceimuninorte/" TargetMode="External"/><Relationship Id="rId169" Type="http://schemas.openxmlformats.org/officeDocument/2006/relationships/hyperlink" Target="https://uninorte.zoom.us/j/85019447473?pwd=MUpTdkFmU0pJdXI3ZWtLbUZFQ0o3Zz09" TargetMode="External"/><Relationship Id="rId168" Type="http://schemas.openxmlformats.org/officeDocument/2006/relationships/hyperlink" Target="https://uninorte.zoom.us/j/85019447473?pwd=MUpTdkFmU0pJdXI3ZWtLbUZFQ0o3Zz09" TargetMode="External"/><Relationship Id="rId167" Type="http://schemas.openxmlformats.org/officeDocument/2006/relationships/hyperlink" Target="https://drive.google.com/open?id=1TQFgEsVCVG8UEIiKNbi_H9VSKAFQnLul" TargetMode="External"/><Relationship Id="rId166" Type="http://schemas.openxmlformats.org/officeDocument/2006/relationships/hyperlink" Target="https://uninorte.zoom.us/j/86381470171" TargetMode="External"/><Relationship Id="rId161" Type="http://schemas.openxmlformats.org/officeDocument/2006/relationships/hyperlink" Target="https://instagram.com/ceriuninorte?utm_medium=copy_link" TargetMode="External"/><Relationship Id="rId160" Type="http://schemas.openxmlformats.org/officeDocument/2006/relationships/hyperlink" Target="https://meet.google.com/dcp-atbm-jzk" TargetMode="External"/><Relationship Id="rId159" Type="http://schemas.openxmlformats.org/officeDocument/2006/relationships/hyperlink" Target="https://www.uninorte.edu.co/web/ceimun/home?p_p_id=33&amp;p_p_lifecycle=0&amp;p_p_state=normal&amp;p_p_mode=view&amp;p_p_col_id=column-2&amp;p_p_col_pos=1&amp;p_p_col_count=2" TargetMode="External"/><Relationship Id="rId154" Type="http://schemas.openxmlformats.org/officeDocument/2006/relationships/hyperlink" Target="https://uninorte.zoom.us/j/89245450358?pwd=NFFINXhFMnJWZWh0NWhqblpKTzBHdz09" TargetMode="External"/><Relationship Id="rId396" Type="http://schemas.openxmlformats.org/officeDocument/2006/relationships/hyperlink" Target="https://uninorte.zoom.us/j/85019447473?pwd=MUpTdkFmU0pJdXI3ZWtLbUZFQ0o3Zz09" TargetMode="External"/><Relationship Id="rId153" Type="http://schemas.openxmlformats.org/officeDocument/2006/relationships/hyperlink" Target="http://meet.google.com/amb-vrhh-upo" TargetMode="External"/><Relationship Id="rId395" Type="http://schemas.openxmlformats.org/officeDocument/2006/relationships/hyperlink" Target="https://uninorte.zoom.us/j/3299010108" TargetMode="External"/><Relationship Id="rId152" Type="http://schemas.openxmlformats.org/officeDocument/2006/relationships/hyperlink" Target="https://uninorte.zoom.us/meeting/register/tZwocuyhqjMtEtGq6LX9j6olhUCZZi2Xn4-O" TargetMode="External"/><Relationship Id="rId394" Type="http://schemas.openxmlformats.org/officeDocument/2006/relationships/hyperlink" Target="https://uninorte.zoom.us/j/3299010108" TargetMode="External"/><Relationship Id="rId151" Type="http://schemas.openxmlformats.org/officeDocument/2006/relationships/hyperlink" Target="https://drive.google.com/open?id=11agaC4KyA_RofBTsU5f-aEAEVOVJcgPA" TargetMode="External"/><Relationship Id="rId393" Type="http://schemas.openxmlformats.org/officeDocument/2006/relationships/hyperlink" Target="https://uninorte.zoom.us/j/89245450358?pwd=NFFINXhFMnJWZWh0NWhqblpKTzBHdz09" TargetMode="External"/><Relationship Id="rId158" Type="http://schemas.openxmlformats.org/officeDocument/2006/relationships/hyperlink" Target="https://instagram.com/gazetadcpri?utm_medium=copy_link" TargetMode="External"/><Relationship Id="rId157" Type="http://schemas.openxmlformats.org/officeDocument/2006/relationships/hyperlink" Target="https://meet.google.com/amb-vrhh-upo" TargetMode="External"/><Relationship Id="rId399" Type="http://schemas.openxmlformats.org/officeDocument/2006/relationships/hyperlink" Target="https://uninorte.zoom.us/j/3299010108" TargetMode="External"/><Relationship Id="rId156" Type="http://schemas.openxmlformats.org/officeDocument/2006/relationships/hyperlink" Target="https://meet.google.com/dcp-atbm-jzk" TargetMode="External"/><Relationship Id="rId398" Type="http://schemas.openxmlformats.org/officeDocument/2006/relationships/hyperlink" Target="https://uninorte.zoom.us/j/3299010108" TargetMode="External"/><Relationship Id="rId155" Type="http://schemas.openxmlformats.org/officeDocument/2006/relationships/hyperlink" Target="https://uninorte.zoom.us/meeting/register/tZMrcemprzMtHdL6d0CNJpZAoRZwqCh2pWZZ" TargetMode="External"/><Relationship Id="rId397" Type="http://schemas.openxmlformats.org/officeDocument/2006/relationships/hyperlink" Target="https://uninorte.zoom.us/j/3299010108" TargetMode="External"/><Relationship Id="rId40" Type="http://schemas.openxmlformats.org/officeDocument/2006/relationships/hyperlink" Target="https://instagram.com/createcun?utm_medium=copy_link" TargetMode="External"/><Relationship Id="rId42" Type="http://schemas.openxmlformats.org/officeDocument/2006/relationships/hyperlink" Target="https://instagram.com/createcun?utm_medium=copy_link" TargetMode="External"/><Relationship Id="rId41" Type="http://schemas.openxmlformats.org/officeDocument/2006/relationships/hyperlink" Target="https://instagram.com/createcun?utm_medium=copy_link" TargetMode="External"/><Relationship Id="rId44" Type="http://schemas.openxmlformats.org/officeDocument/2006/relationships/hyperlink" Target="https://drive.google.com/open?id=19C52kS-CiFcXblNmyJHacnsJayFsfm4h" TargetMode="External"/><Relationship Id="rId43" Type="http://schemas.openxmlformats.org/officeDocument/2006/relationships/hyperlink" Target="https://instagram.com/createcun?utm_medium=copy_link" TargetMode="External"/><Relationship Id="rId46" Type="http://schemas.openxmlformats.org/officeDocument/2006/relationships/hyperlink" Target="https://meet.google.com/rme-cwjj-tkg" TargetMode="External"/><Relationship Id="rId45" Type="http://schemas.openxmlformats.org/officeDocument/2006/relationships/hyperlink" Target="https://uninorte.zoom.us/meeting/register/tZcodeqhrzMvHdKVG2nejE4RUtnlNUEXjPpq" TargetMode="External"/><Relationship Id="rId509" Type="http://schemas.openxmlformats.org/officeDocument/2006/relationships/hyperlink" Target="https://www.tiktok.com/@.feminun?_d=secCgwIARCbDRjEFSACKAESPgo875eWQEjq%2BHF3OjF3HeWrpCW1haSCWTbE%2ByFnXgYHiJRjcqEk6FgUw2Nfptv3HuXV2ZY%2FK7DuJGn82MaKGgA%3D&amp;language=es&amp;preview_pb=0&amp;sec_user_id=MS4wLjABAAAAAr2GgbbMImoMDNZixxxLWhLqZ7-FCOeuVIoLf3YBW4JFmbouo_bNFefh8MprOSZS&amp;share_app_id=1233&amp;share_item_id=7022311510064024838&amp;share_link_id=ca10581b-c3c1-4f0a-98b1-2901f6a09452&amp;source=h5_m&amp;timestamp=1635009313&amp;u_code=dea5m76iel3l88&amp;user_id=6869052874082649090&amp;utm_campaign=client_share&amp;utm_medium=android&amp;utm_source=copy&amp;_r=1" TargetMode="External"/><Relationship Id="rId508" Type="http://schemas.openxmlformats.org/officeDocument/2006/relationships/hyperlink" Target="https://uninorte.zoom.us/j/85019447473?pwd=MUpTdkFmU0pJdXI3ZWtLbUZFQ0o3Zz09" TargetMode="External"/><Relationship Id="rId503" Type="http://schemas.openxmlformats.org/officeDocument/2006/relationships/hyperlink" Target="https://drive.google.com/open?id=1I_jL332KsVVMwsSzKtXg5PG6SdrphRRU" TargetMode="External"/><Relationship Id="rId502" Type="http://schemas.openxmlformats.org/officeDocument/2006/relationships/hyperlink" Target="https://uninorte.zoom.us/j/84909245007?pwd=VGpFMnUwYnVTaURkSWRHUHdZVnd1QT09" TargetMode="External"/><Relationship Id="rId501" Type="http://schemas.openxmlformats.org/officeDocument/2006/relationships/hyperlink" Target="https://drive.google.com/open?id=1WT-BQWt73Rzvn-SXoDxlGTdZu6afVrQc" TargetMode="External"/><Relationship Id="rId500" Type="http://schemas.openxmlformats.org/officeDocument/2006/relationships/hyperlink" Target="https://uninorte.zoom.us/j/85019447473?pwd=MUpTdkFmU0pJdXI3ZWtLbUZFQ0o3Zz09" TargetMode="External"/><Relationship Id="rId507" Type="http://schemas.openxmlformats.org/officeDocument/2006/relationships/hyperlink" Target="https://drive.google.com/open?id=1W7M_6EJotPpaXBKLU20w11-dUaH-IBN7" TargetMode="External"/><Relationship Id="rId506" Type="http://schemas.openxmlformats.org/officeDocument/2006/relationships/hyperlink" Target="https://www.youtube.com/c/CEIMUninorte" TargetMode="External"/><Relationship Id="rId505" Type="http://schemas.openxmlformats.org/officeDocument/2006/relationships/hyperlink" Target="https://vm.tiktok.com/ZM8mdLhFf/" TargetMode="External"/><Relationship Id="rId504" Type="http://schemas.openxmlformats.org/officeDocument/2006/relationships/hyperlink" Target="https://uninorte.zoom.us/j/83981536836" TargetMode="External"/><Relationship Id="rId48" Type="http://schemas.openxmlformats.org/officeDocument/2006/relationships/hyperlink" Target="https://meet.google.com/rme-cwjj-tkg" TargetMode="External"/><Relationship Id="rId47" Type="http://schemas.openxmlformats.org/officeDocument/2006/relationships/hyperlink" Target="https://instagram.com/createcun?utm_medium=copy_link" TargetMode="External"/><Relationship Id="rId49" Type="http://schemas.openxmlformats.org/officeDocument/2006/relationships/hyperlink" Target="https://uninorte.zoom.us/j/86009595973" TargetMode="External"/><Relationship Id="rId31" Type="http://schemas.openxmlformats.org/officeDocument/2006/relationships/hyperlink" Target="https://meet.google.com/fum-tjmj-gme" TargetMode="External"/><Relationship Id="rId30" Type="http://schemas.openxmlformats.org/officeDocument/2006/relationships/hyperlink" Target="https://meet.google.com/fum-tjmj-gme" TargetMode="External"/><Relationship Id="rId33" Type="http://schemas.openxmlformats.org/officeDocument/2006/relationships/hyperlink" Target="https://uninorte.zoom.us/j/89993873299?pwd=ZEZyL3IxVFpGOGk3MWpSdnJrbzd6Zz09" TargetMode="External"/><Relationship Id="rId32" Type="http://schemas.openxmlformats.org/officeDocument/2006/relationships/hyperlink" Target="https://meet.google.com/udg-dhfo-bby" TargetMode="External"/><Relationship Id="rId35" Type="http://schemas.openxmlformats.org/officeDocument/2006/relationships/hyperlink" Target="https://drive.google.com/open?id=1CP7xWmCQBz8AwSiQ4raGaqb1omlGKHnI" TargetMode="External"/><Relationship Id="rId34" Type="http://schemas.openxmlformats.org/officeDocument/2006/relationships/hyperlink" Target="https://meet.google.com/amb-vrhh-upo" TargetMode="External"/><Relationship Id="rId37" Type="http://schemas.openxmlformats.org/officeDocument/2006/relationships/hyperlink" Target="https://instagram.com/createcun?utm_medium=copy_link" TargetMode="External"/><Relationship Id="rId36" Type="http://schemas.openxmlformats.org/officeDocument/2006/relationships/hyperlink" Target="https://uninorte.zoom.us/j/81210750493?pwd=cVNWR0NLMkg0TGZkZDBOMVZIdXVOUT09" TargetMode="External"/><Relationship Id="rId39" Type="http://schemas.openxmlformats.org/officeDocument/2006/relationships/hyperlink" Target="https://uninorte.zoom.us/j/89245450358?pwd=NFFINXhFMnJWZWh0NWhqblpKTzBHdz09" TargetMode="External"/><Relationship Id="rId38" Type="http://schemas.openxmlformats.org/officeDocument/2006/relationships/hyperlink" Target="https://uninorte.zoom.us/j/89245450358?pwd=NFFINXhFMnJWZWh0NWhqblpKTzBHdz09" TargetMode="External"/><Relationship Id="rId20" Type="http://schemas.openxmlformats.org/officeDocument/2006/relationships/hyperlink" Target="https://www.instagram.com/imig.uninorte/?hl=es" TargetMode="External"/><Relationship Id="rId22" Type="http://schemas.openxmlformats.org/officeDocument/2006/relationships/hyperlink" Target="https://meet.google.com/jiu-qxkg-zin" TargetMode="External"/><Relationship Id="rId21" Type="http://schemas.openxmlformats.org/officeDocument/2006/relationships/hyperlink" Target="https://meet.google.com/jxg-bppd-yfn" TargetMode="External"/><Relationship Id="rId24" Type="http://schemas.openxmlformats.org/officeDocument/2006/relationships/hyperlink" Target="https://meet.google.com/naq-fxwz-rwp" TargetMode="External"/><Relationship Id="rId23" Type="http://schemas.openxmlformats.org/officeDocument/2006/relationships/hyperlink" Target="https://meet.google.com/naq-fxwz-rwp" TargetMode="External"/><Relationship Id="rId525" Type="http://schemas.openxmlformats.org/officeDocument/2006/relationships/hyperlink" Target="https://www.instagram.com/p/CU-uQlKrAvU/?utm_medium=copy_link" TargetMode="External"/><Relationship Id="rId524" Type="http://schemas.openxmlformats.org/officeDocument/2006/relationships/hyperlink" Target="https://www.instagram.com/p/CTryVJoL2MU/?utm_medium=copy_link" TargetMode="External"/><Relationship Id="rId523" Type="http://schemas.openxmlformats.org/officeDocument/2006/relationships/hyperlink" Target="https://www.instagram.com/p/CTns7nbLe3e/?utm_medium=copy_link" TargetMode="External"/><Relationship Id="rId522" Type="http://schemas.openxmlformats.org/officeDocument/2006/relationships/hyperlink" Target="https://www.instagram.com/p/CTk9Xxerdvx/?utm_medium=copy_link" TargetMode="External"/><Relationship Id="rId529" Type="http://schemas.openxmlformats.org/officeDocument/2006/relationships/hyperlink" Target="https://uninorte.zoom.us/j/85852274137?pwd=ajFUU3FWcmprenYwOWZuOFpIak5qQT09" TargetMode="External"/><Relationship Id="rId528" Type="http://schemas.openxmlformats.org/officeDocument/2006/relationships/hyperlink" Target="https://drive.google.com/open?id=1NXBLFE44ksbTRQuZ18lEEH_hAtEUiekC" TargetMode="External"/><Relationship Id="rId527" Type="http://schemas.openxmlformats.org/officeDocument/2006/relationships/hyperlink" Target="https://www.instagram.com/p/CVTUjE1rfSM/?utm_medium=copy_link" TargetMode="External"/><Relationship Id="rId526" Type="http://schemas.openxmlformats.org/officeDocument/2006/relationships/hyperlink" Target="https://www.instagram.com/p/CVTQrt7rjhF/?utm_medium=copy_link" TargetMode="External"/><Relationship Id="rId26" Type="http://schemas.openxmlformats.org/officeDocument/2006/relationships/hyperlink" Target="https://meet.google.com/qkn-deue-xbb" TargetMode="External"/><Relationship Id="rId25" Type="http://schemas.openxmlformats.org/officeDocument/2006/relationships/hyperlink" Target="https://meet.google.com/wdw-vhdm-dms" TargetMode="External"/><Relationship Id="rId28" Type="http://schemas.openxmlformats.org/officeDocument/2006/relationships/hyperlink" Target="https://uninorte.zoom.us/j/89993873299?pwd=ZEZyL3IxVFpGOGk3MWpSdnJrbzd6Zz09" TargetMode="External"/><Relationship Id="rId27" Type="http://schemas.openxmlformats.org/officeDocument/2006/relationships/hyperlink" Target="https://meet.google.com/heh-sttk-uvo?hs=224" TargetMode="External"/><Relationship Id="rId521" Type="http://schemas.openxmlformats.org/officeDocument/2006/relationships/hyperlink" Target="https://www.instagram.com/p/CTiO9oUra6U/?utm_medium=copy_link" TargetMode="External"/><Relationship Id="rId29" Type="http://schemas.openxmlformats.org/officeDocument/2006/relationships/hyperlink" Target="https://meet.google.com/rme-cwjj-tkg" TargetMode="External"/><Relationship Id="rId520" Type="http://schemas.openxmlformats.org/officeDocument/2006/relationships/hyperlink" Target="https://www.instagram.com/p/CSFnt42LDpD/?utm_medium=copy_link" TargetMode="External"/><Relationship Id="rId11" Type="http://schemas.openxmlformats.org/officeDocument/2006/relationships/hyperlink" Target="https://instagram.com/cdiep_uninorte?utm_medium=copy_link" TargetMode="External"/><Relationship Id="rId10" Type="http://schemas.openxmlformats.org/officeDocument/2006/relationships/hyperlink" Target="https://meet.google.com/ibo-hkzb-qcq" TargetMode="External"/><Relationship Id="rId13" Type="http://schemas.openxmlformats.org/officeDocument/2006/relationships/hyperlink" Target="https://meet.google.com/dcp-atbm-jzk" TargetMode="External"/><Relationship Id="rId12" Type="http://schemas.openxmlformats.org/officeDocument/2006/relationships/hyperlink" Target="https://meet.google.com/gmq-qnsz-eyb" TargetMode="External"/><Relationship Id="rId519" Type="http://schemas.openxmlformats.org/officeDocument/2006/relationships/hyperlink" Target="https://www.instagram.com/p/CSFnMojrU-2/?utm_medium=copy_link" TargetMode="External"/><Relationship Id="rId514" Type="http://schemas.openxmlformats.org/officeDocument/2006/relationships/hyperlink" Target="https://www.instagram.com/cassuninorte/live/" TargetMode="External"/><Relationship Id="rId513" Type="http://schemas.openxmlformats.org/officeDocument/2006/relationships/hyperlink" Target="https://uninorte.zoom.us/meeting/register/tZwodeChrjgvHtZlBYsoqf61cHPIC_qPXdzf" TargetMode="External"/><Relationship Id="rId512" Type="http://schemas.openxmlformats.org/officeDocument/2006/relationships/hyperlink" Target="https://forms.gle/Cd3x5j9Hh5L7dd498" TargetMode="External"/><Relationship Id="rId511" Type="http://schemas.openxmlformats.org/officeDocument/2006/relationships/hyperlink" Target="https://docs.google.com/forms/d/1uNpxlMcv0eUqoEIBVfM2jweVwJOanNEjcTUOyjbGbgM/edit" TargetMode="External"/><Relationship Id="rId518" Type="http://schemas.openxmlformats.org/officeDocument/2006/relationships/hyperlink" Target="https://uninorte.zoom.us/j/88139257105?pwd=czhybnAzSzZ6UHRMcnZRL1ZmK0VSQT09" TargetMode="External"/><Relationship Id="rId517" Type="http://schemas.openxmlformats.org/officeDocument/2006/relationships/hyperlink" Target="https://forms.gle/QZNaHv4fM9V7L19Z7" TargetMode="External"/><Relationship Id="rId516" Type="http://schemas.openxmlformats.org/officeDocument/2006/relationships/hyperlink" Target="https://uninorte.zoom.us/j/83679020341?pwd=Q2UrcjdjR1VlYmcrWmNHZEVKNytjUT09" TargetMode="External"/><Relationship Id="rId515" Type="http://schemas.openxmlformats.org/officeDocument/2006/relationships/hyperlink" Target="https://uninorte.zoom.us/j/5073504232" TargetMode="External"/><Relationship Id="rId15" Type="http://schemas.openxmlformats.org/officeDocument/2006/relationships/hyperlink" Target="https://instagram.com/cdiep_uninorte?utm_medium=copy_link" TargetMode="External"/><Relationship Id="rId14" Type="http://schemas.openxmlformats.org/officeDocument/2006/relationships/hyperlink" Target="http://meet.google.com/amb-vrhh-upo" TargetMode="External"/><Relationship Id="rId17" Type="http://schemas.openxmlformats.org/officeDocument/2006/relationships/hyperlink" Target="https://uninorte.zoom.us/j/89245450358?pwd=NFFINXhFMnJWZWh0NWhqblpKTzBHdz09" TargetMode="External"/><Relationship Id="rId16" Type="http://schemas.openxmlformats.org/officeDocument/2006/relationships/hyperlink" Target="https://www.instagram.com/faunaticosun/" TargetMode="External"/><Relationship Id="rId19" Type="http://schemas.openxmlformats.org/officeDocument/2006/relationships/hyperlink" Target="https://meet.google.com/gmq-qnsz-eyb" TargetMode="External"/><Relationship Id="rId510" Type="http://schemas.openxmlformats.org/officeDocument/2006/relationships/hyperlink" Target="https://uninorte.zoom.us/j/85301516446?pwd=ZHRxWGs5TmVPZHJVV3pQTlV1SVpPdz09" TargetMode="External"/><Relationship Id="rId18" Type="http://schemas.openxmlformats.org/officeDocument/2006/relationships/hyperlink" Target="https://meet.google.com/dae-npwd-shq" TargetMode="External"/><Relationship Id="rId84" Type="http://schemas.openxmlformats.org/officeDocument/2006/relationships/hyperlink" Target="https://uninorte.zoom.us/j/87042277507?pwd=THhTTkNTdkpqOGxvQmsxR0lJTVMxQT09" TargetMode="External"/><Relationship Id="rId83" Type="http://schemas.openxmlformats.org/officeDocument/2006/relationships/hyperlink" Target="https://uninorte.zoom.us/j/85977463980?pwd=S1N0RlZkNnhtL0d4V0lKNkVLV3Zvdz09" TargetMode="External"/><Relationship Id="rId86" Type="http://schemas.openxmlformats.org/officeDocument/2006/relationships/hyperlink" Target="https://drive.google.com/open?id=1FyiamQ8qjYyvv1ZxoVdu9mZMiZAdkqvJ" TargetMode="External"/><Relationship Id="rId85" Type="http://schemas.openxmlformats.org/officeDocument/2006/relationships/hyperlink" Target="https://uninorte.zoom.us/j/86001023805?pwd=TG9TMTE3UEtYVE5rSWtmVEIwMmxqdz09" TargetMode="External"/><Relationship Id="rId88" Type="http://schemas.openxmlformats.org/officeDocument/2006/relationships/hyperlink" Target="https://uninorte.zoom.us/j/83126327038" TargetMode="External"/><Relationship Id="rId87" Type="http://schemas.openxmlformats.org/officeDocument/2006/relationships/hyperlink" Target="https://uninorte.zoom.us/meeting/register/tZwsc-CorD4iGdN4nVj5cZhW1NW8p3EGLnBb" TargetMode="External"/><Relationship Id="rId89" Type="http://schemas.openxmlformats.org/officeDocument/2006/relationships/hyperlink" Target="https://uninorte.zoom.us/j/89377111467?pwd=UFN1L1VhM1lzVGV5a3R2ZURvWHh1QT09" TargetMode="External"/><Relationship Id="rId80" Type="http://schemas.openxmlformats.org/officeDocument/2006/relationships/hyperlink" Target="https://uninorte.zoom.us/j/86001023805?pwd=TG9TMTE3UEtYVE5rSWtmVEIwMmxqdz09" TargetMode="External"/><Relationship Id="rId82" Type="http://schemas.openxmlformats.org/officeDocument/2006/relationships/hyperlink" Target="https://uninorte.zoom.us/j/85977463980?pwd=S1N0RlZkNnhtL0d4V0lKNkVLV3Zvdz09" TargetMode="External"/><Relationship Id="rId81" Type="http://schemas.openxmlformats.org/officeDocument/2006/relationships/hyperlink" Target="https://uninorte.zoom.us/j/85977463980?pwd=S1N0RlZkNnhtL0d4V0lKNkVLV3Zvdz09" TargetMode="External"/><Relationship Id="rId73" Type="http://schemas.openxmlformats.org/officeDocument/2006/relationships/hyperlink" Target="https://uninorte.zoom.us/j/88641769600?pwd=dlhZbEFKT210M3FlM0dzbDRaOWpPQT09" TargetMode="External"/><Relationship Id="rId72" Type="http://schemas.openxmlformats.org/officeDocument/2006/relationships/hyperlink" Target="https://uninorte.zoom.us/j/89236114942?pwd=N3YybW8rMmdlRG42MnNJbnBnMWxtdz09" TargetMode="External"/><Relationship Id="rId75" Type="http://schemas.openxmlformats.org/officeDocument/2006/relationships/hyperlink" Target="https://uninorte.zoom.us/j/89287561513?pwd=dmt1NTFsZXo5MGd6Zm9YN2FZeUg2UT09" TargetMode="External"/><Relationship Id="rId74" Type="http://schemas.openxmlformats.org/officeDocument/2006/relationships/hyperlink" Target="https://uninorte.zoom.us/j/82263538398?pwd=QzdSeStEcmVCMkNmN0xIUTdVbXkrUT09" TargetMode="External"/><Relationship Id="rId77" Type="http://schemas.openxmlformats.org/officeDocument/2006/relationships/hyperlink" Target="https://uninorte.zoom.us/j/85977463980?pwd=S1N0RlZkNnhtL0d4V0lKNkVLV3Zvdz09" TargetMode="External"/><Relationship Id="rId76" Type="http://schemas.openxmlformats.org/officeDocument/2006/relationships/hyperlink" Target="https://uninorte.zoom.us/j/89245450358?pwd=NFFINXhFMnJWZWh0NWhqblpKTzBHdz09" TargetMode="External"/><Relationship Id="rId79" Type="http://schemas.openxmlformats.org/officeDocument/2006/relationships/hyperlink" Target="https://uninorte.zoom.us/j/86583641764?pwd=RkwwOVovbC9ldUpBa3U1aUpBOXJEQT09" TargetMode="External"/><Relationship Id="rId78" Type="http://schemas.openxmlformats.org/officeDocument/2006/relationships/hyperlink" Target="https://drive.google.com/open?id=1gm6kUZZ9rKqnLGXXAshUoQ3flfyJlxiB" TargetMode="External"/><Relationship Id="rId71" Type="http://schemas.openxmlformats.org/officeDocument/2006/relationships/hyperlink" Target="https://uninorte.zoom.us/j/88091568135?pwd=cFNyQXlpb0FJN3hYMysya25RcnhXZz09" TargetMode="External"/><Relationship Id="rId70" Type="http://schemas.openxmlformats.org/officeDocument/2006/relationships/hyperlink" Target="https://uninorte.zoom.us/j/88966781949?pwd=MXNKbmtFcnJnY2paZW5GYU9qSWxZZz09" TargetMode="External"/><Relationship Id="rId62" Type="http://schemas.openxmlformats.org/officeDocument/2006/relationships/hyperlink" Target="https://youtu.be/mlSDYvD-MMs" TargetMode="External"/><Relationship Id="rId61" Type="http://schemas.openxmlformats.org/officeDocument/2006/relationships/hyperlink" Target="https://forms.gle/MgcFwzuLjLfNeTTUA" TargetMode="External"/><Relationship Id="rId64" Type="http://schemas.openxmlformats.org/officeDocument/2006/relationships/hyperlink" Target="https://uninorte.zoom.us/j/89223140275?pwd=TG1yV2hLN0o0T0lVc3RUYTVoY042Zz09" TargetMode="External"/><Relationship Id="rId63" Type="http://schemas.openxmlformats.org/officeDocument/2006/relationships/hyperlink" Target="https://youtu.be/Pu3kSsHqNhA" TargetMode="External"/><Relationship Id="rId66" Type="http://schemas.openxmlformats.org/officeDocument/2006/relationships/hyperlink" Target="https://uninorte.zoom.us/j/87429617029?pwd=Z3A0dDdWaWpDclNlc3I3emhkeHlnQT09" TargetMode="External"/><Relationship Id="rId65" Type="http://schemas.openxmlformats.org/officeDocument/2006/relationships/hyperlink" Target="https://uninorte.zoom.us/j/84678728037?pwd=Ly9yRldYbXlQV21oN005ajlMNkhSUT09" TargetMode="External"/><Relationship Id="rId68" Type="http://schemas.openxmlformats.org/officeDocument/2006/relationships/hyperlink" Target="https://uninorte.zoom.us/j/86583641764?pwd=RkwwOVovbC9ldUpBa3U1aUpBOXJEQT09" TargetMode="External"/><Relationship Id="rId67" Type="http://schemas.openxmlformats.org/officeDocument/2006/relationships/hyperlink" Target="https://drive.google.com/open?id=1of1Ucf_dLJM6niXZUtgPdD47sSp2f9L4" TargetMode="External"/><Relationship Id="rId60" Type="http://schemas.openxmlformats.org/officeDocument/2006/relationships/hyperlink" Target="https://forms.gle/iqsUxw5Xyfw6eSmU6" TargetMode="External"/><Relationship Id="rId69" Type="http://schemas.openxmlformats.org/officeDocument/2006/relationships/hyperlink" Target="https://meet.google.com/kxd-oovb-gsf" TargetMode="External"/><Relationship Id="rId51" Type="http://schemas.openxmlformats.org/officeDocument/2006/relationships/hyperlink" Target="https://drive.google.com/open?id=19Ecyl1VqosVM33V_Qqva_OHYLuVR7Gyn" TargetMode="External"/><Relationship Id="rId50" Type="http://schemas.openxmlformats.org/officeDocument/2006/relationships/hyperlink" Target="https://instagram.com/createcun?utm_medium=copy_link" TargetMode="External"/><Relationship Id="rId53" Type="http://schemas.openxmlformats.org/officeDocument/2006/relationships/hyperlink" Target="https://drive.google.com/open?id=157awfTj8-uoBkWDahJ8zlaEsbZL1EFrM" TargetMode="External"/><Relationship Id="rId52" Type="http://schemas.openxmlformats.org/officeDocument/2006/relationships/hyperlink" Target="https://uninorte.zoom.us/s/86332282851" TargetMode="External"/><Relationship Id="rId55" Type="http://schemas.openxmlformats.org/officeDocument/2006/relationships/hyperlink" Target="https://drive.google.com/open?id=1t6f2DbCm6sLzEekqRoku187ELxqOlGzX" TargetMode="External"/><Relationship Id="rId54" Type="http://schemas.openxmlformats.org/officeDocument/2006/relationships/hyperlink" Target="https://uninorte.zoom.us/j/84203803346" TargetMode="External"/><Relationship Id="rId57" Type="http://schemas.openxmlformats.org/officeDocument/2006/relationships/hyperlink" Target="https://drive.google.com/open?id=1NJWKHuzl3-RRChfVvpu7ZZjzGaDQyh5u" TargetMode="External"/><Relationship Id="rId56" Type="http://schemas.openxmlformats.org/officeDocument/2006/relationships/hyperlink" Target="https://uninorte.zoom.us/meeting/register/tZcufuqorzwpGtM7fjCjJ8o8XZtJn41LarS0" TargetMode="External"/><Relationship Id="rId59" Type="http://schemas.openxmlformats.org/officeDocument/2006/relationships/hyperlink" Target="https://meet.google.com/dcp-atbm-jzk" TargetMode="External"/><Relationship Id="rId58" Type="http://schemas.openxmlformats.org/officeDocument/2006/relationships/hyperlink" Target="https://uninorte.zoom.us/meeting/register/tZcufuqorzwpGtM7fjCjJ8o8XZtJn41LarS0" TargetMode="External"/><Relationship Id="rId590" Type="http://schemas.openxmlformats.org/officeDocument/2006/relationships/hyperlink" Target="https://uninorte.zoom.us/j/82465860169?pwd=OUhOQ1h4OExvWHBBOXJoZ1J1THQxZz09" TargetMode="External"/><Relationship Id="rId107" Type="http://schemas.openxmlformats.org/officeDocument/2006/relationships/hyperlink" Target="https://drive.google.com/open?id=1fUPOh78mN08IZyhG3Ns4dj1H006RAp-A" TargetMode="External"/><Relationship Id="rId349" Type="http://schemas.openxmlformats.org/officeDocument/2006/relationships/hyperlink" Target="https://us02web.zoom.us/j/89398945134?pwd=Z3ZMa25sckJSNnhkNEF0aW1MSjNxUT09" TargetMode="External"/><Relationship Id="rId106" Type="http://schemas.openxmlformats.org/officeDocument/2006/relationships/hyperlink" Target="https://uninorte.zoom.us/j/85977463980?pwd=S1N0RlZkNnhtL0d4V0lKNkVLV3Zvdz09" TargetMode="External"/><Relationship Id="rId348" Type="http://schemas.openxmlformats.org/officeDocument/2006/relationships/hyperlink" Target="https://drive.google.com/open?id=15YXrk-gBBxaMMEOHvsTgSfIE4H1cLmNC" TargetMode="External"/><Relationship Id="rId105" Type="http://schemas.openxmlformats.org/officeDocument/2006/relationships/hyperlink" Target="https://uninorte.zoom.us/j/87350621459" TargetMode="External"/><Relationship Id="rId347" Type="http://schemas.openxmlformats.org/officeDocument/2006/relationships/hyperlink" Target="https://uninorte.zoom.us/j/84793185207?pwd=Slo4dXprMFlmc1NwUFNDVERoWlUwdz09" TargetMode="External"/><Relationship Id="rId589" Type="http://schemas.openxmlformats.org/officeDocument/2006/relationships/hyperlink" Target="https://drive.google.com/open?id=1AjLr6BBzL23t0nf7-cMnRkY2fWtkEbJ3" TargetMode="External"/><Relationship Id="rId104" Type="http://schemas.openxmlformats.org/officeDocument/2006/relationships/hyperlink" Target="https://uninorte.zoom.us/j/87350621459" TargetMode="External"/><Relationship Id="rId346" Type="http://schemas.openxmlformats.org/officeDocument/2006/relationships/hyperlink" Target="https://meet.google.com/fum-tjmj-gme" TargetMode="External"/><Relationship Id="rId588" Type="http://schemas.openxmlformats.org/officeDocument/2006/relationships/hyperlink" Target="https://www.questionpro.com/t/AMIOdZoozP" TargetMode="External"/><Relationship Id="rId109" Type="http://schemas.openxmlformats.org/officeDocument/2006/relationships/hyperlink" Target="https://uninorte.zoom.us/j/84805215698?pwd=VWVpSk05Zk9ZT251RnZOQ0Jka09vdz09" TargetMode="External"/><Relationship Id="rId108" Type="http://schemas.openxmlformats.org/officeDocument/2006/relationships/hyperlink" Target="https://forms.gle/42A4Qpy4kkX5LZ948" TargetMode="External"/><Relationship Id="rId341" Type="http://schemas.openxmlformats.org/officeDocument/2006/relationships/hyperlink" Target="https://drive.google.com/open?id=1kI68RvtcLEANh25CZNAUwXdenI_7r4ko" TargetMode="External"/><Relationship Id="rId583" Type="http://schemas.openxmlformats.org/officeDocument/2006/relationships/hyperlink" Target="https://drive.google.com/open?id=1l5Yp3Q9TI9OZMj2_dzgGniDIvSDXpNRH" TargetMode="External"/><Relationship Id="rId340" Type="http://schemas.openxmlformats.org/officeDocument/2006/relationships/hyperlink" Target="https://drive.google.com/" TargetMode="External"/><Relationship Id="rId582" Type="http://schemas.openxmlformats.org/officeDocument/2006/relationships/hyperlink" Target="https://uninorte.zoom.us/meeting/register/tZIodu6qqTkoG9AVxgM5REGTdtc4neXcle5S" TargetMode="External"/><Relationship Id="rId581" Type="http://schemas.openxmlformats.org/officeDocument/2006/relationships/hyperlink" Target="https://drive.google.com/open?id=1U3Rjs7qxHNS_q8dCTM1NmpB6iheH4DLr" TargetMode="External"/><Relationship Id="rId580" Type="http://schemas.openxmlformats.org/officeDocument/2006/relationships/hyperlink" Target="https://uninorte.zoom.us/j/89993873299?pwd=ZEZyL3IxVFpGOGk3MWpSdnJrbzd6Zz09" TargetMode="External"/><Relationship Id="rId103" Type="http://schemas.openxmlformats.org/officeDocument/2006/relationships/hyperlink" Target="https://www.facebook.com/funsacof/?ref=page_internal" TargetMode="External"/><Relationship Id="rId345" Type="http://schemas.openxmlformats.org/officeDocument/2006/relationships/hyperlink" Target="https://drive.google.com/open?id=1odrDQqES04WWuPuZ_E79nAQm_28Jdyrh" TargetMode="External"/><Relationship Id="rId587" Type="http://schemas.openxmlformats.org/officeDocument/2006/relationships/hyperlink" Target="https://www.instagram.com/feminun/?hl=en" TargetMode="External"/><Relationship Id="rId102" Type="http://schemas.openxmlformats.org/officeDocument/2006/relationships/hyperlink" Target="https://drive.google.com/open?id=1ihIDaR2t2Sfb-A8wNnSyOWDVt7wDIiWJTHd8egQakcc" TargetMode="External"/><Relationship Id="rId344" Type="http://schemas.openxmlformats.org/officeDocument/2006/relationships/hyperlink" Target="https://uninorte.zoom.us/j/84110261960?pwd=SkIzaFJJT2huOFlxT0ZlcXVqWVhtUT09" TargetMode="External"/><Relationship Id="rId586" Type="http://schemas.openxmlformats.org/officeDocument/2006/relationships/hyperlink" Target="https://uninorte.zoom.us/meeting/register/tZIpcemprT0jGNJKHuID5XL8_D5IAf56450h" TargetMode="External"/><Relationship Id="rId101" Type="http://schemas.openxmlformats.org/officeDocument/2006/relationships/hyperlink" Target="https://uninorte.zoom.us/j/83258464622?pwd=SVAxNFNRQXF0YloxamR3dE5CUjY3Zz09" TargetMode="External"/><Relationship Id="rId343" Type="http://schemas.openxmlformats.org/officeDocument/2006/relationships/hyperlink" Target="https://uninorte.zoom.us/j/87389394029" TargetMode="External"/><Relationship Id="rId585" Type="http://schemas.openxmlformats.org/officeDocument/2006/relationships/hyperlink" Target="https://drive.google.com/open?id=1qENAzb6CEgH2PurMLhjEMSq8kOzmnWzD" TargetMode="External"/><Relationship Id="rId100" Type="http://schemas.openxmlformats.org/officeDocument/2006/relationships/hyperlink" Target="https://drive.google.com/open?id=1e2cCGWlrwWFU6L8rrsalrsllrvBYf5Fn" TargetMode="External"/><Relationship Id="rId342" Type="http://schemas.openxmlformats.org/officeDocument/2006/relationships/hyperlink" Target="https://forms.gle/jf6q4d7qiCsuA8WF8" TargetMode="External"/><Relationship Id="rId584" Type="http://schemas.openxmlformats.org/officeDocument/2006/relationships/hyperlink" Target="https://uninorte.zoom.us/meeting/register/tZUqc-qhqTguH9YbA42zwwJP6SN4gORRGQ1a" TargetMode="External"/><Relationship Id="rId338" Type="http://schemas.openxmlformats.org/officeDocument/2006/relationships/hyperlink" Target="https://drive.google.com/open?id=1XsMeORmALAwZmDIEL-NSEE2W4kR4Y_6F" TargetMode="External"/><Relationship Id="rId337" Type="http://schemas.openxmlformats.org/officeDocument/2006/relationships/hyperlink" Target="https://instagram.com/feminun?utm_medium=copy_link" TargetMode="External"/><Relationship Id="rId579" Type="http://schemas.openxmlformats.org/officeDocument/2006/relationships/hyperlink" Target="https://uninorte.zoom.us/j/85835986170?pwd=M3R6YnNJVzBNWTQrc20raldBMEJ6dz09" TargetMode="External"/><Relationship Id="rId336" Type="http://schemas.openxmlformats.org/officeDocument/2006/relationships/hyperlink" Target="https://www.uninorte.edu.co/web/ceimun/home?p_p_id=33&amp;p_p_lifecycle=0&amp;p_p_state=normal&amp;p_p_mode=view&amp;p_p_col_id=column-2&amp;p_p_col_pos=1&amp;p_p_col_count=2" TargetMode="External"/><Relationship Id="rId578" Type="http://schemas.openxmlformats.org/officeDocument/2006/relationships/hyperlink" Target="https://meet.google.com/amb-vrhh-upo" TargetMode="External"/><Relationship Id="rId335" Type="http://schemas.openxmlformats.org/officeDocument/2006/relationships/hyperlink" Target="https://www.uninorte.edu.co/web/bie-univ/estudiantesopinan" TargetMode="External"/><Relationship Id="rId577" Type="http://schemas.openxmlformats.org/officeDocument/2006/relationships/hyperlink" Target="http://meet.google.com/qpz-bsev-drh" TargetMode="External"/><Relationship Id="rId339" Type="http://schemas.openxmlformats.org/officeDocument/2006/relationships/hyperlink" Target="https://uninorte.zoom.us/j/88324042568?pwd=TDV6OUtUQ3VzYmlWU0VscGRRTlJBZz09" TargetMode="External"/><Relationship Id="rId330" Type="http://schemas.openxmlformats.org/officeDocument/2006/relationships/hyperlink" Target="https://uninorte.zoom.us/j/88677357889?pwd=WkhxMWVxaTg2R2tIT1BvQnl2TG9Sdz09" TargetMode="External"/><Relationship Id="rId572" Type="http://schemas.openxmlformats.org/officeDocument/2006/relationships/hyperlink" Target="https://uninorte.zoom.us/j/83574007755" TargetMode="External"/><Relationship Id="rId571" Type="http://schemas.openxmlformats.org/officeDocument/2006/relationships/hyperlink" Target="http://meet.google.com/ymm-syga-cve" TargetMode="External"/><Relationship Id="rId570" Type="http://schemas.openxmlformats.org/officeDocument/2006/relationships/hyperlink" Target="https://uninorte.zoom.us/j/81955188229" TargetMode="External"/><Relationship Id="rId334" Type="http://schemas.openxmlformats.org/officeDocument/2006/relationships/hyperlink" Target="https://www.instagram.com/aneicuninorte/?hl=es" TargetMode="External"/><Relationship Id="rId576" Type="http://schemas.openxmlformats.org/officeDocument/2006/relationships/hyperlink" Target="https://drive.google.com/open?id=1epJEIU20EEjCX4AA8OABgvRAL5vq-8na" TargetMode="External"/><Relationship Id="rId333" Type="http://schemas.openxmlformats.org/officeDocument/2006/relationships/hyperlink" Target="https://uninorte.zoom.us/j/88953361316?pwd=N29qRnp2VTJoTzg4WmlpeVAzMFZNQT09" TargetMode="External"/><Relationship Id="rId575" Type="http://schemas.openxmlformats.org/officeDocument/2006/relationships/hyperlink" Target="https://uninorte.zoom.us/j/86389006433?pwd=ZzNwaTRqZ2YzK3pmM2dSWUlTbXJwUT09" TargetMode="External"/><Relationship Id="rId332" Type="http://schemas.openxmlformats.org/officeDocument/2006/relationships/hyperlink" Target="https://meet.google.com/ogp-xdbq-nio" TargetMode="External"/><Relationship Id="rId574" Type="http://schemas.openxmlformats.org/officeDocument/2006/relationships/hyperlink" Target="https://uninorte.zoom.us/j/84141916645" TargetMode="External"/><Relationship Id="rId331" Type="http://schemas.openxmlformats.org/officeDocument/2006/relationships/hyperlink" Target="https://uninorte.zoom.us/j/87514490161?pwd=Q20vaWVWUmlxMzVSTVF3eTdIYTdJZz09" TargetMode="External"/><Relationship Id="rId573" Type="http://schemas.openxmlformats.org/officeDocument/2006/relationships/hyperlink" Target="https://uninorte.zoom.us/j/88988796582" TargetMode="External"/><Relationship Id="rId370" Type="http://schemas.openxmlformats.org/officeDocument/2006/relationships/hyperlink" Target="https://drive.google.com/open?id=1PXeDWWgNVPs3MmPBQy9n_vhWczuuYR6v" TargetMode="External"/><Relationship Id="rId129" Type="http://schemas.openxmlformats.org/officeDocument/2006/relationships/hyperlink" Target="https://uninorte.zoom.us/j/84743469065?pwd=U2Ntay9FVlBXbGdMcis3ZENsOFMwQT09" TargetMode="External"/><Relationship Id="rId128" Type="http://schemas.openxmlformats.org/officeDocument/2006/relationships/hyperlink" Target="https://drive.google.com/open?id=11z96eiEL0xUDtwOFsHl5AV7vQ-dtu52s" TargetMode="External"/><Relationship Id="rId127" Type="http://schemas.openxmlformats.org/officeDocument/2006/relationships/hyperlink" Target="https://uninorte.zoom.us/j/89245450358?pwd=NFFINXhFMnJWZWh0NWhqblpKTzBHdz09" TargetMode="External"/><Relationship Id="rId369" Type="http://schemas.openxmlformats.org/officeDocument/2006/relationships/hyperlink" Target="https://meet.google.com/gnc-pmbr-cui" TargetMode="External"/><Relationship Id="rId126" Type="http://schemas.openxmlformats.org/officeDocument/2006/relationships/hyperlink" Target="https://uninorte.zoom.us/j/87042277507?pwd=THhTTkNTdkpqOGxvQmsxR0lJTVMxQT09" TargetMode="External"/><Relationship Id="rId368" Type="http://schemas.openxmlformats.org/officeDocument/2006/relationships/hyperlink" Target="https://uninorte.zoom.us/j/89844134767" TargetMode="External"/><Relationship Id="rId121" Type="http://schemas.openxmlformats.org/officeDocument/2006/relationships/hyperlink" Target="https://meet.google.com/zrb-wjiu-yjq" TargetMode="External"/><Relationship Id="rId363" Type="http://schemas.openxmlformats.org/officeDocument/2006/relationships/hyperlink" Target="https://uninorte.zoom.us/j/83738086962?pwd=YXNYSW45Y2VWbXRBUGdscW5EVTFGQT09" TargetMode="External"/><Relationship Id="rId120" Type="http://schemas.openxmlformats.org/officeDocument/2006/relationships/hyperlink" Target="https://meet.google.com/sge-gvub-ahi" TargetMode="External"/><Relationship Id="rId362" Type="http://schemas.openxmlformats.org/officeDocument/2006/relationships/hyperlink" Target="https://drive.google.com/open?id=1I_8tFS_dkYlh6t-81POZ4pC4kz104aFH" TargetMode="External"/><Relationship Id="rId361" Type="http://schemas.openxmlformats.org/officeDocument/2006/relationships/hyperlink" Target="https://uninorte.zoom.us/j/85019447473?pwd=MUpTdkFmU0pJdXI3ZWtLbUZFQ0o3Zz09" TargetMode="External"/><Relationship Id="rId360" Type="http://schemas.openxmlformats.org/officeDocument/2006/relationships/hyperlink" Target="https://uninorte.zoom.us/j/85019447473?pwd=MUpTdkFmU0pJdXI3ZWtLbUZFQ0o3Zz09" TargetMode="External"/><Relationship Id="rId125" Type="http://schemas.openxmlformats.org/officeDocument/2006/relationships/hyperlink" Target="https://uninorte.zoom.us/j/87042277507?pwd=THhTTkNTdkpqOGxvQmsxR0lJTVMxQT09" TargetMode="External"/><Relationship Id="rId367" Type="http://schemas.openxmlformats.org/officeDocument/2006/relationships/hyperlink" Target="https://uninorte.zoom.us/j/86379951255" TargetMode="External"/><Relationship Id="rId124" Type="http://schemas.openxmlformats.org/officeDocument/2006/relationships/hyperlink" Target="https://uninorte.zoom.us/j/89359682967?pwd=YXp2ZXQxR3NSSXFDTS9vbnRWL0FTQT09" TargetMode="External"/><Relationship Id="rId366" Type="http://schemas.openxmlformats.org/officeDocument/2006/relationships/hyperlink" Target="https://drive.google.com/open?id=1QcJnB5UkIBHmQInoDesk5vSv0zCK616q" TargetMode="External"/><Relationship Id="rId123" Type="http://schemas.openxmlformats.org/officeDocument/2006/relationships/hyperlink" Target="https://uninorte.zoom.us/j/84254858150?pwd=UEtHNEY2WEVWcSsyNHFDaU9DNFhaUT09" TargetMode="External"/><Relationship Id="rId365" Type="http://schemas.openxmlformats.org/officeDocument/2006/relationships/hyperlink" Target="https://uninorte.zoom.us/meeting/register/tZUrduCgqTMiE9Tm5jMdaRsns39o7OeX5oz6" TargetMode="External"/><Relationship Id="rId122" Type="http://schemas.openxmlformats.org/officeDocument/2006/relationships/hyperlink" Target="https://uninorte.zoom.us/j/85019447473?pwd=MUpTdkFmU0pJdXI3ZWtLbUZFQ0o3Zz09" TargetMode="External"/><Relationship Id="rId364" Type="http://schemas.openxmlformats.org/officeDocument/2006/relationships/hyperlink" Target="https://drive.google.com/open?id=1MLeuBgvY3TP9eEumgTambbaIGJdwACVo" TargetMode="External"/><Relationship Id="rId95" Type="http://schemas.openxmlformats.org/officeDocument/2006/relationships/hyperlink" Target="https://uninorte.zoom.us/meeting/register/tZwsc-CorD4iGdN4nVj5cZhW1NW8p3EGLnBb" TargetMode="External"/><Relationship Id="rId94" Type="http://schemas.openxmlformats.org/officeDocument/2006/relationships/hyperlink" Target="https://drive.google.com/open?id=1rPEOWi43l5zrAuobK0m0plXmjxNiDVpm" TargetMode="External"/><Relationship Id="rId97" Type="http://schemas.openxmlformats.org/officeDocument/2006/relationships/hyperlink" Target="https://uninorte.zoom.us/meeting/register/tZAqdemvqzguH9ZWB7CJRJvLgjNG2wX1wh-X" TargetMode="External"/><Relationship Id="rId96" Type="http://schemas.openxmlformats.org/officeDocument/2006/relationships/hyperlink" Target="https://drive.google.com/open?id=1xKmWvQosZk1ekJwkH4GByC4sj544tBHa" TargetMode="External"/><Relationship Id="rId99" Type="http://schemas.openxmlformats.org/officeDocument/2006/relationships/hyperlink" Target="https://uninorte.zoom.us/j/83258464622?pwd=SVAxNFNRQXF0YloxamR3dE5CUjY3Zz09" TargetMode="External"/><Relationship Id="rId98" Type="http://schemas.openxmlformats.org/officeDocument/2006/relationships/hyperlink" Target="https://drive.google.com/open?id=1sJM8TChiopC0-3uGl8rri9JsMa7DvmeT" TargetMode="External"/><Relationship Id="rId91" Type="http://schemas.openxmlformats.org/officeDocument/2006/relationships/hyperlink" Target="https://instagram.com/imig.uninorte?utm_medium=copy_link" TargetMode="External"/><Relationship Id="rId90" Type="http://schemas.openxmlformats.org/officeDocument/2006/relationships/hyperlink" Target="https://instagram.com/imig.uninorte?utm_medium=copy_link" TargetMode="External"/><Relationship Id="rId93" Type="http://schemas.openxmlformats.org/officeDocument/2006/relationships/hyperlink" Target="https://uninorte.zoom.us/j/84805215698?pwd=VWVpSk05Zk9ZT251RnZOQ0Jka09vdz09" TargetMode="External"/><Relationship Id="rId92" Type="http://schemas.openxmlformats.org/officeDocument/2006/relationships/hyperlink" Target="https://uninorte.zoom.us/j/86706162285?pwd=WDdSYVdCaXJncDdOY1g4aGl1RDRkQT09" TargetMode="External"/><Relationship Id="rId118" Type="http://schemas.openxmlformats.org/officeDocument/2006/relationships/hyperlink" Target="https://uninorte.zoom.us/j/3487890298" TargetMode="External"/><Relationship Id="rId117" Type="http://schemas.openxmlformats.org/officeDocument/2006/relationships/hyperlink" Target="http://meet.google.com/amb-vrhh-upo" TargetMode="External"/><Relationship Id="rId359" Type="http://schemas.openxmlformats.org/officeDocument/2006/relationships/hyperlink" Target="https://www.youtube.com/channel/UCQT8Zbojep2eyF2cauTDZ8g" TargetMode="External"/><Relationship Id="rId116" Type="http://schemas.openxmlformats.org/officeDocument/2006/relationships/hyperlink" Target="https://uninorte.zoom.us/j/81643463755" TargetMode="External"/><Relationship Id="rId358" Type="http://schemas.openxmlformats.org/officeDocument/2006/relationships/hyperlink" Target="https://www.instagram.com/createcun/" TargetMode="External"/><Relationship Id="rId115" Type="http://schemas.openxmlformats.org/officeDocument/2006/relationships/hyperlink" Target="https://uninorte.zoom.us/j/84727092196?pwd=SnQ0b2RybGVPQVpabU5JNkJrdTRRdz09" TargetMode="External"/><Relationship Id="rId357" Type="http://schemas.openxmlformats.org/officeDocument/2006/relationships/hyperlink" Target="https://uninorte.zoom.us/j/85641672017?pwd=aUt1WWxyb1ZYUVB6N1BxUmNmaTZiQT09" TargetMode="External"/><Relationship Id="rId599" Type="http://schemas.openxmlformats.org/officeDocument/2006/relationships/hyperlink" Target="https://drive.google.com/open?id=1G2uX0KI7r1hGDjQUzuAM9A8FIKD8at-u" TargetMode="External"/><Relationship Id="rId119" Type="http://schemas.openxmlformats.org/officeDocument/2006/relationships/hyperlink" Target="https://meet.google.com/pnu-upjm-aik" TargetMode="External"/><Relationship Id="rId110" Type="http://schemas.openxmlformats.org/officeDocument/2006/relationships/hyperlink" Target="https://uninorte.zoom.us/j/83197576067?pwd=TmpxRkt2bkVMUTBlT1hReU1oNUhHdz09" TargetMode="External"/><Relationship Id="rId352" Type="http://schemas.openxmlformats.org/officeDocument/2006/relationships/hyperlink" Target="https://uninorte.zoom.us/j/82019266530" TargetMode="External"/><Relationship Id="rId594" Type="http://schemas.openxmlformats.org/officeDocument/2006/relationships/hyperlink" Target="https://www.redintercol.net/index.php/blog-y-publicaciones/blog.html?start=10" TargetMode="External"/><Relationship Id="rId351" Type="http://schemas.openxmlformats.org/officeDocument/2006/relationships/hyperlink" Target="https://uninorte.zoom.us/j/8729670906" TargetMode="External"/><Relationship Id="rId593" Type="http://schemas.openxmlformats.org/officeDocument/2006/relationships/hyperlink" Target="https://instagram.com/ceriuninorte?utm_medium=copy_link" TargetMode="External"/><Relationship Id="rId350" Type="http://schemas.openxmlformats.org/officeDocument/2006/relationships/hyperlink" Target="https://uninorte.zoom.us/j/86844685052?pwd=eExnckVDNWxJQWx1TGFTY2lxemxyUT09" TargetMode="External"/><Relationship Id="rId592" Type="http://schemas.openxmlformats.org/officeDocument/2006/relationships/hyperlink" Target="https://www.instagram.com/feminun/?hl=en" TargetMode="External"/><Relationship Id="rId591" Type="http://schemas.openxmlformats.org/officeDocument/2006/relationships/hyperlink" Target="http://uninorte.zoom.us/88988796582" TargetMode="External"/><Relationship Id="rId114" Type="http://schemas.openxmlformats.org/officeDocument/2006/relationships/hyperlink" Target="https://drive.google.com/open?id=1wR7P-mIkoZnvkhvgpKUXCRmbPYJc_UC9" TargetMode="External"/><Relationship Id="rId356" Type="http://schemas.openxmlformats.org/officeDocument/2006/relationships/hyperlink" Target="https://instagram.com/feminun?utm_medium=copy_link" TargetMode="External"/><Relationship Id="rId598" Type="http://schemas.openxmlformats.org/officeDocument/2006/relationships/hyperlink" Target="https://uninorte.zoom.us/j/87110850093?pwd=MkhjbktmTGVpcWtTQ09ZL2RzdzZHQT09" TargetMode="External"/><Relationship Id="rId113" Type="http://schemas.openxmlformats.org/officeDocument/2006/relationships/hyperlink" Target="https://teams.microsoft.com/l/meetup-join/19%3a839e3518540d4adaa4416eeec628781c%40thread.tacv2/1629323031261?context=%7b%22Tid%22%3a%226a12a5be-97ff-43e5-b5b5-7ccb1e88fd4e%22%2c%22Oid%22%3a%22cfadbda1-97ae-4573-841c-ae7196e56c39%22%7d" TargetMode="External"/><Relationship Id="rId355" Type="http://schemas.openxmlformats.org/officeDocument/2006/relationships/hyperlink" Target="https://instagram.com/feminun?utm_medium=copy_link" TargetMode="External"/><Relationship Id="rId597" Type="http://schemas.openxmlformats.org/officeDocument/2006/relationships/hyperlink" Target="https://drive.google.com/open?id=1YLUOW0Q80GgqXFYIgtTfJe7dcZwjbaki" TargetMode="External"/><Relationship Id="rId112" Type="http://schemas.openxmlformats.org/officeDocument/2006/relationships/hyperlink" Target="https://instagram.com/cdiep_uninorte?utm_medium=copy_link" TargetMode="External"/><Relationship Id="rId354" Type="http://schemas.openxmlformats.org/officeDocument/2006/relationships/hyperlink" Target="https://uninorte.zoom.us/j/82692901246?pwd=ZG85M1dNbUlHcUR2OW9vL2ZNenB4UT09" TargetMode="External"/><Relationship Id="rId596" Type="http://schemas.openxmlformats.org/officeDocument/2006/relationships/hyperlink" Target="https://uninorte.zoom.us/j/84869067405?pwd=N21paC8rbUV5U0Q2WEpYaXpZVEdUUT09" TargetMode="External"/><Relationship Id="rId111" Type="http://schemas.openxmlformats.org/officeDocument/2006/relationships/hyperlink" Target="https://uninorte.zoom.us/j/89993873299?pwd=ZEZyL3IxVFpGOGk3MWpSdnJrbzd6Zz09" TargetMode="External"/><Relationship Id="rId353" Type="http://schemas.openxmlformats.org/officeDocument/2006/relationships/hyperlink" Target="https://drive.google.com/open?id=1ld9MX5EnKjDdx-oGsO9SqdeG3C6hn9de" TargetMode="External"/><Relationship Id="rId595" Type="http://schemas.openxmlformats.org/officeDocument/2006/relationships/hyperlink" Target="https://drive.google.com/open?id=1fSK2CfoVWPXQVlBq9u7tIBQchU5ioOLj" TargetMode="External"/><Relationship Id="rId305" Type="http://schemas.openxmlformats.org/officeDocument/2006/relationships/hyperlink" Target="https://uninorte.zoom.us/j/84428113809?pwd=WWswOFlENUMrYUdGUGR6QzFxOVBPUT09" TargetMode="External"/><Relationship Id="rId547" Type="http://schemas.openxmlformats.org/officeDocument/2006/relationships/hyperlink" Target="https://uninorte.zoom.us/j/82673365707?pwd=aUdwOHR1eDQ2OFRaZWg5SW9hVTk3UT09" TargetMode="External"/><Relationship Id="rId304" Type="http://schemas.openxmlformats.org/officeDocument/2006/relationships/hyperlink" Target="https://uninorte.zoom.us/j/83570240548" TargetMode="External"/><Relationship Id="rId546" Type="http://schemas.openxmlformats.org/officeDocument/2006/relationships/hyperlink" Target="https://uninorte.zoom.us/j/88413516932?pwd=aXErTHg3azVXb0VNN2FweEhnTU1nZz09" TargetMode="External"/><Relationship Id="rId303" Type="http://schemas.openxmlformats.org/officeDocument/2006/relationships/hyperlink" Target="https://uninorte.zoom.us/meeting/register/tZAlcOuvrzspG9wS9gYrGij3PEHoVyopG5Fa" TargetMode="External"/><Relationship Id="rId545" Type="http://schemas.openxmlformats.org/officeDocument/2006/relationships/hyperlink" Target="https://meet.google.com/dcp-atbm-jzk" TargetMode="External"/><Relationship Id="rId302" Type="http://schemas.openxmlformats.org/officeDocument/2006/relationships/hyperlink" Target="https://uninorte.zoom.us/j/84359955219" TargetMode="External"/><Relationship Id="rId544" Type="http://schemas.openxmlformats.org/officeDocument/2006/relationships/hyperlink" Target="https://uninorte.zoom.us/meeting/register/tZwvd-yorjsuG9JyNf0uai6_w4a_IfjCX4ih" TargetMode="External"/><Relationship Id="rId309" Type="http://schemas.openxmlformats.org/officeDocument/2006/relationships/hyperlink" Target="https://docs.google.com/forms/d/e/1FAIpQLScAlBJnU_cxqlo3TnKutupvJ177vpfbpCgw4lY4tpb2GeJMwQ/viewform?usp=pp_url" TargetMode="External"/><Relationship Id="rId308" Type="http://schemas.openxmlformats.org/officeDocument/2006/relationships/hyperlink" Target="https://drive.google.com/open?id=1r6BXckVMKm3kU2qOBOcZYw-nW-392jLN" TargetMode="External"/><Relationship Id="rId307" Type="http://schemas.openxmlformats.org/officeDocument/2006/relationships/hyperlink" Target="https://uninorte.zoom.us/j/85019447473?pwd=MUpTdkFmU0pJdXI3ZWtLbUZFQ0o3Zz09" TargetMode="External"/><Relationship Id="rId549" Type="http://schemas.openxmlformats.org/officeDocument/2006/relationships/hyperlink" Target="https://uninorte.zoom.us/j/81835370233?pwd=THBJVWNWRDliR2R0RWNjdVVBRENQZz09" TargetMode="External"/><Relationship Id="rId306" Type="http://schemas.openxmlformats.org/officeDocument/2006/relationships/hyperlink" Target="http://meet.google.com/amb-vrhh-upo" TargetMode="External"/><Relationship Id="rId548" Type="http://schemas.openxmlformats.org/officeDocument/2006/relationships/hyperlink" Target="https://www.uninorte.edu.co/web/ceimun/home?p_p_id=33&amp;p_p_lifecycle=0&amp;p_p_state=normal&amp;p_p_mode=view&amp;p_p_col_id=column-2&amp;p_p_col_pos=1&amp;p_p_col_count=2" TargetMode="External"/><Relationship Id="rId301" Type="http://schemas.openxmlformats.org/officeDocument/2006/relationships/hyperlink" Target="https://cdiep7.wixsite.com/misitio" TargetMode="External"/><Relationship Id="rId543" Type="http://schemas.openxmlformats.org/officeDocument/2006/relationships/hyperlink" Target="https://drive.google.com/open?id=1I7ASQ19wjh2NvxY5cRz47c4el1A529DX" TargetMode="External"/><Relationship Id="rId300" Type="http://schemas.openxmlformats.org/officeDocument/2006/relationships/hyperlink" Target="https://drive.google.com/open?id=1LESUs2c4Gp8Q8nIh75UEZszqxHnLB-JY" TargetMode="External"/><Relationship Id="rId542" Type="http://schemas.openxmlformats.org/officeDocument/2006/relationships/hyperlink" Target="https://uninorte.zoom.us/meeting/register/tZUqfuyvpz0qHtxlj_X8nQe_52WLwPTrje85" TargetMode="External"/><Relationship Id="rId541" Type="http://schemas.openxmlformats.org/officeDocument/2006/relationships/hyperlink" Target="https://drive.google.com/open?id=1DgXujGF06bm9TMh8kcGi7cy1dIOaQkkW" TargetMode="External"/><Relationship Id="rId540" Type="http://schemas.openxmlformats.org/officeDocument/2006/relationships/hyperlink" Target="https://meet.google.com/tks-drzw-qhd" TargetMode="External"/><Relationship Id="rId536" Type="http://schemas.openxmlformats.org/officeDocument/2006/relationships/hyperlink" Target="https://meet.google.com/rkb-gjwy-rqc" TargetMode="External"/><Relationship Id="rId535" Type="http://schemas.openxmlformats.org/officeDocument/2006/relationships/hyperlink" Target="https://uninorte.zoom.us/j/88934513321?pwd=U25RdFh6eDNkdmhCT1FnYVdPWkpnQT09" TargetMode="External"/><Relationship Id="rId534" Type="http://schemas.openxmlformats.org/officeDocument/2006/relationships/hyperlink" Target="https://uninorte.zoom.us/j/88547334221" TargetMode="External"/><Relationship Id="rId533" Type="http://schemas.openxmlformats.org/officeDocument/2006/relationships/hyperlink" Target="https://uninorte.zoom.us/meeting/register/tZYsde6qrTotGtPM86tCQzNbjc0p_3lB71y_" TargetMode="External"/><Relationship Id="rId539" Type="http://schemas.openxmlformats.org/officeDocument/2006/relationships/hyperlink" Target="https://drive.google.com/open?id=1W79qXMFcvKWSgEloAlHHVw1Wo_hy1ufQ" TargetMode="External"/><Relationship Id="rId538" Type="http://schemas.openxmlformats.org/officeDocument/2006/relationships/hyperlink" Target="https://uninorte.zoom.us/j/83266115788?pwd=U1JmZTA4NXNnTHRnOGhmZkExeVdvUT09" TargetMode="External"/><Relationship Id="rId537" Type="http://schemas.openxmlformats.org/officeDocument/2006/relationships/hyperlink" Target="https://drive.google.com/open?id=1zxacZPH8hJHT5nQCK15iCtQmxEY9XuCF" TargetMode="External"/><Relationship Id="rId532" Type="http://schemas.openxmlformats.org/officeDocument/2006/relationships/hyperlink" Target="https://uninorte.zoom.us/j/83124299154?pwd=U1JKc1ZLdm10ME40QUhlL0wxSS9uZz09" TargetMode="External"/><Relationship Id="rId531" Type="http://schemas.openxmlformats.org/officeDocument/2006/relationships/hyperlink" Target="https://uninorte.zoom.us/j/89744822440?pwd=Qi9JeHhTeGhxVUh0Mm9ST2VUQndNZz09" TargetMode="External"/><Relationship Id="rId530" Type="http://schemas.openxmlformats.org/officeDocument/2006/relationships/hyperlink" Target="https://uninorte.zoom.us/j/89744822440?pwd=Qi9JeHhTeGhxVUh0Mm9ST2VUQndNZz09" TargetMode="External"/><Relationship Id="rId327" Type="http://schemas.openxmlformats.org/officeDocument/2006/relationships/hyperlink" Target="https://drive.google.com/open?id=1GoTccboZwMlvmO9mhPrLzIChkVveQWFZLCjjlUn5M9c" TargetMode="External"/><Relationship Id="rId569" Type="http://schemas.openxmlformats.org/officeDocument/2006/relationships/hyperlink" Target="https://meet.google.com/fpg-hzdi-eqp" TargetMode="External"/><Relationship Id="rId326" Type="http://schemas.openxmlformats.org/officeDocument/2006/relationships/hyperlink" Target="http://instagram.com/pcuninorte" TargetMode="External"/><Relationship Id="rId568" Type="http://schemas.openxmlformats.org/officeDocument/2006/relationships/hyperlink" Target="https://uninorte.zoom.us/j/85019447473?pwd=MUpTdkFmU0pJdXI3ZWtLbUZFQ0o3Zz09" TargetMode="External"/><Relationship Id="rId325" Type="http://schemas.openxmlformats.org/officeDocument/2006/relationships/hyperlink" Target="https://forms.gle/k54nLKBSnQTiJcA2A" TargetMode="External"/><Relationship Id="rId567" Type="http://schemas.openxmlformats.org/officeDocument/2006/relationships/hyperlink" Target="https://uninorte.zoom.us/j/85019447473?pwd=MUpTdkFmU0pJdXI3ZWtLbUZFQ0o3Zz09" TargetMode="External"/><Relationship Id="rId324" Type="http://schemas.openxmlformats.org/officeDocument/2006/relationships/hyperlink" Target="https://meet.google.com/fum-tjmj-gme" TargetMode="External"/><Relationship Id="rId566" Type="http://schemas.openxmlformats.org/officeDocument/2006/relationships/hyperlink" Target="https://uninorte.zoom.us/j/85019447473?pwd=MUpTdkFmU0pJdXI3ZWtLbUZFQ0o3Zz09" TargetMode="External"/><Relationship Id="rId329" Type="http://schemas.openxmlformats.org/officeDocument/2006/relationships/hyperlink" Target="https://meet.google.com/sna-bhww-uds" TargetMode="External"/><Relationship Id="rId328" Type="http://schemas.openxmlformats.org/officeDocument/2006/relationships/hyperlink" Target="https://uninorte.zoom.us/j/83627087305?pwd=OG1QQ3hrRWY3eHpRV3N4VHBvSFl0Zz09" TargetMode="External"/><Relationship Id="rId561" Type="http://schemas.openxmlformats.org/officeDocument/2006/relationships/hyperlink" Target="https://meet.google.com/vvn-xyxh-mkt" TargetMode="External"/><Relationship Id="rId560" Type="http://schemas.openxmlformats.org/officeDocument/2006/relationships/hyperlink" Target="https://uninorte.zoom.us/j/89155207128?pwd=bXJnaDdQMVFReXhXYXkyeFhpY1pGQT09" TargetMode="External"/><Relationship Id="rId323" Type="http://schemas.openxmlformats.org/officeDocument/2006/relationships/hyperlink" Target="https://meet.google.com/sna-bhww-uds" TargetMode="External"/><Relationship Id="rId565" Type="http://schemas.openxmlformats.org/officeDocument/2006/relationships/hyperlink" Target="https://uninorte.zoom.us/j/85019447473?pwd=MUpTdkFmU0pJdXI3ZWtLbUZFQ0o3Zz09" TargetMode="External"/><Relationship Id="rId322" Type="http://schemas.openxmlformats.org/officeDocument/2006/relationships/hyperlink" Target="https://uninorte.zoom.us/j/86086766356" TargetMode="External"/><Relationship Id="rId564" Type="http://schemas.openxmlformats.org/officeDocument/2006/relationships/hyperlink" Target="https://uninorte.zoom.us/j/85019447473?pwd=MUpTdkFmU0pJdXI3ZWtLbUZFQ0o3Zz09" TargetMode="External"/><Relationship Id="rId321" Type="http://schemas.openxmlformats.org/officeDocument/2006/relationships/hyperlink" Target="https://drive.google.com/open?id=1IJ1QrZK7KM6jozRLwRQj6OVMwwNEjo9k" TargetMode="External"/><Relationship Id="rId563" Type="http://schemas.openxmlformats.org/officeDocument/2006/relationships/hyperlink" Target="https://www.instagram.com/feminun/?hl=en" TargetMode="External"/><Relationship Id="rId320" Type="http://schemas.openxmlformats.org/officeDocument/2006/relationships/hyperlink" Target="https://www.instagram.com/createcun/" TargetMode="External"/><Relationship Id="rId562" Type="http://schemas.openxmlformats.org/officeDocument/2006/relationships/hyperlink" Target="https://uninorte.zoom.us/j/85019447473?pwd=MUpTdkFmU0pJdXI3ZWtLbUZFQ0o3Zz09" TargetMode="External"/><Relationship Id="rId316" Type="http://schemas.openxmlformats.org/officeDocument/2006/relationships/hyperlink" Target="https://uninorte.zoom.us/j/88413516932?pwd=aXErTHg3azVXb0VNN2FweEhnTU1nZz09" TargetMode="External"/><Relationship Id="rId558" Type="http://schemas.openxmlformats.org/officeDocument/2006/relationships/hyperlink" Target="https://uninorte.zoom.us/j/89671714026?pwd=QW5XMGRMZm14eGpFdGFQRGw2eStnUT09" TargetMode="External"/><Relationship Id="rId315" Type="http://schemas.openxmlformats.org/officeDocument/2006/relationships/hyperlink" Target="https://meet.google.com/xpc-znif-fha" TargetMode="External"/><Relationship Id="rId557" Type="http://schemas.openxmlformats.org/officeDocument/2006/relationships/hyperlink" Target="https://drive.google.com/open?id=11KNmKUAkaSSIFNy1ZYT3xL4rtGIZZK5uWySIJMctfJY" TargetMode="External"/><Relationship Id="rId314" Type="http://schemas.openxmlformats.org/officeDocument/2006/relationships/hyperlink" Target="https://www.instagram.com/wstemunbq/" TargetMode="External"/><Relationship Id="rId556" Type="http://schemas.openxmlformats.org/officeDocument/2006/relationships/hyperlink" Target="https://drive.google.com/open?id=10rJ_pWqXccUJKwHatwao0xvGsIW3G8Lc" TargetMode="External"/><Relationship Id="rId313" Type="http://schemas.openxmlformats.org/officeDocument/2006/relationships/hyperlink" Target="https://uninorte.zoom.us/j/87389394029" TargetMode="External"/><Relationship Id="rId555" Type="http://schemas.openxmlformats.org/officeDocument/2006/relationships/hyperlink" Target="https://www.instagram.com/feminun/?hl=en" TargetMode="External"/><Relationship Id="rId319" Type="http://schemas.openxmlformats.org/officeDocument/2006/relationships/hyperlink" Target="https://www.youtube.com/c/CEIMUninorte" TargetMode="External"/><Relationship Id="rId318" Type="http://schemas.openxmlformats.org/officeDocument/2006/relationships/hyperlink" Target="http://meet.google.com/aop-most-qkx" TargetMode="External"/><Relationship Id="rId317" Type="http://schemas.openxmlformats.org/officeDocument/2006/relationships/hyperlink" Target="https://drive.google.com/open?id=19PyTWYI6eTwTNu7lUwbKO-4_cP0vGmOU" TargetMode="External"/><Relationship Id="rId559" Type="http://schemas.openxmlformats.org/officeDocument/2006/relationships/hyperlink" Target="https://drive.google.com/open?id=1-rmZaOOyNdjAzfGl7Poolrj8KqwLRPx5ojAora-tGZs" TargetMode="External"/><Relationship Id="rId550" Type="http://schemas.openxmlformats.org/officeDocument/2006/relationships/hyperlink" Target="https://uninorte.zoom.us/j/82129940875?pwd=SnhnZUhic2ZSQWQyK2N5dHNXVDBRUT09" TargetMode="External"/><Relationship Id="rId312" Type="http://schemas.openxmlformats.org/officeDocument/2006/relationships/hyperlink" Target="https://uninorte.zoom.us/j/82005684288" TargetMode="External"/><Relationship Id="rId554" Type="http://schemas.openxmlformats.org/officeDocument/2006/relationships/hyperlink" Target="http://meet.google.com/fum-tjmj-gme" TargetMode="External"/><Relationship Id="rId311" Type="http://schemas.openxmlformats.org/officeDocument/2006/relationships/hyperlink" Target="https://drive.google.com/open?id=1g-bSXEVQ3LfSzF8j8OP4SJj_OnrYps0V" TargetMode="External"/><Relationship Id="rId553" Type="http://schemas.openxmlformats.org/officeDocument/2006/relationships/hyperlink" Target="https://uninorte.zoom.us/j/89631517885?pwd=Szlmbk9XclRwSnVuVUI4bVpvMllSZz09" TargetMode="External"/><Relationship Id="rId310" Type="http://schemas.openxmlformats.org/officeDocument/2006/relationships/hyperlink" Target="https://uninorte.zoom.us/j/85010118462?pwd=YkpraEErQm95TW91enJRcXJMb0dIUT09" TargetMode="External"/><Relationship Id="rId552" Type="http://schemas.openxmlformats.org/officeDocument/2006/relationships/hyperlink" Target="https://meet.google.com/jev-nqmy-qaf" TargetMode="External"/><Relationship Id="rId551" Type="http://schemas.openxmlformats.org/officeDocument/2006/relationships/hyperlink" Target="https://uninorte.zoom.us/j/87002186016?pwd=S1Q2OWVDUG9RV0Y3eUJlUks2aFNEZz09" TargetMode="External"/><Relationship Id="rId297" Type="http://schemas.openxmlformats.org/officeDocument/2006/relationships/hyperlink" Target="https://uninorte.zoom.us/j/87902052185?pwd=MUpvdkhkZGVXd0IyQXF1Q0dFbDhqQT09" TargetMode="External"/><Relationship Id="rId296" Type="http://schemas.openxmlformats.org/officeDocument/2006/relationships/hyperlink" Target="https://drive.google.com/open?id=1w49F4W4wTBkP6l2SzJMljkpUpvA4niVH" TargetMode="External"/><Relationship Id="rId295" Type="http://schemas.openxmlformats.org/officeDocument/2006/relationships/hyperlink" Target="https://drive.google.com/open?id=106YP0HCtWs4-HKJaiYzjWRbJMkjLkLat" TargetMode="External"/><Relationship Id="rId294" Type="http://schemas.openxmlformats.org/officeDocument/2006/relationships/hyperlink" Target="https://drive.google.com/open?id=1-TuxQJbOxEtYLRWWY9UW5XQk_rZeWD1a" TargetMode="External"/><Relationship Id="rId299" Type="http://schemas.openxmlformats.org/officeDocument/2006/relationships/hyperlink" Target="https://meet.google.com/rvd-noxh-xrd" TargetMode="External"/><Relationship Id="rId298" Type="http://schemas.openxmlformats.org/officeDocument/2006/relationships/hyperlink" Target="https://meet.google.com/qaw-vsvv-aqe" TargetMode="External"/><Relationship Id="rId271" Type="http://schemas.openxmlformats.org/officeDocument/2006/relationships/hyperlink" Target="https://www.google.com/url?q=https://uninorte.zoom.us/j/89612787258?pwd%3Db29neG1hS2IxOWg3QTVzVkM0akpvZz09&amp;sa=D&amp;source=calendar&amp;ust=1631475962705881&amp;usg=AOvVaw2DHsBCbvdRS8Dqf5ffqRbL" TargetMode="External"/><Relationship Id="rId270" Type="http://schemas.openxmlformats.org/officeDocument/2006/relationships/hyperlink" Target="https://meet.google.com/ota-fnbg-chf" TargetMode="External"/><Relationship Id="rId269" Type="http://schemas.openxmlformats.org/officeDocument/2006/relationships/hyperlink" Target="https://meet.google.com/drb-xmpi-fhm" TargetMode="External"/><Relationship Id="rId264" Type="http://schemas.openxmlformats.org/officeDocument/2006/relationships/hyperlink" Target="https://uninorte.zoom.us/j/83534808161" TargetMode="External"/><Relationship Id="rId263" Type="http://schemas.openxmlformats.org/officeDocument/2006/relationships/hyperlink" Target="https://uninorte.zoom.us/j/88618078835" TargetMode="External"/><Relationship Id="rId262" Type="http://schemas.openxmlformats.org/officeDocument/2006/relationships/hyperlink" Target="https://drive.google.com/open?id=1ENk0cREy4RnzYphLzJa9H1Xb_kvLqInC" TargetMode="External"/><Relationship Id="rId261" Type="http://schemas.openxmlformats.org/officeDocument/2006/relationships/hyperlink" Target="https://meet.google.com/ikw-jmie-bre" TargetMode="External"/><Relationship Id="rId268" Type="http://schemas.openxmlformats.org/officeDocument/2006/relationships/hyperlink" Target="https://meet.google.com/qyq-osss-dqe" TargetMode="External"/><Relationship Id="rId267" Type="http://schemas.openxmlformats.org/officeDocument/2006/relationships/hyperlink" Target="https://instagram.com/createcun?utm_medium=copy_link" TargetMode="External"/><Relationship Id="rId266" Type="http://schemas.openxmlformats.org/officeDocument/2006/relationships/hyperlink" Target="https://mail.google.com/" TargetMode="External"/><Relationship Id="rId265" Type="http://schemas.openxmlformats.org/officeDocument/2006/relationships/hyperlink" Target="https://mail.google.com/" TargetMode="External"/><Relationship Id="rId260" Type="http://schemas.openxmlformats.org/officeDocument/2006/relationships/hyperlink" Target="https://uninorte.zoom.us/j/89289868003?pwd=SGZUdkRXWks2Q2Z6bnhCNEVZcGV6QT09" TargetMode="External"/><Relationship Id="rId259" Type="http://schemas.openxmlformats.org/officeDocument/2006/relationships/hyperlink" Target="https://drive.google.com/open?id=1tEOfKXaVBJlcRSyhiv7HY33GydXCV10r" TargetMode="External"/><Relationship Id="rId258" Type="http://schemas.openxmlformats.org/officeDocument/2006/relationships/hyperlink" Target="https://uninorte.zoom.us/j/85019447473?pwd=MUpTdkFmU0pJdXI3ZWtLbUZFQ0o3Zz09" TargetMode="External"/><Relationship Id="rId253" Type="http://schemas.openxmlformats.org/officeDocument/2006/relationships/hyperlink" Target="https://meet.google.com/dcp-atbm-jzk" TargetMode="External"/><Relationship Id="rId495" Type="http://schemas.openxmlformats.org/officeDocument/2006/relationships/hyperlink" Target="https://drive.google.com/open?id=1xXZkt3p05-njqAq1KswK1cTDAYcgZazk" TargetMode="External"/><Relationship Id="rId252" Type="http://schemas.openxmlformats.org/officeDocument/2006/relationships/hyperlink" Target="https://uninorte.zoom.us/j/89993873299?pwd=ZEZyL3IxVFpGOGk3MWpSdnJrbzd6Zz09" TargetMode="External"/><Relationship Id="rId494" Type="http://schemas.openxmlformats.org/officeDocument/2006/relationships/hyperlink" Target="https://www.instagram.com/unortediverso/?hl=es-la" TargetMode="External"/><Relationship Id="rId251" Type="http://schemas.openxmlformats.org/officeDocument/2006/relationships/hyperlink" Target="https://uninorte.zoom.us/j/84793185207?pwd=Slo4dXprMFlmc1NwUFNDVERoWlUwdz09" TargetMode="External"/><Relationship Id="rId493" Type="http://schemas.openxmlformats.org/officeDocument/2006/relationships/hyperlink" Target="https://www.instagram.com/unortediverso/?hl=es-la" TargetMode="External"/><Relationship Id="rId250" Type="http://schemas.openxmlformats.org/officeDocument/2006/relationships/hyperlink" Target="https://uninorte.zoom.us/j/85019447473?pwd=MUpTdkFmU0pJdXI3ZWtLbUZFQ0o3Zz09" TargetMode="External"/><Relationship Id="rId492" Type="http://schemas.openxmlformats.org/officeDocument/2006/relationships/hyperlink" Target="https://www.instagram.com/unortediverso/?hl=es-la" TargetMode="External"/><Relationship Id="rId257" Type="http://schemas.openxmlformats.org/officeDocument/2006/relationships/hyperlink" Target="https://uninorte.zoom.us/meeting/register/tZAude6rrjsrGdGvIsjjQ9_9W77ZJChWb-1p" TargetMode="External"/><Relationship Id="rId499" Type="http://schemas.openxmlformats.org/officeDocument/2006/relationships/hyperlink" Target="https://www.youtube.com/channel/UCc1LRz956ycFXYJ0JGkUzkw" TargetMode="External"/><Relationship Id="rId256" Type="http://schemas.openxmlformats.org/officeDocument/2006/relationships/hyperlink" Target="https://uninorte.zoom.us/j/8729670906" TargetMode="External"/><Relationship Id="rId498" Type="http://schemas.openxmlformats.org/officeDocument/2006/relationships/hyperlink" Target="https://meet.google.com/gjq-fxjk-hom" TargetMode="External"/><Relationship Id="rId255" Type="http://schemas.openxmlformats.org/officeDocument/2006/relationships/hyperlink" Target="https://uninorte.zoom.us/j/3299010108" TargetMode="External"/><Relationship Id="rId497" Type="http://schemas.openxmlformats.org/officeDocument/2006/relationships/hyperlink" Target="https://www.instagram.com/feminun/?hl=en" TargetMode="External"/><Relationship Id="rId254" Type="http://schemas.openxmlformats.org/officeDocument/2006/relationships/hyperlink" Target="https://uninorte.zoom.us/j/89993873299?pwd=ZEZyL3IxVFpGOGk3MWpSdnJrbzd6Zz09" TargetMode="External"/><Relationship Id="rId496" Type="http://schemas.openxmlformats.org/officeDocument/2006/relationships/hyperlink" Target="https://instagram.com/cdiep_uninorte?utm_medium=copy_link" TargetMode="External"/><Relationship Id="rId293" Type="http://schemas.openxmlformats.org/officeDocument/2006/relationships/hyperlink" Target="https://uninorte.zoom.us/j/81804014025?pwd=MVpXNUZDbXhLWE4ycEtrK2F0Q0Q0Zz09" TargetMode="External"/><Relationship Id="rId292" Type="http://schemas.openxmlformats.org/officeDocument/2006/relationships/hyperlink" Target="https://www.instagram.com/p/CTpbDuIrRTp/?utm_source=ig_web_copy_link" TargetMode="External"/><Relationship Id="rId291" Type="http://schemas.openxmlformats.org/officeDocument/2006/relationships/hyperlink" Target="https://uninorte.zoom.us/j/87002186016?pwd=S1Q2OWVDUG9RV0Y3eUJlUks2aFNEZz09" TargetMode="External"/><Relationship Id="rId290" Type="http://schemas.openxmlformats.org/officeDocument/2006/relationships/hyperlink" Target="https://uninorte.zoom.us/j/8729670906" TargetMode="External"/><Relationship Id="rId286" Type="http://schemas.openxmlformats.org/officeDocument/2006/relationships/hyperlink" Target="https://drive.google.com/open?id=1jFuQCD8YN81xcFvfto4ZMOG6wZ0_B2AC" TargetMode="External"/><Relationship Id="rId285" Type="http://schemas.openxmlformats.org/officeDocument/2006/relationships/hyperlink" Target="https://uninorte.zoom.us/j/84792638070" TargetMode="External"/><Relationship Id="rId284" Type="http://schemas.openxmlformats.org/officeDocument/2006/relationships/hyperlink" Target="https://uninorte.zoom.us/j/84793185207?pwd=Slo4dXprMFlmc1NwUFNDVERoWlUwdz09" TargetMode="External"/><Relationship Id="rId283" Type="http://schemas.openxmlformats.org/officeDocument/2006/relationships/hyperlink" Target="https://www.instagram.com/p/CT2uNdtJeUr/" TargetMode="External"/><Relationship Id="rId289" Type="http://schemas.openxmlformats.org/officeDocument/2006/relationships/hyperlink" Target="https://www.uninorte.edu.co/web/ceimun/home?p_p_id=33&amp;p_p_lifecycle=0&amp;p_p_state=normal&amp;p_p_mode=view&amp;p_p_col_id=column-2&amp;p_p_col_pos=1&amp;p_p_col_count=2" TargetMode="External"/><Relationship Id="rId288" Type="http://schemas.openxmlformats.org/officeDocument/2006/relationships/hyperlink" Target="https://uninorte.zoom.us/j/89844134767" TargetMode="External"/><Relationship Id="rId287" Type="http://schemas.openxmlformats.org/officeDocument/2006/relationships/hyperlink" Target="https://uninorte.zoom.us/j/85019447473?pwd=MUpTdkFmU0pJdXI3ZWtLbUZFQ0o3Zz09" TargetMode="External"/><Relationship Id="rId282" Type="http://schemas.openxmlformats.org/officeDocument/2006/relationships/hyperlink" Target="https://meet.google.com/dcp-atbm-jzk" TargetMode="External"/><Relationship Id="rId281" Type="http://schemas.openxmlformats.org/officeDocument/2006/relationships/hyperlink" Target="https://youtu.be/5YAtIW7wEmc" TargetMode="External"/><Relationship Id="rId280" Type="http://schemas.openxmlformats.org/officeDocument/2006/relationships/hyperlink" Target="https://uninorte.zoom.us/j/84302642392" TargetMode="External"/><Relationship Id="rId275" Type="http://schemas.openxmlformats.org/officeDocument/2006/relationships/hyperlink" Target="https://uninorte.zoom.us/j/84302642392" TargetMode="External"/><Relationship Id="rId274" Type="http://schemas.openxmlformats.org/officeDocument/2006/relationships/hyperlink" Target="https://www.google.com/url?q=https://uninorte.zoom.us/j/86934305615?pwd%3DMzBNaFE5dzJmY3M5K2xiMG1abXVQdz09&amp;sa=D&amp;source=calendar&amp;ust=1631592709937842&amp;usg=AOvVaw0K7ml99zbprFHVU15yFHb9" TargetMode="External"/><Relationship Id="rId273" Type="http://schemas.openxmlformats.org/officeDocument/2006/relationships/hyperlink" Target="https://uninorte.zoom.us/j/83402054011?pwd=cWNhYkorQUFJVGdPZ0pKODVtYU43UT09" TargetMode="External"/><Relationship Id="rId272" Type="http://schemas.openxmlformats.org/officeDocument/2006/relationships/hyperlink" Target="https://drive.google.com/open?id=1xdJSQi1JXz2jDiCnnMmToSa4vkQcyyZa" TargetMode="External"/><Relationship Id="rId279" Type="http://schemas.openxmlformats.org/officeDocument/2006/relationships/hyperlink" Target="https://www.google.com/url?q=https://uninorte.zoom.us/j/88562529893?pwd%3Da3VMblZBTXV2ZCsvSTV1WURtUm11Zz09&amp;sa=D&amp;source=calendar&amp;ust=1631592708273168&amp;usg=AOvVaw1saoWBawSPz9vwzdxtpn7T" TargetMode="External"/><Relationship Id="rId278" Type="http://schemas.openxmlformats.org/officeDocument/2006/relationships/hyperlink" Target="https://meet.google.com/kya-fwwt-sjy" TargetMode="External"/><Relationship Id="rId277" Type="http://schemas.openxmlformats.org/officeDocument/2006/relationships/hyperlink" Target="https://uninorte.zoom.us/j/89562962503?pwd=QjYzMld1UGd2TWNWQmZlSDU5VGZ6UT09" TargetMode="External"/><Relationship Id="rId276" Type="http://schemas.openxmlformats.org/officeDocument/2006/relationships/hyperlink" Target="https://uninorte.zoom.us/j/84302642392" TargetMode="External"/><Relationship Id="rId629" Type="http://schemas.openxmlformats.org/officeDocument/2006/relationships/hyperlink" Target="https://drive.google.com/open?id=1y-8losAti8rcas81qYT2nk1bO1_iuMWr" TargetMode="External"/><Relationship Id="rId624" Type="http://schemas.openxmlformats.org/officeDocument/2006/relationships/hyperlink" Target="https://uninorte.zoom.us/meeting/register/tZIod-Ctrz0rGtWOey5cm9oOsiMl1-OcuEs3" TargetMode="External"/><Relationship Id="rId623" Type="http://schemas.openxmlformats.org/officeDocument/2006/relationships/hyperlink" Target="https://drive.google.com/open?id=19mgG7u3ghnY1MbZtJtqYulbL8FF1bd-D" TargetMode="External"/><Relationship Id="rId622" Type="http://schemas.openxmlformats.org/officeDocument/2006/relationships/hyperlink" Target="https://uninorte.zoom.us/meeting/register/tZctf-iprDkoHNW79AtiVUn2OlRE07_Lb34U" TargetMode="External"/><Relationship Id="rId621" Type="http://schemas.openxmlformats.org/officeDocument/2006/relationships/hyperlink" Target="https://drive.google.com/open?id=1wa-gWZwkPeBtAk14VFOgyAtf_1BAnCLB" TargetMode="External"/><Relationship Id="rId628" Type="http://schemas.openxmlformats.org/officeDocument/2006/relationships/hyperlink" Target="https://instagram.com/cdiep_uninorte?utm_medium=copy_link" TargetMode="External"/><Relationship Id="rId627" Type="http://schemas.openxmlformats.org/officeDocument/2006/relationships/hyperlink" Target="https://uninorte.zoom.us/meeting/register/tZMpfuqhrT4jE9OlXGhLm4Ja8YqOJ4Nam7F3" TargetMode="External"/><Relationship Id="rId626" Type="http://schemas.openxmlformats.org/officeDocument/2006/relationships/hyperlink" Target="https://drive.google.com/open?id=1GwRQkNUZKA5CXKgTMhJZlwyIUrqIxiY5" TargetMode="External"/><Relationship Id="rId625" Type="http://schemas.openxmlformats.org/officeDocument/2006/relationships/hyperlink" Target="https://meet.google.com/dcp-atbm-jzk" TargetMode="External"/><Relationship Id="rId620" Type="http://schemas.openxmlformats.org/officeDocument/2006/relationships/hyperlink" Target="https://uninorte.zoom.us/meeting/register/tZIod-mspjMtHNADl6IF0rRv-WPzg80M7X4q" TargetMode="External"/><Relationship Id="rId619" Type="http://schemas.openxmlformats.org/officeDocument/2006/relationships/hyperlink" Target="https://drive.google.com/open?id=1kIViCWI1FVIPtn8iyTZYoVoyvSSzgG6b" TargetMode="External"/><Relationship Id="rId618" Type="http://schemas.openxmlformats.org/officeDocument/2006/relationships/hyperlink" Target="https://www.instagram.com/ceimuninorte/" TargetMode="External"/><Relationship Id="rId613" Type="http://schemas.openxmlformats.org/officeDocument/2006/relationships/hyperlink" Target="https://uninorte.zoom.us/j/85019447473?pwd=MUpTdkFmU0pJdXI3ZWtLbUZFQ0o3Zz09" TargetMode="External"/><Relationship Id="rId612" Type="http://schemas.openxmlformats.org/officeDocument/2006/relationships/hyperlink" Target="https://uninorte.zoom.us/j/85019447473?pwd=MUpTdkFmU0pJdXI3ZWtLbUZFQ0o3Zz09" TargetMode="External"/><Relationship Id="rId611" Type="http://schemas.openxmlformats.org/officeDocument/2006/relationships/hyperlink" Target="https://uninorte.zoom.us/j/85019447473?pwd=MUpTdkFmU0pJdXI3ZWtLbUZFQ0o3Zz09" TargetMode="External"/><Relationship Id="rId610" Type="http://schemas.openxmlformats.org/officeDocument/2006/relationships/hyperlink" Target="https://drive.google.com/open?id=19uJdfzzHYcfNwidRcY9gaAUuHvr69Cbq" TargetMode="External"/><Relationship Id="rId617" Type="http://schemas.openxmlformats.org/officeDocument/2006/relationships/hyperlink" Target="https://uninorte.zoom.us/j/87110850093?pwd=MkhjbktmTGVpcWtTQ09ZL2RzdzZHQT09" TargetMode="External"/><Relationship Id="rId616" Type="http://schemas.openxmlformats.org/officeDocument/2006/relationships/hyperlink" Target="https://drive.google.com/open?id=1a6AYTILgvZbgc-DUZSiuze8Mz3Fzf-bP" TargetMode="External"/><Relationship Id="rId615" Type="http://schemas.openxmlformats.org/officeDocument/2006/relationships/hyperlink" Target="https://www.instagram.com/feminun/?hl=en" TargetMode="External"/><Relationship Id="rId614" Type="http://schemas.openxmlformats.org/officeDocument/2006/relationships/hyperlink" Target="https://uninorte.zoom.us/j/85019447473?pwd=MUpTdkFmU0pJdXI3ZWtLbUZFQ0o3Zz09" TargetMode="External"/><Relationship Id="rId409" Type="http://schemas.openxmlformats.org/officeDocument/2006/relationships/hyperlink" Target="https://uninorte.zoom.us/j/3299010108" TargetMode="External"/><Relationship Id="rId404" Type="http://schemas.openxmlformats.org/officeDocument/2006/relationships/hyperlink" Target="https://uninorte.zoom.us/j/3299010108" TargetMode="External"/><Relationship Id="rId646" Type="http://schemas.openxmlformats.org/officeDocument/2006/relationships/hyperlink" Target="https://drive.google.com/open?id=1xOH6ibbyN9OVsbGPRfk2a5TRBSbj3TLj" TargetMode="External"/><Relationship Id="rId403" Type="http://schemas.openxmlformats.org/officeDocument/2006/relationships/hyperlink" Target="https://uninorte.zoom.us/j/3299010108" TargetMode="External"/><Relationship Id="rId645" Type="http://schemas.openxmlformats.org/officeDocument/2006/relationships/hyperlink" Target="https://uninorte.zoom.us/j/83299828401?pwd=UmV0OGZweWNJN25sU2NhVjZaK0x3UT09" TargetMode="External"/><Relationship Id="rId402" Type="http://schemas.openxmlformats.org/officeDocument/2006/relationships/hyperlink" Target="https://uninorte.zoom.us/j/87971942585?pwd=Y2xXbGxyN05uY1BPZUREMG8xaWI5Zz09" TargetMode="External"/><Relationship Id="rId644" Type="http://schemas.openxmlformats.org/officeDocument/2006/relationships/hyperlink" Target="https://drive.google.com/open?id=1KWHLP2StK1otRKOGGGRvT--ZXZHGqFkb" TargetMode="External"/><Relationship Id="rId401" Type="http://schemas.openxmlformats.org/officeDocument/2006/relationships/hyperlink" Target="https://uninorte.zoom.us/j/3299010108" TargetMode="External"/><Relationship Id="rId643" Type="http://schemas.openxmlformats.org/officeDocument/2006/relationships/hyperlink" Target="https://uninorte.zoom.us/j/82761238197?pwd=SXNWU0RxUmxCMmNLano2N3lBeGlEUT09" TargetMode="External"/><Relationship Id="rId408" Type="http://schemas.openxmlformats.org/officeDocument/2006/relationships/hyperlink" Target="https://uninorte.zoom.us/j/3299010108" TargetMode="External"/><Relationship Id="rId407" Type="http://schemas.openxmlformats.org/officeDocument/2006/relationships/hyperlink" Target="https://uninorte.zoom.us/j/3299010108" TargetMode="External"/><Relationship Id="rId649" Type="http://schemas.openxmlformats.org/officeDocument/2006/relationships/hyperlink" Target="https://uninorte.zoom.us/j/82344574498?pwd=TUxlWmdIVXlmMHZhRlR1eWNCTndUQT09" TargetMode="External"/><Relationship Id="rId406" Type="http://schemas.openxmlformats.org/officeDocument/2006/relationships/hyperlink" Target="https://uninorte.zoom.us/j/3299010108" TargetMode="External"/><Relationship Id="rId648" Type="http://schemas.openxmlformats.org/officeDocument/2006/relationships/hyperlink" Target="https://drive.google.com/open?id=14KCao3phMogD8k8aAgym8F5S0go-vRy_" TargetMode="External"/><Relationship Id="rId405" Type="http://schemas.openxmlformats.org/officeDocument/2006/relationships/hyperlink" Target="https://uninorte.zoom.us/j/3299010108" TargetMode="External"/><Relationship Id="rId647" Type="http://schemas.openxmlformats.org/officeDocument/2006/relationships/hyperlink" Target="https://uninorte.zoom.us/j/88586048582?pwd=d3lyRGZFRGRRd0JjWUNmUFFzcEdXUT09" TargetMode="External"/><Relationship Id="rId400" Type="http://schemas.openxmlformats.org/officeDocument/2006/relationships/hyperlink" Target="https://uninorte.zoom.us/j/3299010108" TargetMode="External"/><Relationship Id="rId642" Type="http://schemas.openxmlformats.org/officeDocument/2006/relationships/hyperlink" Target="https://drive.google.com/open?id=1Zlq6IRSRhJY2qU2SOAkSEyeXKt4-COOY" TargetMode="External"/><Relationship Id="rId641" Type="http://schemas.openxmlformats.org/officeDocument/2006/relationships/hyperlink" Target="https://uninorte.zoom.us/meeting/register/tZYqc-ysrzMvHdRnAWLTk3BncpfsvKMrIbpz" TargetMode="External"/><Relationship Id="rId640" Type="http://schemas.openxmlformats.org/officeDocument/2006/relationships/hyperlink" Target="https://drive.google.com/open?id=1HS5EixR86bvb8drOLdAEzmsybLkJVXjm" TargetMode="External"/><Relationship Id="rId635" Type="http://schemas.openxmlformats.org/officeDocument/2006/relationships/hyperlink" Target="https://drive.google.com/open?id=1kD6Y1e_ZI-9Gex10QKLX_8uaRdekZwwPg9OPOYSeThI" TargetMode="External"/><Relationship Id="rId634" Type="http://schemas.openxmlformats.org/officeDocument/2006/relationships/hyperlink" Target="https://uninorte.zoom.us/j/88586048582?pwd=d3lyRGZFRGRRd0JjWUNmUFFzcEdXUT09" TargetMode="External"/><Relationship Id="rId633" Type="http://schemas.openxmlformats.org/officeDocument/2006/relationships/hyperlink" Target="https://drive.google.com/open?id=1CI0G8VFqQeOOfu5tWSjztDPHQOnoMmL5" TargetMode="External"/><Relationship Id="rId632" Type="http://schemas.openxmlformats.org/officeDocument/2006/relationships/hyperlink" Target="https://uninorte.zoom.us/j/83299828401?pwd=UmV0OGZweWNJN25sU2NhVjZaK0x3UT09" TargetMode="External"/><Relationship Id="rId639" Type="http://schemas.openxmlformats.org/officeDocument/2006/relationships/hyperlink" Target="https://uninorte.zoom.us/meeting/register/tZAqfuGhqTMuHdE4RZSPL7WX-bXrHXDhkdov" TargetMode="External"/><Relationship Id="rId638" Type="http://schemas.openxmlformats.org/officeDocument/2006/relationships/hyperlink" Target="https://drive.google.com/open?id=1QTP-OzSGYtRZFer9Em8kBu9NoBRD1FDy" TargetMode="External"/><Relationship Id="rId637" Type="http://schemas.openxmlformats.org/officeDocument/2006/relationships/hyperlink" Target="https://uninorte.zoom.us/j/89644941156?pwd=dVNJbUtyZWNmRUJxVVh6QlFYZERPUT09" TargetMode="External"/><Relationship Id="rId636" Type="http://schemas.openxmlformats.org/officeDocument/2006/relationships/hyperlink" Target="https://meet.google.com/inw-fzxz-piw" TargetMode="External"/><Relationship Id="rId631" Type="http://schemas.openxmlformats.org/officeDocument/2006/relationships/hyperlink" Target="https://drive.google.com/open?id=1cCoIbvoT9NpLrP_9MkXqpmBJbv6YhTi4" TargetMode="External"/><Relationship Id="rId630" Type="http://schemas.openxmlformats.org/officeDocument/2006/relationships/hyperlink" Target="https://instagram.com/cdiep_uninorte?utm_medium=copy_link" TargetMode="External"/><Relationship Id="rId609" Type="http://schemas.openxmlformats.org/officeDocument/2006/relationships/hyperlink" Target="https://uninorte.zoom.us/j/85019447473?pwd=MUpTdkFmU0pJdXI3ZWtLbUZFQ0o3Zz09" TargetMode="External"/><Relationship Id="rId608" Type="http://schemas.openxmlformats.org/officeDocument/2006/relationships/hyperlink" Target="https://uninorte.zoom.us/j/85019447473?pwd=MUpTdkFmU0pJdXI3ZWtLbUZFQ0o3Zz09" TargetMode="External"/><Relationship Id="rId607" Type="http://schemas.openxmlformats.org/officeDocument/2006/relationships/hyperlink" Target="https://uninorte.zoom.us/j/85019447473?pwd=MUpTdkFmU0pJdXI3ZWtLbUZFQ0o3Zz09" TargetMode="External"/><Relationship Id="rId602" Type="http://schemas.openxmlformats.org/officeDocument/2006/relationships/hyperlink" Target="https://uninorte.zoom.us/j/83788065958?pwd=THNZN1ZWd29ET3FsSVhyUWt5clVaZz09" TargetMode="External"/><Relationship Id="rId601" Type="http://schemas.openxmlformats.org/officeDocument/2006/relationships/hyperlink" Target="https://uninorte.zoom.us/j/85131692060?pwd=MTlSWi9VY0V3N04wOElEMVUzRnNuQT09" TargetMode="External"/><Relationship Id="rId600" Type="http://schemas.openxmlformats.org/officeDocument/2006/relationships/hyperlink" Target="https://www.instagram.com/seedbed_un/?hl=es" TargetMode="External"/><Relationship Id="rId606" Type="http://schemas.openxmlformats.org/officeDocument/2006/relationships/hyperlink" Target="https://uninorte.zoom.us/j/85019447473?pwd=MUpTdkFmU0pJdXI3ZWtLbUZFQ0o3Zz09" TargetMode="External"/><Relationship Id="rId605" Type="http://schemas.openxmlformats.org/officeDocument/2006/relationships/hyperlink" Target="https://uninorte.zoom.us/j/85019447473?pwd=MUpTdkFmU0pJdXI3ZWtLbUZFQ0o3Zz09" TargetMode="External"/><Relationship Id="rId604" Type="http://schemas.openxmlformats.org/officeDocument/2006/relationships/hyperlink" Target="https://uninorte.zoom.us/j/85019447473?pwd=MUpTdkFmU0pJdXI3ZWtLbUZFQ0o3Zz09" TargetMode="External"/><Relationship Id="rId603" Type="http://schemas.openxmlformats.org/officeDocument/2006/relationships/hyperlink" Target="https://drive.google.com/open?id=13Lqigph4h1cBR0-Msislmv4c3a-cbjkO" TargetMode="External"/><Relationship Id="rId228" Type="http://schemas.openxmlformats.org/officeDocument/2006/relationships/hyperlink" Target="https://uninorte.zoom.us/j/85176040142" TargetMode="External"/><Relationship Id="rId227" Type="http://schemas.openxmlformats.org/officeDocument/2006/relationships/hyperlink" Target="https://uninorte.zoom.us/j/87973336330" TargetMode="External"/><Relationship Id="rId469" Type="http://schemas.openxmlformats.org/officeDocument/2006/relationships/hyperlink" Target="https://uninorte.zoom.us/j/87484820488" TargetMode="External"/><Relationship Id="rId226" Type="http://schemas.openxmlformats.org/officeDocument/2006/relationships/hyperlink" Target="https://www.youtube.com/watch?v=QY9YDF2d9PU" TargetMode="External"/><Relationship Id="rId468" Type="http://schemas.openxmlformats.org/officeDocument/2006/relationships/hyperlink" Target="https://instagram.com/feminun?utm_medium=copy_link" TargetMode="External"/><Relationship Id="rId225" Type="http://schemas.openxmlformats.org/officeDocument/2006/relationships/hyperlink" Target="https://drive.google.com/open?id=1AJFiwgpqb0Dn1fblf14K9xVA-7mjJKFi" TargetMode="External"/><Relationship Id="rId467" Type="http://schemas.openxmlformats.org/officeDocument/2006/relationships/hyperlink" Target="https://uninorte.zoom.us/j/85614214282?pwd=L05heXZENnI4c2IxdVNwK2oyWURWdz09" TargetMode="External"/><Relationship Id="rId229" Type="http://schemas.openxmlformats.org/officeDocument/2006/relationships/hyperlink" Target="https://www.instagram.com/p/CTfPm5QrwB9/?utm_medium=copy_link" TargetMode="External"/><Relationship Id="rId220" Type="http://schemas.openxmlformats.org/officeDocument/2006/relationships/hyperlink" Target="https://uninorte.zoom.us/j/87611764690" TargetMode="External"/><Relationship Id="rId462" Type="http://schemas.openxmlformats.org/officeDocument/2006/relationships/hyperlink" Target="https://instagram.com/cdiep_uninorte?utm_medium=copy_link" TargetMode="External"/><Relationship Id="rId461" Type="http://schemas.openxmlformats.org/officeDocument/2006/relationships/hyperlink" Target="https://instagram.com/feminun?utm_medium=copy_link" TargetMode="External"/><Relationship Id="rId460" Type="http://schemas.openxmlformats.org/officeDocument/2006/relationships/hyperlink" Target="https://uninorte.zoom.us/j/89569145566?pwd=cXp6UFJ2d0JEMVgzY2F1dk1jQWFxUT09" TargetMode="External"/><Relationship Id="rId224" Type="http://schemas.openxmlformats.org/officeDocument/2006/relationships/hyperlink" Target="https://www.youtube.com/watch?v=QY9YDF2d9PU" TargetMode="External"/><Relationship Id="rId466" Type="http://schemas.openxmlformats.org/officeDocument/2006/relationships/hyperlink" Target="https://meet.google.com/ath-ttcf-gno" TargetMode="External"/><Relationship Id="rId223" Type="http://schemas.openxmlformats.org/officeDocument/2006/relationships/hyperlink" Target="https://drive.google.com/open?id=1mKCrzzUEUoZMv29uQAIFPqaOdnnXldSJ" TargetMode="External"/><Relationship Id="rId465" Type="http://schemas.openxmlformats.org/officeDocument/2006/relationships/hyperlink" Target="https://forms.gle/2negrqnMyr9absZr7" TargetMode="External"/><Relationship Id="rId222" Type="http://schemas.openxmlformats.org/officeDocument/2006/relationships/hyperlink" Target="https://instagram.com/cdiep_uninorte?utm_medium=copy_link" TargetMode="External"/><Relationship Id="rId464" Type="http://schemas.openxmlformats.org/officeDocument/2006/relationships/hyperlink" Target="https://drive.google.com/open?id=1V1DbGQY5uwOee9eKilNuhjAYgiC9ChO-" TargetMode="External"/><Relationship Id="rId221" Type="http://schemas.openxmlformats.org/officeDocument/2006/relationships/hyperlink" Target="https://instagram.com/cdiep_uninorte?utm_medium=copy_link" TargetMode="External"/><Relationship Id="rId463" Type="http://schemas.openxmlformats.org/officeDocument/2006/relationships/hyperlink" Target="https://instagram.com/cdiep_uninorte?utm_medium=copy_link" TargetMode="External"/><Relationship Id="rId217" Type="http://schemas.openxmlformats.org/officeDocument/2006/relationships/hyperlink" Target="https://uninorte.zoom.us/j/89245450358?pwd=NFFINXhFMnJWZWh0NWhqblpKTzBHdz09" TargetMode="External"/><Relationship Id="rId459" Type="http://schemas.openxmlformats.org/officeDocument/2006/relationships/hyperlink" Target="https://forms.gle/2negrqnMyr9absZr7" TargetMode="External"/><Relationship Id="rId216" Type="http://schemas.openxmlformats.org/officeDocument/2006/relationships/hyperlink" Target="https://meet.google.com/bpy-tknq-iod" TargetMode="External"/><Relationship Id="rId458" Type="http://schemas.openxmlformats.org/officeDocument/2006/relationships/hyperlink" Target="https://drive.google.com/open?id=10UHA_XCAm3pFf6PVkboi1bW-Si4HrBWF" TargetMode="External"/><Relationship Id="rId215" Type="http://schemas.openxmlformats.org/officeDocument/2006/relationships/hyperlink" Target="https://uninorte.zoom.us/j/82348745118?pwd=Nk5ITjVRTWUwcmZVdWt6RG8zVzhmQT09" TargetMode="External"/><Relationship Id="rId457" Type="http://schemas.openxmlformats.org/officeDocument/2006/relationships/hyperlink" Target="https://www.instagram.com/ceimuninorte/" TargetMode="External"/><Relationship Id="rId214" Type="http://schemas.openxmlformats.org/officeDocument/2006/relationships/hyperlink" Target="https://drive.google.com/open?id=1AXEIXDvB1pPPbrsOwaAEJm-LyIgluLeu" TargetMode="External"/><Relationship Id="rId456" Type="http://schemas.openxmlformats.org/officeDocument/2006/relationships/hyperlink" Target="https://www.instagram.com/ceimuninorte/" TargetMode="External"/><Relationship Id="rId219" Type="http://schemas.openxmlformats.org/officeDocument/2006/relationships/hyperlink" Target="https://drive.google.com/open?id=1HKMkIyAq-BhRJO7CobXRlgDjAwOZJuni" TargetMode="External"/><Relationship Id="rId218" Type="http://schemas.openxmlformats.org/officeDocument/2006/relationships/hyperlink" Target="https://uninorte.zoom.us/j/83823790612" TargetMode="External"/><Relationship Id="rId451" Type="http://schemas.openxmlformats.org/officeDocument/2006/relationships/hyperlink" Target="https://drive.google.com/open?id=1ypqDFclC05sYTzgvekfGAqKA9x0HfjcZ" TargetMode="External"/><Relationship Id="rId693" Type="http://schemas.openxmlformats.org/officeDocument/2006/relationships/hyperlink" Target="https://uninorte.zoom.us/j/85835986170?pwd=M3R6YnNJVzBNWTQrc20raldBMEJ6dz09" TargetMode="External"/><Relationship Id="rId450" Type="http://schemas.openxmlformats.org/officeDocument/2006/relationships/hyperlink" Target="https://uninorte.zoom.us/j/84207747629" TargetMode="External"/><Relationship Id="rId692" Type="http://schemas.openxmlformats.org/officeDocument/2006/relationships/hyperlink" Target="https://vm.tiktok.com/ZM8tNhmau/" TargetMode="External"/><Relationship Id="rId691" Type="http://schemas.openxmlformats.org/officeDocument/2006/relationships/hyperlink" Target="https://uninorte.zoom.us/meeting/register/tZUtdeChpzotGdVsJ9Df00bC6X0pfnvNk5Z5" TargetMode="External"/><Relationship Id="rId690" Type="http://schemas.openxmlformats.org/officeDocument/2006/relationships/hyperlink" Target="https://drive.google.com/open?id=1frubAtkPgL_S79qZgymSPW1mtEY_0ewB" TargetMode="External"/><Relationship Id="rId213" Type="http://schemas.openxmlformats.org/officeDocument/2006/relationships/hyperlink" Target="https://www.instagram.com/p/CTXzkMDLqnp/?utm_medium=copy_link" TargetMode="External"/><Relationship Id="rId455" Type="http://schemas.openxmlformats.org/officeDocument/2006/relationships/hyperlink" Target="https://www.instagram.com/ceimuninorte/" TargetMode="External"/><Relationship Id="rId212" Type="http://schemas.openxmlformats.org/officeDocument/2006/relationships/hyperlink" Target="https://uninorte.zoom.us/j/83352921589" TargetMode="External"/><Relationship Id="rId454" Type="http://schemas.openxmlformats.org/officeDocument/2006/relationships/hyperlink" Target="https://www.instagram.com/ceimuninorte/" TargetMode="External"/><Relationship Id="rId696" Type="http://schemas.openxmlformats.org/officeDocument/2006/relationships/drawing" Target="../drawings/drawing3.xml"/><Relationship Id="rId211" Type="http://schemas.openxmlformats.org/officeDocument/2006/relationships/hyperlink" Target="https://drive.google.com/open?id=1LlJE6Ae1ZJ0zouYwiNlmX1CR812C-dz0" TargetMode="External"/><Relationship Id="rId453" Type="http://schemas.openxmlformats.org/officeDocument/2006/relationships/hyperlink" Target="https://meet.google.com/gmq-qnsz-eyb" TargetMode="External"/><Relationship Id="rId695" Type="http://schemas.openxmlformats.org/officeDocument/2006/relationships/hyperlink" Target="https://drive.google.com/open?id=19g4p1F3R845P-T-kbH-slqyNpZ9QHTK50qlNCb8b3C8" TargetMode="External"/><Relationship Id="rId210" Type="http://schemas.openxmlformats.org/officeDocument/2006/relationships/hyperlink" Target="https://uninorte.zoom.us/meeting/register/tZ0lfuGhpjgrG9dkO3fWAbUd724gjjvusun3" TargetMode="External"/><Relationship Id="rId452" Type="http://schemas.openxmlformats.org/officeDocument/2006/relationships/hyperlink" Target="https://meet.google.com/gmq-qnsz-eyb" TargetMode="External"/><Relationship Id="rId694" Type="http://schemas.openxmlformats.org/officeDocument/2006/relationships/hyperlink" Target="https://www.google.com/url?q=https://uninorte.zoom.us/j/88413516932?pwd%3DaXErTHg3azVXb0VNN2FweEhnTU1nZz09&amp;sa=D&amp;source=calendar&amp;ust=1640039759054049&amp;usg=AOvVaw0eU8luov9BnwAYo7LdFbTE" TargetMode="External"/><Relationship Id="rId491" Type="http://schemas.openxmlformats.org/officeDocument/2006/relationships/hyperlink" Target="https://www.instagram.com/unortediverso/?hl=es-la" TargetMode="External"/><Relationship Id="rId490" Type="http://schemas.openxmlformats.org/officeDocument/2006/relationships/hyperlink" Target="https://docs.google.com/forms/d/e/1FAIpQLSdxOOO3hT5SuxxSei8VQQJQooH_tm5UjlLaKYl2vXZBqXjwCA/viewform" TargetMode="External"/><Relationship Id="rId249" Type="http://schemas.openxmlformats.org/officeDocument/2006/relationships/hyperlink" Target="https://drive.google.com/open?id=1g2R1rxbJXqpva0pBtz4r90Cdx-WJFHr9" TargetMode="External"/><Relationship Id="rId248" Type="http://schemas.openxmlformats.org/officeDocument/2006/relationships/hyperlink" Target="https://uninorte.zoom.us/j/89245450358?pwd=NFFINXhFMnJWZWh0NWhqblpKTzBHdz09" TargetMode="External"/><Relationship Id="rId247" Type="http://schemas.openxmlformats.org/officeDocument/2006/relationships/hyperlink" Target="https://mail.google.com/" TargetMode="External"/><Relationship Id="rId489" Type="http://schemas.openxmlformats.org/officeDocument/2006/relationships/hyperlink" Target="https://uninorte.zoom.us/j/87863678583?pwd=MTFXai9BdGJsMUFFbE92QUFjUnN0dz09" TargetMode="External"/><Relationship Id="rId242" Type="http://schemas.openxmlformats.org/officeDocument/2006/relationships/hyperlink" Target="https://meet.google.com/gmq-qnsz-eyb?pli=1&amp;authuser=3" TargetMode="External"/><Relationship Id="rId484" Type="http://schemas.openxmlformats.org/officeDocument/2006/relationships/hyperlink" Target="https://instagram.com/feminun?utm_medium=copy_link" TargetMode="External"/><Relationship Id="rId241" Type="http://schemas.openxmlformats.org/officeDocument/2006/relationships/hyperlink" Target="https://meet.google.com/wfh-ykws-biu" TargetMode="External"/><Relationship Id="rId483" Type="http://schemas.openxmlformats.org/officeDocument/2006/relationships/hyperlink" Target="https://instagram.com/feminun?utm_medium=copy_link" TargetMode="External"/><Relationship Id="rId240" Type="http://schemas.openxmlformats.org/officeDocument/2006/relationships/hyperlink" Target="https://drive.google.com/open?id=1l3q1lIjepKx13eF6UrJbZYEaGJUQb8ww" TargetMode="External"/><Relationship Id="rId482" Type="http://schemas.openxmlformats.org/officeDocument/2006/relationships/hyperlink" Target="https://instagram.com/feminun?utm_medium=copy_link" TargetMode="External"/><Relationship Id="rId481" Type="http://schemas.openxmlformats.org/officeDocument/2006/relationships/hyperlink" Target="https://uninorte.zoom.us/meeting/register/tZYvcOCtrz4pEt391aPmOwtd7xEvgHUeo3FX" TargetMode="External"/><Relationship Id="rId246" Type="http://schemas.openxmlformats.org/officeDocument/2006/relationships/hyperlink" Target="https://meet.google.com/xpc-znif-fha" TargetMode="External"/><Relationship Id="rId488" Type="http://schemas.openxmlformats.org/officeDocument/2006/relationships/hyperlink" Target="https://instagram.com/feminun?utm_medium=copy_link" TargetMode="External"/><Relationship Id="rId245" Type="http://schemas.openxmlformats.org/officeDocument/2006/relationships/hyperlink" Target="https://zoom.us/meeting/register/tJElduiuqjoqH9GA9bbS_8F6JBFP6pnYGVkM" TargetMode="External"/><Relationship Id="rId487" Type="http://schemas.openxmlformats.org/officeDocument/2006/relationships/hyperlink" Target="https://instagram.com/feminun?utm_medium=copy_link" TargetMode="External"/><Relationship Id="rId244" Type="http://schemas.openxmlformats.org/officeDocument/2006/relationships/hyperlink" Target="https://drive.google.com/open?id=106-DPeZvPKEAek8aWhQCzYWmTRwdxxpp" TargetMode="External"/><Relationship Id="rId486" Type="http://schemas.openxmlformats.org/officeDocument/2006/relationships/hyperlink" Target="https://www.instagram.com/feminun/?hl=en" TargetMode="External"/><Relationship Id="rId243" Type="http://schemas.openxmlformats.org/officeDocument/2006/relationships/hyperlink" Target="https://meet.google.com/gmq-qnsz-eyb?pli=1&amp;authuser=3" TargetMode="External"/><Relationship Id="rId485" Type="http://schemas.openxmlformats.org/officeDocument/2006/relationships/hyperlink" Target="https://uninorte.zoom.us/meeting/register/tZwofuqtpzIvGt0Onun4NKzyF6BtknVFsZl1" TargetMode="External"/><Relationship Id="rId480" Type="http://schemas.openxmlformats.org/officeDocument/2006/relationships/hyperlink" Target="https://drive.google.com/open?id=1jr3jESy8vAmq8qpoqiHhSaApQ1lBZWm6" TargetMode="External"/><Relationship Id="rId239" Type="http://schemas.openxmlformats.org/officeDocument/2006/relationships/hyperlink" Target="https://meet.google.com/kiy-zshj-krf" TargetMode="External"/><Relationship Id="rId238" Type="http://schemas.openxmlformats.org/officeDocument/2006/relationships/hyperlink" Target="https://uninorte.zoom.us/j/89245450358?pwd=NFFINXhFMnJWZWh0NWhqblpKTzBHdz09" TargetMode="External"/><Relationship Id="rId237" Type="http://schemas.openxmlformats.org/officeDocument/2006/relationships/hyperlink" Target="https://meet.google.com/dcp-atbm-jzk" TargetMode="External"/><Relationship Id="rId479" Type="http://schemas.openxmlformats.org/officeDocument/2006/relationships/hyperlink" Target="https://uninorte.zoom.us/meeting/register/tZMkcOigqj4pGd0vST28VqnrXKaleBI9b0_S" TargetMode="External"/><Relationship Id="rId236" Type="http://schemas.openxmlformats.org/officeDocument/2006/relationships/hyperlink" Target="https://www.youtube.com/c/CEIMUninorte" TargetMode="External"/><Relationship Id="rId478" Type="http://schemas.openxmlformats.org/officeDocument/2006/relationships/hyperlink" Target="http://meet.google.com/idx-csua-kdd" TargetMode="External"/><Relationship Id="rId231" Type="http://schemas.openxmlformats.org/officeDocument/2006/relationships/hyperlink" Target="https://drive.google.com/open?id=1hAL5p4ZlJ7yhb0rW35Lcy6imgDYc8xgn" TargetMode="External"/><Relationship Id="rId473" Type="http://schemas.openxmlformats.org/officeDocument/2006/relationships/hyperlink" Target="https://uninorte.zoom.us/j/87863678583?pwd=MTFXai9BdGJsMUFFbE92QUFjUnN0dz09" TargetMode="External"/><Relationship Id="rId230" Type="http://schemas.openxmlformats.org/officeDocument/2006/relationships/hyperlink" Target="https://www.google.com/url?q=https://uninorte.zoom.us/j/89612787258?pwd%3Db29neG1hS2IxOWg3QTVzVkM0akpvZz09&amp;sa=D&amp;source=calendar&amp;ust=1631395726507744&amp;usg=AOvVaw0I8qDVfZ4g5Fx_SC_tzuMV" TargetMode="External"/><Relationship Id="rId472" Type="http://schemas.openxmlformats.org/officeDocument/2006/relationships/hyperlink" Target="https://teams.microsoft.com/_" TargetMode="External"/><Relationship Id="rId471" Type="http://schemas.openxmlformats.org/officeDocument/2006/relationships/hyperlink" Target="https://uninorte.zoom.us/j/87484820488" TargetMode="External"/><Relationship Id="rId470" Type="http://schemas.openxmlformats.org/officeDocument/2006/relationships/hyperlink" Target="https://instagram.com/feminun?utm_medium=copy_link" TargetMode="External"/><Relationship Id="rId235" Type="http://schemas.openxmlformats.org/officeDocument/2006/relationships/hyperlink" Target="https://www.uninorte.edu.co/web/ceimun/home?p_p_id=33&amp;p_p_lifecycle=0&amp;p_p_state=normal&amp;p_p_mode=view&amp;p_p_col_id=column-2&amp;p_p_col_pos=1&amp;p_p_col_count=2" TargetMode="External"/><Relationship Id="rId477" Type="http://schemas.openxmlformats.org/officeDocument/2006/relationships/hyperlink" Target="https://www.youtube.com/channel/UCc1LRz956ycFXYJ0JGkUzkw" TargetMode="External"/><Relationship Id="rId234" Type="http://schemas.openxmlformats.org/officeDocument/2006/relationships/hyperlink" Target="https://uninorte.zoom.us/j/3299010108" TargetMode="External"/><Relationship Id="rId476" Type="http://schemas.openxmlformats.org/officeDocument/2006/relationships/hyperlink" Target="https://www.instagram.com/ceimuninorte/" TargetMode="External"/><Relationship Id="rId233" Type="http://schemas.openxmlformats.org/officeDocument/2006/relationships/hyperlink" Target="https://instagram.com/cdiep_uninorte?utm_medium=copy_link" TargetMode="External"/><Relationship Id="rId475" Type="http://schemas.openxmlformats.org/officeDocument/2006/relationships/hyperlink" Target="https://uninorte.zoom.us/j/85056406965?pwd=MytXTWFWd2h2bWFrUWM1R2U5TzI0dz09" TargetMode="External"/><Relationship Id="rId232" Type="http://schemas.openxmlformats.org/officeDocument/2006/relationships/hyperlink" Target="https://uninorte.zoom.us/j/86516344489" TargetMode="External"/><Relationship Id="rId474" Type="http://schemas.openxmlformats.org/officeDocument/2006/relationships/hyperlink" Target="https://drive.google.com/open?id=10KuLBR0-94cBxHAqPwJyDIcwb1LKfg9j" TargetMode="External"/><Relationship Id="rId426" Type="http://schemas.openxmlformats.org/officeDocument/2006/relationships/hyperlink" Target="https://uninorte.zoom.us/j/3299010108" TargetMode="External"/><Relationship Id="rId668" Type="http://schemas.openxmlformats.org/officeDocument/2006/relationships/hyperlink" Target="https://uninorte.zoom.us/w/83688479116?tk=soEK7Xq9u5BkE5XnKUNjm8UfvjaPBFM0Rqq9ZRNPQ4c.DQMAAAATfDjZjBZjWWR1dkRFUVI4eTR0ZW0yaVRZc1p3AAAAAAAAAAAAAAAAAAAAAAAAAAAAAA&amp;pwd=aWdtbzBydDh5WUlKQjZYMG5GNEJoQT09" TargetMode="External"/><Relationship Id="rId425" Type="http://schemas.openxmlformats.org/officeDocument/2006/relationships/hyperlink" Target="https://www.youtube.com/channel/UCQT8Zbojep2eyF2cauTDZ8g" TargetMode="External"/><Relationship Id="rId667" Type="http://schemas.openxmlformats.org/officeDocument/2006/relationships/hyperlink" Target="https://drive.google.com/open?id=1ZWj1VLsZUZPyWK2e9f5L684e-yJTWwQs" TargetMode="External"/><Relationship Id="rId424" Type="http://schemas.openxmlformats.org/officeDocument/2006/relationships/hyperlink" Target="https://drive.google.com/open?id=18GOOUcmsm36YLKu9KpUAju-E86gnlfbu" TargetMode="External"/><Relationship Id="rId666" Type="http://schemas.openxmlformats.org/officeDocument/2006/relationships/hyperlink" Target="https://uninorte.zoom.us/w/84567915306?tk=y0YLOr23rL-8DW52z-NAFRWsm0AG5dStLoDCV-oBHf4.DQMAAAATsKP7KhZSYUluWWM3NFNRdVhYT1JLLWJxNVpnAAAAAAAAAAAAAAAAAAAAAAAAAAAAAA&amp;pwd=eTRRMTgwVUxkV0ppMHJtOHBSeW1TUT09" TargetMode="External"/><Relationship Id="rId423" Type="http://schemas.openxmlformats.org/officeDocument/2006/relationships/hyperlink" Target="https://uninorte.zoom.us/j/3299010108" TargetMode="External"/><Relationship Id="rId665" Type="http://schemas.openxmlformats.org/officeDocument/2006/relationships/hyperlink" Target="https://drive.google.com/open?id=1A_MZnhlPwUJCTIispwx0tv79C3W4lpGK" TargetMode="External"/><Relationship Id="rId429" Type="http://schemas.openxmlformats.org/officeDocument/2006/relationships/hyperlink" Target="https://drive.google.com/open?id=1f0dGtyPUJRqSWWHfwsq4vyam7F4jBdtB" TargetMode="External"/><Relationship Id="rId428" Type="http://schemas.openxmlformats.org/officeDocument/2006/relationships/hyperlink" Target="https://uninorte.zoom.us/j/3299010108" TargetMode="External"/><Relationship Id="rId427" Type="http://schemas.openxmlformats.org/officeDocument/2006/relationships/hyperlink" Target="https://uninorte.zoom.us/j/83279930118" TargetMode="External"/><Relationship Id="rId669" Type="http://schemas.openxmlformats.org/officeDocument/2006/relationships/hyperlink" Target="https://drive.google.com/open?id=1Jxh_hQ6xBjxsd7oIZy9XR0ZY4XADMBTm" TargetMode="External"/><Relationship Id="rId660" Type="http://schemas.openxmlformats.org/officeDocument/2006/relationships/hyperlink" Target="https://drive.google.com/open?id=1Rmwh3zi-cY2__QUjd6TNXhZ0Ef-ctEDV" TargetMode="External"/><Relationship Id="rId422" Type="http://schemas.openxmlformats.org/officeDocument/2006/relationships/hyperlink" Target="https://uninorte.zoom.us/j/85019447473?pwd=MUpTdkFmU0pJdXI3ZWtLbUZFQ0o3Zz09" TargetMode="External"/><Relationship Id="rId664" Type="http://schemas.openxmlformats.org/officeDocument/2006/relationships/hyperlink" Target="https://www.google.com/url?q=https://uninorte.zoom.us/j/87027327062&amp;sa=D&amp;source=calendar&amp;ust=1637769697671647&amp;usg=AOvVaw1kD49QqHnmuGufdFl__GLL" TargetMode="External"/><Relationship Id="rId421" Type="http://schemas.openxmlformats.org/officeDocument/2006/relationships/hyperlink" Target="https://uninorte.zoom.us/j/3299010108" TargetMode="External"/><Relationship Id="rId663" Type="http://schemas.openxmlformats.org/officeDocument/2006/relationships/hyperlink" Target="https://drive.google.com/open?id=1YEEf8go7l2QPxVrgicEBL0avctLtzZ7Q" TargetMode="External"/><Relationship Id="rId420" Type="http://schemas.openxmlformats.org/officeDocument/2006/relationships/hyperlink" Target="https://uninorte.zoom.us/j/3299010108" TargetMode="External"/><Relationship Id="rId662" Type="http://schemas.openxmlformats.org/officeDocument/2006/relationships/hyperlink" Target="https://uninorte.zoom.us/j/83952971626?pwd=RWYvc1JRYjR5aHU2eUtIWklXdW5Vdz09" TargetMode="External"/><Relationship Id="rId661" Type="http://schemas.openxmlformats.org/officeDocument/2006/relationships/hyperlink" Target="https://uninorte.zoom.us/w/88446878149?tk=GfINsjb-QzY87a8ENtbB-WNKsJsVDPNGH2SjMdaOwEQ.DQMAAAAUl9hBxRZJeks3MkYwblNVNmRLWlVfYkhPTVpRAAAAAAAAAAAAAAAAAAAAAAAAAAAAAA&amp;pwd=VFBxSTlUQnBWOHM5eVJrWEl0dVJmdz09" TargetMode="External"/><Relationship Id="rId415" Type="http://schemas.openxmlformats.org/officeDocument/2006/relationships/hyperlink" Target="https://uninorte.zoom.us/j/3299010108" TargetMode="External"/><Relationship Id="rId657" Type="http://schemas.openxmlformats.org/officeDocument/2006/relationships/hyperlink" Target="https://drive.google.com/open?id=1uLdztIPNh9lF8HGF2el_lwAQspEstFZK" TargetMode="External"/><Relationship Id="rId414" Type="http://schemas.openxmlformats.org/officeDocument/2006/relationships/hyperlink" Target="https://uninorte.zoom.us/j/3299010108" TargetMode="External"/><Relationship Id="rId656" Type="http://schemas.openxmlformats.org/officeDocument/2006/relationships/hyperlink" Target="https://uninorte.zoom.us/j/89844134767" TargetMode="External"/><Relationship Id="rId413" Type="http://schemas.openxmlformats.org/officeDocument/2006/relationships/hyperlink" Target="https://uninorte.zoom.us/j/3299010108" TargetMode="External"/><Relationship Id="rId655" Type="http://schemas.openxmlformats.org/officeDocument/2006/relationships/hyperlink" Target="https://uninorte.zoom.us/j/84027449641" TargetMode="External"/><Relationship Id="rId412" Type="http://schemas.openxmlformats.org/officeDocument/2006/relationships/hyperlink" Target="https://uninorte.zoom.us/j/3299010108" TargetMode="External"/><Relationship Id="rId654" Type="http://schemas.openxmlformats.org/officeDocument/2006/relationships/hyperlink" Target="https://www.instagram.com/feminun/?hl=en" TargetMode="External"/><Relationship Id="rId419" Type="http://schemas.openxmlformats.org/officeDocument/2006/relationships/hyperlink" Target="https://uninorte.zoom.us/j/3299010108" TargetMode="External"/><Relationship Id="rId418" Type="http://schemas.openxmlformats.org/officeDocument/2006/relationships/hyperlink" Target="https://uninorte.zoom.us/j/3299010108" TargetMode="External"/><Relationship Id="rId417" Type="http://schemas.openxmlformats.org/officeDocument/2006/relationships/hyperlink" Target="https://uninorte.zoom.us/j/3299010108" TargetMode="External"/><Relationship Id="rId659" Type="http://schemas.openxmlformats.org/officeDocument/2006/relationships/hyperlink" Target="https://uninorte.zoom.us/j/84961812343" TargetMode="External"/><Relationship Id="rId416" Type="http://schemas.openxmlformats.org/officeDocument/2006/relationships/hyperlink" Target="https://uninorte.zoom.us/j/3299010108" TargetMode="External"/><Relationship Id="rId658" Type="http://schemas.openxmlformats.org/officeDocument/2006/relationships/hyperlink" Target="https://uninorte.zoom.us/meeting/register/tZEtdOioqz0uH9xHOF2JI9-sipKH82ZItP_Y" TargetMode="External"/><Relationship Id="rId411" Type="http://schemas.openxmlformats.org/officeDocument/2006/relationships/hyperlink" Target="https://uninorte.zoom.us/j/3299010108" TargetMode="External"/><Relationship Id="rId653" Type="http://schemas.openxmlformats.org/officeDocument/2006/relationships/hyperlink" Target="https://uninorte.zoom.us/j/89300593674" TargetMode="External"/><Relationship Id="rId410" Type="http://schemas.openxmlformats.org/officeDocument/2006/relationships/hyperlink" Target="https://uninorte.zoom.us/j/3299010108" TargetMode="External"/><Relationship Id="rId652" Type="http://schemas.openxmlformats.org/officeDocument/2006/relationships/hyperlink" Target="https://www.instagram.com/feminun/?hl=en" TargetMode="External"/><Relationship Id="rId651" Type="http://schemas.openxmlformats.org/officeDocument/2006/relationships/hyperlink" Target="https://uninorte.zoom.us/j/81665055575?pwd=UUF6SGtFckFuaDZlWEwyeU8rU2F5Zz09" TargetMode="External"/><Relationship Id="rId650" Type="http://schemas.openxmlformats.org/officeDocument/2006/relationships/hyperlink" Target="https://drive.google.com/open?id=1l3x5o0DV3gv5RW6MJ_HaITIxc9M5G8o3" TargetMode="External"/><Relationship Id="rId206" Type="http://schemas.openxmlformats.org/officeDocument/2006/relationships/hyperlink" Target="https://uninorte.zoom.us/j/87843494035" TargetMode="External"/><Relationship Id="rId448" Type="http://schemas.openxmlformats.org/officeDocument/2006/relationships/hyperlink" Target="https://www.uninorte.edu.co/web/bie-univ/estudiantesopinan" TargetMode="External"/><Relationship Id="rId205" Type="http://schemas.openxmlformats.org/officeDocument/2006/relationships/hyperlink" Target="https://uninorte.zoom.us/j/87843494035" TargetMode="External"/><Relationship Id="rId447" Type="http://schemas.openxmlformats.org/officeDocument/2006/relationships/hyperlink" Target="https://meet.google.com/rot-vxgh-ebk" TargetMode="External"/><Relationship Id="rId689" Type="http://schemas.openxmlformats.org/officeDocument/2006/relationships/hyperlink" Target="https://uninorte.zoom.us/j/86520771676" TargetMode="External"/><Relationship Id="rId204" Type="http://schemas.openxmlformats.org/officeDocument/2006/relationships/hyperlink" Target="https://uninorte.zoom.us/j/81695918750?pwd=RUhOZ2I4Q2xLVkxJWlA4aHJFN1NWdz09" TargetMode="External"/><Relationship Id="rId446" Type="http://schemas.openxmlformats.org/officeDocument/2006/relationships/hyperlink" Target="https://meet.google.com/jev-qzfr-dan" TargetMode="External"/><Relationship Id="rId688" Type="http://schemas.openxmlformats.org/officeDocument/2006/relationships/hyperlink" Target="https://drive.google.com/open?id=1cXhWxxdri0SqmgzaQlT9R3VlbYqmNONk" TargetMode="External"/><Relationship Id="rId203" Type="http://schemas.openxmlformats.org/officeDocument/2006/relationships/hyperlink" Target="https://drive.google.com/open?id=1ZeFPHZoYsnCs346LPAcqem1oSCr6qIFD" TargetMode="External"/><Relationship Id="rId445" Type="http://schemas.openxmlformats.org/officeDocument/2006/relationships/hyperlink" Target="https://www.instagram.com/createcun/" TargetMode="External"/><Relationship Id="rId687" Type="http://schemas.openxmlformats.org/officeDocument/2006/relationships/hyperlink" Target="https://uninorte.zoom.us/j/85940516757?pwd=WWNVV2w2RjVEUEkya09uV1BveVA1Zz09" TargetMode="External"/><Relationship Id="rId209" Type="http://schemas.openxmlformats.org/officeDocument/2006/relationships/hyperlink" Target="https://drive.google.com/open?id=1-tFG8LjWwuj-UNOqVWjg45Oxzeb2j7en" TargetMode="External"/><Relationship Id="rId208" Type="http://schemas.openxmlformats.org/officeDocument/2006/relationships/hyperlink" Target="https://uninorte.zoom.us/j/83645443020?pwd=QkRDdkxBcGEzd0h1Q09GVmtFYnJaUT09" TargetMode="External"/><Relationship Id="rId207" Type="http://schemas.openxmlformats.org/officeDocument/2006/relationships/hyperlink" Target="https://drive.google.com/open?id=1GF2ui_aPjrw0tthfBFPZzNrJ5bYcTIIi" TargetMode="External"/><Relationship Id="rId449" Type="http://schemas.openxmlformats.org/officeDocument/2006/relationships/hyperlink" Target="https://instagram.com/feminun?utm_medium=copy_link" TargetMode="External"/><Relationship Id="rId440" Type="http://schemas.openxmlformats.org/officeDocument/2006/relationships/hyperlink" Target="https://uninorte.zoom.us/j/87002186016?pwd=S1Q2OWVDUG9RV0Y3eUJlUks2aFNEZz09" TargetMode="External"/><Relationship Id="rId682" Type="http://schemas.openxmlformats.org/officeDocument/2006/relationships/hyperlink" Target="https://uninorte.zoom.us/meeting/register/tZIocuGrqTkvHdDCJ8vYX2yrdpEAkKUrIZjN" TargetMode="External"/><Relationship Id="rId681" Type="http://schemas.openxmlformats.org/officeDocument/2006/relationships/hyperlink" Target="https://drive.google.com/open?id=1YUpvbfwdjm3JgMoqh-_389_Y_H8XOZRZ" TargetMode="External"/><Relationship Id="rId680" Type="http://schemas.openxmlformats.org/officeDocument/2006/relationships/hyperlink" Target="https://uninorte.zoom.us/meeting/register/tZ0lcOquqTIvGtCxFy8Ow-c0fBJHu5g2owss" TargetMode="External"/><Relationship Id="rId202" Type="http://schemas.openxmlformats.org/officeDocument/2006/relationships/hyperlink" Target="https://uninorte.zoom.us/j/87843494035" TargetMode="External"/><Relationship Id="rId444" Type="http://schemas.openxmlformats.org/officeDocument/2006/relationships/hyperlink" Target="https://uninorte.zoom.us/j/83897459347" TargetMode="External"/><Relationship Id="rId686" Type="http://schemas.openxmlformats.org/officeDocument/2006/relationships/hyperlink" Target="https://meet.google.com/fju-uauf-dvp?pli=1&amp;authuser=1" TargetMode="External"/><Relationship Id="rId201" Type="http://schemas.openxmlformats.org/officeDocument/2006/relationships/hyperlink" Target="https://meet.google.com/fzu-qywt-mbb" TargetMode="External"/><Relationship Id="rId443" Type="http://schemas.openxmlformats.org/officeDocument/2006/relationships/hyperlink" Target="https://uninorte.zoom.us/j/82545824527?pwd=U2VreGNLUjNsSTFlVGpheG1BdG4wQT09" TargetMode="External"/><Relationship Id="rId685" Type="http://schemas.openxmlformats.org/officeDocument/2006/relationships/hyperlink" Target="https://drive.google.com/open?id=1LMCPjB8jXC1AQ5WH07EhlMd-e0FZ__ef" TargetMode="External"/><Relationship Id="rId200" Type="http://schemas.openxmlformats.org/officeDocument/2006/relationships/hyperlink" Target="https://drive.google.com/open?id=1KAFO0Gi9mIKVIoGgZAh_BO9KvK5czQf9" TargetMode="External"/><Relationship Id="rId442" Type="http://schemas.openxmlformats.org/officeDocument/2006/relationships/hyperlink" Target="https://www.facebook.com/groups/felifriends/?ref=share" TargetMode="External"/><Relationship Id="rId684" Type="http://schemas.openxmlformats.org/officeDocument/2006/relationships/hyperlink" Target="https://meet.google.com/fju-uauf-dvp?hs=224" TargetMode="External"/><Relationship Id="rId441" Type="http://schemas.openxmlformats.org/officeDocument/2006/relationships/hyperlink" Target="https://uninorte.zoom.us/j/81406669421?pwd=ektjdDcrRk5hc2VXNGxUQWNYajNnUT09" TargetMode="External"/><Relationship Id="rId683" Type="http://schemas.openxmlformats.org/officeDocument/2006/relationships/hyperlink" Target="https://drive.google.com/open?id=1eac94ix1slJXfRO2YLpFfKxlM4glkY_4" TargetMode="External"/><Relationship Id="rId437" Type="http://schemas.openxmlformats.org/officeDocument/2006/relationships/hyperlink" Target="https://uninorte.zoom.us/j/3299010108" TargetMode="External"/><Relationship Id="rId679" Type="http://schemas.openxmlformats.org/officeDocument/2006/relationships/hyperlink" Target="https://drive.google.com/open?id=1tRoKHgmzyGIDGa4qDCQLMLq_5fFSWL-m" TargetMode="External"/><Relationship Id="rId436" Type="http://schemas.openxmlformats.org/officeDocument/2006/relationships/hyperlink" Target="https://uninorte.zoom.us/j/84793185207?pwd=Slo4dXprMFlmc1NwUFNDVERoWlUwdz09" TargetMode="External"/><Relationship Id="rId678" Type="http://schemas.openxmlformats.org/officeDocument/2006/relationships/hyperlink" Target="https://uninorte.zoom.us/meeting/register/tZIocuGrqTkvHdDCJ8vYX2yrdpEAkKUrIZjN" TargetMode="External"/><Relationship Id="rId435" Type="http://schemas.openxmlformats.org/officeDocument/2006/relationships/hyperlink" Target="https://meet.google.com/fum-tjmj-gme" TargetMode="External"/><Relationship Id="rId677" Type="http://schemas.openxmlformats.org/officeDocument/2006/relationships/hyperlink" Target="https://drive.google.com/open?id=1huyr4S6kQ02OR4uBqqeCQ1kqrzUoHkEe" TargetMode="External"/><Relationship Id="rId434" Type="http://schemas.openxmlformats.org/officeDocument/2006/relationships/hyperlink" Target="https://uninorte.zoom.us/j/89245450358?pwd=NFFINXhFMnJWZWh0NWhqblpKTzBHdz09" TargetMode="External"/><Relationship Id="rId676" Type="http://schemas.openxmlformats.org/officeDocument/2006/relationships/hyperlink" Target="https://uninorte.zoom.us/meeting/register/tZ0lcOquqTIvGtCxFy8Ow-c0fBJHu5g2owss" TargetMode="External"/><Relationship Id="rId439" Type="http://schemas.openxmlformats.org/officeDocument/2006/relationships/hyperlink" Target="https://uninorte.zoom.us/j/83812377058?pwd=Z01BWDRKaTI2RWFKNk5idmdidFQxUT09" TargetMode="External"/><Relationship Id="rId438" Type="http://schemas.openxmlformats.org/officeDocument/2006/relationships/hyperlink" Target="https://uninorte.zoom.us/j/8729670906" TargetMode="External"/><Relationship Id="rId671" Type="http://schemas.openxmlformats.org/officeDocument/2006/relationships/hyperlink" Target="https://drive.google.com/open?id=1Yxiba8PqJrY-cx3wZRoeV3Ri_JNfqJoL" TargetMode="External"/><Relationship Id="rId670" Type="http://schemas.openxmlformats.org/officeDocument/2006/relationships/hyperlink" Target="https://uninorte.zoom.us/j/89877810901?pwd=TzB2MHcxTk16aE5zRytzZzRhekp1Zz09" TargetMode="External"/><Relationship Id="rId433" Type="http://schemas.openxmlformats.org/officeDocument/2006/relationships/hyperlink" Target="https://www.uninorte.edu.co/web/ceimun/home?p_p_id=33&amp;p_p_lifecycle=0&amp;p_p_state=normal&amp;p_p_mode=view&amp;p_p_col_id=column-2&amp;p_p_col_pos=1&amp;p_p_col_count=2" TargetMode="External"/><Relationship Id="rId675" Type="http://schemas.openxmlformats.org/officeDocument/2006/relationships/hyperlink" Target="https://drive.google.com/open?id=10e-1cUEyFO4iKgFKTaCdIWjE4Wr_tpIz" TargetMode="External"/><Relationship Id="rId432" Type="http://schemas.openxmlformats.org/officeDocument/2006/relationships/hyperlink" Target="https://instagram.com/feminun?utm_medium=copy_link" TargetMode="External"/><Relationship Id="rId674" Type="http://schemas.openxmlformats.org/officeDocument/2006/relationships/hyperlink" Target="https://meet.google.com/xae-faej-fbg" TargetMode="External"/><Relationship Id="rId431" Type="http://schemas.openxmlformats.org/officeDocument/2006/relationships/hyperlink" Target="https://uninorte.zoom.us/j/89844134767" TargetMode="External"/><Relationship Id="rId673" Type="http://schemas.openxmlformats.org/officeDocument/2006/relationships/hyperlink" Target="https://drive.google.com/open?id=1omn2KtRbKsz0sYBkJYvLLw9HOuYsizWQ" TargetMode="External"/><Relationship Id="rId430" Type="http://schemas.openxmlformats.org/officeDocument/2006/relationships/hyperlink" Target="https://uninorte.zoom.us/meeting/register/tZclduCoqzMqGdVlmHm0VoZTOJqmiEKkxRtg" TargetMode="External"/><Relationship Id="rId672" Type="http://schemas.openxmlformats.org/officeDocument/2006/relationships/hyperlink" Target="https://uninorte.zoom.us/j/81239402828?pwd=bDloRlltS0xWOXkwN0pnT0Ywd2lMQT09"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meet.google.com/sea-mfmj-huc" TargetMode="External"/><Relationship Id="rId3" Type="http://schemas.openxmlformats.org/officeDocument/2006/relationships/hyperlink" Target="https://meet.google.com/sea-mfmj-huc" TargetMode="External"/><Relationship Id="rId4" Type="http://schemas.openxmlformats.org/officeDocument/2006/relationships/hyperlink" Target="https://drive.google.com/open?id=1aK3WurgNLrh5AbPVVUagjmzKc70mPktl" TargetMode="External"/><Relationship Id="rId9" Type="http://schemas.openxmlformats.org/officeDocument/2006/relationships/hyperlink" Target="https://drive.google.com/open?id=1VxEbm2FrWLec6CrN6V4fr-7izeKPiMk9" TargetMode="External"/><Relationship Id="rId5" Type="http://schemas.openxmlformats.org/officeDocument/2006/relationships/hyperlink" Target="https://meet.google.com/xwt-ktcx-wio" TargetMode="External"/><Relationship Id="rId6" Type="http://schemas.openxmlformats.org/officeDocument/2006/relationships/hyperlink" Target="https://meet.google.com/rwt-wzbh-bom" TargetMode="External"/><Relationship Id="rId7" Type="http://schemas.openxmlformats.org/officeDocument/2006/relationships/hyperlink" Target="https://instagram.com/cdiep_uninorte?igshid=g9fpvprbyyzq" TargetMode="External"/><Relationship Id="rId8" Type="http://schemas.openxmlformats.org/officeDocument/2006/relationships/hyperlink" Target="https://instagram.com/stories/gg_uninorte/2530047698186087793?utm_source=ig_story_item_share&amp;igshid=1inyor35okfv4" TargetMode="External"/><Relationship Id="rId20" Type="http://schemas.openxmlformats.org/officeDocument/2006/relationships/hyperlink" Target="https://www.instagram.com/gg_uninorte/" TargetMode="External"/><Relationship Id="rId22" Type="http://schemas.openxmlformats.org/officeDocument/2006/relationships/hyperlink" Target="https://www.instagram.com/gg_uninorte/" TargetMode="External"/><Relationship Id="rId21" Type="http://schemas.openxmlformats.org/officeDocument/2006/relationships/hyperlink" Target="https://www.instagram.com/gg_uninorte/" TargetMode="External"/><Relationship Id="rId24" Type="http://schemas.openxmlformats.org/officeDocument/2006/relationships/hyperlink" Target="https://meet.google.com/svc-touw-zwk" TargetMode="External"/><Relationship Id="rId23" Type="http://schemas.openxmlformats.org/officeDocument/2006/relationships/hyperlink" Target="https://www.instagram.com/agorauninorte/" TargetMode="External"/><Relationship Id="rId26" Type="http://schemas.openxmlformats.org/officeDocument/2006/relationships/hyperlink" Target="https://meet.google.com/jiu-qxkg-zin" TargetMode="External"/><Relationship Id="rId25" Type="http://schemas.openxmlformats.org/officeDocument/2006/relationships/hyperlink" Target="https://www.instagram.com/agorauninorte/" TargetMode="External"/><Relationship Id="rId28" Type="http://schemas.openxmlformats.org/officeDocument/2006/relationships/drawing" Target="../drawings/drawing4.xml"/><Relationship Id="rId27" Type="http://schemas.openxmlformats.org/officeDocument/2006/relationships/hyperlink" Target="https://uninorte.zoom.us/j/85301516446?pwd=ZHRxWGs5TmVPZHJVV3pQTlV1SVpPdz09" TargetMode="External"/><Relationship Id="rId29" Type="http://schemas.openxmlformats.org/officeDocument/2006/relationships/vmlDrawing" Target="../drawings/vmlDrawing1.vml"/><Relationship Id="rId11" Type="http://schemas.openxmlformats.org/officeDocument/2006/relationships/hyperlink" Target="https://meet.google.com/rez-gkaq-fse" TargetMode="External"/><Relationship Id="rId10" Type="http://schemas.openxmlformats.org/officeDocument/2006/relationships/hyperlink" Target="https://meet.google.com/rez-gkaq-fse" TargetMode="External"/><Relationship Id="rId13" Type="http://schemas.openxmlformats.org/officeDocument/2006/relationships/hyperlink" Target="https://www.instagram.com/gg_uninorte/" TargetMode="External"/><Relationship Id="rId12" Type="http://schemas.openxmlformats.org/officeDocument/2006/relationships/hyperlink" Target="https://meet.google.com/rez-gkaq-fse" TargetMode="External"/><Relationship Id="rId15" Type="http://schemas.openxmlformats.org/officeDocument/2006/relationships/hyperlink" Target="https://uninorte.zoom.us/j/84581970178?pwd=NkM1c2hqVCtmbk8rSHYxeU5qUmJ0UT09" TargetMode="External"/><Relationship Id="rId14" Type="http://schemas.openxmlformats.org/officeDocument/2006/relationships/hyperlink" Target="https://www.instagram.com/gg_uninorte/" TargetMode="External"/><Relationship Id="rId17" Type="http://schemas.openxmlformats.org/officeDocument/2006/relationships/hyperlink" Target="https://meet.google.com/zsh-jhch-bpo" TargetMode="External"/><Relationship Id="rId16" Type="http://schemas.openxmlformats.org/officeDocument/2006/relationships/hyperlink" Target="https://meet.google.com/agz-wnwj-csg" TargetMode="External"/><Relationship Id="rId19" Type="http://schemas.openxmlformats.org/officeDocument/2006/relationships/hyperlink" Target="https://uninorte.zoom.us/j/81199689072?pwd=TVdDSHFPQ3F4Y2o5L1RETUN0RE1wdz09" TargetMode="External"/><Relationship Id="rId18" Type="http://schemas.openxmlformats.org/officeDocument/2006/relationships/hyperlink" Target="https://meet.google.com/bsw-nvkp-qiy"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2" width="18.88"/>
    <col customWidth="1" min="3" max="3" width="27.63"/>
    <col customWidth="1" min="4" max="5" width="18.88"/>
    <col customWidth="1" min="6" max="6" width="50.0"/>
    <col customWidth="1" min="7" max="7" width="262.25"/>
    <col customWidth="1" min="8" max="14" width="18.88"/>
    <col customWidth="1" min="15" max="15" width="20.75"/>
    <col customWidth="1" min="16" max="20" width="18.88"/>
    <col customWidth="1" min="21" max="21" width="20.5"/>
    <col customWidth="1" min="22" max="22" width="84.13"/>
    <col customWidth="1" min="23" max="23" width="119.88"/>
    <col customWidth="1" min="24" max="24" width="13.13"/>
    <col customWidth="1" min="25" max="25" width="18.88"/>
    <col customWidth="1" min="26" max="26" width="33.25"/>
    <col customWidth="1" min="27" max="27" width="29.5"/>
    <col customWidth="1" min="28" max="28" width="26.88"/>
    <col customWidth="1" min="29" max="29" width="18.88"/>
  </cols>
  <sheetData>
    <row r="1">
      <c r="A1" s="1" t="s">
        <v>0</v>
      </c>
      <c r="B1" s="2" t="s">
        <v>1</v>
      </c>
      <c r="C1" s="2" t="s">
        <v>2</v>
      </c>
      <c r="D1" s="2" t="s">
        <v>3</v>
      </c>
      <c r="E1" s="2" t="s">
        <v>4</v>
      </c>
      <c r="F1" s="2" t="s">
        <v>5</v>
      </c>
      <c r="G1" s="2" t="s">
        <v>6</v>
      </c>
      <c r="H1" s="3" t="s">
        <v>7</v>
      </c>
      <c r="I1" s="3" t="s">
        <v>8</v>
      </c>
      <c r="J1" s="2" t="s">
        <v>9</v>
      </c>
      <c r="K1" s="2" t="s">
        <v>10</v>
      </c>
      <c r="L1" s="4" t="s">
        <v>11</v>
      </c>
      <c r="M1" s="4" t="s">
        <v>12</v>
      </c>
      <c r="N1" s="2" t="s">
        <v>13</v>
      </c>
      <c r="O1" s="2" t="s">
        <v>14</v>
      </c>
      <c r="P1" s="4" t="s">
        <v>15</v>
      </c>
      <c r="Q1" s="4" t="s">
        <v>16</v>
      </c>
      <c r="R1" s="4" t="s">
        <v>17</v>
      </c>
      <c r="S1" s="4" t="s">
        <v>18</v>
      </c>
      <c r="T1" s="4" t="s">
        <v>19</v>
      </c>
      <c r="U1" s="4" t="s">
        <v>20</v>
      </c>
      <c r="V1" s="4" t="s">
        <v>21</v>
      </c>
      <c r="W1" s="5" t="s">
        <v>22</v>
      </c>
      <c r="X1" s="2" t="s">
        <v>23</v>
      </c>
      <c r="Y1" s="2" t="s">
        <v>24</v>
      </c>
      <c r="Z1" s="6" t="s">
        <v>25</v>
      </c>
      <c r="AA1" s="7" t="s">
        <v>26</v>
      </c>
      <c r="AB1" s="8">
        <v>2.0</v>
      </c>
      <c r="AC1" s="9"/>
    </row>
    <row r="2">
      <c r="A2" s="10" t="s">
        <v>27</v>
      </c>
      <c r="B2" s="11">
        <v>44230.60802103009</v>
      </c>
      <c r="C2" s="10" t="s">
        <v>28</v>
      </c>
      <c r="D2" s="10" t="s">
        <v>29</v>
      </c>
      <c r="E2" s="10" t="s">
        <v>30</v>
      </c>
      <c r="F2" s="10" t="s">
        <v>31</v>
      </c>
      <c r="G2" s="10" t="s">
        <v>32</v>
      </c>
      <c r="H2" s="12">
        <v>43871.145833333336</v>
      </c>
      <c r="I2" s="12">
        <v>43871.229166666664</v>
      </c>
      <c r="J2" s="10" t="s">
        <v>33</v>
      </c>
      <c r="K2" s="10" t="s">
        <v>34</v>
      </c>
      <c r="N2" s="10" t="s">
        <v>35</v>
      </c>
      <c r="V2" s="9"/>
      <c r="W2" s="13" t="s">
        <v>36</v>
      </c>
      <c r="X2" s="10" t="s">
        <v>37</v>
      </c>
      <c r="Y2" s="10" t="s">
        <v>0</v>
      </c>
    </row>
    <row r="3">
      <c r="A3" s="10" t="s">
        <v>38</v>
      </c>
      <c r="B3" s="11">
        <v>44469.652659363426</v>
      </c>
      <c r="C3" s="10" t="s">
        <v>28</v>
      </c>
      <c r="D3" s="10" t="s">
        <v>29</v>
      </c>
      <c r="E3" s="10" t="s">
        <v>39</v>
      </c>
      <c r="F3" s="10" t="s">
        <v>40</v>
      </c>
      <c r="G3" s="10" t="s">
        <v>41</v>
      </c>
      <c r="H3" s="11" t="s">
        <v>42</v>
      </c>
      <c r="I3" s="11">
        <v>44477.77083333333</v>
      </c>
      <c r="J3" s="10" t="s">
        <v>43</v>
      </c>
      <c r="K3" s="10" t="s">
        <v>34</v>
      </c>
      <c r="N3" s="10" t="s">
        <v>35</v>
      </c>
      <c r="V3" s="14" t="s">
        <v>44</v>
      </c>
      <c r="W3" s="15" t="s">
        <v>36</v>
      </c>
      <c r="X3" s="10" t="s">
        <v>37</v>
      </c>
      <c r="Y3" s="10" t="s">
        <v>0</v>
      </c>
    </row>
    <row r="4">
      <c r="A4" s="10" t="s">
        <v>45</v>
      </c>
      <c r="B4" s="11">
        <v>44243.854501354166</v>
      </c>
      <c r="C4" s="10" t="s">
        <v>46</v>
      </c>
      <c r="D4" s="10" t="s">
        <v>47</v>
      </c>
      <c r="E4" s="10" t="s">
        <v>48</v>
      </c>
      <c r="F4" s="10" t="s">
        <v>49</v>
      </c>
      <c r="G4" s="10" t="s">
        <v>50</v>
      </c>
      <c r="H4" s="16">
        <v>44183.33333333333</v>
      </c>
      <c r="I4" s="16">
        <v>44183.99930555555</v>
      </c>
      <c r="J4" s="10" t="s">
        <v>51</v>
      </c>
      <c r="K4" s="10" t="s">
        <v>34</v>
      </c>
      <c r="N4" s="10" t="s">
        <v>35</v>
      </c>
      <c r="V4" s="9"/>
      <c r="W4" s="13" t="s">
        <v>36</v>
      </c>
      <c r="X4" s="10" t="s">
        <v>37</v>
      </c>
      <c r="Y4" s="10" t="s">
        <v>0</v>
      </c>
    </row>
    <row r="5">
      <c r="A5" s="10" t="s">
        <v>52</v>
      </c>
      <c r="B5" s="11">
        <v>44243.87448024306</v>
      </c>
      <c r="C5" s="10" t="s">
        <v>46</v>
      </c>
      <c r="D5" s="10" t="s">
        <v>47</v>
      </c>
      <c r="E5" s="10" t="s">
        <v>53</v>
      </c>
      <c r="F5" s="10" t="s">
        <v>54</v>
      </c>
      <c r="G5" s="10" t="s">
        <v>55</v>
      </c>
      <c r="H5" s="16">
        <v>44183.33333333333</v>
      </c>
      <c r="I5" s="16">
        <v>44183.99930555555</v>
      </c>
      <c r="J5" s="10" t="s">
        <v>51</v>
      </c>
      <c r="K5" s="10" t="s">
        <v>34</v>
      </c>
      <c r="N5" s="10" t="s">
        <v>35</v>
      </c>
      <c r="V5" s="9"/>
      <c r="W5" s="13" t="s">
        <v>36</v>
      </c>
      <c r="X5" s="10" t="s">
        <v>37</v>
      </c>
      <c r="Y5" s="10" t="s">
        <v>0</v>
      </c>
    </row>
    <row r="6">
      <c r="A6" s="10" t="s">
        <v>56</v>
      </c>
      <c r="B6" s="11">
        <v>44243.87886385417</v>
      </c>
      <c r="C6" s="10" t="s">
        <v>46</v>
      </c>
      <c r="D6" s="10" t="s">
        <v>47</v>
      </c>
      <c r="E6" s="10" t="s">
        <v>57</v>
      </c>
      <c r="F6" s="10" t="s">
        <v>58</v>
      </c>
      <c r="G6" s="10" t="s">
        <v>59</v>
      </c>
      <c r="H6" s="16">
        <v>44189.375</v>
      </c>
      <c r="I6" s="16">
        <v>44189.99930555555</v>
      </c>
      <c r="J6" s="10" t="s">
        <v>60</v>
      </c>
      <c r="K6" s="10" t="s">
        <v>61</v>
      </c>
      <c r="N6" s="10" t="s">
        <v>35</v>
      </c>
      <c r="V6" s="9"/>
      <c r="W6" s="13" t="s">
        <v>36</v>
      </c>
      <c r="X6" s="10" t="s">
        <v>37</v>
      </c>
      <c r="Y6" s="10" t="s">
        <v>0</v>
      </c>
    </row>
    <row r="7">
      <c r="A7" s="10" t="s">
        <v>62</v>
      </c>
      <c r="B7" s="11">
        <v>44244.91773398148</v>
      </c>
      <c r="C7" s="10" t="s">
        <v>28</v>
      </c>
      <c r="D7" s="10" t="s">
        <v>29</v>
      </c>
      <c r="E7" s="10" t="s">
        <v>63</v>
      </c>
      <c r="F7" s="10" t="s">
        <v>64</v>
      </c>
      <c r="G7" s="10" t="s">
        <v>65</v>
      </c>
      <c r="H7" s="16">
        <v>43880.60416666667</v>
      </c>
      <c r="I7" s="16">
        <v>43880.6875</v>
      </c>
      <c r="J7" s="10" t="s">
        <v>43</v>
      </c>
      <c r="K7" s="10" t="s">
        <v>34</v>
      </c>
      <c r="N7" s="10" t="s">
        <v>35</v>
      </c>
      <c r="V7" s="9"/>
      <c r="W7" s="13" t="s">
        <v>66</v>
      </c>
      <c r="X7" s="10" t="s">
        <v>37</v>
      </c>
      <c r="Y7" s="10" t="s">
        <v>0</v>
      </c>
    </row>
    <row r="8">
      <c r="A8" s="10" t="s">
        <v>67</v>
      </c>
      <c r="B8" s="11">
        <v>44238.77753813658</v>
      </c>
      <c r="C8" s="10" t="s">
        <v>68</v>
      </c>
      <c r="D8" s="10" t="s">
        <v>69</v>
      </c>
      <c r="E8" s="10" t="s">
        <v>70</v>
      </c>
      <c r="F8" s="10" t="s">
        <v>71</v>
      </c>
      <c r="G8" s="10" t="s">
        <v>72</v>
      </c>
      <c r="H8" s="16">
        <v>44212.41666666667</v>
      </c>
      <c r="I8" s="16">
        <v>44339.66666666667</v>
      </c>
      <c r="J8" s="10" t="s">
        <v>73</v>
      </c>
      <c r="K8" s="10" t="s">
        <v>34</v>
      </c>
      <c r="N8" s="10" t="s">
        <v>35</v>
      </c>
      <c r="V8" s="9"/>
      <c r="W8" s="13" t="s">
        <v>36</v>
      </c>
      <c r="X8" s="10" t="s">
        <v>37</v>
      </c>
      <c r="Y8" s="10" t="s">
        <v>0</v>
      </c>
    </row>
    <row r="9">
      <c r="A9" s="10" t="s">
        <v>74</v>
      </c>
      <c r="B9" s="11">
        <v>44272.63792820602</v>
      </c>
      <c r="C9" s="10" t="s">
        <v>46</v>
      </c>
      <c r="D9" s="10" t="s">
        <v>47</v>
      </c>
      <c r="E9" s="10" t="s">
        <v>75</v>
      </c>
      <c r="F9" s="10" t="s">
        <v>76</v>
      </c>
      <c r="G9" s="10" t="s">
        <v>77</v>
      </c>
      <c r="H9" s="17">
        <v>44217.33333333333</v>
      </c>
      <c r="I9" s="17">
        <v>44217.66666666667</v>
      </c>
      <c r="J9" s="10" t="s">
        <v>51</v>
      </c>
      <c r="K9" s="10" t="s">
        <v>34</v>
      </c>
      <c r="N9" s="10" t="s">
        <v>35</v>
      </c>
      <c r="V9" s="9"/>
      <c r="W9" s="13" t="s">
        <v>78</v>
      </c>
      <c r="X9" s="10" t="s">
        <v>37</v>
      </c>
      <c r="Y9" s="10" t="s">
        <v>0</v>
      </c>
    </row>
    <row r="10">
      <c r="A10" s="10" t="s">
        <v>79</v>
      </c>
      <c r="B10" s="11">
        <v>44223.525795925925</v>
      </c>
      <c r="C10" s="10" t="s">
        <v>80</v>
      </c>
      <c r="D10" s="10" t="s">
        <v>81</v>
      </c>
      <c r="E10" s="10" t="s">
        <v>82</v>
      </c>
      <c r="F10" s="10" t="s">
        <v>83</v>
      </c>
      <c r="G10" s="10" t="s">
        <v>84</v>
      </c>
      <c r="H10" s="12">
        <v>44218.666666666664</v>
      </c>
      <c r="I10" s="12">
        <v>44218.666666666664</v>
      </c>
      <c r="J10" s="10" t="s">
        <v>73</v>
      </c>
      <c r="K10" s="10" t="s">
        <v>34</v>
      </c>
      <c r="N10" s="10" t="s">
        <v>35</v>
      </c>
      <c r="V10" s="9"/>
      <c r="W10" s="13" t="s">
        <v>36</v>
      </c>
      <c r="X10" s="10" t="s">
        <v>37</v>
      </c>
      <c r="Y10" s="10" t="s">
        <v>0</v>
      </c>
    </row>
    <row r="11">
      <c r="A11" s="10" t="s">
        <v>85</v>
      </c>
      <c r="B11" s="11">
        <v>44243.88413884259</v>
      </c>
      <c r="C11" s="10" t="s">
        <v>46</v>
      </c>
      <c r="D11" s="10" t="s">
        <v>47</v>
      </c>
      <c r="E11" s="10" t="s">
        <v>57</v>
      </c>
      <c r="F11" s="10" t="s">
        <v>86</v>
      </c>
      <c r="G11" s="10" t="s">
        <v>87</v>
      </c>
      <c r="H11" s="16">
        <v>44218.72916666667</v>
      </c>
      <c r="I11" s="16">
        <v>44218.77083333333</v>
      </c>
      <c r="J11" s="10" t="s">
        <v>51</v>
      </c>
      <c r="K11" s="10" t="s">
        <v>34</v>
      </c>
      <c r="N11" s="10" t="s">
        <v>35</v>
      </c>
      <c r="V11" s="9"/>
      <c r="W11" s="13" t="s">
        <v>36</v>
      </c>
      <c r="X11" s="10" t="s">
        <v>37</v>
      </c>
      <c r="Y11" s="10" t="s">
        <v>0</v>
      </c>
    </row>
    <row r="12">
      <c r="A12" s="10" t="s">
        <v>88</v>
      </c>
      <c r="B12" s="11">
        <v>44243.88828994213</v>
      </c>
      <c r="C12" s="10" t="s">
        <v>46</v>
      </c>
      <c r="D12" s="10" t="s">
        <v>47</v>
      </c>
      <c r="E12" s="10" t="s">
        <v>57</v>
      </c>
      <c r="F12" s="10" t="s">
        <v>89</v>
      </c>
      <c r="G12" s="10" t="s">
        <v>90</v>
      </c>
      <c r="H12" s="16">
        <v>44220.33333333333</v>
      </c>
      <c r="I12" s="16">
        <v>44220.99930555555</v>
      </c>
      <c r="J12" s="10" t="s">
        <v>51</v>
      </c>
      <c r="K12" s="10" t="s">
        <v>34</v>
      </c>
      <c r="N12" s="10" t="s">
        <v>35</v>
      </c>
      <c r="V12" s="9"/>
      <c r="W12" s="13" t="s">
        <v>36</v>
      </c>
      <c r="X12" s="10" t="s">
        <v>37</v>
      </c>
      <c r="Y12" s="10" t="s">
        <v>0</v>
      </c>
    </row>
    <row r="13">
      <c r="A13" s="10" t="s">
        <v>91</v>
      </c>
      <c r="B13" s="11">
        <v>44223.515085</v>
      </c>
      <c r="C13" s="10" t="s">
        <v>80</v>
      </c>
      <c r="D13" s="10" t="s">
        <v>81</v>
      </c>
      <c r="E13" s="10" t="s">
        <v>92</v>
      </c>
      <c r="F13" s="10" t="s">
        <v>93</v>
      </c>
      <c r="G13" s="10" t="s">
        <v>94</v>
      </c>
      <c r="H13" s="12">
        <v>44221.5</v>
      </c>
      <c r="I13" s="12">
        <v>44221.5</v>
      </c>
      <c r="J13" s="10" t="s">
        <v>73</v>
      </c>
      <c r="K13" s="10" t="s">
        <v>34</v>
      </c>
      <c r="N13" s="10" t="s">
        <v>35</v>
      </c>
      <c r="V13" s="9"/>
      <c r="W13" s="13" t="s">
        <v>36</v>
      </c>
      <c r="X13" s="10" t="s">
        <v>37</v>
      </c>
      <c r="Y13" s="10" t="s">
        <v>0</v>
      </c>
    </row>
    <row r="14">
      <c r="A14" s="10" t="s">
        <v>95</v>
      </c>
      <c r="B14" s="11">
        <v>44235.75901513889</v>
      </c>
      <c r="C14" s="10" t="s">
        <v>96</v>
      </c>
      <c r="D14" s="10" t="s">
        <v>97</v>
      </c>
      <c r="E14" s="10" t="s">
        <v>98</v>
      </c>
      <c r="F14" s="10" t="s">
        <v>99</v>
      </c>
      <c r="G14" s="10" t="s">
        <v>100</v>
      </c>
      <c r="H14" s="12">
        <v>44221.5</v>
      </c>
      <c r="I14" s="12">
        <v>44221.5</v>
      </c>
      <c r="J14" s="10" t="s">
        <v>73</v>
      </c>
      <c r="K14" s="10" t="s">
        <v>34</v>
      </c>
      <c r="N14" s="10" t="s">
        <v>35</v>
      </c>
      <c r="V14" s="9"/>
      <c r="W14" s="13" t="s">
        <v>36</v>
      </c>
      <c r="X14" s="10" t="s">
        <v>37</v>
      </c>
      <c r="Y14" s="10" t="s">
        <v>0</v>
      </c>
    </row>
    <row r="15">
      <c r="A15" s="10" t="s">
        <v>101</v>
      </c>
      <c r="B15" s="11">
        <v>44223.6754715625</v>
      </c>
      <c r="C15" s="10" t="s">
        <v>102</v>
      </c>
      <c r="D15" s="10" t="s">
        <v>103</v>
      </c>
      <c r="E15" s="10" t="s">
        <v>104</v>
      </c>
      <c r="F15" s="10" t="s">
        <v>105</v>
      </c>
      <c r="G15" s="10" t="s">
        <v>106</v>
      </c>
      <c r="H15" s="12">
        <v>44221.541666666664</v>
      </c>
      <c r="I15" s="12">
        <v>44221.541666666664</v>
      </c>
      <c r="J15" s="10" t="s">
        <v>73</v>
      </c>
      <c r="K15" s="10" t="s">
        <v>34</v>
      </c>
      <c r="N15" s="10" t="s">
        <v>35</v>
      </c>
      <c r="V15" s="9"/>
      <c r="W15" s="13" t="s">
        <v>107</v>
      </c>
      <c r="X15" s="10" t="s">
        <v>37</v>
      </c>
      <c r="Y15" s="10" t="s">
        <v>0</v>
      </c>
    </row>
    <row r="16">
      <c r="A16" s="10" t="s">
        <v>108</v>
      </c>
      <c r="B16" s="11">
        <v>44272.5907443287</v>
      </c>
      <c r="C16" s="10" t="s">
        <v>46</v>
      </c>
      <c r="D16" s="10" t="s">
        <v>47</v>
      </c>
      <c r="E16" s="10" t="s">
        <v>109</v>
      </c>
      <c r="F16" s="10" t="s">
        <v>110</v>
      </c>
      <c r="G16" s="10" t="s">
        <v>111</v>
      </c>
      <c r="H16" s="17">
        <v>44222.33333333333</v>
      </c>
      <c r="I16" s="17">
        <v>44222.75</v>
      </c>
      <c r="J16" s="10" t="s">
        <v>51</v>
      </c>
      <c r="K16" s="10" t="s">
        <v>34</v>
      </c>
      <c r="N16" s="10" t="s">
        <v>35</v>
      </c>
      <c r="V16" s="9"/>
      <c r="W16" s="13" t="s">
        <v>78</v>
      </c>
      <c r="X16" s="10" t="s">
        <v>37</v>
      </c>
      <c r="Y16" s="10" t="s">
        <v>0</v>
      </c>
    </row>
    <row r="17">
      <c r="A17" s="10" t="s">
        <v>112</v>
      </c>
      <c r="B17" s="11">
        <v>44243.889939953704</v>
      </c>
      <c r="C17" s="10" t="s">
        <v>46</v>
      </c>
      <c r="D17" s="10" t="s">
        <v>47</v>
      </c>
      <c r="E17" s="10" t="s">
        <v>57</v>
      </c>
      <c r="F17" s="10" t="s">
        <v>113</v>
      </c>
      <c r="G17" s="10" t="s">
        <v>114</v>
      </c>
      <c r="H17" s="16">
        <v>44223.33333333333</v>
      </c>
      <c r="I17" s="16">
        <v>44223.99930555555</v>
      </c>
      <c r="J17" s="10" t="s">
        <v>51</v>
      </c>
      <c r="K17" s="10" t="s">
        <v>34</v>
      </c>
      <c r="N17" s="10" t="s">
        <v>35</v>
      </c>
      <c r="V17" s="9"/>
      <c r="W17" s="13" t="s">
        <v>36</v>
      </c>
      <c r="X17" s="10" t="s">
        <v>37</v>
      </c>
      <c r="Y17" s="10" t="s">
        <v>0</v>
      </c>
    </row>
    <row r="18">
      <c r="A18" s="10" t="s">
        <v>115</v>
      </c>
      <c r="B18" s="11">
        <v>44235.75279719908</v>
      </c>
      <c r="C18" s="10" t="s">
        <v>96</v>
      </c>
      <c r="D18" s="10" t="s">
        <v>97</v>
      </c>
      <c r="E18" s="10" t="s">
        <v>116</v>
      </c>
      <c r="F18" s="10" t="s">
        <v>117</v>
      </c>
      <c r="G18" s="10" t="s">
        <v>118</v>
      </c>
      <c r="H18" s="12">
        <v>44223.604166666664</v>
      </c>
      <c r="I18" s="12">
        <v>44223.604166666664</v>
      </c>
      <c r="J18" s="10" t="s">
        <v>73</v>
      </c>
      <c r="K18" s="10" t="s">
        <v>34</v>
      </c>
      <c r="N18" s="10" t="s">
        <v>35</v>
      </c>
      <c r="V18" s="9"/>
      <c r="W18" s="13" t="s">
        <v>36</v>
      </c>
      <c r="X18" s="10" t="s">
        <v>37</v>
      </c>
      <c r="Y18" s="10" t="s">
        <v>0</v>
      </c>
    </row>
    <row r="19">
      <c r="A19" s="10" t="s">
        <v>119</v>
      </c>
      <c r="B19" s="11">
        <v>44263.844196157406</v>
      </c>
      <c r="C19" s="10" t="s">
        <v>96</v>
      </c>
      <c r="D19" s="10" t="s">
        <v>97</v>
      </c>
      <c r="E19" s="10" t="s">
        <v>120</v>
      </c>
      <c r="F19" s="10" t="s">
        <v>121</v>
      </c>
      <c r="G19" s="10" t="s">
        <v>122</v>
      </c>
      <c r="H19" s="16">
        <v>44223.60416666667</v>
      </c>
      <c r="I19" s="16">
        <v>44332.625</v>
      </c>
      <c r="J19" s="10" t="s">
        <v>51</v>
      </c>
      <c r="K19" s="10" t="s">
        <v>34</v>
      </c>
      <c r="N19" s="10" t="s">
        <v>35</v>
      </c>
      <c r="V19" s="9"/>
      <c r="W19" s="13" t="s">
        <v>78</v>
      </c>
      <c r="X19" s="10" t="s">
        <v>37</v>
      </c>
      <c r="Y19" s="10" t="s">
        <v>0</v>
      </c>
    </row>
    <row r="20">
      <c r="A20" s="10" t="s">
        <v>123</v>
      </c>
      <c r="B20" s="11">
        <v>44225.726743657404</v>
      </c>
      <c r="C20" s="10" t="s">
        <v>124</v>
      </c>
      <c r="D20" s="10" t="s">
        <v>103</v>
      </c>
      <c r="E20" s="10" t="s">
        <v>125</v>
      </c>
      <c r="F20" s="10" t="s">
        <v>126</v>
      </c>
      <c r="G20" s="10" t="s">
        <v>127</v>
      </c>
      <c r="H20" s="12">
        <v>44224.854166666664</v>
      </c>
      <c r="I20" s="12">
        <v>44224.916666666664</v>
      </c>
      <c r="J20" s="10" t="s">
        <v>128</v>
      </c>
      <c r="K20" s="10" t="s">
        <v>34</v>
      </c>
      <c r="N20" s="10" t="s">
        <v>35</v>
      </c>
      <c r="V20" s="9"/>
      <c r="W20" s="13" t="s">
        <v>36</v>
      </c>
      <c r="X20" s="10" t="s">
        <v>37</v>
      </c>
      <c r="Y20" s="10" t="s">
        <v>0</v>
      </c>
    </row>
    <row r="21">
      <c r="A21" s="10" t="s">
        <v>129</v>
      </c>
      <c r="B21" s="11">
        <v>44224.80652108796</v>
      </c>
      <c r="C21" s="10" t="s">
        <v>80</v>
      </c>
      <c r="D21" s="10" t="s">
        <v>81</v>
      </c>
      <c r="E21" s="10" t="s">
        <v>130</v>
      </c>
      <c r="F21" s="10" t="s">
        <v>131</v>
      </c>
      <c r="G21" s="10" t="s">
        <v>132</v>
      </c>
      <c r="H21" s="12">
        <v>44225.041666666664</v>
      </c>
      <c r="I21" s="12">
        <v>44225.09722222222</v>
      </c>
      <c r="J21" s="10" t="s">
        <v>73</v>
      </c>
      <c r="K21" s="10" t="s">
        <v>34</v>
      </c>
      <c r="N21" s="10" t="s">
        <v>35</v>
      </c>
      <c r="V21" s="9"/>
      <c r="W21" s="13" t="s">
        <v>36</v>
      </c>
      <c r="X21" s="10" t="s">
        <v>37</v>
      </c>
      <c r="Y21" s="10" t="s">
        <v>0</v>
      </c>
    </row>
    <row r="22">
      <c r="A22" s="10" t="s">
        <v>133</v>
      </c>
      <c r="B22" s="11">
        <v>44223.89137849537</v>
      </c>
      <c r="C22" s="10" t="s">
        <v>80</v>
      </c>
      <c r="D22" s="10" t="s">
        <v>81</v>
      </c>
      <c r="E22" s="10" t="s">
        <v>82</v>
      </c>
      <c r="F22" s="10" t="s">
        <v>134</v>
      </c>
      <c r="G22" s="10" t="s">
        <v>135</v>
      </c>
      <c r="H22" s="12">
        <v>44225.104166666664</v>
      </c>
      <c r="I22" s="12">
        <v>44225.145833333336</v>
      </c>
      <c r="J22" s="10" t="s">
        <v>128</v>
      </c>
      <c r="K22" s="10" t="s">
        <v>34</v>
      </c>
      <c r="N22" s="10" t="s">
        <v>35</v>
      </c>
      <c r="V22" s="9"/>
      <c r="W22" s="13" t="s">
        <v>36</v>
      </c>
      <c r="X22" s="10" t="s">
        <v>37</v>
      </c>
      <c r="Y22" s="10" t="s">
        <v>0</v>
      </c>
    </row>
    <row r="23">
      <c r="A23" s="10" t="s">
        <v>136</v>
      </c>
      <c r="B23" s="11">
        <v>44223.665601354165</v>
      </c>
      <c r="C23" s="10" t="s">
        <v>137</v>
      </c>
      <c r="D23" s="10" t="s">
        <v>138</v>
      </c>
      <c r="E23" s="10" t="s">
        <v>139</v>
      </c>
      <c r="F23" s="10" t="s">
        <v>140</v>
      </c>
      <c r="G23" s="10" t="s">
        <v>141</v>
      </c>
      <c r="H23" s="12">
        <v>44225.583333333336</v>
      </c>
      <c r="I23" s="12">
        <v>44225.666666666664</v>
      </c>
      <c r="J23" s="10" t="s">
        <v>128</v>
      </c>
      <c r="K23" s="10" t="s">
        <v>34</v>
      </c>
      <c r="N23" s="10" t="s">
        <v>35</v>
      </c>
      <c r="V23" s="9"/>
      <c r="W23" s="13" t="s">
        <v>36</v>
      </c>
      <c r="X23" s="10" t="s">
        <v>37</v>
      </c>
      <c r="Y23" s="10" t="s">
        <v>0</v>
      </c>
    </row>
    <row r="24">
      <c r="A24" s="10" t="s">
        <v>142</v>
      </c>
      <c r="B24" s="11">
        <v>44235.769621087966</v>
      </c>
      <c r="C24" s="10" t="s">
        <v>96</v>
      </c>
      <c r="D24" s="10" t="s">
        <v>97</v>
      </c>
      <c r="E24" s="10" t="s">
        <v>143</v>
      </c>
      <c r="F24" s="10" t="s">
        <v>144</v>
      </c>
      <c r="G24" s="10" t="s">
        <v>145</v>
      </c>
      <c r="H24" s="12">
        <v>44225.604166666664</v>
      </c>
      <c r="I24" s="12">
        <v>44225.604166666664</v>
      </c>
      <c r="J24" s="10" t="s">
        <v>73</v>
      </c>
      <c r="K24" s="10" t="s">
        <v>34</v>
      </c>
      <c r="N24" s="10" t="s">
        <v>35</v>
      </c>
      <c r="V24" s="9"/>
      <c r="W24" s="13" t="s">
        <v>36</v>
      </c>
      <c r="X24" s="10" t="s">
        <v>37</v>
      </c>
      <c r="Y24" s="10" t="s">
        <v>0</v>
      </c>
    </row>
    <row r="25">
      <c r="A25" s="10" t="s">
        <v>146</v>
      </c>
      <c r="B25" s="11">
        <v>44235.7749977662</v>
      </c>
      <c r="C25" s="10" t="s">
        <v>96</v>
      </c>
      <c r="D25" s="10" t="s">
        <v>97</v>
      </c>
      <c r="E25" s="10" t="s">
        <v>116</v>
      </c>
      <c r="F25" s="10" t="s">
        <v>147</v>
      </c>
      <c r="G25" s="10" t="s">
        <v>148</v>
      </c>
      <c r="H25" s="12">
        <v>44225.625</v>
      </c>
      <c r="I25" s="12">
        <v>44225.625</v>
      </c>
      <c r="J25" s="10" t="s">
        <v>73</v>
      </c>
      <c r="K25" s="10" t="s">
        <v>34</v>
      </c>
      <c r="N25" s="10" t="s">
        <v>35</v>
      </c>
      <c r="V25" s="9"/>
      <c r="W25" s="13" t="s">
        <v>36</v>
      </c>
      <c r="X25" s="10" t="s">
        <v>37</v>
      </c>
      <c r="Y25" s="10" t="s">
        <v>0</v>
      </c>
    </row>
    <row r="26">
      <c r="A26" s="10" t="s">
        <v>149</v>
      </c>
      <c r="B26" s="11">
        <v>44223.763010254625</v>
      </c>
      <c r="C26" s="10" t="s">
        <v>150</v>
      </c>
      <c r="D26" s="10" t="s">
        <v>151</v>
      </c>
      <c r="E26" s="10" t="s">
        <v>152</v>
      </c>
      <c r="F26" s="10" t="s">
        <v>153</v>
      </c>
      <c r="G26" s="10" t="s">
        <v>154</v>
      </c>
      <c r="H26" s="12">
        <v>44226.416666666664</v>
      </c>
      <c r="I26" s="12">
        <v>44226.5</v>
      </c>
      <c r="J26" s="10" t="s">
        <v>128</v>
      </c>
      <c r="K26" s="10" t="s">
        <v>34</v>
      </c>
      <c r="N26" s="10" t="s">
        <v>35</v>
      </c>
      <c r="V26" s="9"/>
      <c r="W26" s="13" t="s">
        <v>36</v>
      </c>
      <c r="X26" s="10" t="s">
        <v>37</v>
      </c>
      <c r="Y26" s="10" t="s">
        <v>0</v>
      </c>
    </row>
    <row r="27">
      <c r="A27" s="10" t="s">
        <v>155</v>
      </c>
      <c r="B27" s="11">
        <v>44243.89461166666</v>
      </c>
      <c r="C27" s="10" t="s">
        <v>46</v>
      </c>
      <c r="D27" s="10" t="s">
        <v>47</v>
      </c>
      <c r="E27" s="10" t="s">
        <v>156</v>
      </c>
      <c r="F27" s="10" t="s">
        <v>157</v>
      </c>
      <c r="G27" s="10" t="s">
        <v>158</v>
      </c>
      <c r="H27" s="16">
        <v>44226.66666666667</v>
      </c>
      <c r="I27" s="16">
        <v>44226.70833333333</v>
      </c>
      <c r="J27" s="10" t="s">
        <v>128</v>
      </c>
      <c r="K27" s="10" t="s">
        <v>34</v>
      </c>
      <c r="N27" s="10" t="s">
        <v>35</v>
      </c>
      <c r="V27" s="9"/>
      <c r="W27" s="13" t="s">
        <v>36</v>
      </c>
      <c r="X27" s="10" t="s">
        <v>37</v>
      </c>
      <c r="Y27" s="10" t="s">
        <v>0</v>
      </c>
    </row>
    <row r="28">
      <c r="A28" s="10" t="s">
        <v>159</v>
      </c>
      <c r="B28" s="11">
        <v>44246.52630159722</v>
      </c>
      <c r="C28" s="10" t="s">
        <v>160</v>
      </c>
      <c r="D28" s="10" t="s">
        <v>161</v>
      </c>
      <c r="E28" s="10" t="s">
        <v>162</v>
      </c>
      <c r="F28" s="10" t="s">
        <v>163</v>
      </c>
      <c r="G28" s="10" t="s">
        <v>164</v>
      </c>
      <c r="H28" s="16">
        <v>44228.0</v>
      </c>
      <c r="I28" s="16">
        <v>44234.99930555555</v>
      </c>
      <c r="J28" s="10" t="s">
        <v>51</v>
      </c>
      <c r="K28" s="10" t="s">
        <v>34</v>
      </c>
      <c r="N28" s="10" t="s">
        <v>35</v>
      </c>
      <c r="V28" s="9"/>
      <c r="W28" s="13" t="s">
        <v>66</v>
      </c>
      <c r="X28" s="10" t="s">
        <v>165</v>
      </c>
      <c r="Y28" s="10" t="s">
        <v>0</v>
      </c>
    </row>
    <row r="29">
      <c r="A29" s="10" t="s">
        <v>166</v>
      </c>
      <c r="B29" s="11">
        <v>44225.604916516204</v>
      </c>
      <c r="C29" s="10" t="s">
        <v>167</v>
      </c>
      <c r="D29" s="10" t="s">
        <v>168</v>
      </c>
      <c r="E29" s="10" t="s">
        <v>169</v>
      </c>
      <c r="F29" s="10" t="s">
        <v>170</v>
      </c>
      <c r="G29" s="10" t="s">
        <v>171</v>
      </c>
      <c r="H29" s="12">
        <v>44205.333333333336</v>
      </c>
      <c r="I29" s="12">
        <v>44207.333333333336</v>
      </c>
      <c r="J29" s="10" t="s">
        <v>172</v>
      </c>
      <c r="K29" s="10" t="s">
        <v>34</v>
      </c>
      <c r="M29" s="10" t="s">
        <v>173</v>
      </c>
      <c r="N29" s="10" t="s">
        <v>35</v>
      </c>
      <c r="V29" s="9"/>
      <c r="W29" s="13" t="s">
        <v>36</v>
      </c>
      <c r="X29" s="10" t="s">
        <v>37</v>
      </c>
      <c r="Y29" s="10" t="s">
        <v>0</v>
      </c>
    </row>
    <row r="30">
      <c r="A30" s="10" t="s">
        <v>174</v>
      </c>
      <c r="B30" s="11">
        <v>44263.84657469907</v>
      </c>
      <c r="C30" s="10" t="s">
        <v>96</v>
      </c>
      <c r="D30" s="10" t="s">
        <v>97</v>
      </c>
      <c r="E30" s="10" t="s">
        <v>120</v>
      </c>
      <c r="F30" s="10" t="s">
        <v>175</v>
      </c>
      <c r="G30" s="10" t="s">
        <v>176</v>
      </c>
      <c r="H30" s="16">
        <v>44228.66666666667</v>
      </c>
      <c r="I30" s="16">
        <v>44326.66666666667</v>
      </c>
      <c r="J30" s="10" t="s">
        <v>51</v>
      </c>
      <c r="K30" s="10" t="s">
        <v>34</v>
      </c>
      <c r="N30" s="10" t="s">
        <v>35</v>
      </c>
      <c r="V30" s="9"/>
      <c r="W30" s="13" t="s">
        <v>78</v>
      </c>
      <c r="X30" s="10" t="s">
        <v>37</v>
      </c>
      <c r="Y30" s="10" t="s">
        <v>0</v>
      </c>
    </row>
    <row r="31">
      <c r="A31" s="10" t="s">
        <v>177</v>
      </c>
      <c r="B31" s="11">
        <v>44235.7558924537</v>
      </c>
      <c r="C31" s="10" t="s">
        <v>96</v>
      </c>
      <c r="D31" s="10" t="s">
        <v>97</v>
      </c>
      <c r="E31" s="10" t="s">
        <v>116</v>
      </c>
      <c r="F31" s="10" t="s">
        <v>178</v>
      </c>
      <c r="G31" s="10" t="s">
        <v>179</v>
      </c>
      <c r="H31" s="12">
        <v>44228.708333333336</v>
      </c>
      <c r="I31" s="12">
        <v>44228.708333333336</v>
      </c>
      <c r="J31" s="10" t="s">
        <v>73</v>
      </c>
      <c r="K31" s="10" t="s">
        <v>34</v>
      </c>
      <c r="N31" s="10" t="s">
        <v>35</v>
      </c>
      <c r="V31" s="9"/>
      <c r="W31" s="13" t="s">
        <v>36</v>
      </c>
      <c r="X31" s="10" t="s">
        <v>37</v>
      </c>
      <c r="Y31" s="10" t="s">
        <v>0</v>
      </c>
    </row>
    <row r="32">
      <c r="A32" s="10" t="s">
        <v>180</v>
      </c>
      <c r="B32" s="11">
        <v>44238.79117447916</v>
      </c>
      <c r="C32" s="10" t="s">
        <v>181</v>
      </c>
      <c r="D32" s="10" t="s">
        <v>69</v>
      </c>
      <c r="E32" s="10" t="s">
        <v>182</v>
      </c>
      <c r="F32" s="10" t="s">
        <v>183</v>
      </c>
      <c r="G32" s="10" t="s">
        <v>184</v>
      </c>
      <c r="H32" s="16">
        <v>44229.41666666667</v>
      </c>
      <c r="I32" s="16">
        <v>44341.66666666667</v>
      </c>
      <c r="J32" s="10" t="s">
        <v>128</v>
      </c>
      <c r="K32" s="10" t="s">
        <v>34</v>
      </c>
      <c r="N32" s="10" t="s">
        <v>35</v>
      </c>
      <c r="V32" s="9"/>
      <c r="W32" s="13" t="s">
        <v>36</v>
      </c>
      <c r="X32" s="10" t="s">
        <v>37</v>
      </c>
      <c r="Y32" s="10" t="s">
        <v>0</v>
      </c>
    </row>
    <row r="33">
      <c r="A33" s="10" t="s">
        <v>185</v>
      </c>
      <c r="B33" s="11">
        <v>44229.908813055554</v>
      </c>
      <c r="C33" s="10" t="s">
        <v>186</v>
      </c>
      <c r="D33" s="10" t="s">
        <v>187</v>
      </c>
      <c r="E33" s="10" t="s">
        <v>188</v>
      </c>
      <c r="F33" s="10" t="s">
        <v>189</v>
      </c>
      <c r="G33" s="10" t="s">
        <v>190</v>
      </c>
      <c r="H33" s="12">
        <v>44230.395833333336</v>
      </c>
      <c r="I33" s="12">
        <v>44230.479166666664</v>
      </c>
      <c r="J33" s="10" t="s">
        <v>128</v>
      </c>
      <c r="K33" s="10" t="s">
        <v>34</v>
      </c>
      <c r="N33" s="10" t="s">
        <v>35</v>
      </c>
      <c r="V33" s="9"/>
      <c r="W33" s="13" t="s">
        <v>36</v>
      </c>
      <c r="X33" s="10" t="s">
        <v>37</v>
      </c>
      <c r="Y33" s="10" t="s">
        <v>0</v>
      </c>
    </row>
    <row r="34">
      <c r="A34" s="10" t="s">
        <v>191</v>
      </c>
      <c r="B34" s="11">
        <v>44235.74521096065</v>
      </c>
      <c r="C34" s="10" t="s">
        <v>96</v>
      </c>
      <c r="D34" s="10" t="s">
        <v>97</v>
      </c>
      <c r="E34" s="10" t="s">
        <v>116</v>
      </c>
      <c r="F34" s="10" t="s">
        <v>192</v>
      </c>
      <c r="G34" s="10" t="s">
        <v>193</v>
      </c>
      <c r="H34" s="12">
        <v>44230.604166666664</v>
      </c>
      <c r="I34" s="12">
        <v>44230.604166666664</v>
      </c>
      <c r="J34" s="10" t="s">
        <v>73</v>
      </c>
      <c r="K34" s="10" t="s">
        <v>34</v>
      </c>
      <c r="N34" s="10" t="s">
        <v>35</v>
      </c>
      <c r="V34" s="9"/>
      <c r="W34" s="13" t="s">
        <v>36</v>
      </c>
      <c r="X34" s="10" t="s">
        <v>37</v>
      </c>
      <c r="Y34" s="10" t="s">
        <v>0</v>
      </c>
    </row>
    <row r="35">
      <c r="A35" s="10" t="s">
        <v>194</v>
      </c>
      <c r="B35" s="11">
        <v>44230.79333644676</v>
      </c>
      <c r="C35" s="10" t="s">
        <v>80</v>
      </c>
      <c r="D35" s="10" t="s">
        <v>81</v>
      </c>
      <c r="E35" s="10" t="s">
        <v>195</v>
      </c>
      <c r="F35" s="10" t="s">
        <v>196</v>
      </c>
      <c r="G35" s="10" t="s">
        <v>197</v>
      </c>
      <c r="H35" s="12">
        <v>44231.291666666664</v>
      </c>
      <c r="I35" s="12">
        <v>44231.333333333336</v>
      </c>
      <c r="J35" s="10" t="s">
        <v>128</v>
      </c>
      <c r="K35" s="10" t="s">
        <v>34</v>
      </c>
      <c r="N35" s="10" t="s">
        <v>35</v>
      </c>
      <c r="V35" s="9"/>
      <c r="W35" s="13" t="s">
        <v>36</v>
      </c>
      <c r="X35" s="10" t="s">
        <v>37</v>
      </c>
      <c r="Y35" s="10" t="s">
        <v>0</v>
      </c>
    </row>
    <row r="36">
      <c r="A36" s="10" t="s">
        <v>198</v>
      </c>
      <c r="B36" s="11">
        <v>44231.98557967592</v>
      </c>
      <c r="C36" s="10" t="s">
        <v>102</v>
      </c>
      <c r="D36" s="10" t="s">
        <v>103</v>
      </c>
      <c r="E36" s="10" t="s">
        <v>199</v>
      </c>
      <c r="F36" s="10" t="s">
        <v>200</v>
      </c>
      <c r="G36" s="10" t="s">
        <v>201</v>
      </c>
      <c r="H36" s="12">
        <v>44231.36111111111</v>
      </c>
      <c r="I36" s="12">
        <v>44231.416666666664</v>
      </c>
      <c r="J36" s="10" t="s">
        <v>128</v>
      </c>
      <c r="K36" s="10" t="s">
        <v>34</v>
      </c>
      <c r="N36" s="10" t="s">
        <v>35</v>
      </c>
      <c r="V36" s="9"/>
      <c r="W36" s="13" t="s">
        <v>36</v>
      </c>
      <c r="X36" s="10" t="s">
        <v>37</v>
      </c>
      <c r="Y36" s="10" t="s">
        <v>0</v>
      </c>
    </row>
    <row r="37">
      <c r="A37" s="10" t="s">
        <v>202</v>
      </c>
      <c r="B37" s="11">
        <v>44229.55554430556</v>
      </c>
      <c r="C37" s="10" t="s">
        <v>137</v>
      </c>
      <c r="D37" s="10" t="s">
        <v>138</v>
      </c>
      <c r="E37" s="10" t="s">
        <v>139</v>
      </c>
      <c r="F37" s="10" t="s">
        <v>203</v>
      </c>
      <c r="G37" s="10" t="s">
        <v>204</v>
      </c>
      <c r="H37" s="12">
        <v>44231.666666666664</v>
      </c>
      <c r="I37" s="12">
        <v>44231.75</v>
      </c>
      <c r="J37" s="10" t="s">
        <v>128</v>
      </c>
      <c r="K37" s="10" t="s">
        <v>34</v>
      </c>
      <c r="N37" s="10" t="s">
        <v>35</v>
      </c>
      <c r="V37" s="9"/>
      <c r="W37" s="13" t="s">
        <v>36</v>
      </c>
      <c r="X37" s="10" t="s">
        <v>37</v>
      </c>
      <c r="Y37" s="10" t="s">
        <v>0</v>
      </c>
    </row>
    <row r="38">
      <c r="A38" s="10" t="s">
        <v>205</v>
      </c>
      <c r="B38" s="11">
        <v>44224.80665111111</v>
      </c>
      <c r="C38" s="10" t="s">
        <v>80</v>
      </c>
      <c r="D38" s="10" t="s">
        <v>81</v>
      </c>
      <c r="E38" s="10" t="s">
        <v>130</v>
      </c>
      <c r="F38" s="10" t="s">
        <v>206</v>
      </c>
      <c r="G38" s="10" t="s">
        <v>207</v>
      </c>
      <c r="H38" s="12">
        <v>44231.694444444445</v>
      </c>
      <c r="I38" s="12">
        <v>44231.76388888889</v>
      </c>
      <c r="J38" s="10" t="s">
        <v>128</v>
      </c>
      <c r="K38" s="10" t="s">
        <v>34</v>
      </c>
      <c r="N38" s="10" t="s">
        <v>35</v>
      </c>
      <c r="V38" s="9"/>
      <c r="W38" s="13" t="s">
        <v>36</v>
      </c>
      <c r="X38" s="10" t="s">
        <v>37</v>
      </c>
      <c r="Y38" s="10" t="s">
        <v>0</v>
      </c>
    </row>
    <row r="39">
      <c r="A39" s="10" t="s">
        <v>208</v>
      </c>
      <c r="B39" s="11">
        <v>44225.567202708335</v>
      </c>
      <c r="C39" s="10" t="s">
        <v>209</v>
      </c>
      <c r="D39" s="10" t="s">
        <v>210</v>
      </c>
      <c r="E39" s="10" t="s">
        <v>211</v>
      </c>
      <c r="F39" s="10" t="s">
        <v>212</v>
      </c>
      <c r="G39" s="10" t="s">
        <v>213</v>
      </c>
      <c r="H39" s="12">
        <v>44232.083333333336</v>
      </c>
      <c r="I39" s="12">
        <v>44232.520833333336</v>
      </c>
      <c r="J39" s="10" t="s">
        <v>33</v>
      </c>
      <c r="K39" s="10" t="s">
        <v>34</v>
      </c>
      <c r="N39" s="10" t="s">
        <v>35</v>
      </c>
      <c r="V39" s="9"/>
      <c r="W39" s="13" t="s">
        <v>36</v>
      </c>
      <c r="X39" s="10" t="s">
        <v>37</v>
      </c>
      <c r="Y39" s="10" t="s">
        <v>0</v>
      </c>
    </row>
    <row r="40">
      <c r="A40" s="10" t="s">
        <v>214</v>
      </c>
      <c r="B40" s="11">
        <v>44229.64496076389</v>
      </c>
      <c r="C40" s="10" t="s">
        <v>80</v>
      </c>
      <c r="D40" s="10" t="s">
        <v>81</v>
      </c>
      <c r="E40" s="10" t="s">
        <v>215</v>
      </c>
      <c r="F40" s="10" t="s">
        <v>216</v>
      </c>
      <c r="G40" s="10" t="s">
        <v>217</v>
      </c>
      <c r="H40" s="12">
        <v>44232.1875</v>
      </c>
      <c r="I40" s="12">
        <v>44232.229166666664</v>
      </c>
      <c r="J40" s="10" t="s">
        <v>128</v>
      </c>
      <c r="K40" s="10" t="s">
        <v>34</v>
      </c>
      <c r="N40" s="10" t="s">
        <v>35</v>
      </c>
      <c r="V40" s="9"/>
      <c r="W40" s="13" t="s">
        <v>66</v>
      </c>
      <c r="X40" s="10" t="s">
        <v>37</v>
      </c>
      <c r="Y40" s="10" t="s">
        <v>0</v>
      </c>
    </row>
    <row r="41">
      <c r="A41" s="10" t="s">
        <v>218</v>
      </c>
      <c r="B41" s="11">
        <v>44228.57618027778</v>
      </c>
      <c r="C41" s="10" t="s">
        <v>219</v>
      </c>
      <c r="D41" s="10" t="s">
        <v>220</v>
      </c>
      <c r="E41" s="10" t="s">
        <v>221</v>
      </c>
      <c r="F41" s="10" t="s">
        <v>222</v>
      </c>
      <c r="G41" s="10" t="s">
        <v>223</v>
      </c>
      <c r="H41" s="12">
        <v>44228.666666666664</v>
      </c>
      <c r="I41" s="12">
        <v>44239.5</v>
      </c>
      <c r="J41" s="10" t="s">
        <v>43</v>
      </c>
      <c r="K41" s="10" t="s">
        <v>34</v>
      </c>
      <c r="N41" s="10" t="s">
        <v>35</v>
      </c>
      <c r="V41" s="9"/>
      <c r="W41" s="13" t="s">
        <v>36</v>
      </c>
      <c r="X41" s="10" t="s">
        <v>37</v>
      </c>
      <c r="Y41" s="10" t="s">
        <v>0</v>
      </c>
    </row>
    <row r="42">
      <c r="A42" s="10" t="s">
        <v>224</v>
      </c>
      <c r="B42" s="11">
        <v>44229.54906027778</v>
      </c>
      <c r="C42" s="10" t="s">
        <v>137</v>
      </c>
      <c r="D42" s="10" t="s">
        <v>138</v>
      </c>
      <c r="E42" s="10" t="s">
        <v>225</v>
      </c>
      <c r="F42" s="10" t="s">
        <v>226</v>
      </c>
      <c r="G42" s="10" t="s">
        <v>227</v>
      </c>
      <c r="H42" s="12">
        <v>44232.583333333336</v>
      </c>
      <c r="I42" s="12">
        <v>44232.666666666664</v>
      </c>
      <c r="J42" s="10" t="s">
        <v>128</v>
      </c>
      <c r="K42" s="10" t="s">
        <v>34</v>
      </c>
      <c r="N42" s="10" t="s">
        <v>35</v>
      </c>
      <c r="V42" s="9"/>
      <c r="W42" s="13" t="s">
        <v>36</v>
      </c>
      <c r="X42" s="10" t="s">
        <v>37</v>
      </c>
      <c r="Y42" s="10" t="s">
        <v>0</v>
      </c>
    </row>
    <row r="43">
      <c r="A43" s="10" t="s">
        <v>228</v>
      </c>
      <c r="B43" s="11">
        <v>44263.86424625</v>
      </c>
      <c r="C43" s="10" t="s">
        <v>96</v>
      </c>
      <c r="D43" s="10" t="s">
        <v>97</v>
      </c>
      <c r="E43" s="10" t="s">
        <v>229</v>
      </c>
      <c r="F43" s="10" t="s">
        <v>230</v>
      </c>
      <c r="G43" s="10" t="s">
        <v>231</v>
      </c>
      <c r="H43" s="17">
        <v>44232.60416666667</v>
      </c>
      <c r="I43" s="17">
        <v>44337.60416666667</v>
      </c>
      <c r="J43" s="10" t="s">
        <v>51</v>
      </c>
      <c r="K43" s="10" t="s">
        <v>34</v>
      </c>
      <c r="N43" s="10" t="s">
        <v>35</v>
      </c>
      <c r="V43" s="9"/>
      <c r="W43" s="13" t="s">
        <v>78</v>
      </c>
      <c r="X43" s="10" t="s">
        <v>37</v>
      </c>
      <c r="Y43" s="10" t="s">
        <v>0</v>
      </c>
    </row>
    <row r="44">
      <c r="A44" s="10" t="s">
        <v>232</v>
      </c>
      <c r="B44" s="11">
        <v>44326.69670289352</v>
      </c>
      <c r="C44" s="10" t="s">
        <v>46</v>
      </c>
      <c r="D44" s="10" t="s">
        <v>47</v>
      </c>
      <c r="E44" s="10" t="s">
        <v>233</v>
      </c>
      <c r="F44" s="10" t="s">
        <v>234</v>
      </c>
      <c r="G44" s="10" t="s">
        <v>235</v>
      </c>
      <c r="H44" s="16">
        <v>44231.66666666667</v>
      </c>
      <c r="I44" s="16">
        <v>44231.77083333333</v>
      </c>
      <c r="J44" s="10" t="s">
        <v>236</v>
      </c>
      <c r="K44" s="10" t="s">
        <v>34</v>
      </c>
      <c r="N44" s="10" t="s">
        <v>35</v>
      </c>
      <c r="V44" s="9"/>
      <c r="W44" s="13" t="s">
        <v>66</v>
      </c>
      <c r="X44" s="10" t="s">
        <v>237</v>
      </c>
      <c r="Y44" s="10" t="s">
        <v>0</v>
      </c>
    </row>
    <row r="45">
      <c r="A45" s="10" t="s">
        <v>238</v>
      </c>
      <c r="B45" s="11">
        <v>44229.66512597223</v>
      </c>
      <c r="C45" s="10" t="s">
        <v>239</v>
      </c>
      <c r="D45" s="10" t="s">
        <v>240</v>
      </c>
      <c r="E45" s="10" t="s">
        <v>241</v>
      </c>
      <c r="F45" s="10" t="s">
        <v>242</v>
      </c>
      <c r="G45" s="10" t="s">
        <v>243</v>
      </c>
      <c r="H45" s="12">
        <v>44232.729166666664</v>
      </c>
      <c r="I45" s="12">
        <v>44232.770833333336</v>
      </c>
      <c r="J45" s="10" t="s">
        <v>128</v>
      </c>
      <c r="K45" s="10" t="s">
        <v>34</v>
      </c>
      <c r="N45" s="10" t="s">
        <v>35</v>
      </c>
      <c r="V45" s="9"/>
      <c r="W45" s="13" t="s">
        <v>66</v>
      </c>
      <c r="X45" s="10" t="s">
        <v>37</v>
      </c>
      <c r="Y45" s="10" t="s">
        <v>0</v>
      </c>
    </row>
    <row r="46">
      <c r="A46" s="10" t="s">
        <v>244</v>
      </c>
      <c r="B46" s="11">
        <v>44235.76799150463</v>
      </c>
      <c r="C46" s="10" t="s">
        <v>96</v>
      </c>
      <c r="D46" s="10" t="s">
        <v>97</v>
      </c>
      <c r="E46" s="10" t="s">
        <v>143</v>
      </c>
      <c r="F46" s="10" t="s">
        <v>230</v>
      </c>
      <c r="G46" s="10" t="s">
        <v>245</v>
      </c>
      <c r="H46" s="12">
        <v>44232.729166666664</v>
      </c>
      <c r="I46" s="12">
        <v>44232.729166666664</v>
      </c>
      <c r="J46" s="10" t="s">
        <v>73</v>
      </c>
      <c r="K46" s="10" t="s">
        <v>34</v>
      </c>
      <c r="N46" s="10" t="s">
        <v>35</v>
      </c>
      <c r="V46" s="9"/>
      <c r="W46" s="13" t="s">
        <v>36</v>
      </c>
      <c r="X46" s="10" t="s">
        <v>37</v>
      </c>
      <c r="Y46" s="10" t="s">
        <v>0</v>
      </c>
    </row>
    <row r="47">
      <c r="A47" s="10" t="s">
        <v>246</v>
      </c>
      <c r="B47" s="11">
        <v>44236.54676143518</v>
      </c>
      <c r="C47" s="10" t="s">
        <v>247</v>
      </c>
      <c r="D47" s="10" t="s">
        <v>248</v>
      </c>
      <c r="E47" s="10" t="s">
        <v>249</v>
      </c>
      <c r="F47" s="10" t="s">
        <v>250</v>
      </c>
      <c r="G47" s="10" t="s">
        <v>251</v>
      </c>
      <c r="H47" s="12">
        <v>44232.770833333336</v>
      </c>
      <c r="I47" s="12">
        <v>44232.854166666664</v>
      </c>
      <c r="J47" s="10" t="s">
        <v>128</v>
      </c>
      <c r="K47" s="10" t="s">
        <v>34</v>
      </c>
      <c r="N47" s="10" t="s">
        <v>35</v>
      </c>
      <c r="V47" s="9"/>
      <c r="W47" s="13" t="s">
        <v>66</v>
      </c>
      <c r="X47" s="10" t="s">
        <v>37</v>
      </c>
      <c r="Y47" s="10" t="s">
        <v>0</v>
      </c>
    </row>
    <row r="48">
      <c r="A48" s="10" t="s">
        <v>252</v>
      </c>
      <c r="B48" s="11">
        <v>44228.580375219906</v>
      </c>
      <c r="C48" s="10" t="s">
        <v>150</v>
      </c>
      <c r="D48" s="10" t="s">
        <v>151</v>
      </c>
      <c r="E48" s="10" t="s">
        <v>253</v>
      </c>
      <c r="F48" s="10" t="s">
        <v>254</v>
      </c>
      <c r="G48" s="10" t="s">
        <v>255</v>
      </c>
      <c r="H48" s="12">
        <v>44233.416666666664</v>
      </c>
      <c r="I48" s="12">
        <v>44233.458333333336</v>
      </c>
      <c r="J48" s="10" t="s">
        <v>128</v>
      </c>
      <c r="K48" s="10" t="s">
        <v>34</v>
      </c>
      <c r="N48" s="10" t="s">
        <v>35</v>
      </c>
      <c r="V48" s="9"/>
      <c r="W48" s="13" t="s">
        <v>36</v>
      </c>
      <c r="X48" s="10" t="s">
        <v>37</v>
      </c>
      <c r="Y48" s="10" t="s">
        <v>0</v>
      </c>
    </row>
    <row r="49">
      <c r="A49" s="10" t="s">
        <v>256</v>
      </c>
      <c r="B49" s="11">
        <v>44226.89639732639</v>
      </c>
      <c r="C49" s="10" t="s">
        <v>80</v>
      </c>
      <c r="D49" s="10" t="s">
        <v>81</v>
      </c>
      <c r="E49" s="10" t="s">
        <v>82</v>
      </c>
      <c r="F49" s="10" t="s">
        <v>257</v>
      </c>
      <c r="G49" s="10" t="s">
        <v>258</v>
      </c>
      <c r="H49" s="12">
        <v>44233.5</v>
      </c>
      <c r="I49" s="12">
        <v>44233.541666666664</v>
      </c>
      <c r="J49" s="10" t="s">
        <v>73</v>
      </c>
      <c r="K49" s="10" t="s">
        <v>34</v>
      </c>
      <c r="N49" s="10" t="s">
        <v>35</v>
      </c>
      <c r="V49" s="9"/>
      <c r="W49" s="13" t="s">
        <v>36</v>
      </c>
      <c r="X49" s="10" t="s">
        <v>37</v>
      </c>
      <c r="Y49" s="10" t="s">
        <v>0</v>
      </c>
    </row>
    <row r="50">
      <c r="A50" s="10" t="s">
        <v>259</v>
      </c>
      <c r="B50" s="11">
        <v>44232.98849560185</v>
      </c>
      <c r="C50" s="10" t="s">
        <v>260</v>
      </c>
      <c r="D50" s="10" t="s">
        <v>210</v>
      </c>
      <c r="E50" s="10" t="s">
        <v>261</v>
      </c>
      <c r="F50" s="10" t="s">
        <v>262</v>
      </c>
      <c r="G50" s="10" t="s">
        <v>263</v>
      </c>
      <c r="H50" s="12">
        <v>44233.770833333336</v>
      </c>
      <c r="I50" s="12">
        <v>44233.770833333336</v>
      </c>
      <c r="J50" s="10" t="s">
        <v>73</v>
      </c>
      <c r="K50" s="10" t="s">
        <v>34</v>
      </c>
      <c r="N50" s="10" t="s">
        <v>35</v>
      </c>
      <c r="V50" s="9"/>
      <c r="W50" s="13" t="s">
        <v>36</v>
      </c>
      <c r="X50" s="10" t="s">
        <v>37</v>
      </c>
      <c r="Y50" s="10" t="s">
        <v>0</v>
      </c>
    </row>
    <row r="51">
      <c r="A51" s="10" t="s">
        <v>264</v>
      </c>
      <c r="B51" s="11">
        <v>44232.989054074074</v>
      </c>
      <c r="C51" s="10" t="s">
        <v>260</v>
      </c>
      <c r="D51" s="10" t="s">
        <v>210</v>
      </c>
      <c r="E51" s="10" t="s">
        <v>261</v>
      </c>
      <c r="F51" s="10" t="s">
        <v>262</v>
      </c>
      <c r="G51" s="10" t="s">
        <v>263</v>
      </c>
      <c r="H51" s="12">
        <v>44233.770833333336</v>
      </c>
      <c r="I51" s="12">
        <v>44233.770833333336</v>
      </c>
      <c r="J51" s="10" t="s">
        <v>73</v>
      </c>
      <c r="K51" s="10" t="s">
        <v>34</v>
      </c>
      <c r="N51" s="10" t="s">
        <v>35</v>
      </c>
      <c r="V51" s="9"/>
      <c r="W51" s="13" t="s">
        <v>36</v>
      </c>
      <c r="X51" s="10" t="s">
        <v>37</v>
      </c>
      <c r="Y51" s="10" t="s">
        <v>0</v>
      </c>
    </row>
    <row r="52">
      <c r="A52" s="10" t="s">
        <v>265</v>
      </c>
      <c r="B52" s="11">
        <v>44235.76290412037</v>
      </c>
      <c r="C52" s="10" t="s">
        <v>96</v>
      </c>
      <c r="D52" s="10" t="s">
        <v>97</v>
      </c>
      <c r="E52" s="10" t="s">
        <v>116</v>
      </c>
      <c r="F52" s="10" t="s">
        <v>266</v>
      </c>
      <c r="G52" s="10" t="s">
        <v>267</v>
      </c>
      <c r="H52" s="12">
        <v>44234.583333333336</v>
      </c>
      <c r="I52" s="12">
        <v>44234.583333333336</v>
      </c>
      <c r="J52" s="10" t="s">
        <v>73</v>
      </c>
      <c r="K52" s="10" t="s">
        <v>34</v>
      </c>
      <c r="N52" s="10" t="s">
        <v>35</v>
      </c>
      <c r="V52" s="9"/>
      <c r="W52" s="13" t="s">
        <v>36</v>
      </c>
      <c r="X52" s="10" t="s">
        <v>37</v>
      </c>
      <c r="Y52" s="10" t="s">
        <v>0</v>
      </c>
    </row>
    <row r="53">
      <c r="A53" s="10" t="s">
        <v>268</v>
      </c>
      <c r="B53" s="11">
        <v>44235.875323009255</v>
      </c>
      <c r="C53" s="10" t="s">
        <v>269</v>
      </c>
      <c r="D53" s="10" t="s">
        <v>168</v>
      </c>
      <c r="E53" s="10" t="s">
        <v>270</v>
      </c>
      <c r="F53" s="10" t="s">
        <v>271</v>
      </c>
      <c r="G53" s="10" t="s">
        <v>272</v>
      </c>
      <c r="H53" s="12">
        <v>44234.583333333336</v>
      </c>
      <c r="I53" s="12">
        <v>44234.625</v>
      </c>
      <c r="J53" s="10" t="s">
        <v>128</v>
      </c>
      <c r="K53" s="10" t="s">
        <v>34</v>
      </c>
      <c r="N53" s="10" t="s">
        <v>35</v>
      </c>
      <c r="V53" s="9"/>
      <c r="W53" s="13" t="s">
        <v>36</v>
      </c>
      <c r="X53" s="10" t="s">
        <v>37</v>
      </c>
      <c r="Y53" s="10" t="s">
        <v>0</v>
      </c>
    </row>
    <row r="54">
      <c r="A54" s="10" t="s">
        <v>273</v>
      </c>
      <c r="B54" s="11">
        <v>44229.83619758102</v>
      </c>
      <c r="C54" s="10" t="s">
        <v>80</v>
      </c>
      <c r="D54" s="10" t="s">
        <v>81</v>
      </c>
      <c r="E54" s="10" t="s">
        <v>274</v>
      </c>
      <c r="F54" s="10" t="s">
        <v>275</v>
      </c>
      <c r="G54" s="10" t="s">
        <v>276</v>
      </c>
      <c r="H54" s="12">
        <v>44235.333333333336</v>
      </c>
      <c r="I54" s="12">
        <v>44235.375</v>
      </c>
      <c r="J54" s="10" t="s">
        <v>73</v>
      </c>
      <c r="K54" s="10" t="s">
        <v>34</v>
      </c>
      <c r="N54" s="10" t="s">
        <v>35</v>
      </c>
      <c r="V54" s="9"/>
      <c r="W54" s="13" t="s">
        <v>36</v>
      </c>
      <c r="X54" s="10" t="s">
        <v>37</v>
      </c>
      <c r="Y54" s="10" t="s">
        <v>0</v>
      </c>
    </row>
    <row r="55">
      <c r="A55" s="10" t="s">
        <v>277</v>
      </c>
      <c r="B55" s="11">
        <v>44235.739659178245</v>
      </c>
      <c r="C55" s="10" t="s">
        <v>96</v>
      </c>
      <c r="D55" s="10" t="s">
        <v>97</v>
      </c>
      <c r="E55" s="10" t="s">
        <v>116</v>
      </c>
      <c r="F55" s="10" t="s">
        <v>278</v>
      </c>
      <c r="G55" s="10" t="s">
        <v>279</v>
      </c>
      <c r="H55" s="12">
        <v>44235.458333333336</v>
      </c>
      <c r="I55" s="12">
        <v>44235.458333333336</v>
      </c>
      <c r="J55" s="10" t="s">
        <v>73</v>
      </c>
      <c r="K55" s="10" t="s">
        <v>34</v>
      </c>
      <c r="N55" s="10" t="s">
        <v>35</v>
      </c>
      <c r="V55" s="9"/>
      <c r="W55" s="13" t="s">
        <v>36</v>
      </c>
      <c r="X55" s="10" t="s">
        <v>37</v>
      </c>
      <c r="Y55" s="10" t="s">
        <v>0</v>
      </c>
    </row>
    <row r="56">
      <c r="A56" s="10" t="s">
        <v>280</v>
      </c>
      <c r="B56" s="11">
        <v>44231.74162886574</v>
      </c>
      <c r="C56" s="10" t="s">
        <v>80</v>
      </c>
      <c r="D56" s="10" t="s">
        <v>81</v>
      </c>
      <c r="E56" s="10" t="s">
        <v>281</v>
      </c>
      <c r="F56" s="10" t="s">
        <v>282</v>
      </c>
      <c r="G56" s="10" t="s">
        <v>283</v>
      </c>
      <c r="H56" s="12">
        <v>44235.5</v>
      </c>
      <c r="I56" s="12">
        <v>44235.5</v>
      </c>
      <c r="J56" s="10" t="s">
        <v>73</v>
      </c>
      <c r="K56" s="10" t="s">
        <v>34</v>
      </c>
      <c r="N56" s="10" t="s">
        <v>35</v>
      </c>
      <c r="V56" s="9"/>
      <c r="W56" s="13" t="s">
        <v>36</v>
      </c>
      <c r="X56" s="10" t="s">
        <v>37</v>
      </c>
      <c r="Y56" s="10" t="s">
        <v>0</v>
      </c>
    </row>
    <row r="57">
      <c r="A57" s="10" t="s">
        <v>284</v>
      </c>
      <c r="B57" s="11">
        <v>44235.561255532404</v>
      </c>
      <c r="C57" s="10" t="s">
        <v>80</v>
      </c>
      <c r="D57" s="10" t="s">
        <v>81</v>
      </c>
      <c r="E57" s="10" t="s">
        <v>285</v>
      </c>
      <c r="F57" s="10" t="s">
        <v>286</v>
      </c>
      <c r="G57" s="10" t="s">
        <v>287</v>
      </c>
      <c r="H57" s="12">
        <v>44235.5</v>
      </c>
      <c r="I57" s="12">
        <v>44238.5</v>
      </c>
      <c r="J57" s="10" t="s">
        <v>73</v>
      </c>
      <c r="K57" s="10" t="s">
        <v>34</v>
      </c>
      <c r="N57" s="10" t="s">
        <v>35</v>
      </c>
      <c r="V57" s="9"/>
      <c r="W57" s="13" t="s">
        <v>36</v>
      </c>
      <c r="X57" s="10" t="s">
        <v>37</v>
      </c>
      <c r="Y57" s="10" t="s">
        <v>0</v>
      </c>
    </row>
    <row r="58">
      <c r="A58" s="10" t="s">
        <v>288</v>
      </c>
      <c r="B58" s="11">
        <v>44235.97410796296</v>
      </c>
      <c r="C58" s="10" t="s">
        <v>124</v>
      </c>
      <c r="D58" s="10" t="s">
        <v>103</v>
      </c>
      <c r="E58" s="10" t="s">
        <v>289</v>
      </c>
      <c r="F58" s="10" t="s">
        <v>290</v>
      </c>
      <c r="G58" s="10" t="s">
        <v>291</v>
      </c>
      <c r="H58" s="12">
        <v>44235.833333333336</v>
      </c>
      <c r="I58" s="12">
        <v>44235.885416666664</v>
      </c>
      <c r="J58" s="10" t="s">
        <v>128</v>
      </c>
      <c r="K58" s="10" t="s">
        <v>34</v>
      </c>
      <c r="N58" s="10" t="s">
        <v>35</v>
      </c>
      <c r="V58" s="9"/>
      <c r="W58" s="13" t="s">
        <v>36</v>
      </c>
      <c r="X58" s="10" t="s">
        <v>37</v>
      </c>
      <c r="Y58" s="10" t="s">
        <v>0</v>
      </c>
    </row>
    <row r="59">
      <c r="A59" s="10" t="s">
        <v>292</v>
      </c>
      <c r="B59" s="11">
        <v>44228.65858849537</v>
      </c>
      <c r="C59" s="10" t="s">
        <v>96</v>
      </c>
      <c r="D59" s="10" t="s">
        <v>97</v>
      </c>
      <c r="E59" s="10" t="s">
        <v>293</v>
      </c>
      <c r="F59" s="10" t="s">
        <v>294</v>
      </c>
      <c r="G59" s="10" t="s">
        <v>295</v>
      </c>
      <c r="H59" s="12">
        <v>44232.458333333336</v>
      </c>
      <c r="I59" s="12">
        <v>44232.520833333336</v>
      </c>
      <c r="J59" s="10" t="s">
        <v>43</v>
      </c>
      <c r="K59" s="10" t="s">
        <v>34</v>
      </c>
      <c r="N59" s="10" t="s">
        <v>296</v>
      </c>
      <c r="O59" s="18" t="s">
        <v>297</v>
      </c>
      <c r="P59" s="10" t="s">
        <v>35</v>
      </c>
      <c r="R59" s="10" t="s">
        <v>296</v>
      </c>
      <c r="S59" s="10">
        <v>1.0</v>
      </c>
      <c r="T59" s="10" t="s">
        <v>35</v>
      </c>
      <c r="V59" s="9"/>
      <c r="W59" s="13" t="s">
        <v>66</v>
      </c>
      <c r="X59" s="10" t="s">
        <v>37</v>
      </c>
      <c r="Y59" s="10" t="s">
        <v>0</v>
      </c>
    </row>
    <row r="60">
      <c r="A60" s="10" t="s">
        <v>298</v>
      </c>
      <c r="B60" s="11">
        <v>44230.911967858796</v>
      </c>
      <c r="C60" s="10" t="s">
        <v>299</v>
      </c>
      <c r="D60" s="10" t="s">
        <v>47</v>
      </c>
      <c r="E60" s="10" t="s">
        <v>300</v>
      </c>
      <c r="F60" s="10" t="s">
        <v>301</v>
      </c>
      <c r="G60" s="10" t="s">
        <v>302</v>
      </c>
      <c r="H60" s="12">
        <v>44232.708333333336</v>
      </c>
      <c r="I60" s="12">
        <v>44232.75</v>
      </c>
      <c r="J60" s="10" t="s">
        <v>43</v>
      </c>
      <c r="K60" s="10" t="s">
        <v>34</v>
      </c>
      <c r="N60" s="10" t="s">
        <v>296</v>
      </c>
      <c r="O60" s="18" t="s">
        <v>303</v>
      </c>
      <c r="P60" s="10" t="s">
        <v>296</v>
      </c>
      <c r="Q60" s="10">
        <v>1.0</v>
      </c>
      <c r="R60" s="10" t="s">
        <v>35</v>
      </c>
      <c r="T60" s="10" t="s">
        <v>35</v>
      </c>
      <c r="V60" s="9"/>
      <c r="W60" s="13" t="s">
        <v>66</v>
      </c>
      <c r="X60" s="10" t="s">
        <v>37</v>
      </c>
      <c r="Y60" s="10" t="s">
        <v>0</v>
      </c>
    </row>
    <row r="61">
      <c r="A61" s="10" t="s">
        <v>304</v>
      </c>
      <c r="B61" s="11">
        <v>44235.68425535879</v>
      </c>
      <c r="C61" s="10" t="s">
        <v>239</v>
      </c>
      <c r="D61" s="10" t="s">
        <v>240</v>
      </c>
      <c r="E61" s="10" t="s">
        <v>305</v>
      </c>
      <c r="F61" s="10" t="s">
        <v>306</v>
      </c>
      <c r="G61" s="10" t="s">
        <v>307</v>
      </c>
      <c r="H61" s="12">
        <v>44236.291666666664</v>
      </c>
      <c r="I61" s="12">
        <v>44238.75</v>
      </c>
      <c r="J61" s="10" t="s">
        <v>51</v>
      </c>
      <c r="K61" s="10" t="s">
        <v>34</v>
      </c>
      <c r="N61" s="10" t="s">
        <v>35</v>
      </c>
      <c r="V61" s="9"/>
      <c r="W61" s="13" t="s">
        <v>36</v>
      </c>
      <c r="X61" s="10" t="s">
        <v>37</v>
      </c>
      <c r="Y61" s="10" t="s">
        <v>0</v>
      </c>
    </row>
    <row r="62">
      <c r="A62" s="10" t="s">
        <v>308</v>
      </c>
      <c r="B62" s="11">
        <v>44246.5469528588</v>
      </c>
      <c r="C62" s="10" t="s">
        <v>160</v>
      </c>
      <c r="D62" s="10" t="s">
        <v>161</v>
      </c>
      <c r="E62" s="10" t="s">
        <v>309</v>
      </c>
      <c r="F62" s="10" t="s">
        <v>310</v>
      </c>
      <c r="G62" s="10" t="s">
        <v>311</v>
      </c>
      <c r="H62" s="16">
        <v>44236.0</v>
      </c>
      <c r="I62" s="16">
        <v>44238.99930555555</v>
      </c>
      <c r="J62" s="10" t="s">
        <v>172</v>
      </c>
      <c r="K62" s="10" t="s">
        <v>34</v>
      </c>
      <c r="M62" s="10" t="s">
        <v>173</v>
      </c>
      <c r="N62" s="10" t="s">
        <v>35</v>
      </c>
      <c r="V62" s="9"/>
      <c r="W62" s="13" t="s">
        <v>36</v>
      </c>
      <c r="X62" s="10" t="s">
        <v>165</v>
      </c>
      <c r="Y62" s="10" t="s">
        <v>0</v>
      </c>
    </row>
    <row r="63">
      <c r="A63" s="10" t="s">
        <v>312</v>
      </c>
      <c r="B63" s="11">
        <v>44242.39983391204</v>
      </c>
      <c r="C63" s="10" t="s">
        <v>181</v>
      </c>
      <c r="D63" s="10" t="s">
        <v>69</v>
      </c>
      <c r="E63" s="10" t="s">
        <v>313</v>
      </c>
      <c r="F63" s="10" t="s">
        <v>314</v>
      </c>
      <c r="G63" s="10" t="s">
        <v>315</v>
      </c>
      <c r="H63" s="16">
        <v>44236.3125</v>
      </c>
      <c r="I63" s="16">
        <v>44236.4375</v>
      </c>
      <c r="J63" s="10" t="s">
        <v>128</v>
      </c>
      <c r="K63" s="10" t="s">
        <v>34</v>
      </c>
      <c r="N63" s="10" t="s">
        <v>35</v>
      </c>
      <c r="V63" s="9"/>
      <c r="W63" s="13" t="s">
        <v>36</v>
      </c>
      <c r="X63" s="10" t="s">
        <v>37</v>
      </c>
      <c r="Y63" s="10" t="s">
        <v>0</v>
      </c>
    </row>
    <row r="64">
      <c r="A64" s="10" t="s">
        <v>316</v>
      </c>
      <c r="B64" s="11">
        <v>44242.756276898144</v>
      </c>
      <c r="C64" s="10" t="s">
        <v>181</v>
      </c>
      <c r="D64" s="10" t="s">
        <v>69</v>
      </c>
      <c r="E64" s="10" t="s">
        <v>313</v>
      </c>
      <c r="F64" s="10" t="s">
        <v>317</v>
      </c>
      <c r="G64" s="10" t="s">
        <v>318</v>
      </c>
      <c r="H64" s="16">
        <v>44236.25</v>
      </c>
      <c r="I64" s="16">
        <v>44238.75</v>
      </c>
      <c r="J64" s="10" t="s">
        <v>172</v>
      </c>
      <c r="K64" s="10" t="s">
        <v>34</v>
      </c>
      <c r="M64" s="10" t="s">
        <v>173</v>
      </c>
      <c r="N64" s="10" t="s">
        <v>35</v>
      </c>
      <c r="V64" s="9"/>
      <c r="W64" s="13" t="s">
        <v>66</v>
      </c>
      <c r="X64" s="10" t="s">
        <v>37</v>
      </c>
      <c r="Y64" s="10" t="s">
        <v>0</v>
      </c>
    </row>
    <row r="65">
      <c r="A65" s="10" t="s">
        <v>319</v>
      </c>
      <c r="B65" s="11">
        <v>44225.99618202546</v>
      </c>
      <c r="C65" s="10" t="s">
        <v>320</v>
      </c>
      <c r="D65" s="10" t="s">
        <v>321</v>
      </c>
      <c r="E65" s="10" t="s">
        <v>322</v>
      </c>
      <c r="F65" s="10" t="s">
        <v>323</v>
      </c>
      <c r="G65" s="10" t="s">
        <v>324</v>
      </c>
      <c r="H65" s="12">
        <v>44236.3125</v>
      </c>
      <c r="I65" s="12">
        <v>44238.770833333336</v>
      </c>
      <c r="J65" s="10" t="s">
        <v>172</v>
      </c>
      <c r="K65" s="10" t="s">
        <v>34</v>
      </c>
      <c r="M65" s="10" t="s">
        <v>173</v>
      </c>
      <c r="N65" s="10" t="s">
        <v>35</v>
      </c>
      <c r="V65" s="9"/>
      <c r="W65" s="13" t="s">
        <v>36</v>
      </c>
      <c r="X65" s="10" t="s">
        <v>37</v>
      </c>
      <c r="Y65" s="10" t="s">
        <v>0</v>
      </c>
    </row>
    <row r="66">
      <c r="A66" s="10" t="s">
        <v>325</v>
      </c>
      <c r="B66" s="11">
        <v>44326.68725721065</v>
      </c>
      <c r="C66" s="10" t="s">
        <v>46</v>
      </c>
      <c r="D66" s="10" t="s">
        <v>47</v>
      </c>
      <c r="E66" s="10" t="s">
        <v>326</v>
      </c>
      <c r="F66" s="10" t="s">
        <v>327</v>
      </c>
      <c r="G66" s="10" t="s">
        <v>328</v>
      </c>
      <c r="H66" s="16">
        <v>44236.33333333333</v>
      </c>
      <c r="I66" s="16">
        <v>44238.77083333333</v>
      </c>
      <c r="J66" s="10" t="s">
        <v>172</v>
      </c>
      <c r="K66" s="10" t="s">
        <v>34</v>
      </c>
      <c r="M66" s="10" t="s">
        <v>173</v>
      </c>
      <c r="N66" s="10" t="s">
        <v>35</v>
      </c>
      <c r="V66" s="9"/>
      <c r="W66" s="13" t="s">
        <v>36</v>
      </c>
      <c r="X66" s="10" t="s">
        <v>237</v>
      </c>
      <c r="Y66" s="10" t="s">
        <v>0</v>
      </c>
    </row>
    <row r="67">
      <c r="A67" s="10" t="s">
        <v>329</v>
      </c>
      <c r="B67" s="11">
        <v>44226.51363383102</v>
      </c>
      <c r="C67" s="10" t="s">
        <v>330</v>
      </c>
      <c r="D67" s="10" t="s">
        <v>331</v>
      </c>
      <c r="E67" s="10" t="s">
        <v>332</v>
      </c>
      <c r="F67" s="10" t="s">
        <v>333</v>
      </c>
      <c r="G67" s="10" t="s">
        <v>334</v>
      </c>
      <c r="H67" s="12">
        <v>44236.333333333336</v>
      </c>
      <c r="I67" s="12">
        <v>44238.770833333336</v>
      </c>
      <c r="J67" s="10" t="s">
        <v>128</v>
      </c>
      <c r="K67" s="10" t="s">
        <v>34</v>
      </c>
      <c r="N67" s="10" t="s">
        <v>35</v>
      </c>
      <c r="V67" s="9"/>
      <c r="W67" s="13" t="s">
        <v>36</v>
      </c>
      <c r="X67" s="10" t="s">
        <v>37</v>
      </c>
      <c r="Y67" s="10" t="s">
        <v>0</v>
      </c>
    </row>
    <row r="68">
      <c r="A68" s="10" t="s">
        <v>335</v>
      </c>
      <c r="B68" s="11">
        <v>44224.92845063657</v>
      </c>
      <c r="C68" s="10" t="s">
        <v>336</v>
      </c>
      <c r="D68" s="10" t="s">
        <v>337</v>
      </c>
      <c r="E68" s="10" t="s">
        <v>338</v>
      </c>
      <c r="F68" s="10" t="s">
        <v>339</v>
      </c>
      <c r="G68" s="10" t="s">
        <v>340</v>
      </c>
      <c r="H68" s="12">
        <v>44236.333333333336</v>
      </c>
      <c r="I68" s="12">
        <v>44238.770833333336</v>
      </c>
      <c r="J68" s="10" t="s">
        <v>172</v>
      </c>
      <c r="K68" s="10" t="s">
        <v>34</v>
      </c>
      <c r="M68" s="10" t="s">
        <v>173</v>
      </c>
      <c r="N68" s="10" t="s">
        <v>35</v>
      </c>
      <c r="V68" s="9"/>
      <c r="W68" s="13" t="s">
        <v>36</v>
      </c>
      <c r="X68" s="10" t="s">
        <v>37</v>
      </c>
      <c r="Y68" s="10" t="s">
        <v>0</v>
      </c>
    </row>
    <row r="69">
      <c r="A69" s="10" t="s">
        <v>341</v>
      </c>
      <c r="B69" s="11">
        <v>44225.71248829861</v>
      </c>
      <c r="C69" s="10" t="s">
        <v>342</v>
      </c>
      <c r="D69" s="10" t="s">
        <v>187</v>
      </c>
      <c r="E69" s="10" t="s">
        <v>343</v>
      </c>
      <c r="F69" s="10" t="s">
        <v>344</v>
      </c>
      <c r="G69" s="10" t="s">
        <v>345</v>
      </c>
      <c r="H69" s="12">
        <v>44236.333333333336</v>
      </c>
      <c r="I69" s="12">
        <v>44238.770833333336</v>
      </c>
      <c r="J69" s="10" t="s">
        <v>172</v>
      </c>
      <c r="K69" s="10" t="s">
        <v>34</v>
      </c>
      <c r="M69" s="10" t="s">
        <v>173</v>
      </c>
      <c r="N69" s="10" t="s">
        <v>35</v>
      </c>
      <c r="V69" s="9"/>
      <c r="W69" s="13" t="s">
        <v>36</v>
      </c>
      <c r="X69" s="10" t="s">
        <v>37</v>
      </c>
      <c r="Y69" s="10" t="s">
        <v>0</v>
      </c>
    </row>
    <row r="70">
      <c r="A70" s="10" t="s">
        <v>346</v>
      </c>
      <c r="B70" s="11">
        <v>44225.79485863426</v>
      </c>
      <c r="C70" s="10" t="s">
        <v>347</v>
      </c>
      <c r="D70" s="10" t="s">
        <v>348</v>
      </c>
      <c r="E70" s="10" t="s">
        <v>349</v>
      </c>
      <c r="F70" s="10" t="s">
        <v>173</v>
      </c>
      <c r="G70" s="10" t="s">
        <v>350</v>
      </c>
      <c r="H70" s="12">
        <v>44236.333333333336</v>
      </c>
      <c r="I70" s="12">
        <v>44238.770833333336</v>
      </c>
      <c r="J70" s="10" t="s">
        <v>172</v>
      </c>
      <c r="K70" s="10" t="s">
        <v>34</v>
      </c>
      <c r="M70" s="10" t="s">
        <v>173</v>
      </c>
      <c r="N70" s="10" t="s">
        <v>296</v>
      </c>
      <c r="O70" s="19" t="s">
        <v>351</v>
      </c>
      <c r="P70" s="10" t="s">
        <v>296</v>
      </c>
      <c r="Q70" s="10">
        <v>2.0</v>
      </c>
      <c r="R70" s="10" t="s">
        <v>35</v>
      </c>
      <c r="T70" s="10" t="s">
        <v>35</v>
      </c>
      <c r="V70" s="9"/>
      <c r="W70" s="13" t="s">
        <v>66</v>
      </c>
      <c r="X70" s="10" t="s">
        <v>37</v>
      </c>
      <c r="Y70" s="10" t="s">
        <v>0</v>
      </c>
    </row>
    <row r="71">
      <c r="A71" s="10" t="s">
        <v>352</v>
      </c>
      <c r="B71" s="11">
        <v>44228.764886296296</v>
      </c>
      <c r="C71" s="10" t="s">
        <v>186</v>
      </c>
      <c r="D71" s="10" t="s">
        <v>187</v>
      </c>
      <c r="E71" s="10" t="s">
        <v>353</v>
      </c>
      <c r="F71" s="10" t="s">
        <v>354</v>
      </c>
      <c r="G71" s="10" t="s">
        <v>355</v>
      </c>
      <c r="H71" s="12">
        <v>44236.333333333336</v>
      </c>
      <c r="I71" s="12">
        <v>44238.770833333336</v>
      </c>
      <c r="J71" s="10" t="s">
        <v>172</v>
      </c>
      <c r="K71" s="10" t="s">
        <v>34</v>
      </c>
      <c r="M71" s="10" t="s">
        <v>173</v>
      </c>
      <c r="N71" s="10" t="s">
        <v>35</v>
      </c>
      <c r="V71" s="9"/>
      <c r="W71" s="13" t="s">
        <v>66</v>
      </c>
      <c r="X71" s="10" t="s">
        <v>37</v>
      </c>
      <c r="Y71" s="10" t="s">
        <v>0</v>
      </c>
    </row>
    <row r="72">
      <c r="A72" s="10" t="s">
        <v>356</v>
      </c>
      <c r="B72" s="11">
        <v>44229.54667380787</v>
      </c>
      <c r="C72" s="10" t="s">
        <v>80</v>
      </c>
      <c r="D72" s="10" t="s">
        <v>81</v>
      </c>
      <c r="E72" s="10" t="s">
        <v>357</v>
      </c>
      <c r="F72" s="10" t="s">
        <v>358</v>
      </c>
      <c r="G72" s="10" t="s">
        <v>359</v>
      </c>
      <c r="H72" s="12">
        <v>44236.333333333336</v>
      </c>
      <c r="I72" s="12">
        <v>44238.75</v>
      </c>
      <c r="J72" s="10" t="s">
        <v>172</v>
      </c>
      <c r="K72" s="10" t="s">
        <v>34</v>
      </c>
      <c r="M72" s="10" t="s">
        <v>173</v>
      </c>
      <c r="N72" s="10" t="s">
        <v>35</v>
      </c>
      <c r="V72" s="9"/>
      <c r="W72" s="13" t="s">
        <v>36</v>
      </c>
      <c r="X72" s="10" t="s">
        <v>37</v>
      </c>
      <c r="Y72" s="10" t="s">
        <v>0</v>
      </c>
    </row>
    <row r="73">
      <c r="A73" s="10" t="s">
        <v>360</v>
      </c>
      <c r="B73" s="11">
        <v>44230.69543078703</v>
      </c>
      <c r="C73" s="10" t="s">
        <v>361</v>
      </c>
      <c r="D73" s="10" t="s">
        <v>362</v>
      </c>
      <c r="E73" s="10" t="s">
        <v>363</v>
      </c>
      <c r="F73" s="10" t="s">
        <v>364</v>
      </c>
      <c r="G73" s="10" t="s">
        <v>365</v>
      </c>
      <c r="H73" s="12">
        <v>44236.333333333336</v>
      </c>
      <c r="I73" s="12">
        <v>44238.770833333336</v>
      </c>
      <c r="J73" s="10" t="s">
        <v>172</v>
      </c>
      <c r="K73" s="10" t="s">
        <v>34</v>
      </c>
      <c r="M73" s="10" t="s">
        <v>173</v>
      </c>
      <c r="N73" s="10" t="s">
        <v>35</v>
      </c>
      <c r="V73" s="9"/>
      <c r="W73" s="13" t="s">
        <v>36</v>
      </c>
      <c r="X73" s="10" t="s">
        <v>37</v>
      </c>
      <c r="Y73" s="10" t="s">
        <v>0</v>
      </c>
    </row>
    <row r="74">
      <c r="A74" s="10" t="s">
        <v>366</v>
      </c>
      <c r="B74" s="11">
        <v>44231.65812594908</v>
      </c>
      <c r="C74" s="10" t="s">
        <v>137</v>
      </c>
      <c r="D74" s="10" t="s">
        <v>138</v>
      </c>
      <c r="E74" s="10" t="s">
        <v>225</v>
      </c>
      <c r="F74" s="10" t="s">
        <v>367</v>
      </c>
      <c r="G74" s="10" t="s">
        <v>368</v>
      </c>
      <c r="H74" s="12">
        <v>44236.333333333336</v>
      </c>
      <c r="I74" s="12">
        <v>44238.770833333336</v>
      </c>
      <c r="J74" s="10" t="s">
        <v>172</v>
      </c>
      <c r="K74" s="10" t="s">
        <v>34</v>
      </c>
      <c r="M74" s="10" t="s">
        <v>173</v>
      </c>
      <c r="N74" s="10" t="s">
        <v>35</v>
      </c>
      <c r="V74" s="9"/>
      <c r="W74" s="13" t="s">
        <v>36</v>
      </c>
      <c r="X74" s="10" t="s">
        <v>37</v>
      </c>
      <c r="Y74" s="10" t="s">
        <v>0</v>
      </c>
    </row>
    <row r="75">
      <c r="A75" s="10" t="s">
        <v>369</v>
      </c>
      <c r="B75" s="11">
        <v>44224.81106630787</v>
      </c>
      <c r="C75" s="10" t="s">
        <v>80</v>
      </c>
      <c r="D75" s="10" t="s">
        <v>81</v>
      </c>
      <c r="E75" s="10" t="s">
        <v>370</v>
      </c>
      <c r="F75" s="10" t="s">
        <v>371</v>
      </c>
      <c r="G75" s="10" t="s">
        <v>372</v>
      </c>
      <c r="H75" s="12">
        <v>44236.5</v>
      </c>
      <c r="I75" s="12">
        <v>44236.520833333336</v>
      </c>
      <c r="J75" s="10" t="s">
        <v>73</v>
      </c>
      <c r="K75" s="10" t="s">
        <v>34</v>
      </c>
      <c r="N75" s="10" t="s">
        <v>35</v>
      </c>
      <c r="V75" s="9"/>
      <c r="W75" s="13" t="s">
        <v>36</v>
      </c>
      <c r="X75" s="10" t="s">
        <v>37</v>
      </c>
      <c r="Y75" s="10" t="s">
        <v>0</v>
      </c>
    </row>
    <row r="76">
      <c r="A76" s="10" t="s">
        <v>373</v>
      </c>
      <c r="B76" s="11">
        <v>44235.51889594908</v>
      </c>
      <c r="C76" s="10" t="s">
        <v>374</v>
      </c>
      <c r="D76" s="10" t="s">
        <v>375</v>
      </c>
      <c r="E76" s="10" t="s">
        <v>261</v>
      </c>
      <c r="F76" s="10" t="s">
        <v>262</v>
      </c>
      <c r="G76" s="10" t="s">
        <v>376</v>
      </c>
      <c r="H76" s="12">
        <v>44236.520833333336</v>
      </c>
      <c r="I76" s="12">
        <v>44236.521527777775</v>
      </c>
      <c r="J76" s="10" t="s">
        <v>73</v>
      </c>
      <c r="K76" s="10" t="s">
        <v>34</v>
      </c>
      <c r="N76" s="10" t="s">
        <v>35</v>
      </c>
      <c r="V76" s="9"/>
      <c r="W76" s="13" t="s">
        <v>36</v>
      </c>
      <c r="X76" s="10" t="s">
        <v>37</v>
      </c>
      <c r="Y76" s="10" t="s">
        <v>0</v>
      </c>
    </row>
    <row r="77">
      <c r="A77" s="10" t="s">
        <v>377</v>
      </c>
      <c r="B77" s="11">
        <v>44229.04509053241</v>
      </c>
      <c r="C77" s="10" t="s">
        <v>374</v>
      </c>
      <c r="D77" s="10" t="s">
        <v>375</v>
      </c>
      <c r="E77" s="10" t="s">
        <v>261</v>
      </c>
      <c r="F77" s="10" t="s">
        <v>378</v>
      </c>
      <c r="G77" s="10" t="s">
        <v>379</v>
      </c>
      <c r="H77" s="12">
        <v>44236.5625</v>
      </c>
      <c r="I77" s="12">
        <v>44236.604166666664</v>
      </c>
      <c r="J77" s="10" t="s">
        <v>128</v>
      </c>
      <c r="K77" s="10" t="s">
        <v>34</v>
      </c>
      <c r="N77" s="10" t="s">
        <v>35</v>
      </c>
      <c r="V77" s="9"/>
      <c r="W77" s="13" t="s">
        <v>36</v>
      </c>
      <c r="X77" s="10" t="s">
        <v>37</v>
      </c>
      <c r="Y77" s="10" t="s">
        <v>0</v>
      </c>
    </row>
    <row r="78">
      <c r="A78" s="10" t="s">
        <v>380</v>
      </c>
      <c r="B78" s="11">
        <v>44235.44469045139</v>
      </c>
      <c r="C78" s="10" t="s">
        <v>381</v>
      </c>
      <c r="D78" s="10" t="s">
        <v>382</v>
      </c>
      <c r="E78" s="10" t="s">
        <v>383</v>
      </c>
      <c r="F78" s="10" t="s">
        <v>384</v>
      </c>
      <c r="G78" s="10" t="s">
        <v>385</v>
      </c>
      <c r="H78" s="12">
        <v>44236.333333333336</v>
      </c>
      <c r="I78" s="12">
        <v>44238.770833333336</v>
      </c>
      <c r="J78" s="10" t="s">
        <v>172</v>
      </c>
      <c r="K78" s="10" t="s">
        <v>34</v>
      </c>
      <c r="M78" s="10" t="s">
        <v>173</v>
      </c>
      <c r="N78" s="10" t="s">
        <v>35</v>
      </c>
      <c r="V78" s="9"/>
      <c r="W78" s="13" t="s">
        <v>36</v>
      </c>
      <c r="X78" s="10" t="s">
        <v>37</v>
      </c>
      <c r="Y78" s="10" t="s">
        <v>0</v>
      </c>
    </row>
    <row r="79">
      <c r="A79" s="10" t="s">
        <v>386</v>
      </c>
      <c r="B79" s="11">
        <v>44235.69172459491</v>
      </c>
      <c r="C79" s="10" t="s">
        <v>387</v>
      </c>
      <c r="D79" s="10" t="s">
        <v>388</v>
      </c>
      <c r="E79" s="10" t="s">
        <v>389</v>
      </c>
      <c r="F79" s="10" t="s">
        <v>358</v>
      </c>
      <c r="G79" s="10" t="s">
        <v>390</v>
      </c>
      <c r="H79" s="12">
        <v>44236.333333333336</v>
      </c>
      <c r="I79" s="12">
        <v>44237.75</v>
      </c>
      <c r="J79" s="10" t="s">
        <v>172</v>
      </c>
      <c r="K79" s="10" t="s">
        <v>34</v>
      </c>
      <c r="M79" s="10" t="s">
        <v>173</v>
      </c>
      <c r="N79" s="10" t="s">
        <v>35</v>
      </c>
      <c r="V79" s="9"/>
      <c r="W79" s="13" t="s">
        <v>36</v>
      </c>
      <c r="X79" s="10" t="s">
        <v>37</v>
      </c>
      <c r="Y79" s="10" t="s">
        <v>0</v>
      </c>
    </row>
    <row r="80">
      <c r="A80" s="10" t="s">
        <v>391</v>
      </c>
      <c r="B80" s="11">
        <v>44235.79475616898</v>
      </c>
      <c r="C80" s="10" t="s">
        <v>392</v>
      </c>
      <c r="D80" s="10" t="s">
        <v>393</v>
      </c>
      <c r="E80" s="10" t="s">
        <v>394</v>
      </c>
      <c r="F80" s="10" t="s">
        <v>395</v>
      </c>
      <c r="G80" s="10" t="s">
        <v>396</v>
      </c>
      <c r="H80" s="12">
        <v>44236.375</v>
      </c>
      <c r="I80" s="12">
        <v>44238.25</v>
      </c>
      <c r="J80" s="10" t="s">
        <v>172</v>
      </c>
      <c r="K80" s="10" t="s">
        <v>34</v>
      </c>
      <c r="M80" s="10" t="s">
        <v>173</v>
      </c>
      <c r="N80" s="10" t="s">
        <v>35</v>
      </c>
      <c r="V80" s="9"/>
      <c r="W80" s="13" t="s">
        <v>36</v>
      </c>
      <c r="X80" s="10" t="s">
        <v>37</v>
      </c>
      <c r="Y80" s="10" t="s">
        <v>0</v>
      </c>
    </row>
    <row r="81">
      <c r="A81" s="10" t="s">
        <v>397</v>
      </c>
      <c r="B81" s="11">
        <v>44232.89076171296</v>
      </c>
      <c r="C81" s="10" t="s">
        <v>239</v>
      </c>
      <c r="D81" s="10" t="s">
        <v>240</v>
      </c>
      <c r="E81" s="10" t="s">
        <v>398</v>
      </c>
      <c r="F81" s="10" t="s">
        <v>399</v>
      </c>
      <c r="G81" s="10" t="s">
        <v>400</v>
      </c>
      <c r="H81" s="12">
        <v>44236.583333333336</v>
      </c>
      <c r="I81" s="12">
        <v>44236.604166666664</v>
      </c>
      <c r="J81" s="10" t="s">
        <v>172</v>
      </c>
      <c r="K81" s="10" t="s">
        <v>34</v>
      </c>
      <c r="M81" s="10" t="s">
        <v>173</v>
      </c>
      <c r="N81" s="10" t="s">
        <v>35</v>
      </c>
      <c r="V81" s="9"/>
      <c r="W81" s="13" t="s">
        <v>36</v>
      </c>
      <c r="X81" s="10" t="s">
        <v>37</v>
      </c>
      <c r="Y81" s="10" t="s">
        <v>0</v>
      </c>
    </row>
    <row r="82">
      <c r="A82" s="10" t="s">
        <v>401</v>
      </c>
      <c r="B82" s="11">
        <v>44229.5651759375</v>
      </c>
      <c r="C82" s="10" t="s">
        <v>80</v>
      </c>
      <c r="D82" s="10" t="s">
        <v>81</v>
      </c>
      <c r="E82" s="10" t="s">
        <v>402</v>
      </c>
      <c r="F82" s="10" t="s">
        <v>403</v>
      </c>
      <c r="G82" s="10" t="s">
        <v>404</v>
      </c>
      <c r="H82" s="12">
        <v>44236.729166666664</v>
      </c>
      <c r="I82" s="12">
        <v>44236.770833333336</v>
      </c>
      <c r="J82" s="10" t="s">
        <v>128</v>
      </c>
      <c r="K82" s="10" t="s">
        <v>34</v>
      </c>
      <c r="N82" s="10" t="s">
        <v>35</v>
      </c>
      <c r="V82" s="9"/>
      <c r="W82" s="13" t="s">
        <v>36</v>
      </c>
      <c r="X82" s="10" t="s">
        <v>37</v>
      </c>
      <c r="Y82" s="10" t="s">
        <v>0</v>
      </c>
    </row>
    <row r="83">
      <c r="A83" s="10" t="s">
        <v>405</v>
      </c>
      <c r="B83" s="11">
        <v>44246.79553594907</v>
      </c>
      <c r="C83" s="10" t="s">
        <v>406</v>
      </c>
      <c r="D83" s="10" t="s">
        <v>103</v>
      </c>
      <c r="E83" s="10" t="s">
        <v>407</v>
      </c>
      <c r="F83" s="10" t="s">
        <v>408</v>
      </c>
      <c r="G83" s="10" t="s">
        <v>409</v>
      </c>
      <c r="H83" s="16">
        <v>44236.79166666667</v>
      </c>
      <c r="I83" s="16">
        <v>44236.819444444445</v>
      </c>
      <c r="J83" s="10" t="s">
        <v>51</v>
      </c>
      <c r="K83" s="10" t="s">
        <v>34</v>
      </c>
      <c r="N83" s="10" t="s">
        <v>35</v>
      </c>
      <c r="V83" s="9"/>
      <c r="W83" s="13" t="s">
        <v>66</v>
      </c>
      <c r="X83" s="10" t="s">
        <v>37</v>
      </c>
      <c r="Y83" s="10" t="s">
        <v>0</v>
      </c>
    </row>
    <row r="84">
      <c r="A84" s="10" t="s">
        <v>410</v>
      </c>
      <c r="B84" s="11">
        <v>44230.68575484953</v>
      </c>
      <c r="C84" s="10" t="s">
        <v>361</v>
      </c>
      <c r="D84" s="10" t="s">
        <v>362</v>
      </c>
      <c r="E84" s="10" t="s">
        <v>411</v>
      </c>
      <c r="F84" s="10" t="s">
        <v>412</v>
      </c>
      <c r="G84" s="10" t="s">
        <v>413</v>
      </c>
      <c r="H84" s="12">
        <v>44236.604166666664</v>
      </c>
      <c r="I84" s="12">
        <v>44236.645833333336</v>
      </c>
      <c r="J84" s="10" t="s">
        <v>43</v>
      </c>
      <c r="K84" s="10" t="s">
        <v>34</v>
      </c>
      <c r="N84" s="10" t="s">
        <v>35</v>
      </c>
      <c r="V84" s="9"/>
      <c r="W84" s="13" t="s">
        <v>36</v>
      </c>
      <c r="X84" s="10" t="s">
        <v>37</v>
      </c>
      <c r="Y84" s="10" t="s">
        <v>0</v>
      </c>
    </row>
    <row r="85">
      <c r="A85" s="10" t="s">
        <v>414</v>
      </c>
      <c r="B85" s="11">
        <v>44224.713518969904</v>
      </c>
      <c r="C85" s="10" t="s">
        <v>80</v>
      </c>
      <c r="D85" s="10" t="s">
        <v>81</v>
      </c>
      <c r="E85" s="10" t="s">
        <v>130</v>
      </c>
      <c r="F85" s="10" t="s">
        <v>415</v>
      </c>
      <c r="G85" s="10" t="s">
        <v>416</v>
      </c>
      <c r="H85" s="12">
        <v>44237.5</v>
      </c>
      <c r="I85" s="12">
        <v>44237.520833333336</v>
      </c>
      <c r="J85" s="10" t="s">
        <v>73</v>
      </c>
      <c r="K85" s="10" t="s">
        <v>34</v>
      </c>
      <c r="N85" s="10" t="s">
        <v>35</v>
      </c>
      <c r="V85" s="9"/>
      <c r="W85" s="13" t="s">
        <v>36</v>
      </c>
      <c r="X85" s="10" t="s">
        <v>37</v>
      </c>
      <c r="Y85" s="10" t="s">
        <v>0</v>
      </c>
    </row>
    <row r="86">
      <c r="A86" s="10" t="s">
        <v>417</v>
      </c>
      <c r="B86" s="11">
        <v>44231.74004967592</v>
      </c>
      <c r="C86" s="10" t="s">
        <v>418</v>
      </c>
      <c r="D86" s="10" t="s">
        <v>419</v>
      </c>
      <c r="E86" s="10" t="s">
        <v>420</v>
      </c>
      <c r="F86" s="10" t="s">
        <v>421</v>
      </c>
      <c r="G86" s="10" t="s">
        <v>422</v>
      </c>
      <c r="H86" s="12">
        <v>44237.583333333336</v>
      </c>
      <c r="I86" s="12">
        <v>44237.645833333336</v>
      </c>
      <c r="J86" s="10" t="s">
        <v>128</v>
      </c>
      <c r="K86" s="10" t="s">
        <v>34</v>
      </c>
      <c r="N86" s="10" t="s">
        <v>35</v>
      </c>
      <c r="V86" s="9"/>
      <c r="W86" s="13" t="s">
        <v>36</v>
      </c>
      <c r="X86" s="10" t="s">
        <v>37</v>
      </c>
      <c r="Y86" s="10" t="s">
        <v>0</v>
      </c>
    </row>
    <row r="87">
      <c r="A87" s="10" t="s">
        <v>423</v>
      </c>
      <c r="B87" s="11">
        <v>44234.72667434027</v>
      </c>
      <c r="C87" s="10" t="s">
        <v>239</v>
      </c>
      <c r="D87" s="10" t="s">
        <v>240</v>
      </c>
      <c r="E87" s="10" t="s">
        <v>424</v>
      </c>
      <c r="F87" s="10" t="s">
        <v>425</v>
      </c>
      <c r="G87" s="10" t="s">
        <v>426</v>
      </c>
      <c r="H87" s="12">
        <v>44236.625</v>
      </c>
      <c r="I87" s="12">
        <v>44236.666666666664</v>
      </c>
      <c r="J87" s="10" t="s">
        <v>172</v>
      </c>
      <c r="K87" s="10" t="s">
        <v>34</v>
      </c>
      <c r="M87" s="10" t="s">
        <v>173</v>
      </c>
      <c r="N87" s="10" t="s">
        <v>35</v>
      </c>
      <c r="V87" s="9"/>
      <c r="W87" s="13" t="s">
        <v>36</v>
      </c>
      <c r="X87" s="10" t="s">
        <v>37</v>
      </c>
      <c r="Y87" s="10" t="s">
        <v>0</v>
      </c>
    </row>
    <row r="88">
      <c r="A88" s="10" t="s">
        <v>427</v>
      </c>
      <c r="B88" s="11">
        <v>44232.88888883102</v>
      </c>
      <c r="C88" s="10" t="s">
        <v>239</v>
      </c>
      <c r="D88" s="10" t="s">
        <v>240</v>
      </c>
      <c r="E88" s="10" t="s">
        <v>428</v>
      </c>
      <c r="F88" s="10" t="s">
        <v>429</v>
      </c>
      <c r="G88" s="10" t="s">
        <v>430</v>
      </c>
      <c r="H88" s="12">
        <v>44236.6875</v>
      </c>
      <c r="I88" s="12">
        <v>44236.729166666664</v>
      </c>
      <c r="J88" s="10" t="s">
        <v>43</v>
      </c>
      <c r="K88" s="10" t="s">
        <v>34</v>
      </c>
      <c r="N88" s="10" t="s">
        <v>35</v>
      </c>
      <c r="V88" s="9"/>
      <c r="W88" s="13" t="s">
        <v>36</v>
      </c>
      <c r="X88" s="10" t="s">
        <v>37</v>
      </c>
      <c r="Y88" s="10" t="s">
        <v>0</v>
      </c>
    </row>
    <row r="89">
      <c r="A89" s="10" t="s">
        <v>431</v>
      </c>
      <c r="B89" s="11">
        <v>44272.62781006945</v>
      </c>
      <c r="C89" s="10" t="s">
        <v>46</v>
      </c>
      <c r="D89" s="10" t="s">
        <v>47</v>
      </c>
      <c r="E89" s="10" t="s">
        <v>432</v>
      </c>
      <c r="F89" s="10" t="s">
        <v>433</v>
      </c>
      <c r="G89" s="10" t="s">
        <v>434</v>
      </c>
      <c r="H89" s="17">
        <v>44238.33333333333</v>
      </c>
      <c r="I89" s="17">
        <v>44238.66666666667</v>
      </c>
      <c r="J89" s="10" t="s">
        <v>51</v>
      </c>
      <c r="K89" s="10" t="s">
        <v>34</v>
      </c>
      <c r="N89" s="10" t="s">
        <v>35</v>
      </c>
      <c r="V89" s="9"/>
      <c r="W89" s="13" t="s">
        <v>78</v>
      </c>
      <c r="X89" s="10" t="s">
        <v>37</v>
      </c>
      <c r="Y89" s="10" t="s">
        <v>0</v>
      </c>
    </row>
    <row r="90">
      <c r="A90" s="10" t="s">
        <v>435</v>
      </c>
      <c r="B90" s="11">
        <v>44232.89271451389</v>
      </c>
      <c r="C90" s="10" t="s">
        <v>239</v>
      </c>
      <c r="D90" s="10" t="s">
        <v>240</v>
      </c>
      <c r="E90" s="10" t="s">
        <v>436</v>
      </c>
      <c r="F90" s="10" t="s">
        <v>437</v>
      </c>
      <c r="G90" s="10" t="s">
        <v>438</v>
      </c>
      <c r="H90" s="12">
        <v>44237.4375</v>
      </c>
      <c r="I90" s="12">
        <v>44237.479166666664</v>
      </c>
      <c r="J90" s="10" t="s">
        <v>172</v>
      </c>
      <c r="K90" s="10" t="s">
        <v>34</v>
      </c>
      <c r="M90" s="10" t="s">
        <v>173</v>
      </c>
      <c r="N90" s="10" t="s">
        <v>35</v>
      </c>
      <c r="V90" s="9"/>
      <c r="W90" s="13" t="s">
        <v>36</v>
      </c>
      <c r="X90" s="10" t="s">
        <v>37</v>
      </c>
      <c r="Y90" s="10" t="s">
        <v>0</v>
      </c>
    </row>
    <row r="91">
      <c r="A91" s="10" t="s">
        <v>439</v>
      </c>
      <c r="B91" s="11">
        <v>44230.69127196759</v>
      </c>
      <c r="C91" s="10" t="s">
        <v>361</v>
      </c>
      <c r="D91" s="10" t="s">
        <v>362</v>
      </c>
      <c r="E91" s="10" t="s">
        <v>363</v>
      </c>
      <c r="F91" s="10" t="s">
        <v>440</v>
      </c>
      <c r="G91" s="10" t="s">
        <v>441</v>
      </c>
      <c r="H91" s="12">
        <v>44237.604166666664</v>
      </c>
      <c r="I91" s="12">
        <v>44237.5625</v>
      </c>
      <c r="J91" s="10" t="s">
        <v>43</v>
      </c>
      <c r="K91" s="10" t="s">
        <v>34</v>
      </c>
      <c r="N91" s="10" t="s">
        <v>35</v>
      </c>
      <c r="V91" s="9"/>
      <c r="W91" s="13" t="s">
        <v>36</v>
      </c>
      <c r="X91" s="10" t="s">
        <v>37</v>
      </c>
      <c r="Y91" s="10" t="s">
        <v>0</v>
      </c>
    </row>
    <row r="92">
      <c r="A92" s="10" t="s">
        <v>442</v>
      </c>
      <c r="B92" s="11">
        <v>44223.88014658565</v>
      </c>
      <c r="C92" s="10" t="s">
        <v>443</v>
      </c>
      <c r="D92" s="10" t="s">
        <v>444</v>
      </c>
      <c r="E92" s="10" t="s">
        <v>445</v>
      </c>
      <c r="F92" s="10" t="s">
        <v>446</v>
      </c>
      <c r="G92" s="10" t="s">
        <v>447</v>
      </c>
      <c r="H92" s="12">
        <v>44237.645833333336</v>
      </c>
      <c r="I92" s="12">
        <v>44237.729166666664</v>
      </c>
      <c r="J92" s="10" t="s">
        <v>43</v>
      </c>
      <c r="K92" s="10" t="s">
        <v>34</v>
      </c>
      <c r="N92" s="10" t="s">
        <v>296</v>
      </c>
      <c r="O92" s="18" t="s">
        <v>448</v>
      </c>
      <c r="P92" s="10" t="s">
        <v>296</v>
      </c>
      <c r="Q92" s="10">
        <v>1.0</v>
      </c>
      <c r="R92" s="10" t="s">
        <v>296</v>
      </c>
      <c r="S92" s="10">
        <v>1.0</v>
      </c>
      <c r="T92" s="10" t="s">
        <v>35</v>
      </c>
      <c r="V92" s="9"/>
      <c r="W92" s="13" t="s">
        <v>36</v>
      </c>
      <c r="X92" s="10" t="s">
        <v>37</v>
      </c>
      <c r="Y92" s="10" t="s">
        <v>0</v>
      </c>
    </row>
    <row r="93">
      <c r="A93" s="10" t="s">
        <v>449</v>
      </c>
      <c r="B93" s="11">
        <v>44231.74248246528</v>
      </c>
      <c r="C93" s="10" t="s">
        <v>80</v>
      </c>
      <c r="D93" s="10" t="s">
        <v>81</v>
      </c>
      <c r="E93" s="10" t="s">
        <v>281</v>
      </c>
      <c r="F93" s="10" t="s">
        <v>450</v>
      </c>
      <c r="G93" s="10" t="s">
        <v>451</v>
      </c>
      <c r="H93" s="12">
        <v>44238.5</v>
      </c>
      <c r="I93" s="12">
        <v>44238.5</v>
      </c>
      <c r="J93" s="10" t="s">
        <v>73</v>
      </c>
      <c r="K93" s="10" t="s">
        <v>34</v>
      </c>
      <c r="N93" s="10" t="s">
        <v>35</v>
      </c>
      <c r="V93" s="9"/>
      <c r="W93" s="13" t="s">
        <v>36</v>
      </c>
      <c r="X93" s="10" t="s">
        <v>37</v>
      </c>
      <c r="Y93" s="10" t="s">
        <v>0</v>
      </c>
    </row>
    <row r="94">
      <c r="A94" s="10" t="s">
        <v>452</v>
      </c>
      <c r="B94" s="11">
        <v>44235.803867372684</v>
      </c>
      <c r="C94" s="10" t="s">
        <v>453</v>
      </c>
      <c r="D94" s="10" t="s">
        <v>393</v>
      </c>
      <c r="E94" s="10" t="s">
        <v>454</v>
      </c>
      <c r="F94" s="10" t="s">
        <v>455</v>
      </c>
      <c r="G94" s="10" t="s">
        <v>456</v>
      </c>
      <c r="H94" s="12">
        <v>44238.395833333336</v>
      </c>
      <c r="I94" s="12">
        <v>44238.416666666664</v>
      </c>
      <c r="J94" s="10" t="s">
        <v>172</v>
      </c>
      <c r="K94" s="10" t="s">
        <v>34</v>
      </c>
      <c r="M94" s="10" t="s">
        <v>173</v>
      </c>
      <c r="N94" s="10" t="s">
        <v>296</v>
      </c>
      <c r="O94" s="18" t="s">
        <v>457</v>
      </c>
      <c r="P94" s="10" t="s">
        <v>296</v>
      </c>
      <c r="Q94" s="10">
        <v>1.0</v>
      </c>
      <c r="R94" s="10" t="s">
        <v>296</v>
      </c>
      <c r="S94" s="10">
        <v>1.0</v>
      </c>
      <c r="T94" s="10" t="s">
        <v>35</v>
      </c>
      <c r="V94" s="9"/>
      <c r="W94" s="13" t="s">
        <v>36</v>
      </c>
      <c r="X94" s="10" t="s">
        <v>37</v>
      </c>
      <c r="Y94" s="10" t="s">
        <v>0</v>
      </c>
    </row>
    <row r="95">
      <c r="A95" s="10" t="s">
        <v>458</v>
      </c>
      <c r="B95" s="11">
        <v>44232.021206006946</v>
      </c>
      <c r="C95" s="10" t="s">
        <v>459</v>
      </c>
      <c r="D95" s="10" t="s">
        <v>444</v>
      </c>
      <c r="E95" s="10" t="s">
        <v>460</v>
      </c>
      <c r="F95" s="10" t="s">
        <v>461</v>
      </c>
      <c r="G95" s="10" t="s">
        <v>462</v>
      </c>
      <c r="H95" s="12">
        <v>44238.416666666664</v>
      </c>
      <c r="I95" s="12">
        <v>44238.458333333336</v>
      </c>
      <c r="J95" s="10" t="s">
        <v>43</v>
      </c>
      <c r="K95" s="10" t="s">
        <v>34</v>
      </c>
      <c r="N95" s="10" t="s">
        <v>296</v>
      </c>
      <c r="O95" s="18" t="s">
        <v>463</v>
      </c>
      <c r="P95" s="10" t="s">
        <v>35</v>
      </c>
      <c r="R95" s="10" t="s">
        <v>296</v>
      </c>
      <c r="S95" s="10">
        <v>1.0</v>
      </c>
      <c r="T95" s="10" t="s">
        <v>35</v>
      </c>
      <c r="V95" s="9"/>
      <c r="W95" s="13" t="s">
        <v>36</v>
      </c>
      <c r="X95" s="10" t="s">
        <v>37</v>
      </c>
      <c r="Y95" s="10" t="s">
        <v>0</v>
      </c>
    </row>
    <row r="96">
      <c r="A96" s="10" t="s">
        <v>464</v>
      </c>
      <c r="B96" s="11">
        <v>44235.863809421295</v>
      </c>
      <c r="C96" s="10" t="s">
        <v>219</v>
      </c>
      <c r="D96" s="10" t="s">
        <v>220</v>
      </c>
      <c r="E96" s="10" t="s">
        <v>465</v>
      </c>
      <c r="F96" s="10" t="s">
        <v>466</v>
      </c>
      <c r="G96" s="10" t="s">
        <v>467</v>
      </c>
      <c r="H96" s="12">
        <v>44238.833333333336</v>
      </c>
      <c r="I96" s="12">
        <v>44238.875</v>
      </c>
      <c r="J96" s="10" t="s">
        <v>128</v>
      </c>
      <c r="K96" s="10" t="s">
        <v>34</v>
      </c>
      <c r="N96" s="10" t="s">
        <v>35</v>
      </c>
      <c r="V96" s="9"/>
      <c r="W96" s="13" t="s">
        <v>36</v>
      </c>
      <c r="X96" s="10" t="s">
        <v>37</v>
      </c>
      <c r="Y96" s="10" t="s">
        <v>0</v>
      </c>
    </row>
    <row r="97">
      <c r="A97" s="10" t="s">
        <v>468</v>
      </c>
      <c r="B97" s="11">
        <v>44235.684220752315</v>
      </c>
      <c r="C97" s="10" t="s">
        <v>80</v>
      </c>
      <c r="D97" s="10" t="s">
        <v>81</v>
      </c>
      <c r="E97" s="10" t="s">
        <v>469</v>
      </c>
      <c r="F97" s="10" t="s">
        <v>470</v>
      </c>
      <c r="G97" s="10" t="s">
        <v>471</v>
      </c>
      <c r="H97" s="12">
        <v>44239.104166666664</v>
      </c>
      <c r="I97" s="12">
        <v>44239.145833333336</v>
      </c>
      <c r="J97" s="10" t="s">
        <v>128</v>
      </c>
      <c r="K97" s="10" t="s">
        <v>34</v>
      </c>
      <c r="N97" s="10" t="s">
        <v>35</v>
      </c>
      <c r="V97" s="9"/>
      <c r="W97" s="13" t="s">
        <v>36</v>
      </c>
      <c r="X97" s="10" t="s">
        <v>37</v>
      </c>
      <c r="Y97" s="10" t="s">
        <v>0</v>
      </c>
    </row>
    <row r="98">
      <c r="A98" s="10" t="s">
        <v>472</v>
      </c>
      <c r="B98" s="11">
        <v>44225.81000217593</v>
      </c>
      <c r="C98" s="10" t="s">
        <v>347</v>
      </c>
      <c r="D98" s="10" t="s">
        <v>348</v>
      </c>
      <c r="E98" s="10" t="s">
        <v>349</v>
      </c>
      <c r="F98" s="10" t="s">
        <v>473</v>
      </c>
      <c r="G98" s="10" t="s">
        <v>474</v>
      </c>
      <c r="H98" s="12">
        <v>44238.479166666664</v>
      </c>
      <c r="I98" s="12">
        <v>44238.506944444445</v>
      </c>
      <c r="J98" s="10" t="s">
        <v>43</v>
      </c>
      <c r="K98" s="10" t="s">
        <v>34</v>
      </c>
      <c r="N98" s="10" t="s">
        <v>296</v>
      </c>
      <c r="O98" s="18" t="s">
        <v>475</v>
      </c>
      <c r="P98" s="10" t="s">
        <v>296</v>
      </c>
      <c r="Q98" s="10">
        <v>2.0</v>
      </c>
      <c r="R98" s="10" t="s">
        <v>35</v>
      </c>
      <c r="T98" s="10" t="s">
        <v>35</v>
      </c>
      <c r="V98" s="9"/>
      <c r="W98" s="13" t="s">
        <v>36</v>
      </c>
      <c r="X98" s="10" t="s">
        <v>37</v>
      </c>
      <c r="Y98" s="10" t="s">
        <v>0</v>
      </c>
    </row>
    <row r="99">
      <c r="A99" s="10" t="s">
        <v>476</v>
      </c>
      <c r="B99" s="11">
        <v>44232.95419081018</v>
      </c>
      <c r="C99" s="10" t="s">
        <v>80</v>
      </c>
      <c r="D99" s="10" t="s">
        <v>81</v>
      </c>
      <c r="E99" s="10" t="s">
        <v>82</v>
      </c>
      <c r="F99" s="10" t="s">
        <v>477</v>
      </c>
      <c r="G99" s="10" t="s">
        <v>478</v>
      </c>
      <c r="H99" s="12">
        <v>44239.5</v>
      </c>
      <c r="I99" s="12">
        <v>44239.541666666664</v>
      </c>
      <c r="J99" s="10" t="s">
        <v>73</v>
      </c>
      <c r="K99" s="10" t="s">
        <v>34</v>
      </c>
      <c r="N99" s="10" t="s">
        <v>35</v>
      </c>
      <c r="V99" s="9"/>
      <c r="W99" s="13" t="s">
        <v>36</v>
      </c>
      <c r="X99" s="10" t="s">
        <v>37</v>
      </c>
      <c r="Y99" s="10" t="s">
        <v>0</v>
      </c>
    </row>
    <row r="100">
      <c r="A100" s="10" t="s">
        <v>479</v>
      </c>
      <c r="B100" s="11">
        <v>44229.94211567129</v>
      </c>
      <c r="C100" s="10" t="s">
        <v>209</v>
      </c>
      <c r="D100" s="10" t="s">
        <v>210</v>
      </c>
      <c r="E100" s="10" t="s">
        <v>261</v>
      </c>
      <c r="F100" s="10" t="s">
        <v>212</v>
      </c>
      <c r="G100" s="10" t="s">
        <v>480</v>
      </c>
      <c r="H100" s="12">
        <v>44239.520833333336</v>
      </c>
      <c r="I100" s="12">
        <v>44239.604166666664</v>
      </c>
      <c r="J100" s="10" t="s">
        <v>128</v>
      </c>
      <c r="K100" s="10" t="s">
        <v>34</v>
      </c>
      <c r="N100" s="10" t="s">
        <v>35</v>
      </c>
      <c r="V100" s="9"/>
      <c r="W100" s="13" t="s">
        <v>36</v>
      </c>
      <c r="X100" s="10" t="s">
        <v>37</v>
      </c>
      <c r="Y100" s="10" t="s">
        <v>0</v>
      </c>
    </row>
    <row r="101">
      <c r="A101" s="10" t="s">
        <v>481</v>
      </c>
      <c r="B101" s="11">
        <v>44234.79094756945</v>
      </c>
      <c r="C101" s="10" t="s">
        <v>137</v>
      </c>
      <c r="D101" s="10" t="s">
        <v>138</v>
      </c>
      <c r="E101" s="10" t="s">
        <v>225</v>
      </c>
      <c r="F101" s="10" t="s">
        <v>482</v>
      </c>
      <c r="G101" s="10" t="s">
        <v>483</v>
      </c>
      <c r="H101" s="12">
        <v>44239.583333333336</v>
      </c>
      <c r="I101" s="12">
        <v>44239.666666666664</v>
      </c>
      <c r="J101" s="10" t="s">
        <v>128</v>
      </c>
      <c r="K101" s="10" t="s">
        <v>34</v>
      </c>
      <c r="N101" s="10" t="s">
        <v>35</v>
      </c>
      <c r="V101" s="9"/>
      <c r="W101" s="13" t="s">
        <v>36</v>
      </c>
      <c r="X101" s="10" t="s">
        <v>37</v>
      </c>
      <c r="Y101" s="10" t="s">
        <v>0</v>
      </c>
    </row>
    <row r="102">
      <c r="A102" s="10" t="s">
        <v>484</v>
      </c>
      <c r="B102" s="11">
        <v>44230.692940486115</v>
      </c>
      <c r="C102" s="10" t="s">
        <v>361</v>
      </c>
      <c r="D102" s="10" t="s">
        <v>362</v>
      </c>
      <c r="E102" s="10" t="s">
        <v>363</v>
      </c>
      <c r="F102" s="10" t="s">
        <v>485</v>
      </c>
      <c r="G102" s="10" t="s">
        <v>486</v>
      </c>
      <c r="H102" s="12">
        <v>44238.604166666664</v>
      </c>
      <c r="I102" s="12">
        <v>44238.5625</v>
      </c>
      <c r="J102" s="10" t="s">
        <v>43</v>
      </c>
      <c r="K102" s="10" t="s">
        <v>34</v>
      </c>
      <c r="N102" s="10" t="s">
        <v>35</v>
      </c>
      <c r="V102" s="9"/>
      <c r="W102" s="13" t="s">
        <v>36</v>
      </c>
      <c r="X102" s="10" t="s">
        <v>37</v>
      </c>
      <c r="Y102" s="10" t="s">
        <v>0</v>
      </c>
    </row>
    <row r="103">
      <c r="A103" s="10" t="s">
        <v>487</v>
      </c>
      <c r="B103" s="11">
        <v>44229.9541415625</v>
      </c>
      <c r="C103" s="10" t="s">
        <v>374</v>
      </c>
      <c r="D103" s="10" t="s">
        <v>375</v>
      </c>
      <c r="E103" s="10" t="s">
        <v>261</v>
      </c>
      <c r="F103" s="10" t="s">
        <v>488</v>
      </c>
      <c r="G103" s="10" t="s">
        <v>489</v>
      </c>
      <c r="H103" s="12">
        <v>44239.645833333336</v>
      </c>
      <c r="I103" s="12">
        <v>44239.6875</v>
      </c>
      <c r="J103" s="10" t="s">
        <v>128</v>
      </c>
      <c r="K103" s="10" t="s">
        <v>34</v>
      </c>
      <c r="N103" s="10" t="s">
        <v>35</v>
      </c>
      <c r="V103" s="9"/>
      <c r="W103" s="13" t="s">
        <v>36</v>
      </c>
      <c r="X103" s="10" t="s">
        <v>37</v>
      </c>
      <c r="Y103" s="10" t="s">
        <v>0</v>
      </c>
    </row>
    <row r="104">
      <c r="A104" s="10" t="s">
        <v>490</v>
      </c>
      <c r="B104" s="11">
        <v>44241.56563777778</v>
      </c>
      <c r="C104" s="10" t="s">
        <v>491</v>
      </c>
      <c r="D104" s="10" t="s">
        <v>492</v>
      </c>
      <c r="E104" s="10" t="s">
        <v>493</v>
      </c>
      <c r="F104" s="10" t="s">
        <v>494</v>
      </c>
      <c r="G104" s="10" t="s">
        <v>495</v>
      </c>
      <c r="H104" s="16">
        <v>44239.66666666667</v>
      </c>
      <c r="I104" s="16">
        <v>44239.694444444445</v>
      </c>
      <c r="J104" s="10" t="s">
        <v>128</v>
      </c>
      <c r="K104" s="10" t="s">
        <v>34</v>
      </c>
      <c r="N104" s="10" t="s">
        <v>35</v>
      </c>
      <c r="V104" s="9"/>
      <c r="W104" s="13" t="s">
        <v>36</v>
      </c>
      <c r="X104" s="10" t="s">
        <v>37</v>
      </c>
      <c r="Y104" s="10" t="s">
        <v>0</v>
      </c>
    </row>
    <row r="105">
      <c r="A105" s="10" t="s">
        <v>496</v>
      </c>
      <c r="B105" s="11">
        <v>44239.72609986112</v>
      </c>
      <c r="C105" s="10" t="s">
        <v>186</v>
      </c>
      <c r="D105" s="10" t="s">
        <v>187</v>
      </c>
      <c r="E105" s="10" t="s">
        <v>188</v>
      </c>
      <c r="F105" s="10" t="s">
        <v>497</v>
      </c>
      <c r="G105" s="10" t="s">
        <v>498</v>
      </c>
      <c r="H105" s="16">
        <v>44239.6875</v>
      </c>
      <c r="I105" s="16">
        <v>44239.72916666667</v>
      </c>
      <c r="J105" s="10" t="s">
        <v>128</v>
      </c>
      <c r="K105" s="10" t="s">
        <v>34</v>
      </c>
      <c r="N105" s="10" t="s">
        <v>35</v>
      </c>
      <c r="V105" s="9"/>
      <c r="W105" s="13" t="s">
        <v>36</v>
      </c>
      <c r="X105" s="10" t="s">
        <v>37</v>
      </c>
      <c r="Y105" s="10" t="s">
        <v>0</v>
      </c>
    </row>
    <row r="106">
      <c r="A106" s="10" t="s">
        <v>499</v>
      </c>
      <c r="B106" s="11">
        <v>44236.89870791667</v>
      </c>
      <c r="C106" s="10" t="s">
        <v>347</v>
      </c>
      <c r="D106" s="10" t="s">
        <v>348</v>
      </c>
      <c r="E106" s="10" t="s">
        <v>349</v>
      </c>
      <c r="F106" s="10" t="s">
        <v>500</v>
      </c>
      <c r="G106" s="10" t="s">
        <v>501</v>
      </c>
      <c r="H106" s="12">
        <v>44238.729166666664</v>
      </c>
      <c r="I106" s="12">
        <v>44238.8125</v>
      </c>
      <c r="J106" s="10" t="s">
        <v>43</v>
      </c>
      <c r="K106" s="10" t="s">
        <v>34</v>
      </c>
      <c r="N106" s="10" t="s">
        <v>296</v>
      </c>
      <c r="O106" s="18" t="s">
        <v>502</v>
      </c>
      <c r="P106" s="10" t="s">
        <v>296</v>
      </c>
      <c r="Q106" s="10">
        <v>1.0</v>
      </c>
      <c r="R106" s="10" t="s">
        <v>35</v>
      </c>
      <c r="T106" s="10" t="s">
        <v>35</v>
      </c>
      <c r="V106" s="9"/>
      <c r="W106" s="13" t="s">
        <v>36</v>
      </c>
      <c r="X106" s="10" t="s">
        <v>37</v>
      </c>
      <c r="Y106" s="10" t="s">
        <v>0</v>
      </c>
    </row>
    <row r="107">
      <c r="A107" s="10" t="s">
        <v>503</v>
      </c>
      <c r="B107" s="11">
        <v>44237.514633935185</v>
      </c>
      <c r="C107" s="10" t="s">
        <v>504</v>
      </c>
      <c r="D107" s="10" t="s">
        <v>505</v>
      </c>
      <c r="E107" s="10" t="s">
        <v>506</v>
      </c>
      <c r="F107" s="10" t="s">
        <v>507</v>
      </c>
      <c r="G107" s="10" t="s">
        <v>508</v>
      </c>
      <c r="H107" s="12">
        <v>44239.229166666664</v>
      </c>
      <c r="I107" s="12">
        <v>44239.3125</v>
      </c>
      <c r="J107" s="10" t="s">
        <v>43</v>
      </c>
      <c r="K107" s="10" t="s">
        <v>34</v>
      </c>
      <c r="N107" s="10" t="s">
        <v>35</v>
      </c>
      <c r="V107" s="9"/>
      <c r="W107" s="13" t="s">
        <v>36</v>
      </c>
      <c r="X107" s="10" t="s">
        <v>37</v>
      </c>
      <c r="Y107" s="10" t="s">
        <v>0</v>
      </c>
    </row>
    <row r="108">
      <c r="A108" s="10" t="s">
        <v>509</v>
      </c>
      <c r="B108" s="11">
        <v>44238.86187313657</v>
      </c>
      <c r="C108" s="10" t="s">
        <v>510</v>
      </c>
      <c r="D108" s="10" t="s">
        <v>511</v>
      </c>
      <c r="E108" s="10" t="s">
        <v>512</v>
      </c>
      <c r="F108" s="10" t="s">
        <v>513</v>
      </c>
      <c r="G108" s="10" t="s">
        <v>514</v>
      </c>
      <c r="H108" s="16">
        <v>44240.4375</v>
      </c>
      <c r="I108" s="16">
        <v>44240.52083333333</v>
      </c>
      <c r="J108" s="10" t="s">
        <v>128</v>
      </c>
      <c r="K108" s="10" t="s">
        <v>34</v>
      </c>
      <c r="N108" s="10" t="s">
        <v>35</v>
      </c>
      <c r="V108" s="9"/>
      <c r="W108" s="13" t="s">
        <v>36</v>
      </c>
      <c r="X108" s="10" t="s">
        <v>37</v>
      </c>
      <c r="Y108" s="10" t="s">
        <v>0</v>
      </c>
    </row>
    <row r="109">
      <c r="A109" s="10" t="s">
        <v>515</v>
      </c>
      <c r="B109" s="11">
        <v>44238.87423311343</v>
      </c>
      <c r="C109" s="10" t="s">
        <v>516</v>
      </c>
      <c r="D109" s="10" t="s">
        <v>511</v>
      </c>
      <c r="E109" s="10" t="s">
        <v>517</v>
      </c>
      <c r="F109" s="10" t="s">
        <v>518</v>
      </c>
      <c r="G109" s="10" t="s">
        <v>519</v>
      </c>
      <c r="H109" s="16">
        <v>44240.4375</v>
      </c>
      <c r="I109" s="16">
        <v>44240.52083333333</v>
      </c>
      <c r="J109" s="10" t="s">
        <v>128</v>
      </c>
      <c r="K109" s="10" t="s">
        <v>34</v>
      </c>
      <c r="N109" s="10" t="s">
        <v>35</v>
      </c>
      <c r="V109" s="9"/>
      <c r="W109" s="13" t="s">
        <v>36</v>
      </c>
      <c r="X109" s="10" t="s">
        <v>37</v>
      </c>
      <c r="Y109" s="10" t="s">
        <v>0</v>
      </c>
    </row>
    <row r="110">
      <c r="A110" s="10" t="s">
        <v>520</v>
      </c>
      <c r="B110" s="11">
        <v>44238.938793877314</v>
      </c>
      <c r="C110" s="10" t="s">
        <v>516</v>
      </c>
      <c r="D110" s="10" t="s">
        <v>511</v>
      </c>
      <c r="E110" s="10" t="s">
        <v>517</v>
      </c>
      <c r="F110" s="10" t="s">
        <v>521</v>
      </c>
      <c r="G110" s="10" t="s">
        <v>522</v>
      </c>
      <c r="H110" s="16">
        <v>44240.4375</v>
      </c>
      <c r="I110" s="16">
        <v>44240.52083333333</v>
      </c>
      <c r="J110" s="10" t="s">
        <v>128</v>
      </c>
      <c r="K110" s="10" t="s">
        <v>34</v>
      </c>
      <c r="N110" s="10" t="s">
        <v>35</v>
      </c>
      <c r="V110" s="9"/>
      <c r="W110" s="13" t="s">
        <v>36</v>
      </c>
      <c r="X110" s="10" t="s">
        <v>37</v>
      </c>
      <c r="Y110" s="10" t="s">
        <v>0</v>
      </c>
    </row>
    <row r="111">
      <c r="A111" s="10" t="s">
        <v>523</v>
      </c>
      <c r="B111" s="11">
        <v>44241.630460625005</v>
      </c>
      <c r="C111" s="10" t="s">
        <v>516</v>
      </c>
      <c r="D111" s="10" t="s">
        <v>511</v>
      </c>
      <c r="E111" s="10" t="s">
        <v>524</v>
      </c>
      <c r="F111" s="10" t="s">
        <v>525</v>
      </c>
      <c r="G111" s="10" t="s">
        <v>526</v>
      </c>
      <c r="H111" s="16">
        <v>44240.4375</v>
      </c>
      <c r="I111" s="16">
        <v>44240.52083333333</v>
      </c>
      <c r="J111" s="10" t="s">
        <v>128</v>
      </c>
      <c r="K111" s="10" t="s">
        <v>34</v>
      </c>
      <c r="N111" s="10" t="s">
        <v>35</v>
      </c>
      <c r="V111" s="9"/>
      <c r="W111" s="13" t="s">
        <v>36</v>
      </c>
      <c r="X111" s="10" t="s">
        <v>37</v>
      </c>
      <c r="Y111" s="10" t="s">
        <v>0</v>
      </c>
    </row>
    <row r="112">
      <c r="A112" s="10" t="s">
        <v>527</v>
      </c>
      <c r="B112" s="11">
        <v>44224.71396371528</v>
      </c>
      <c r="C112" s="10" t="s">
        <v>80</v>
      </c>
      <c r="D112" s="10" t="s">
        <v>81</v>
      </c>
      <c r="E112" s="10" t="s">
        <v>130</v>
      </c>
      <c r="F112" s="10" t="s">
        <v>528</v>
      </c>
      <c r="G112" s="10" t="s">
        <v>529</v>
      </c>
      <c r="H112" s="12">
        <v>44240.5</v>
      </c>
      <c r="I112" s="12">
        <v>44240.520833333336</v>
      </c>
      <c r="J112" s="10" t="s">
        <v>73</v>
      </c>
      <c r="K112" s="10" t="s">
        <v>34</v>
      </c>
      <c r="N112" s="10" t="s">
        <v>35</v>
      </c>
      <c r="V112" s="9"/>
      <c r="W112" s="13" t="s">
        <v>36</v>
      </c>
      <c r="X112" s="10" t="s">
        <v>37</v>
      </c>
      <c r="Y112" s="10" t="s">
        <v>0</v>
      </c>
    </row>
    <row r="113">
      <c r="A113" s="10" t="s">
        <v>530</v>
      </c>
      <c r="B113" s="11">
        <v>44240.783778599536</v>
      </c>
      <c r="C113" s="10" t="s">
        <v>247</v>
      </c>
      <c r="D113" s="10" t="s">
        <v>248</v>
      </c>
      <c r="E113" s="10" t="s">
        <v>531</v>
      </c>
      <c r="F113" s="10" t="s">
        <v>532</v>
      </c>
      <c r="G113" s="10" t="s">
        <v>533</v>
      </c>
      <c r="H113" s="16">
        <v>44240.66666666667</v>
      </c>
      <c r="I113" s="16">
        <v>44240.78333333333</v>
      </c>
      <c r="J113" s="10" t="s">
        <v>128</v>
      </c>
      <c r="K113" s="10" t="s">
        <v>34</v>
      </c>
      <c r="N113" s="10" t="s">
        <v>35</v>
      </c>
      <c r="V113" s="9"/>
      <c r="W113" s="13" t="s">
        <v>36</v>
      </c>
      <c r="X113" s="10" t="s">
        <v>37</v>
      </c>
      <c r="Y113" s="10" t="s">
        <v>0</v>
      </c>
    </row>
    <row r="114">
      <c r="A114" s="10" t="s">
        <v>534</v>
      </c>
      <c r="B114" s="11">
        <v>44229.94029613426</v>
      </c>
      <c r="C114" s="10" t="s">
        <v>209</v>
      </c>
      <c r="D114" s="10" t="s">
        <v>210</v>
      </c>
      <c r="E114" s="10" t="s">
        <v>261</v>
      </c>
      <c r="F114" s="10" t="s">
        <v>535</v>
      </c>
      <c r="G114" s="10" t="s">
        <v>536</v>
      </c>
      <c r="H114" s="12">
        <v>44239.604166666664</v>
      </c>
      <c r="I114" s="12">
        <v>44239.6875</v>
      </c>
      <c r="J114" s="10" t="s">
        <v>43</v>
      </c>
      <c r="K114" s="10" t="s">
        <v>34</v>
      </c>
      <c r="N114" s="10" t="s">
        <v>296</v>
      </c>
      <c r="O114" s="18" t="s">
        <v>537</v>
      </c>
      <c r="P114" s="10" t="s">
        <v>35</v>
      </c>
      <c r="R114" s="10" t="s">
        <v>296</v>
      </c>
      <c r="S114" s="10">
        <v>3.0</v>
      </c>
      <c r="T114" s="10" t="s">
        <v>35</v>
      </c>
      <c r="V114" s="9"/>
      <c r="W114" s="13" t="s">
        <v>36</v>
      </c>
      <c r="X114" s="10" t="s">
        <v>37</v>
      </c>
      <c r="Y114" s="10" t="s">
        <v>0</v>
      </c>
    </row>
    <row r="115">
      <c r="A115" s="10" t="s">
        <v>538</v>
      </c>
      <c r="B115" s="11">
        <v>44244.63574010417</v>
      </c>
      <c r="C115" s="10" t="s">
        <v>539</v>
      </c>
      <c r="D115" s="10" t="s">
        <v>540</v>
      </c>
      <c r="E115" s="10" t="s">
        <v>541</v>
      </c>
      <c r="F115" s="10" t="s">
        <v>542</v>
      </c>
      <c r="G115" s="10" t="s">
        <v>543</v>
      </c>
      <c r="H115" s="17">
        <v>44241.29166666667</v>
      </c>
      <c r="I115" s="17">
        <v>44246.83333333333</v>
      </c>
      <c r="J115" s="10" t="s">
        <v>128</v>
      </c>
      <c r="K115" s="10" t="s">
        <v>34</v>
      </c>
      <c r="N115" s="10" t="s">
        <v>296</v>
      </c>
      <c r="O115" s="18" t="s">
        <v>544</v>
      </c>
      <c r="P115" s="10" t="s">
        <v>296</v>
      </c>
      <c r="Q115" s="10">
        <v>4.0</v>
      </c>
      <c r="R115" s="10" t="s">
        <v>35</v>
      </c>
      <c r="T115" s="10" t="s">
        <v>35</v>
      </c>
      <c r="V115" s="9"/>
      <c r="W115" s="13" t="s">
        <v>36</v>
      </c>
      <c r="X115" s="10" t="s">
        <v>37</v>
      </c>
      <c r="Y115" s="10" t="s">
        <v>0</v>
      </c>
    </row>
    <row r="116">
      <c r="A116" s="10" t="s">
        <v>545</v>
      </c>
      <c r="B116" s="11">
        <v>44232.5495228588</v>
      </c>
      <c r="C116" s="10" t="s">
        <v>491</v>
      </c>
      <c r="D116" s="10" t="s">
        <v>492</v>
      </c>
      <c r="E116" s="10" t="s">
        <v>546</v>
      </c>
      <c r="F116" s="10" t="s">
        <v>547</v>
      </c>
      <c r="G116" s="10" t="s">
        <v>548</v>
      </c>
      <c r="H116" s="12">
        <v>44239.729166666664</v>
      </c>
      <c r="I116" s="12">
        <v>44239.78125</v>
      </c>
      <c r="J116" s="10" t="s">
        <v>43</v>
      </c>
      <c r="K116" s="10" t="s">
        <v>34</v>
      </c>
      <c r="N116" s="10" t="s">
        <v>35</v>
      </c>
      <c r="V116" s="9"/>
      <c r="W116" s="20" t="s">
        <v>549</v>
      </c>
      <c r="X116" s="10" t="s">
        <v>37</v>
      </c>
      <c r="Y116" s="10" t="s">
        <v>0</v>
      </c>
    </row>
    <row r="117">
      <c r="A117" s="10" t="s">
        <v>550</v>
      </c>
      <c r="B117" s="11">
        <v>44232.89995578704</v>
      </c>
      <c r="C117" s="10" t="s">
        <v>491</v>
      </c>
      <c r="D117" s="10" t="s">
        <v>492</v>
      </c>
      <c r="E117" s="10" t="s">
        <v>546</v>
      </c>
      <c r="F117" s="10" t="s">
        <v>547</v>
      </c>
      <c r="G117" s="10" t="s">
        <v>551</v>
      </c>
      <c r="H117" s="12">
        <v>44239.729166666664</v>
      </c>
      <c r="I117" s="12">
        <v>44239.78125</v>
      </c>
      <c r="J117" s="10" t="s">
        <v>43</v>
      </c>
      <c r="K117" s="10" t="s">
        <v>34</v>
      </c>
      <c r="N117" s="10" t="s">
        <v>35</v>
      </c>
      <c r="V117" s="9"/>
      <c r="W117" s="20" t="s">
        <v>549</v>
      </c>
      <c r="X117" s="10" t="s">
        <v>37</v>
      </c>
      <c r="Y117" s="10" t="s">
        <v>0</v>
      </c>
    </row>
    <row r="118">
      <c r="A118" s="10" t="s">
        <v>552</v>
      </c>
      <c r="B118" s="11">
        <v>44229.955837824076</v>
      </c>
      <c r="C118" s="10" t="s">
        <v>374</v>
      </c>
      <c r="D118" s="10" t="s">
        <v>375</v>
      </c>
      <c r="E118" s="10" t="s">
        <v>261</v>
      </c>
      <c r="F118" s="10" t="s">
        <v>212</v>
      </c>
      <c r="G118" s="10" t="s">
        <v>553</v>
      </c>
      <c r="H118" s="12">
        <v>44241.645833333336</v>
      </c>
      <c r="I118" s="12">
        <v>44241.6875</v>
      </c>
      <c r="J118" s="10" t="s">
        <v>128</v>
      </c>
      <c r="K118" s="10" t="s">
        <v>34</v>
      </c>
      <c r="N118" s="10" t="s">
        <v>35</v>
      </c>
      <c r="V118" s="9"/>
      <c r="W118" s="13" t="s">
        <v>36</v>
      </c>
      <c r="X118" s="10" t="s">
        <v>37</v>
      </c>
      <c r="Y118" s="10" t="s">
        <v>0</v>
      </c>
    </row>
    <row r="119">
      <c r="A119" s="10" t="s">
        <v>554</v>
      </c>
      <c r="B119" s="11">
        <v>44235.7378135301</v>
      </c>
      <c r="C119" s="10" t="s">
        <v>320</v>
      </c>
      <c r="D119" s="10" t="s">
        <v>321</v>
      </c>
      <c r="E119" s="10" t="s">
        <v>555</v>
      </c>
      <c r="F119" s="10" t="s">
        <v>556</v>
      </c>
      <c r="G119" s="10" t="s">
        <v>557</v>
      </c>
      <c r="H119" s="12">
        <v>44242.333333333336</v>
      </c>
      <c r="I119" s="12">
        <v>44246.75</v>
      </c>
      <c r="J119" s="10" t="s">
        <v>128</v>
      </c>
      <c r="K119" s="10" t="s">
        <v>34</v>
      </c>
      <c r="N119" s="10" t="s">
        <v>35</v>
      </c>
      <c r="V119" s="9"/>
      <c r="W119" s="13" t="s">
        <v>36</v>
      </c>
      <c r="X119" s="10" t="s">
        <v>37</v>
      </c>
      <c r="Y119" s="10" t="s">
        <v>0</v>
      </c>
    </row>
    <row r="120">
      <c r="A120" s="10" t="s">
        <v>558</v>
      </c>
      <c r="B120" s="11">
        <v>44235.977309305556</v>
      </c>
      <c r="C120" s="10" t="s">
        <v>559</v>
      </c>
      <c r="D120" s="10" t="s">
        <v>560</v>
      </c>
      <c r="E120" s="10" t="s">
        <v>561</v>
      </c>
      <c r="F120" s="10" t="s">
        <v>562</v>
      </c>
      <c r="G120" s="10" t="s">
        <v>563</v>
      </c>
      <c r="H120" s="12">
        <v>44242.375</v>
      </c>
      <c r="I120" s="12">
        <v>44242.541666666664</v>
      </c>
      <c r="J120" s="10" t="s">
        <v>128</v>
      </c>
      <c r="K120" s="10" t="s">
        <v>34</v>
      </c>
      <c r="N120" s="10" t="s">
        <v>35</v>
      </c>
      <c r="V120" s="9"/>
      <c r="W120" s="13" t="s">
        <v>36</v>
      </c>
      <c r="X120" s="10" t="s">
        <v>37</v>
      </c>
      <c r="Y120" s="10" t="s">
        <v>0</v>
      </c>
    </row>
    <row r="121">
      <c r="A121" s="10" t="s">
        <v>564</v>
      </c>
      <c r="B121" s="11">
        <v>44240.78042417824</v>
      </c>
      <c r="C121" s="10" t="s">
        <v>137</v>
      </c>
      <c r="D121" s="10" t="s">
        <v>138</v>
      </c>
      <c r="E121" s="10" t="s">
        <v>225</v>
      </c>
      <c r="F121" s="10" t="s">
        <v>565</v>
      </c>
      <c r="G121" s="10" t="s">
        <v>566</v>
      </c>
      <c r="H121" s="16">
        <v>44242.41666666667</v>
      </c>
      <c r="I121" s="16">
        <v>44245.75</v>
      </c>
      <c r="J121" s="10" t="s">
        <v>128</v>
      </c>
      <c r="K121" s="10" t="s">
        <v>34</v>
      </c>
      <c r="N121" s="10" t="s">
        <v>35</v>
      </c>
      <c r="V121" s="9"/>
      <c r="W121" s="13" t="s">
        <v>36</v>
      </c>
      <c r="X121" s="10" t="s">
        <v>37</v>
      </c>
      <c r="Y121" s="10" t="s">
        <v>0</v>
      </c>
    </row>
    <row r="122">
      <c r="A122" s="10" t="s">
        <v>567</v>
      </c>
      <c r="B122" s="11">
        <v>44242.40131265046</v>
      </c>
      <c r="C122" s="10" t="s">
        <v>80</v>
      </c>
      <c r="D122" s="10" t="s">
        <v>81</v>
      </c>
      <c r="E122" s="10" t="s">
        <v>285</v>
      </c>
      <c r="F122" s="10" t="s">
        <v>568</v>
      </c>
      <c r="G122" s="10" t="s">
        <v>569</v>
      </c>
      <c r="H122" s="16">
        <v>44242.45833333333</v>
      </c>
      <c r="I122" s="16">
        <v>44242.5</v>
      </c>
      <c r="J122" s="10" t="s">
        <v>73</v>
      </c>
      <c r="K122" s="10" t="s">
        <v>34</v>
      </c>
      <c r="N122" s="10" t="s">
        <v>35</v>
      </c>
      <c r="V122" s="9"/>
      <c r="W122" s="13" t="s">
        <v>36</v>
      </c>
      <c r="X122" s="10" t="s">
        <v>37</v>
      </c>
      <c r="Y122" s="10" t="s">
        <v>0</v>
      </c>
    </row>
    <row r="123">
      <c r="A123" s="10" t="s">
        <v>570</v>
      </c>
      <c r="B123" s="11">
        <v>44231.744773240745</v>
      </c>
      <c r="C123" s="10" t="s">
        <v>80</v>
      </c>
      <c r="D123" s="10" t="s">
        <v>81</v>
      </c>
      <c r="E123" s="10" t="s">
        <v>281</v>
      </c>
      <c r="F123" s="10" t="s">
        <v>571</v>
      </c>
      <c r="G123" s="10" t="s">
        <v>572</v>
      </c>
      <c r="H123" s="12">
        <v>44242.5</v>
      </c>
      <c r="I123" s="12">
        <v>44247.5</v>
      </c>
      <c r="J123" s="10" t="s">
        <v>51</v>
      </c>
      <c r="K123" s="10" t="s">
        <v>34</v>
      </c>
      <c r="N123" s="10" t="s">
        <v>35</v>
      </c>
      <c r="V123" s="9"/>
      <c r="W123" s="13" t="s">
        <v>36</v>
      </c>
      <c r="X123" s="10" t="s">
        <v>37</v>
      </c>
      <c r="Y123" s="10" t="s">
        <v>0</v>
      </c>
    </row>
    <row r="124">
      <c r="A124" s="10" t="s">
        <v>573</v>
      </c>
      <c r="B124" s="11">
        <v>44241.436900636574</v>
      </c>
      <c r="C124" s="10" t="s">
        <v>209</v>
      </c>
      <c r="D124" s="10" t="s">
        <v>210</v>
      </c>
      <c r="E124" s="10" t="s">
        <v>261</v>
      </c>
      <c r="F124" s="10" t="s">
        <v>574</v>
      </c>
      <c r="G124" s="10" t="s">
        <v>575</v>
      </c>
      <c r="H124" s="16">
        <v>44242.52083333333</v>
      </c>
      <c r="I124" s="16">
        <v>44246.52083333333</v>
      </c>
      <c r="J124" s="10" t="s">
        <v>33</v>
      </c>
      <c r="K124" s="10" t="s">
        <v>34</v>
      </c>
      <c r="N124" s="10" t="s">
        <v>35</v>
      </c>
      <c r="V124" s="9"/>
      <c r="W124" s="13" t="s">
        <v>36</v>
      </c>
      <c r="X124" s="10" t="s">
        <v>37</v>
      </c>
      <c r="Y124" s="10" t="s">
        <v>0</v>
      </c>
    </row>
    <row r="125">
      <c r="A125" s="10" t="s">
        <v>576</v>
      </c>
      <c r="B125" s="11">
        <v>44238.79985167824</v>
      </c>
      <c r="C125" s="10" t="s">
        <v>181</v>
      </c>
      <c r="D125" s="10" t="s">
        <v>69</v>
      </c>
      <c r="E125" s="10" t="s">
        <v>577</v>
      </c>
      <c r="F125" s="10" t="s">
        <v>578</v>
      </c>
      <c r="G125" s="10" t="s">
        <v>579</v>
      </c>
      <c r="H125" s="16">
        <v>44243.27083333333</v>
      </c>
      <c r="I125" s="16">
        <v>44243.36111111111</v>
      </c>
      <c r="J125" s="10" t="s">
        <v>128</v>
      </c>
      <c r="K125" s="10" t="s">
        <v>34</v>
      </c>
      <c r="N125" s="10" t="s">
        <v>35</v>
      </c>
      <c r="V125" s="9"/>
      <c r="W125" s="13" t="s">
        <v>36</v>
      </c>
      <c r="X125" s="10" t="s">
        <v>37</v>
      </c>
      <c r="Y125" s="10" t="s">
        <v>0</v>
      </c>
    </row>
    <row r="126">
      <c r="A126" s="10" t="s">
        <v>580</v>
      </c>
      <c r="B126" s="11">
        <v>44242.54912836806</v>
      </c>
      <c r="C126" s="10" t="s">
        <v>581</v>
      </c>
      <c r="D126" s="10" t="s">
        <v>220</v>
      </c>
      <c r="E126" s="10" t="s">
        <v>582</v>
      </c>
      <c r="F126" s="10" t="s">
        <v>583</v>
      </c>
      <c r="G126" s="10" t="s">
        <v>584</v>
      </c>
      <c r="H126" s="16">
        <v>44243.39583333333</v>
      </c>
      <c r="I126" s="16">
        <v>44243.4375</v>
      </c>
      <c r="J126" s="10" t="s">
        <v>73</v>
      </c>
      <c r="K126" s="10" t="s">
        <v>34</v>
      </c>
      <c r="N126" s="10" t="s">
        <v>35</v>
      </c>
      <c r="V126" s="9"/>
      <c r="W126" s="13" t="s">
        <v>36</v>
      </c>
      <c r="X126" s="10" t="s">
        <v>37</v>
      </c>
      <c r="Y126" s="10" t="s">
        <v>0</v>
      </c>
    </row>
    <row r="127">
      <c r="A127" s="10" t="s">
        <v>585</v>
      </c>
      <c r="B127" s="11">
        <v>44236.96580377315</v>
      </c>
      <c r="C127" s="10" t="s">
        <v>80</v>
      </c>
      <c r="D127" s="10" t="s">
        <v>81</v>
      </c>
      <c r="E127" s="10" t="s">
        <v>82</v>
      </c>
      <c r="F127" s="10" t="s">
        <v>586</v>
      </c>
      <c r="G127" s="10" t="s">
        <v>587</v>
      </c>
      <c r="H127" s="12">
        <v>44243.5</v>
      </c>
      <c r="I127" s="12">
        <v>44243.541666666664</v>
      </c>
      <c r="J127" s="10" t="s">
        <v>73</v>
      </c>
      <c r="K127" s="10" t="s">
        <v>34</v>
      </c>
      <c r="N127" s="10" t="s">
        <v>35</v>
      </c>
      <c r="V127" s="9"/>
      <c r="W127" s="13" t="s">
        <v>36</v>
      </c>
      <c r="X127" s="10" t="s">
        <v>37</v>
      </c>
      <c r="Y127" s="10" t="s">
        <v>0</v>
      </c>
    </row>
    <row r="128">
      <c r="A128" s="10" t="s">
        <v>588</v>
      </c>
      <c r="B128" s="11">
        <v>44242.55114253472</v>
      </c>
      <c r="C128" s="10" t="s">
        <v>581</v>
      </c>
      <c r="D128" s="10" t="s">
        <v>220</v>
      </c>
      <c r="E128" s="10" t="s">
        <v>589</v>
      </c>
      <c r="F128" s="10" t="s">
        <v>590</v>
      </c>
      <c r="G128" s="10" t="s">
        <v>591</v>
      </c>
      <c r="H128" s="16">
        <v>44243.54166666667</v>
      </c>
      <c r="I128" s="16" t="s">
        <v>592</v>
      </c>
      <c r="J128" s="10" t="s">
        <v>73</v>
      </c>
      <c r="K128" s="10" t="s">
        <v>34</v>
      </c>
      <c r="N128" s="10" t="s">
        <v>35</v>
      </c>
      <c r="V128" s="9"/>
      <c r="W128" s="13" t="s">
        <v>36</v>
      </c>
      <c r="X128" s="10" t="s">
        <v>37</v>
      </c>
      <c r="Y128" s="10" t="s">
        <v>0</v>
      </c>
    </row>
    <row r="129">
      <c r="A129" s="10" t="s">
        <v>593</v>
      </c>
      <c r="B129" s="11">
        <v>44242.557485474535</v>
      </c>
      <c r="C129" s="10" t="s">
        <v>581</v>
      </c>
      <c r="D129" s="10" t="s">
        <v>220</v>
      </c>
      <c r="E129" s="10" t="s">
        <v>465</v>
      </c>
      <c r="F129" s="10" t="s">
        <v>594</v>
      </c>
      <c r="G129" s="10" t="s">
        <v>595</v>
      </c>
      <c r="H129" s="16">
        <v>44243.58333333333</v>
      </c>
      <c r="I129" s="16">
        <v>44243.625</v>
      </c>
      <c r="J129" s="10" t="s">
        <v>128</v>
      </c>
      <c r="K129" s="10" t="s">
        <v>34</v>
      </c>
      <c r="N129" s="10" t="s">
        <v>35</v>
      </c>
      <c r="V129" s="9"/>
      <c r="W129" s="13" t="s">
        <v>36</v>
      </c>
      <c r="X129" s="10" t="s">
        <v>37</v>
      </c>
      <c r="Y129" s="10" t="s">
        <v>0</v>
      </c>
    </row>
    <row r="130">
      <c r="A130" s="10" t="s">
        <v>596</v>
      </c>
      <c r="B130" s="11">
        <v>44242.67681518519</v>
      </c>
      <c r="C130" s="10" t="s">
        <v>80</v>
      </c>
      <c r="D130" s="10" t="s">
        <v>81</v>
      </c>
      <c r="E130" s="10" t="s">
        <v>597</v>
      </c>
      <c r="F130" s="10" t="s">
        <v>568</v>
      </c>
      <c r="G130" s="10" t="s">
        <v>569</v>
      </c>
      <c r="H130" s="16">
        <v>44243.625</v>
      </c>
      <c r="I130" s="16">
        <v>44243.75</v>
      </c>
      <c r="J130" s="10" t="s">
        <v>73</v>
      </c>
      <c r="K130" s="10" t="s">
        <v>34</v>
      </c>
      <c r="N130" s="10" t="s">
        <v>35</v>
      </c>
      <c r="V130" s="9"/>
      <c r="W130" s="13" t="s">
        <v>36</v>
      </c>
      <c r="X130" s="10" t="s">
        <v>37</v>
      </c>
      <c r="Y130" s="10" t="s">
        <v>0</v>
      </c>
    </row>
    <row r="131">
      <c r="A131" s="10" t="s">
        <v>598</v>
      </c>
      <c r="B131" s="11">
        <v>44236.969950520834</v>
      </c>
      <c r="C131" s="10" t="s">
        <v>80</v>
      </c>
      <c r="D131" s="10" t="s">
        <v>81</v>
      </c>
      <c r="E131" s="10" t="s">
        <v>82</v>
      </c>
      <c r="F131" s="10" t="s">
        <v>599</v>
      </c>
      <c r="G131" s="10" t="s">
        <v>600</v>
      </c>
      <c r="H131" s="12">
        <v>44244.5</v>
      </c>
      <c r="I131" s="12">
        <v>44244.75</v>
      </c>
      <c r="J131" s="10" t="s">
        <v>73</v>
      </c>
      <c r="K131" s="10" t="s">
        <v>34</v>
      </c>
      <c r="N131" s="10" t="s">
        <v>35</v>
      </c>
      <c r="V131" s="9"/>
      <c r="W131" s="13" t="s">
        <v>36</v>
      </c>
      <c r="X131" s="10" t="s">
        <v>37</v>
      </c>
      <c r="Y131" s="10" t="s">
        <v>0</v>
      </c>
    </row>
    <row r="132">
      <c r="A132" s="10" t="s">
        <v>601</v>
      </c>
      <c r="B132" s="11">
        <v>44242.55257226852</v>
      </c>
      <c r="C132" s="10" t="s">
        <v>581</v>
      </c>
      <c r="D132" s="10" t="s">
        <v>220</v>
      </c>
      <c r="E132" s="10" t="s">
        <v>602</v>
      </c>
      <c r="F132" s="10" t="s">
        <v>603</v>
      </c>
      <c r="G132" s="10" t="s">
        <v>604</v>
      </c>
      <c r="H132" s="16">
        <v>44244.54166666667</v>
      </c>
      <c r="I132" s="16">
        <v>44244.58333333333</v>
      </c>
      <c r="J132" s="10" t="s">
        <v>73</v>
      </c>
      <c r="K132" s="10" t="s">
        <v>34</v>
      </c>
      <c r="N132" s="10" t="s">
        <v>35</v>
      </c>
      <c r="V132" s="9"/>
      <c r="W132" s="13" t="s">
        <v>36</v>
      </c>
      <c r="X132" s="10" t="s">
        <v>37</v>
      </c>
      <c r="Y132" s="10" t="s">
        <v>0</v>
      </c>
    </row>
    <row r="133">
      <c r="A133" s="10" t="s">
        <v>605</v>
      </c>
      <c r="B133" s="11">
        <v>44242.40160193287</v>
      </c>
      <c r="C133" s="10" t="s">
        <v>181</v>
      </c>
      <c r="D133" s="10" t="s">
        <v>69</v>
      </c>
      <c r="E133" s="10" t="s">
        <v>606</v>
      </c>
      <c r="F133" s="10" t="s">
        <v>607</v>
      </c>
      <c r="G133" s="10" t="s">
        <v>608</v>
      </c>
      <c r="H133" s="16">
        <v>44244.5625</v>
      </c>
      <c r="I133" s="16">
        <v>44244.64583333333</v>
      </c>
      <c r="J133" s="10" t="s">
        <v>128</v>
      </c>
      <c r="K133" s="10" t="s">
        <v>34</v>
      </c>
      <c r="N133" s="10" t="s">
        <v>35</v>
      </c>
      <c r="V133" s="9"/>
      <c r="W133" s="13" t="s">
        <v>36</v>
      </c>
      <c r="X133" s="10" t="s">
        <v>37</v>
      </c>
      <c r="Y133" s="10" t="s">
        <v>0</v>
      </c>
    </row>
    <row r="134">
      <c r="A134" s="10" t="s">
        <v>609</v>
      </c>
      <c r="B134" s="11">
        <v>44242.70227674769</v>
      </c>
      <c r="C134" s="10" t="s">
        <v>610</v>
      </c>
      <c r="D134" s="21" t="s">
        <v>611</v>
      </c>
      <c r="E134" s="21" t="s">
        <v>612</v>
      </c>
      <c r="F134" s="21" t="s">
        <v>542</v>
      </c>
      <c r="G134" s="21" t="s">
        <v>613</v>
      </c>
      <c r="H134" s="22">
        <v>44241.0</v>
      </c>
      <c r="I134" s="22">
        <v>44246.99930555555</v>
      </c>
      <c r="J134" s="10" t="s">
        <v>236</v>
      </c>
      <c r="K134" s="10" t="s">
        <v>34</v>
      </c>
      <c r="N134" s="10" t="s">
        <v>35</v>
      </c>
      <c r="V134" s="9"/>
      <c r="W134" s="13" t="s">
        <v>36</v>
      </c>
      <c r="X134" s="10" t="s">
        <v>37</v>
      </c>
      <c r="Y134" s="10" t="s">
        <v>0</v>
      </c>
    </row>
    <row r="135">
      <c r="A135" s="10" t="s">
        <v>614</v>
      </c>
      <c r="B135" s="11">
        <v>44243.71509972222</v>
      </c>
      <c r="C135" s="10" t="s">
        <v>374</v>
      </c>
      <c r="D135" s="10" t="s">
        <v>375</v>
      </c>
      <c r="E135" s="10" t="s">
        <v>615</v>
      </c>
      <c r="F135" s="10" t="s">
        <v>616</v>
      </c>
      <c r="G135" s="10" t="s">
        <v>617</v>
      </c>
      <c r="H135" s="16">
        <v>44244.6875</v>
      </c>
      <c r="I135" s="16">
        <v>44246.6875</v>
      </c>
      <c r="J135" s="10" t="s">
        <v>73</v>
      </c>
      <c r="K135" s="10" t="s">
        <v>34</v>
      </c>
      <c r="N135" s="10" t="s">
        <v>35</v>
      </c>
      <c r="V135" s="9"/>
      <c r="W135" s="13" t="s">
        <v>36</v>
      </c>
      <c r="X135" s="10" t="s">
        <v>37</v>
      </c>
      <c r="Y135" s="10" t="s">
        <v>0</v>
      </c>
    </row>
    <row r="136">
      <c r="A136" s="10" t="s">
        <v>618</v>
      </c>
      <c r="B136" s="11">
        <v>44242.411327291666</v>
      </c>
      <c r="C136" s="10" t="s">
        <v>80</v>
      </c>
      <c r="D136" s="10" t="s">
        <v>81</v>
      </c>
      <c r="E136" s="10" t="s">
        <v>619</v>
      </c>
      <c r="F136" s="10" t="s">
        <v>620</v>
      </c>
      <c r="G136" s="10" t="s">
        <v>621</v>
      </c>
      <c r="H136" s="16">
        <v>44245.125</v>
      </c>
      <c r="I136" s="16">
        <v>44245.1875</v>
      </c>
      <c r="J136" s="10" t="s">
        <v>33</v>
      </c>
      <c r="K136" s="10" t="s">
        <v>34</v>
      </c>
      <c r="N136" s="10" t="s">
        <v>296</v>
      </c>
      <c r="O136" s="18" t="s">
        <v>622</v>
      </c>
      <c r="P136" s="10" t="s">
        <v>296</v>
      </c>
      <c r="Q136" s="10">
        <v>1.0</v>
      </c>
      <c r="R136" s="10" t="s">
        <v>35</v>
      </c>
      <c r="T136" s="10" t="s">
        <v>35</v>
      </c>
      <c r="V136" s="9"/>
      <c r="W136" s="13" t="s">
        <v>36</v>
      </c>
      <c r="X136" s="10" t="s">
        <v>37</v>
      </c>
      <c r="Y136" s="10" t="s">
        <v>0</v>
      </c>
    </row>
    <row r="137">
      <c r="A137" s="10" t="s">
        <v>623</v>
      </c>
      <c r="B137" s="11">
        <v>44241.654777407406</v>
      </c>
      <c r="C137" s="10" t="s">
        <v>186</v>
      </c>
      <c r="D137" s="21" t="s">
        <v>187</v>
      </c>
      <c r="E137" s="21" t="s">
        <v>624</v>
      </c>
      <c r="F137" s="21" t="s">
        <v>625</v>
      </c>
      <c r="G137" s="21" t="s">
        <v>626</v>
      </c>
      <c r="H137" s="22">
        <v>44241.33333333333</v>
      </c>
      <c r="I137" s="22">
        <v>44246.79166666667</v>
      </c>
      <c r="J137" s="10" t="s">
        <v>236</v>
      </c>
      <c r="K137" s="10" t="s">
        <v>34</v>
      </c>
      <c r="N137" s="10" t="s">
        <v>35</v>
      </c>
      <c r="V137" s="9"/>
      <c r="W137" s="13" t="s">
        <v>36</v>
      </c>
      <c r="X137" s="21" t="s">
        <v>37</v>
      </c>
      <c r="Y137" s="21" t="s">
        <v>0</v>
      </c>
    </row>
    <row r="138">
      <c r="A138" s="10" t="s">
        <v>627</v>
      </c>
      <c r="B138" s="11">
        <v>44238.794685416666</v>
      </c>
      <c r="C138" s="10" t="s">
        <v>181</v>
      </c>
      <c r="D138" s="10" t="s">
        <v>69</v>
      </c>
      <c r="E138" s="10" t="s">
        <v>628</v>
      </c>
      <c r="F138" s="10" t="s">
        <v>629</v>
      </c>
      <c r="G138" s="10" t="s">
        <v>630</v>
      </c>
      <c r="H138" s="16">
        <v>44245.39583333333</v>
      </c>
      <c r="I138" s="16">
        <v>44341.4375</v>
      </c>
      <c r="J138" s="10" t="s">
        <v>128</v>
      </c>
      <c r="K138" s="10" t="s">
        <v>34</v>
      </c>
      <c r="N138" s="10" t="s">
        <v>35</v>
      </c>
      <c r="V138" s="9"/>
      <c r="W138" s="13" t="s">
        <v>36</v>
      </c>
      <c r="X138" s="10" t="s">
        <v>37</v>
      </c>
      <c r="Y138" s="10" t="s">
        <v>0</v>
      </c>
    </row>
    <row r="139">
      <c r="A139" s="10" t="s">
        <v>631</v>
      </c>
      <c r="B139" s="11">
        <v>44238.78269730324</v>
      </c>
      <c r="C139" s="10" t="s">
        <v>181</v>
      </c>
      <c r="D139" s="10" t="s">
        <v>69</v>
      </c>
      <c r="E139" s="10" t="s">
        <v>70</v>
      </c>
      <c r="F139" s="10" t="s">
        <v>632</v>
      </c>
      <c r="G139" s="10" t="s">
        <v>633</v>
      </c>
      <c r="H139" s="16">
        <v>44245.41666666667</v>
      </c>
      <c r="I139" s="16">
        <v>44339.66666666667</v>
      </c>
      <c r="J139" s="10" t="s">
        <v>73</v>
      </c>
      <c r="K139" s="10" t="s">
        <v>34</v>
      </c>
      <c r="N139" s="10" t="s">
        <v>35</v>
      </c>
      <c r="V139" s="9"/>
      <c r="W139" s="13" t="s">
        <v>36</v>
      </c>
      <c r="X139" s="10" t="s">
        <v>37</v>
      </c>
      <c r="Y139" s="10" t="s">
        <v>0</v>
      </c>
    </row>
    <row r="140">
      <c r="A140" s="10" t="s">
        <v>634</v>
      </c>
      <c r="B140" s="11">
        <v>44238.78405637731</v>
      </c>
      <c r="C140" s="10" t="s">
        <v>181</v>
      </c>
      <c r="D140" s="10" t="s">
        <v>69</v>
      </c>
      <c r="E140" s="10" t="s">
        <v>70</v>
      </c>
      <c r="F140" s="10" t="s">
        <v>635</v>
      </c>
      <c r="G140" s="10" t="s">
        <v>636</v>
      </c>
      <c r="H140" s="16">
        <v>44245.41666666667</v>
      </c>
      <c r="I140" s="16">
        <v>44341.66666666667</v>
      </c>
      <c r="J140" s="10" t="s">
        <v>73</v>
      </c>
      <c r="K140" s="10" t="s">
        <v>34</v>
      </c>
      <c r="N140" s="10" t="s">
        <v>35</v>
      </c>
      <c r="V140" s="9"/>
      <c r="W140" s="13" t="s">
        <v>36</v>
      </c>
      <c r="X140" s="10" t="s">
        <v>37</v>
      </c>
      <c r="Y140" s="10" t="s">
        <v>0</v>
      </c>
    </row>
    <row r="141">
      <c r="A141" s="10" t="s">
        <v>637</v>
      </c>
      <c r="B141" s="11">
        <v>44238.78583364583</v>
      </c>
      <c r="C141" s="10" t="s">
        <v>181</v>
      </c>
      <c r="D141" s="10" t="s">
        <v>69</v>
      </c>
      <c r="E141" s="10" t="s">
        <v>70</v>
      </c>
      <c r="F141" s="10" t="s">
        <v>638</v>
      </c>
      <c r="G141" s="10" t="s">
        <v>639</v>
      </c>
      <c r="H141" s="16">
        <v>44245.41666666667</v>
      </c>
      <c r="I141" s="16">
        <v>44341.66666666667</v>
      </c>
      <c r="J141" s="10" t="s">
        <v>73</v>
      </c>
      <c r="K141" s="10" t="s">
        <v>34</v>
      </c>
      <c r="N141" s="10" t="s">
        <v>35</v>
      </c>
      <c r="V141" s="9"/>
      <c r="W141" s="13" t="s">
        <v>36</v>
      </c>
      <c r="X141" s="10" t="s">
        <v>37</v>
      </c>
      <c r="Y141" s="10" t="s">
        <v>0</v>
      </c>
    </row>
    <row r="142">
      <c r="A142" s="10" t="s">
        <v>640</v>
      </c>
      <c r="B142" s="11">
        <v>44244.65243990741</v>
      </c>
      <c r="C142" s="10" t="s">
        <v>539</v>
      </c>
      <c r="D142" s="10" t="s">
        <v>540</v>
      </c>
      <c r="E142" s="10" t="s">
        <v>541</v>
      </c>
      <c r="F142" s="10" t="s">
        <v>641</v>
      </c>
      <c r="G142" s="10" t="s">
        <v>642</v>
      </c>
      <c r="H142" s="17">
        <v>44245.4375</v>
      </c>
      <c r="I142" s="17">
        <v>44246.52083333333</v>
      </c>
      <c r="J142" s="10" t="s">
        <v>128</v>
      </c>
      <c r="K142" s="10" t="s">
        <v>34</v>
      </c>
      <c r="N142" s="10" t="s">
        <v>35</v>
      </c>
      <c r="V142" s="9"/>
      <c r="W142" s="13" t="s">
        <v>36</v>
      </c>
      <c r="X142" s="10" t="s">
        <v>37</v>
      </c>
      <c r="Y142" s="10" t="s">
        <v>0</v>
      </c>
    </row>
    <row r="143">
      <c r="A143" s="10" t="s">
        <v>643</v>
      </c>
      <c r="B143" s="11">
        <v>44238.94330878472</v>
      </c>
      <c r="C143" s="10" t="s">
        <v>516</v>
      </c>
      <c r="D143" s="10" t="s">
        <v>511</v>
      </c>
      <c r="E143" s="10" t="s">
        <v>644</v>
      </c>
      <c r="F143" s="10" t="s">
        <v>645</v>
      </c>
      <c r="G143" s="10" t="s">
        <v>646</v>
      </c>
      <c r="H143" s="16">
        <v>44245.52083333333</v>
      </c>
      <c r="I143" s="16">
        <v>44245.5625</v>
      </c>
      <c r="J143" s="10" t="s">
        <v>128</v>
      </c>
      <c r="K143" s="10" t="s">
        <v>34</v>
      </c>
      <c r="N143" s="10" t="s">
        <v>35</v>
      </c>
      <c r="V143" s="9"/>
      <c r="W143" s="13" t="s">
        <v>36</v>
      </c>
      <c r="X143" s="10" t="s">
        <v>37</v>
      </c>
      <c r="Y143" s="10" t="s">
        <v>0</v>
      </c>
    </row>
    <row r="144">
      <c r="A144" s="10" t="s">
        <v>647</v>
      </c>
      <c r="B144" s="11">
        <v>44263.85491837963</v>
      </c>
      <c r="C144" s="10" t="s">
        <v>96</v>
      </c>
      <c r="D144" s="10" t="s">
        <v>97</v>
      </c>
      <c r="E144" s="10" t="s">
        <v>648</v>
      </c>
      <c r="F144" s="10" t="s">
        <v>649</v>
      </c>
      <c r="G144" s="10" t="s">
        <v>650</v>
      </c>
      <c r="H144" s="16">
        <v>44245.60416666667</v>
      </c>
      <c r="I144" s="16">
        <v>44336.60416666667</v>
      </c>
      <c r="J144" s="10" t="s">
        <v>51</v>
      </c>
      <c r="K144" s="10" t="s">
        <v>34</v>
      </c>
      <c r="N144" s="10" t="s">
        <v>35</v>
      </c>
      <c r="V144" s="9"/>
      <c r="W144" s="13" t="s">
        <v>78</v>
      </c>
      <c r="X144" s="10" t="s">
        <v>37</v>
      </c>
      <c r="Y144" s="10" t="s">
        <v>0</v>
      </c>
    </row>
    <row r="145">
      <c r="A145" s="10" t="s">
        <v>651</v>
      </c>
      <c r="B145" s="11">
        <v>44243.988735810184</v>
      </c>
      <c r="C145" s="10" t="s">
        <v>96</v>
      </c>
      <c r="D145" s="10" t="s">
        <v>97</v>
      </c>
      <c r="E145" s="10" t="s">
        <v>652</v>
      </c>
      <c r="F145" s="10" t="s">
        <v>653</v>
      </c>
      <c r="G145" s="10" t="s">
        <v>654</v>
      </c>
      <c r="H145" s="16">
        <v>44245.625</v>
      </c>
      <c r="I145" s="16">
        <v>44245.6875</v>
      </c>
      <c r="J145" s="10" t="s">
        <v>33</v>
      </c>
      <c r="K145" s="10" t="s">
        <v>34</v>
      </c>
      <c r="N145" s="10" t="s">
        <v>296</v>
      </c>
      <c r="O145" s="18" t="s">
        <v>655</v>
      </c>
      <c r="P145" s="10" t="s">
        <v>296</v>
      </c>
      <c r="Q145" s="10">
        <v>1.0</v>
      </c>
      <c r="R145" s="10" t="s">
        <v>35</v>
      </c>
      <c r="T145" s="10" t="s">
        <v>35</v>
      </c>
      <c r="V145" s="9"/>
      <c r="W145" s="13" t="s">
        <v>36</v>
      </c>
      <c r="X145" s="10" t="s">
        <v>37</v>
      </c>
      <c r="Y145" s="10" t="s">
        <v>0</v>
      </c>
    </row>
    <row r="146">
      <c r="A146" s="10" t="s">
        <v>656</v>
      </c>
      <c r="B146" s="11">
        <v>44245.61461956019</v>
      </c>
      <c r="C146" s="10" t="s">
        <v>491</v>
      </c>
      <c r="D146" s="10" t="s">
        <v>492</v>
      </c>
      <c r="E146" s="10" t="s">
        <v>657</v>
      </c>
      <c r="F146" s="10" t="s">
        <v>658</v>
      </c>
      <c r="G146" s="10" t="s">
        <v>659</v>
      </c>
      <c r="H146" s="16">
        <v>44245.66666666667</v>
      </c>
      <c r="I146" s="16">
        <v>44245.875</v>
      </c>
      <c r="J146" s="10" t="s">
        <v>128</v>
      </c>
      <c r="K146" s="10" t="s">
        <v>34</v>
      </c>
      <c r="N146" s="10" t="s">
        <v>35</v>
      </c>
      <c r="V146" s="9"/>
      <c r="W146" s="13" t="s">
        <v>36</v>
      </c>
      <c r="X146" s="10" t="s">
        <v>37</v>
      </c>
      <c r="Y146" s="10" t="s">
        <v>0</v>
      </c>
    </row>
    <row r="147">
      <c r="A147" s="10" t="s">
        <v>660</v>
      </c>
      <c r="B147" s="11">
        <v>44244.368032025464</v>
      </c>
      <c r="C147" s="10" t="s">
        <v>661</v>
      </c>
      <c r="D147" s="21" t="s">
        <v>662</v>
      </c>
      <c r="E147" s="21" t="s">
        <v>663</v>
      </c>
      <c r="F147" s="21" t="s">
        <v>664</v>
      </c>
      <c r="G147" s="21" t="s">
        <v>665</v>
      </c>
      <c r="H147" s="22">
        <v>44241.35416666667</v>
      </c>
      <c r="I147" s="22">
        <v>44246.80208333333</v>
      </c>
      <c r="J147" s="10" t="s">
        <v>236</v>
      </c>
      <c r="K147" s="10" t="s">
        <v>34</v>
      </c>
      <c r="N147" s="10" t="s">
        <v>296</v>
      </c>
      <c r="O147" s="18" t="s">
        <v>666</v>
      </c>
      <c r="P147" s="10" t="s">
        <v>296</v>
      </c>
      <c r="Q147" s="10">
        <v>3.0</v>
      </c>
      <c r="R147" s="10" t="s">
        <v>35</v>
      </c>
      <c r="T147" s="10" t="s">
        <v>35</v>
      </c>
      <c r="V147" s="9"/>
      <c r="W147" s="13" t="s">
        <v>36</v>
      </c>
      <c r="X147" s="21" t="s">
        <v>37</v>
      </c>
      <c r="Y147" s="21" t="s">
        <v>0</v>
      </c>
    </row>
    <row r="148">
      <c r="A148" s="10" t="s">
        <v>667</v>
      </c>
      <c r="B148" s="11">
        <v>44244.60901935185</v>
      </c>
      <c r="C148" s="10" t="s">
        <v>181</v>
      </c>
      <c r="D148" s="10" t="s">
        <v>69</v>
      </c>
      <c r="E148" s="10" t="s">
        <v>313</v>
      </c>
      <c r="F148" s="10" t="s">
        <v>668</v>
      </c>
      <c r="G148" s="10" t="s">
        <v>669</v>
      </c>
      <c r="H148" s="23">
        <v>44244.618055555555</v>
      </c>
      <c r="I148" s="24">
        <v>44253.99930555555</v>
      </c>
      <c r="J148" s="10" t="s">
        <v>43</v>
      </c>
      <c r="K148" s="10" t="s">
        <v>34</v>
      </c>
      <c r="N148" s="10" t="s">
        <v>35</v>
      </c>
      <c r="V148" s="9"/>
      <c r="W148" s="13" t="s">
        <v>36</v>
      </c>
      <c r="X148" s="10" t="s">
        <v>37</v>
      </c>
      <c r="Y148" s="10" t="s">
        <v>0</v>
      </c>
    </row>
    <row r="149">
      <c r="A149" s="10" t="s">
        <v>670</v>
      </c>
      <c r="B149" s="11">
        <v>44238.74792746527</v>
      </c>
      <c r="C149" s="10" t="s">
        <v>671</v>
      </c>
      <c r="D149" s="10" t="s">
        <v>672</v>
      </c>
      <c r="E149" s="10" t="s">
        <v>673</v>
      </c>
      <c r="F149" s="10" t="s">
        <v>674</v>
      </c>
      <c r="G149" s="10" t="s">
        <v>675</v>
      </c>
      <c r="H149" s="16">
        <v>44246.35416666667</v>
      </c>
      <c r="I149" s="16">
        <v>44246.52083333333</v>
      </c>
      <c r="J149" s="10" t="s">
        <v>128</v>
      </c>
      <c r="K149" s="10" t="s">
        <v>34</v>
      </c>
      <c r="N149" s="10" t="s">
        <v>35</v>
      </c>
      <c r="V149" s="9"/>
      <c r="W149" s="13" t="s">
        <v>36</v>
      </c>
      <c r="X149" s="10" t="s">
        <v>37</v>
      </c>
      <c r="Y149" s="10" t="s">
        <v>0</v>
      </c>
    </row>
    <row r="150">
      <c r="A150" s="10" t="s">
        <v>676</v>
      </c>
      <c r="B150" s="11">
        <v>44242.86693891203</v>
      </c>
      <c r="C150" s="10" t="s">
        <v>80</v>
      </c>
      <c r="D150" s="10" t="s">
        <v>81</v>
      </c>
      <c r="E150" s="10" t="s">
        <v>285</v>
      </c>
      <c r="F150" s="10" t="s">
        <v>677</v>
      </c>
      <c r="G150" s="10" t="s">
        <v>678</v>
      </c>
      <c r="H150" s="16">
        <v>44246.375</v>
      </c>
      <c r="I150" s="16">
        <v>44246.41666666667</v>
      </c>
      <c r="J150" s="10" t="s">
        <v>73</v>
      </c>
      <c r="K150" s="10" t="s">
        <v>34</v>
      </c>
      <c r="N150" s="10" t="s">
        <v>35</v>
      </c>
      <c r="V150" s="9"/>
      <c r="W150" s="13" t="s">
        <v>36</v>
      </c>
      <c r="X150" s="10" t="s">
        <v>37</v>
      </c>
      <c r="Y150" s="10" t="s">
        <v>0</v>
      </c>
    </row>
    <row r="151">
      <c r="A151" s="10" t="s">
        <v>679</v>
      </c>
      <c r="B151" s="11">
        <v>44242.55510179398</v>
      </c>
      <c r="C151" s="10" t="s">
        <v>581</v>
      </c>
      <c r="D151" s="10" t="s">
        <v>220</v>
      </c>
      <c r="E151" s="10" t="s">
        <v>602</v>
      </c>
      <c r="F151" s="10" t="s">
        <v>680</v>
      </c>
      <c r="G151" s="10" t="s">
        <v>681</v>
      </c>
      <c r="H151" s="16">
        <v>44246.39583333333</v>
      </c>
      <c r="I151" s="16">
        <v>44246.4375</v>
      </c>
      <c r="J151" s="10" t="s">
        <v>73</v>
      </c>
      <c r="K151" s="10" t="s">
        <v>34</v>
      </c>
      <c r="N151" s="10" t="s">
        <v>35</v>
      </c>
      <c r="V151" s="9"/>
      <c r="W151" s="13" t="s">
        <v>36</v>
      </c>
      <c r="X151" s="10" t="s">
        <v>37</v>
      </c>
      <c r="Y151" s="10" t="s">
        <v>0</v>
      </c>
    </row>
    <row r="152">
      <c r="A152" s="10" t="s">
        <v>682</v>
      </c>
      <c r="B152" s="11">
        <v>44240.58506733796</v>
      </c>
      <c r="C152" s="10" t="s">
        <v>336</v>
      </c>
      <c r="D152" s="10" t="s">
        <v>337</v>
      </c>
      <c r="E152" s="10" t="s">
        <v>683</v>
      </c>
      <c r="F152" s="10" t="s">
        <v>684</v>
      </c>
      <c r="G152" s="10" t="s">
        <v>685</v>
      </c>
      <c r="H152" s="16">
        <v>44246.45833333333</v>
      </c>
      <c r="I152" s="16">
        <v>44246.5</v>
      </c>
      <c r="J152" s="10" t="s">
        <v>128</v>
      </c>
      <c r="K152" s="10" t="s">
        <v>34</v>
      </c>
      <c r="N152" s="10" t="s">
        <v>35</v>
      </c>
      <c r="V152" s="9"/>
      <c r="W152" s="13" t="s">
        <v>36</v>
      </c>
      <c r="X152" s="10" t="s">
        <v>37</v>
      </c>
      <c r="Y152" s="10" t="s">
        <v>0</v>
      </c>
    </row>
    <row r="153">
      <c r="A153" s="10" t="s">
        <v>686</v>
      </c>
      <c r="B153" s="11">
        <v>44242.403106956015</v>
      </c>
      <c r="C153" s="10" t="s">
        <v>687</v>
      </c>
      <c r="D153" s="10" t="s">
        <v>81</v>
      </c>
      <c r="E153" s="10" t="s">
        <v>285</v>
      </c>
      <c r="F153" s="10" t="s">
        <v>688</v>
      </c>
      <c r="G153" s="10" t="s">
        <v>689</v>
      </c>
      <c r="H153" s="16">
        <v>44246.5</v>
      </c>
      <c r="I153" s="16">
        <v>44246.09097222222</v>
      </c>
      <c r="J153" s="10" t="s">
        <v>73</v>
      </c>
      <c r="K153" s="10" t="s">
        <v>34</v>
      </c>
      <c r="N153" s="10" t="s">
        <v>35</v>
      </c>
      <c r="V153" s="9"/>
      <c r="W153" s="13" t="s">
        <v>36</v>
      </c>
      <c r="X153" s="10" t="s">
        <v>37</v>
      </c>
      <c r="Y153" s="10" t="s">
        <v>0</v>
      </c>
    </row>
    <row r="154">
      <c r="A154" s="10" t="s">
        <v>690</v>
      </c>
      <c r="B154" s="11">
        <v>44238.99532094908</v>
      </c>
      <c r="C154" s="10" t="s">
        <v>209</v>
      </c>
      <c r="D154" s="10" t="s">
        <v>210</v>
      </c>
      <c r="E154" s="10" t="s">
        <v>691</v>
      </c>
      <c r="F154" s="10" t="s">
        <v>212</v>
      </c>
      <c r="G154" s="10" t="s">
        <v>692</v>
      </c>
      <c r="H154" s="16">
        <v>44246.52083333333</v>
      </c>
      <c r="I154" s="16">
        <v>44246.60416666667</v>
      </c>
      <c r="J154" s="10" t="s">
        <v>128</v>
      </c>
      <c r="K154" s="10" t="s">
        <v>34</v>
      </c>
      <c r="N154" s="10" t="s">
        <v>35</v>
      </c>
      <c r="V154" s="9"/>
      <c r="W154" s="13" t="s">
        <v>36</v>
      </c>
      <c r="X154" s="10" t="s">
        <v>37</v>
      </c>
      <c r="Y154" s="10" t="s">
        <v>0</v>
      </c>
    </row>
    <row r="155">
      <c r="A155" s="10" t="s">
        <v>693</v>
      </c>
      <c r="B155" s="11">
        <v>44247.42823309028</v>
      </c>
      <c r="C155" s="10" t="s">
        <v>694</v>
      </c>
      <c r="D155" s="10" t="s">
        <v>695</v>
      </c>
      <c r="E155" s="10" t="s">
        <v>696</v>
      </c>
      <c r="F155" s="10" t="s">
        <v>697</v>
      </c>
      <c r="G155" s="10" t="s">
        <v>698</v>
      </c>
      <c r="H155" s="16">
        <v>44246.52083333333</v>
      </c>
      <c r="I155" s="16">
        <v>44246.5625</v>
      </c>
      <c r="J155" s="10" t="s">
        <v>128</v>
      </c>
      <c r="K155" s="10" t="s">
        <v>34</v>
      </c>
      <c r="N155" s="10" t="s">
        <v>35</v>
      </c>
      <c r="V155" s="9"/>
      <c r="W155" s="13" t="s">
        <v>66</v>
      </c>
      <c r="X155" s="10" t="s">
        <v>37</v>
      </c>
      <c r="Y155" s="10" t="s">
        <v>0</v>
      </c>
    </row>
    <row r="156">
      <c r="A156" s="10" t="s">
        <v>699</v>
      </c>
      <c r="B156" s="11">
        <v>44240.77874100694</v>
      </c>
      <c r="C156" s="10" t="s">
        <v>137</v>
      </c>
      <c r="D156" s="10" t="s">
        <v>138</v>
      </c>
      <c r="E156" s="10" t="s">
        <v>700</v>
      </c>
      <c r="F156" s="10" t="s">
        <v>482</v>
      </c>
      <c r="G156" s="10" t="s">
        <v>701</v>
      </c>
      <c r="H156" s="16">
        <v>44246.58333333333</v>
      </c>
      <c r="I156" s="16">
        <v>44246.66666666667</v>
      </c>
      <c r="J156" s="10" t="s">
        <v>128</v>
      </c>
      <c r="K156" s="10" t="s">
        <v>34</v>
      </c>
      <c r="N156" s="10" t="s">
        <v>35</v>
      </c>
      <c r="V156" s="9"/>
      <c r="W156" s="13" t="s">
        <v>36</v>
      </c>
      <c r="X156" s="10" t="s">
        <v>37</v>
      </c>
      <c r="Y156" s="10" t="s">
        <v>0</v>
      </c>
    </row>
    <row r="157">
      <c r="A157" s="10" t="s">
        <v>702</v>
      </c>
      <c r="B157" s="11">
        <v>44238.75091261574</v>
      </c>
      <c r="C157" s="10" t="s">
        <v>671</v>
      </c>
      <c r="D157" s="10" t="s">
        <v>672</v>
      </c>
      <c r="E157" s="10" t="s">
        <v>703</v>
      </c>
      <c r="F157" s="10" t="s">
        <v>704</v>
      </c>
      <c r="G157" s="10" t="s">
        <v>675</v>
      </c>
      <c r="H157" s="16">
        <v>44246.60416666667</v>
      </c>
      <c r="I157" s="16">
        <v>44246.77083333333</v>
      </c>
      <c r="J157" s="10" t="s">
        <v>128</v>
      </c>
      <c r="K157" s="10" t="s">
        <v>34</v>
      </c>
      <c r="N157" s="10" t="s">
        <v>35</v>
      </c>
      <c r="V157" s="9"/>
      <c r="W157" s="13" t="s">
        <v>36</v>
      </c>
      <c r="X157" s="10" t="s">
        <v>37</v>
      </c>
      <c r="Y157" s="10" t="s">
        <v>0</v>
      </c>
    </row>
    <row r="158">
      <c r="A158" s="10" t="s">
        <v>705</v>
      </c>
      <c r="B158" s="11">
        <v>44238.75186586806</v>
      </c>
      <c r="C158" s="10" t="s">
        <v>671</v>
      </c>
      <c r="D158" s="10" t="s">
        <v>672</v>
      </c>
      <c r="E158" s="10" t="s">
        <v>673</v>
      </c>
      <c r="F158" s="10" t="s">
        <v>706</v>
      </c>
      <c r="G158" s="10" t="s">
        <v>707</v>
      </c>
      <c r="H158" s="16">
        <v>44246.60416666667</v>
      </c>
      <c r="I158" s="16">
        <v>44246.6875</v>
      </c>
      <c r="J158" s="10" t="s">
        <v>128</v>
      </c>
      <c r="K158" s="10" t="s">
        <v>34</v>
      </c>
      <c r="N158" s="10" t="s">
        <v>35</v>
      </c>
      <c r="V158" s="9"/>
      <c r="W158" s="13" t="s">
        <v>36</v>
      </c>
      <c r="X158" s="10" t="s">
        <v>37</v>
      </c>
      <c r="Y158" s="10" t="s">
        <v>0</v>
      </c>
    </row>
    <row r="159">
      <c r="A159" s="10" t="s">
        <v>708</v>
      </c>
      <c r="B159" s="11">
        <v>44243.74548788194</v>
      </c>
      <c r="C159" s="10" t="s">
        <v>102</v>
      </c>
      <c r="D159" s="10" t="s">
        <v>103</v>
      </c>
      <c r="E159" s="10" t="s">
        <v>709</v>
      </c>
      <c r="F159" s="10" t="s">
        <v>710</v>
      </c>
      <c r="G159" s="10" t="s">
        <v>711</v>
      </c>
      <c r="H159" s="16">
        <v>44245.20833333333</v>
      </c>
      <c r="I159" s="16">
        <v>44245.29166666667</v>
      </c>
      <c r="J159" s="10" t="s">
        <v>43</v>
      </c>
      <c r="K159" s="10" t="s">
        <v>34</v>
      </c>
      <c r="N159" s="10" t="s">
        <v>35</v>
      </c>
      <c r="V159" s="9"/>
      <c r="W159" s="13" t="s">
        <v>36</v>
      </c>
      <c r="X159" s="10" t="s">
        <v>37</v>
      </c>
      <c r="Y159" s="10" t="s">
        <v>0</v>
      </c>
    </row>
    <row r="160">
      <c r="A160" s="10" t="s">
        <v>712</v>
      </c>
      <c r="B160" s="11">
        <v>44245.60900141204</v>
      </c>
      <c r="C160" s="10" t="s">
        <v>713</v>
      </c>
      <c r="D160" s="10" t="s">
        <v>103</v>
      </c>
      <c r="E160" s="10" t="s">
        <v>714</v>
      </c>
      <c r="F160" s="10" t="s">
        <v>715</v>
      </c>
      <c r="G160" s="10" t="s">
        <v>716</v>
      </c>
      <c r="H160" s="16">
        <v>44246.125</v>
      </c>
      <c r="I160" s="16">
        <v>44246.20833333333</v>
      </c>
      <c r="J160" s="10" t="s">
        <v>43</v>
      </c>
      <c r="K160" s="10" t="s">
        <v>34</v>
      </c>
      <c r="N160" s="10" t="s">
        <v>296</v>
      </c>
      <c r="O160" s="18" t="s">
        <v>717</v>
      </c>
      <c r="P160" s="10" t="s">
        <v>296</v>
      </c>
      <c r="Q160" s="10">
        <v>1.0</v>
      </c>
      <c r="R160" s="10" t="s">
        <v>296</v>
      </c>
      <c r="S160" s="10">
        <v>1.0</v>
      </c>
      <c r="T160" s="10" t="s">
        <v>35</v>
      </c>
      <c r="V160" s="9"/>
      <c r="W160" s="13" t="s">
        <v>36</v>
      </c>
      <c r="X160" s="10" t="s">
        <v>37</v>
      </c>
      <c r="Y160" s="10" t="s">
        <v>0</v>
      </c>
    </row>
    <row r="161">
      <c r="A161" s="10" t="s">
        <v>718</v>
      </c>
      <c r="B161" s="11">
        <v>44246.58356204861</v>
      </c>
      <c r="C161" s="10" t="s">
        <v>719</v>
      </c>
      <c r="D161" s="10" t="s">
        <v>161</v>
      </c>
      <c r="E161" s="10" t="s">
        <v>720</v>
      </c>
      <c r="F161" s="10" t="s">
        <v>721</v>
      </c>
      <c r="G161" s="10" t="s">
        <v>722</v>
      </c>
      <c r="H161" s="16">
        <v>44246.64583333333</v>
      </c>
      <c r="I161" s="16">
        <v>44246.70833333333</v>
      </c>
      <c r="J161" s="10" t="s">
        <v>128</v>
      </c>
      <c r="K161" s="10" t="s">
        <v>34</v>
      </c>
      <c r="N161" s="10" t="s">
        <v>35</v>
      </c>
      <c r="V161" s="9"/>
      <c r="W161" s="13" t="s">
        <v>78</v>
      </c>
      <c r="X161" s="10" t="s">
        <v>37</v>
      </c>
      <c r="Y161" s="10" t="s">
        <v>0</v>
      </c>
    </row>
    <row r="162">
      <c r="A162" s="10" t="s">
        <v>723</v>
      </c>
      <c r="B162" s="11">
        <v>44246.58548173611</v>
      </c>
      <c r="C162" s="10" t="s">
        <v>160</v>
      </c>
      <c r="D162" s="10" t="s">
        <v>161</v>
      </c>
      <c r="E162" s="10" t="s">
        <v>724</v>
      </c>
      <c r="F162" s="10" t="s">
        <v>721</v>
      </c>
      <c r="G162" s="10" t="s">
        <v>725</v>
      </c>
      <c r="H162" s="16">
        <v>44246.64583333333</v>
      </c>
      <c r="I162" s="16">
        <v>44246.70833333333</v>
      </c>
      <c r="J162" s="10" t="s">
        <v>128</v>
      </c>
      <c r="K162" s="10" t="s">
        <v>34</v>
      </c>
      <c r="N162" s="10" t="s">
        <v>35</v>
      </c>
      <c r="V162" s="9"/>
      <c r="W162" s="13" t="s">
        <v>78</v>
      </c>
      <c r="X162" s="10" t="s">
        <v>37</v>
      </c>
      <c r="Y162" s="10" t="s">
        <v>0</v>
      </c>
    </row>
    <row r="163">
      <c r="A163" s="10" t="s">
        <v>726</v>
      </c>
      <c r="B163" s="11">
        <v>44246.92190284722</v>
      </c>
      <c r="C163" s="10" t="s">
        <v>727</v>
      </c>
      <c r="D163" s="10" t="s">
        <v>728</v>
      </c>
      <c r="E163" s="10" t="s">
        <v>729</v>
      </c>
      <c r="F163" s="10" t="s">
        <v>730</v>
      </c>
      <c r="G163" s="10" t="s">
        <v>731</v>
      </c>
      <c r="H163" s="16">
        <v>44246.64583333333</v>
      </c>
      <c r="I163" s="16">
        <v>44246.72916666667</v>
      </c>
      <c r="J163" s="10" t="s">
        <v>128</v>
      </c>
      <c r="K163" s="10" t="s">
        <v>34</v>
      </c>
      <c r="N163" s="10" t="s">
        <v>35</v>
      </c>
      <c r="V163" s="9"/>
      <c r="W163" s="13" t="s">
        <v>66</v>
      </c>
      <c r="X163" s="10" t="s">
        <v>37</v>
      </c>
      <c r="Y163" s="10" t="s">
        <v>0</v>
      </c>
    </row>
    <row r="164">
      <c r="A164" s="10" t="s">
        <v>732</v>
      </c>
      <c r="B164" s="11">
        <v>44235.45752358796</v>
      </c>
      <c r="C164" s="10" t="s">
        <v>381</v>
      </c>
      <c r="D164" s="10" t="s">
        <v>382</v>
      </c>
      <c r="E164" s="10" t="s">
        <v>733</v>
      </c>
      <c r="F164" s="10" t="s">
        <v>734</v>
      </c>
      <c r="G164" s="10" t="s">
        <v>735</v>
      </c>
      <c r="H164" s="12">
        <v>44246.6875</v>
      </c>
      <c r="I164" s="12">
        <v>44246.729166666664</v>
      </c>
      <c r="J164" s="10" t="s">
        <v>128</v>
      </c>
      <c r="K164" s="10" t="s">
        <v>34</v>
      </c>
      <c r="N164" s="10" t="s">
        <v>35</v>
      </c>
      <c r="V164" s="9"/>
      <c r="W164" s="13" t="s">
        <v>36</v>
      </c>
      <c r="X164" s="10" t="s">
        <v>37</v>
      </c>
      <c r="Y164" s="10" t="s">
        <v>0</v>
      </c>
    </row>
    <row r="165">
      <c r="A165" s="10" t="s">
        <v>736</v>
      </c>
      <c r="B165" s="11">
        <v>44238.990145578704</v>
      </c>
      <c r="C165" s="10" t="s">
        <v>374</v>
      </c>
      <c r="D165" s="10" t="s">
        <v>375</v>
      </c>
      <c r="E165" s="10" t="s">
        <v>737</v>
      </c>
      <c r="F165" s="10" t="s">
        <v>738</v>
      </c>
      <c r="G165" s="10" t="s">
        <v>739</v>
      </c>
      <c r="H165" s="16">
        <v>44246.6875</v>
      </c>
      <c r="I165" s="16">
        <v>44246.72916666667</v>
      </c>
      <c r="J165" s="10" t="s">
        <v>128</v>
      </c>
      <c r="K165" s="10" t="s">
        <v>34</v>
      </c>
      <c r="N165" s="10" t="s">
        <v>35</v>
      </c>
      <c r="V165" s="9"/>
      <c r="W165" s="13" t="s">
        <v>36</v>
      </c>
      <c r="X165" s="10" t="s">
        <v>37</v>
      </c>
      <c r="Y165" s="10" t="s">
        <v>0</v>
      </c>
    </row>
    <row r="166">
      <c r="A166" s="10" t="s">
        <v>740</v>
      </c>
      <c r="B166" s="11">
        <v>44242.41689594908</v>
      </c>
      <c r="C166" s="10" t="s">
        <v>80</v>
      </c>
      <c r="D166" s="10" t="s">
        <v>81</v>
      </c>
      <c r="E166" s="10" t="s">
        <v>741</v>
      </c>
      <c r="F166" s="10" t="s">
        <v>742</v>
      </c>
      <c r="G166" s="10" t="s">
        <v>743</v>
      </c>
      <c r="H166" s="16">
        <v>44246.6875</v>
      </c>
      <c r="I166" s="16">
        <v>44246.72916666667</v>
      </c>
      <c r="J166" s="10" t="s">
        <v>33</v>
      </c>
      <c r="K166" s="10" t="s">
        <v>34</v>
      </c>
      <c r="N166" s="10" t="s">
        <v>296</v>
      </c>
      <c r="O166" s="18" t="s">
        <v>744</v>
      </c>
      <c r="P166" s="10" t="s">
        <v>296</v>
      </c>
      <c r="Q166" s="10">
        <v>1.0</v>
      </c>
      <c r="R166" s="10" t="s">
        <v>35</v>
      </c>
      <c r="T166" s="10" t="s">
        <v>35</v>
      </c>
      <c r="V166" s="9"/>
      <c r="W166" s="13" t="s">
        <v>36</v>
      </c>
      <c r="X166" s="10" t="s">
        <v>37</v>
      </c>
      <c r="Y166" s="10" t="s">
        <v>0</v>
      </c>
    </row>
    <row r="167">
      <c r="A167" s="10" t="s">
        <v>745</v>
      </c>
      <c r="B167" s="11">
        <v>44243.67059356481</v>
      </c>
      <c r="C167" s="10" t="s">
        <v>239</v>
      </c>
      <c r="D167" s="10" t="s">
        <v>240</v>
      </c>
      <c r="E167" s="10" t="s">
        <v>305</v>
      </c>
      <c r="F167" s="10" t="s">
        <v>746</v>
      </c>
      <c r="G167" s="10" t="s">
        <v>747</v>
      </c>
      <c r="H167" s="16">
        <v>44246.694444444445</v>
      </c>
      <c r="I167" s="16">
        <v>44237.77083333333</v>
      </c>
      <c r="J167" s="10" t="s">
        <v>128</v>
      </c>
      <c r="K167" s="10" t="s">
        <v>34</v>
      </c>
      <c r="N167" s="10" t="s">
        <v>35</v>
      </c>
      <c r="V167" s="9"/>
      <c r="W167" s="13" t="s">
        <v>36</v>
      </c>
      <c r="X167" s="10" t="s">
        <v>37</v>
      </c>
      <c r="Y167" s="10" t="s">
        <v>0</v>
      </c>
    </row>
    <row r="168">
      <c r="A168" s="10" t="s">
        <v>748</v>
      </c>
      <c r="B168" s="11">
        <v>44244.3706069676</v>
      </c>
      <c r="C168" s="10" t="s">
        <v>661</v>
      </c>
      <c r="D168" s="10" t="s">
        <v>662</v>
      </c>
      <c r="E168" s="10" t="s">
        <v>749</v>
      </c>
      <c r="F168" s="10" t="s">
        <v>750</v>
      </c>
      <c r="G168" s="10" t="s">
        <v>751</v>
      </c>
      <c r="H168" s="16">
        <v>44246.70833333333</v>
      </c>
      <c r="I168" s="16">
        <v>44246.72916666667</v>
      </c>
      <c r="J168" s="10" t="s">
        <v>51</v>
      </c>
      <c r="K168" s="10" t="s">
        <v>34</v>
      </c>
      <c r="N168" s="10" t="s">
        <v>296</v>
      </c>
      <c r="O168" s="18" t="s">
        <v>752</v>
      </c>
      <c r="P168" s="10" t="s">
        <v>296</v>
      </c>
      <c r="Q168" s="10">
        <v>1.0</v>
      </c>
      <c r="R168" s="10" t="s">
        <v>35</v>
      </c>
      <c r="T168" s="10" t="s">
        <v>35</v>
      </c>
      <c r="V168" s="9"/>
      <c r="W168" s="13" t="s">
        <v>36</v>
      </c>
      <c r="X168" s="10" t="s">
        <v>37</v>
      </c>
      <c r="Y168" s="10" t="s">
        <v>0</v>
      </c>
    </row>
    <row r="169">
      <c r="A169" s="10" t="s">
        <v>753</v>
      </c>
      <c r="B169" s="11">
        <v>44245.683041620374</v>
      </c>
      <c r="C169" s="10" t="s">
        <v>102</v>
      </c>
      <c r="D169" s="10" t="s">
        <v>103</v>
      </c>
      <c r="E169" s="10" t="s">
        <v>754</v>
      </c>
      <c r="F169" s="10" t="s">
        <v>755</v>
      </c>
      <c r="G169" s="10" t="s">
        <v>716</v>
      </c>
      <c r="H169" s="16">
        <v>44246.125</v>
      </c>
      <c r="I169" s="16">
        <v>44246.20833333333</v>
      </c>
      <c r="J169" s="10" t="s">
        <v>43</v>
      </c>
      <c r="K169" s="10" t="s">
        <v>34</v>
      </c>
      <c r="N169" s="10" t="s">
        <v>296</v>
      </c>
      <c r="O169" s="18" t="s">
        <v>756</v>
      </c>
      <c r="P169" s="10" t="s">
        <v>296</v>
      </c>
      <c r="Q169" s="10">
        <v>1.0</v>
      </c>
      <c r="R169" s="10" t="s">
        <v>296</v>
      </c>
      <c r="S169" s="10">
        <v>1.0</v>
      </c>
      <c r="T169" s="10" t="s">
        <v>35</v>
      </c>
      <c r="V169" s="9"/>
      <c r="W169" s="20" t="s">
        <v>549</v>
      </c>
      <c r="X169" s="10" t="s">
        <v>37</v>
      </c>
      <c r="Y169" s="10" t="s">
        <v>0</v>
      </c>
    </row>
    <row r="170">
      <c r="A170" s="10" t="s">
        <v>757</v>
      </c>
      <c r="B170" s="11">
        <v>44247.82402143518</v>
      </c>
      <c r="C170" s="10" t="s">
        <v>102</v>
      </c>
      <c r="D170" s="10" t="s">
        <v>103</v>
      </c>
      <c r="E170" s="10" t="s">
        <v>758</v>
      </c>
      <c r="F170" s="10" t="s">
        <v>759</v>
      </c>
      <c r="G170" s="10" t="s">
        <v>760</v>
      </c>
      <c r="H170" s="16">
        <v>44247.29166666667</v>
      </c>
      <c r="I170" s="16">
        <v>44247.319444444445</v>
      </c>
      <c r="J170" s="10" t="s">
        <v>128</v>
      </c>
      <c r="K170" s="10" t="s">
        <v>34</v>
      </c>
      <c r="N170" s="10" t="s">
        <v>35</v>
      </c>
      <c r="V170" s="9"/>
      <c r="W170" s="13" t="s">
        <v>66</v>
      </c>
      <c r="X170" s="10" t="s">
        <v>37</v>
      </c>
      <c r="Y170" s="10" t="s">
        <v>0</v>
      </c>
    </row>
    <row r="171">
      <c r="A171" s="10" t="s">
        <v>761</v>
      </c>
      <c r="B171" s="11">
        <v>44239.93846804398</v>
      </c>
      <c r="C171" s="10" t="s">
        <v>671</v>
      </c>
      <c r="D171" s="10" t="s">
        <v>672</v>
      </c>
      <c r="E171" s="10" t="s">
        <v>673</v>
      </c>
      <c r="F171" s="10" t="s">
        <v>762</v>
      </c>
      <c r="G171" s="10" t="s">
        <v>763</v>
      </c>
      <c r="H171" s="16">
        <v>44247.35416666667</v>
      </c>
      <c r="I171" s="16">
        <v>44247.52083333333</v>
      </c>
      <c r="J171" s="10" t="s">
        <v>128</v>
      </c>
      <c r="K171" s="10" t="s">
        <v>34</v>
      </c>
      <c r="N171" s="10" t="s">
        <v>35</v>
      </c>
      <c r="V171" s="9"/>
      <c r="W171" s="13" t="s">
        <v>36</v>
      </c>
      <c r="X171" s="10" t="s">
        <v>37</v>
      </c>
      <c r="Y171" s="10" t="s">
        <v>0</v>
      </c>
    </row>
    <row r="172">
      <c r="A172" s="10" t="s">
        <v>764</v>
      </c>
      <c r="B172" s="11">
        <v>44242.40455103009</v>
      </c>
      <c r="C172" s="10" t="s">
        <v>687</v>
      </c>
      <c r="D172" s="10" t="s">
        <v>81</v>
      </c>
      <c r="E172" s="10" t="s">
        <v>765</v>
      </c>
      <c r="F172" s="10" t="s">
        <v>766</v>
      </c>
      <c r="G172" s="10" t="s">
        <v>767</v>
      </c>
      <c r="H172" s="16">
        <v>44247.36458333333</v>
      </c>
      <c r="I172" s="16">
        <v>44247.25</v>
      </c>
      <c r="J172" s="10" t="s">
        <v>73</v>
      </c>
      <c r="K172" s="10" t="s">
        <v>34</v>
      </c>
      <c r="N172" s="10" t="s">
        <v>35</v>
      </c>
      <c r="V172" s="9"/>
      <c r="W172" s="13" t="s">
        <v>36</v>
      </c>
      <c r="X172" s="10" t="s">
        <v>37</v>
      </c>
      <c r="Y172" s="10" t="s">
        <v>0</v>
      </c>
    </row>
    <row r="173">
      <c r="A173" s="10" t="s">
        <v>768</v>
      </c>
      <c r="B173" s="11">
        <v>44242.41038287037</v>
      </c>
      <c r="C173" s="10" t="s">
        <v>687</v>
      </c>
      <c r="D173" s="10" t="s">
        <v>81</v>
      </c>
      <c r="E173" s="10" t="s">
        <v>765</v>
      </c>
      <c r="F173" s="10" t="s">
        <v>766</v>
      </c>
      <c r="G173" s="10" t="s">
        <v>767</v>
      </c>
      <c r="H173" s="16">
        <v>44247.36458333333</v>
      </c>
      <c r="I173" s="16">
        <v>44247.25</v>
      </c>
      <c r="J173" s="10" t="s">
        <v>73</v>
      </c>
      <c r="K173" s="10" t="s">
        <v>34</v>
      </c>
      <c r="N173" s="10" t="s">
        <v>35</v>
      </c>
      <c r="V173" s="9"/>
      <c r="W173" s="13" t="s">
        <v>36</v>
      </c>
      <c r="X173" s="10" t="s">
        <v>37</v>
      </c>
      <c r="Y173" s="10" t="s">
        <v>0</v>
      </c>
    </row>
    <row r="174">
      <c r="A174" s="10" t="s">
        <v>769</v>
      </c>
      <c r="B174" s="11">
        <v>44243.35680620371</v>
      </c>
      <c r="C174" s="10" t="s">
        <v>150</v>
      </c>
      <c r="D174" s="10" t="s">
        <v>151</v>
      </c>
      <c r="E174" s="10" t="s">
        <v>152</v>
      </c>
      <c r="F174" s="10" t="s">
        <v>770</v>
      </c>
      <c r="G174" s="10" t="s">
        <v>771</v>
      </c>
      <c r="H174" s="16">
        <v>44247.375</v>
      </c>
      <c r="I174" s="16">
        <v>44247.41666666667</v>
      </c>
      <c r="J174" s="10" t="s">
        <v>128</v>
      </c>
      <c r="K174" s="10" t="s">
        <v>34</v>
      </c>
      <c r="N174" s="10" t="s">
        <v>35</v>
      </c>
      <c r="V174" s="9"/>
      <c r="W174" s="13" t="s">
        <v>36</v>
      </c>
      <c r="X174" s="10" t="s">
        <v>37</v>
      </c>
      <c r="Y174" s="10" t="s">
        <v>0</v>
      </c>
    </row>
    <row r="175">
      <c r="A175" s="10" t="s">
        <v>772</v>
      </c>
      <c r="B175" s="11">
        <v>44243.358419282406</v>
      </c>
      <c r="C175" s="10" t="s">
        <v>150</v>
      </c>
      <c r="D175" s="10" t="s">
        <v>151</v>
      </c>
      <c r="E175" s="10" t="s">
        <v>152</v>
      </c>
      <c r="F175" s="10" t="s">
        <v>773</v>
      </c>
      <c r="G175" s="10" t="s">
        <v>774</v>
      </c>
      <c r="H175" s="16">
        <v>44247.41666666667</v>
      </c>
      <c r="I175" s="16">
        <v>44247.5</v>
      </c>
      <c r="J175" s="10" t="s">
        <v>128</v>
      </c>
      <c r="K175" s="10" t="s">
        <v>34</v>
      </c>
      <c r="N175" s="10" t="s">
        <v>35</v>
      </c>
      <c r="V175" s="9"/>
      <c r="W175" s="13" t="s">
        <v>36</v>
      </c>
      <c r="X175" s="10" t="s">
        <v>37</v>
      </c>
      <c r="Y175" s="10" t="s">
        <v>0</v>
      </c>
    </row>
    <row r="176">
      <c r="A176" s="10" t="s">
        <v>775</v>
      </c>
      <c r="B176" s="11">
        <v>44245.67597607639</v>
      </c>
      <c r="C176" s="10" t="s">
        <v>610</v>
      </c>
      <c r="D176" s="10" t="s">
        <v>611</v>
      </c>
      <c r="E176" s="10" t="s">
        <v>612</v>
      </c>
      <c r="F176" s="10" t="s">
        <v>776</v>
      </c>
      <c r="G176" s="10" t="s">
        <v>777</v>
      </c>
      <c r="H176" s="16">
        <v>44247.4375</v>
      </c>
      <c r="I176" s="16">
        <v>44247.47916666667</v>
      </c>
      <c r="J176" s="10" t="s">
        <v>128</v>
      </c>
      <c r="K176" s="10" t="s">
        <v>34</v>
      </c>
      <c r="N176" s="10" t="s">
        <v>35</v>
      </c>
      <c r="V176" s="9"/>
      <c r="W176" s="13" t="s">
        <v>36</v>
      </c>
      <c r="X176" s="10" t="s">
        <v>37</v>
      </c>
      <c r="Y176" s="10" t="s">
        <v>0</v>
      </c>
    </row>
    <row r="177">
      <c r="A177" s="10" t="s">
        <v>778</v>
      </c>
      <c r="B177" s="11">
        <v>44236.975092974535</v>
      </c>
      <c r="C177" s="10" t="s">
        <v>80</v>
      </c>
      <c r="D177" s="10" t="s">
        <v>81</v>
      </c>
      <c r="E177" s="10" t="s">
        <v>82</v>
      </c>
      <c r="F177" s="10" t="s">
        <v>599</v>
      </c>
      <c r="G177" s="10" t="s">
        <v>779</v>
      </c>
      <c r="H177" s="12">
        <v>44247.5</v>
      </c>
      <c r="I177" s="12">
        <v>44247.75</v>
      </c>
      <c r="J177" s="10" t="s">
        <v>73</v>
      </c>
      <c r="K177" s="10" t="s">
        <v>34</v>
      </c>
      <c r="N177" s="10" t="s">
        <v>35</v>
      </c>
      <c r="V177" s="9"/>
      <c r="W177" s="13" t="s">
        <v>36</v>
      </c>
      <c r="X177" s="10" t="s">
        <v>37</v>
      </c>
      <c r="Y177" s="10" t="s">
        <v>0</v>
      </c>
    </row>
    <row r="178">
      <c r="A178" s="10" t="s">
        <v>780</v>
      </c>
      <c r="B178" s="11">
        <v>44242.864461053236</v>
      </c>
      <c r="C178" s="10" t="s">
        <v>80</v>
      </c>
      <c r="D178" s="10" t="s">
        <v>81</v>
      </c>
      <c r="E178" s="10" t="s">
        <v>285</v>
      </c>
      <c r="F178" s="10" t="s">
        <v>781</v>
      </c>
      <c r="G178" s="10" t="s">
        <v>767</v>
      </c>
      <c r="H178" s="16">
        <v>44247.5</v>
      </c>
      <c r="I178" s="16">
        <v>44247.125</v>
      </c>
      <c r="J178" s="10" t="s">
        <v>73</v>
      </c>
      <c r="K178" s="10" t="s">
        <v>34</v>
      </c>
      <c r="N178" s="10" t="s">
        <v>35</v>
      </c>
      <c r="V178" s="9"/>
      <c r="W178" s="13" t="s">
        <v>36</v>
      </c>
      <c r="X178" s="10" t="s">
        <v>37</v>
      </c>
      <c r="Y178" s="10" t="s">
        <v>0</v>
      </c>
    </row>
    <row r="179">
      <c r="A179" s="10" t="s">
        <v>782</v>
      </c>
      <c r="B179" s="11">
        <v>44247.59425822917</v>
      </c>
      <c r="C179" s="10" t="s">
        <v>491</v>
      </c>
      <c r="D179" s="10" t="s">
        <v>492</v>
      </c>
      <c r="E179" s="10" t="s">
        <v>783</v>
      </c>
      <c r="F179" s="10" t="s">
        <v>784</v>
      </c>
      <c r="G179" s="10" t="s">
        <v>785</v>
      </c>
      <c r="H179" s="16">
        <v>44247.5625</v>
      </c>
      <c r="I179" s="16">
        <v>44247.60416666667</v>
      </c>
      <c r="J179" s="10" t="s">
        <v>128</v>
      </c>
      <c r="K179" s="10" t="s">
        <v>34</v>
      </c>
      <c r="N179" s="10" t="s">
        <v>35</v>
      </c>
      <c r="V179" s="9"/>
      <c r="W179" s="13" t="s">
        <v>66</v>
      </c>
      <c r="X179" s="10" t="s">
        <v>37</v>
      </c>
      <c r="Y179" s="10" t="s">
        <v>0</v>
      </c>
    </row>
    <row r="180">
      <c r="A180" s="10" t="s">
        <v>786</v>
      </c>
      <c r="B180" s="11">
        <v>44238.624939814814</v>
      </c>
      <c r="C180" s="10" t="s">
        <v>330</v>
      </c>
      <c r="D180" s="10" t="s">
        <v>331</v>
      </c>
      <c r="E180" s="10" t="s">
        <v>787</v>
      </c>
      <c r="F180" s="10" t="s">
        <v>788</v>
      </c>
      <c r="G180" s="10" t="s">
        <v>789</v>
      </c>
      <c r="H180" s="16">
        <v>44246.64583333333</v>
      </c>
      <c r="I180" s="16">
        <v>44246.75</v>
      </c>
      <c r="J180" s="10" t="s">
        <v>43</v>
      </c>
      <c r="K180" s="10" t="s">
        <v>34</v>
      </c>
      <c r="N180" s="10" t="s">
        <v>35</v>
      </c>
      <c r="V180" s="9"/>
      <c r="W180" s="13" t="s">
        <v>36</v>
      </c>
      <c r="X180" s="10" t="s">
        <v>37</v>
      </c>
      <c r="Y180" s="10" t="s">
        <v>0</v>
      </c>
    </row>
    <row r="181">
      <c r="A181" s="10" t="s">
        <v>790</v>
      </c>
      <c r="B181" s="11">
        <v>44239.93935068287</v>
      </c>
      <c r="C181" s="10" t="s">
        <v>671</v>
      </c>
      <c r="D181" s="10" t="s">
        <v>672</v>
      </c>
      <c r="E181" s="10" t="s">
        <v>673</v>
      </c>
      <c r="F181" s="10" t="s">
        <v>791</v>
      </c>
      <c r="G181" s="10" t="s">
        <v>792</v>
      </c>
      <c r="H181" s="16">
        <v>44247.60416666667</v>
      </c>
      <c r="I181" s="16">
        <v>44247.6875</v>
      </c>
      <c r="J181" s="10" t="s">
        <v>128</v>
      </c>
      <c r="K181" s="10" t="s">
        <v>34</v>
      </c>
      <c r="N181" s="10" t="s">
        <v>35</v>
      </c>
      <c r="V181" s="9"/>
      <c r="W181" s="13" t="s">
        <v>36</v>
      </c>
      <c r="X181" s="10" t="s">
        <v>37</v>
      </c>
      <c r="Y181" s="10" t="s">
        <v>0</v>
      </c>
    </row>
    <row r="182">
      <c r="A182" s="10" t="s">
        <v>793</v>
      </c>
      <c r="B182" s="11">
        <v>44244.919129629634</v>
      </c>
      <c r="C182" s="10" t="s">
        <v>28</v>
      </c>
      <c r="D182" s="10" t="s">
        <v>29</v>
      </c>
      <c r="E182" s="10" t="s">
        <v>63</v>
      </c>
      <c r="F182" s="10" t="s">
        <v>794</v>
      </c>
      <c r="G182" s="10" t="s">
        <v>795</v>
      </c>
      <c r="H182" s="16">
        <v>44247.60416666667</v>
      </c>
      <c r="I182" s="16">
        <v>44247.60416666667</v>
      </c>
      <c r="J182" s="10" t="s">
        <v>128</v>
      </c>
      <c r="K182" s="10" t="s">
        <v>34</v>
      </c>
      <c r="N182" s="10" t="s">
        <v>35</v>
      </c>
      <c r="V182" s="9"/>
      <c r="W182" s="13" t="s">
        <v>36</v>
      </c>
      <c r="X182" s="10" t="s">
        <v>37</v>
      </c>
      <c r="Y182" s="10" t="s">
        <v>0</v>
      </c>
    </row>
    <row r="183">
      <c r="A183" s="10" t="s">
        <v>796</v>
      </c>
      <c r="B183" s="11">
        <v>44245.65073857638</v>
      </c>
      <c r="C183" s="10" t="s">
        <v>80</v>
      </c>
      <c r="D183" s="10" t="s">
        <v>81</v>
      </c>
      <c r="E183" s="10" t="s">
        <v>82</v>
      </c>
      <c r="F183" s="10" t="s">
        <v>797</v>
      </c>
      <c r="G183" s="10" t="s">
        <v>798</v>
      </c>
      <c r="H183" s="16">
        <v>44247.60416666667</v>
      </c>
      <c r="I183" s="16">
        <v>44247.66666666667</v>
      </c>
      <c r="J183" s="10" t="s">
        <v>128</v>
      </c>
      <c r="K183" s="10" t="s">
        <v>34</v>
      </c>
      <c r="N183" s="10" t="s">
        <v>35</v>
      </c>
      <c r="V183" s="9"/>
      <c r="W183" s="13" t="s">
        <v>36</v>
      </c>
      <c r="X183" s="10" t="s">
        <v>37</v>
      </c>
      <c r="Y183" s="10" t="s">
        <v>0</v>
      </c>
    </row>
    <row r="184">
      <c r="A184" s="10" t="s">
        <v>799</v>
      </c>
      <c r="B184" s="11">
        <v>44238.99812267361</v>
      </c>
      <c r="C184" s="10" t="s">
        <v>209</v>
      </c>
      <c r="D184" s="10" t="s">
        <v>210</v>
      </c>
      <c r="E184" s="10" t="s">
        <v>261</v>
      </c>
      <c r="F184" s="10" t="s">
        <v>800</v>
      </c>
      <c r="G184" s="10" t="s">
        <v>801</v>
      </c>
      <c r="H184" s="16">
        <v>44247.64583333333</v>
      </c>
      <c r="I184" s="16">
        <v>44247.72916666667</v>
      </c>
      <c r="J184" s="10" t="s">
        <v>128</v>
      </c>
      <c r="K184" s="10" t="s">
        <v>34</v>
      </c>
      <c r="N184" s="10" t="s">
        <v>35</v>
      </c>
      <c r="V184" s="9"/>
      <c r="W184" s="13" t="s">
        <v>36</v>
      </c>
      <c r="X184" s="10" t="s">
        <v>37</v>
      </c>
      <c r="Y184" s="10" t="s">
        <v>0</v>
      </c>
    </row>
    <row r="185">
      <c r="A185" s="10" t="s">
        <v>802</v>
      </c>
      <c r="B185" s="11">
        <v>44240.58704615741</v>
      </c>
      <c r="C185" s="10" t="s">
        <v>336</v>
      </c>
      <c r="D185" s="10" t="s">
        <v>337</v>
      </c>
      <c r="E185" s="10" t="s">
        <v>683</v>
      </c>
      <c r="F185" s="10" t="s">
        <v>803</v>
      </c>
      <c r="G185" s="10" t="s">
        <v>804</v>
      </c>
      <c r="H185" s="16">
        <v>44247.66666666667</v>
      </c>
      <c r="I185" s="16">
        <v>44247.72916666667</v>
      </c>
      <c r="J185" s="10" t="s">
        <v>128</v>
      </c>
      <c r="K185" s="10" t="s">
        <v>34</v>
      </c>
      <c r="N185" s="10" t="s">
        <v>35</v>
      </c>
      <c r="V185" s="9"/>
      <c r="W185" s="13" t="s">
        <v>36</v>
      </c>
      <c r="X185" s="10" t="s">
        <v>37</v>
      </c>
      <c r="Y185" s="10" t="s">
        <v>0</v>
      </c>
    </row>
    <row r="186">
      <c r="A186" s="10" t="s">
        <v>805</v>
      </c>
      <c r="B186" s="11">
        <v>44238.992271192124</v>
      </c>
      <c r="C186" s="10" t="s">
        <v>374</v>
      </c>
      <c r="D186" s="10" t="s">
        <v>375</v>
      </c>
      <c r="E186" s="10" t="s">
        <v>737</v>
      </c>
      <c r="F186" s="10" t="s">
        <v>212</v>
      </c>
      <c r="G186" s="10" t="s">
        <v>806</v>
      </c>
      <c r="H186" s="16">
        <v>44248.5625</v>
      </c>
      <c r="I186" s="16">
        <v>44248.60416666667</v>
      </c>
      <c r="J186" s="10" t="s">
        <v>128</v>
      </c>
      <c r="K186" s="10" t="s">
        <v>34</v>
      </c>
      <c r="N186" s="10" t="s">
        <v>35</v>
      </c>
      <c r="V186" s="9"/>
      <c r="W186" s="13" t="s">
        <v>36</v>
      </c>
      <c r="X186" s="10" t="s">
        <v>37</v>
      </c>
      <c r="Y186" s="10" t="s">
        <v>0</v>
      </c>
    </row>
    <row r="187">
      <c r="A187" s="10" t="s">
        <v>807</v>
      </c>
      <c r="B187" s="11">
        <v>44242.74847590278</v>
      </c>
      <c r="C187" s="10" t="s">
        <v>181</v>
      </c>
      <c r="D187" s="10" t="s">
        <v>69</v>
      </c>
      <c r="E187" s="10" t="s">
        <v>808</v>
      </c>
      <c r="F187" s="10" t="s">
        <v>809</v>
      </c>
      <c r="G187" s="10" t="s">
        <v>810</v>
      </c>
      <c r="H187" s="17">
        <v>44249.35416666667</v>
      </c>
      <c r="I187" s="17">
        <v>44262.35416666667</v>
      </c>
      <c r="J187" s="10" t="s">
        <v>73</v>
      </c>
      <c r="K187" s="10" t="s">
        <v>34</v>
      </c>
      <c r="N187" s="10" t="s">
        <v>35</v>
      </c>
      <c r="V187" s="9"/>
      <c r="W187" s="13" t="s">
        <v>36</v>
      </c>
      <c r="X187" s="10" t="s">
        <v>37</v>
      </c>
      <c r="Y187" s="10" t="s">
        <v>0</v>
      </c>
    </row>
    <row r="188">
      <c r="A188" s="10" t="s">
        <v>811</v>
      </c>
      <c r="B188" s="11">
        <v>44242.403171990736</v>
      </c>
      <c r="C188" s="10" t="s">
        <v>80</v>
      </c>
      <c r="D188" s="10" t="s">
        <v>81</v>
      </c>
      <c r="E188" s="10" t="s">
        <v>469</v>
      </c>
      <c r="F188" s="10" t="s">
        <v>812</v>
      </c>
      <c r="G188" s="10" t="s">
        <v>813</v>
      </c>
      <c r="H188" s="17">
        <v>44249.375</v>
      </c>
      <c r="I188" s="17">
        <v>44249.41666666667</v>
      </c>
      <c r="J188" s="10" t="s">
        <v>73</v>
      </c>
      <c r="K188" s="10" t="s">
        <v>34</v>
      </c>
      <c r="N188" s="10" t="s">
        <v>35</v>
      </c>
      <c r="V188" s="9"/>
      <c r="W188" s="13" t="s">
        <v>36</v>
      </c>
      <c r="X188" s="10" t="s">
        <v>37</v>
      </c>
      <c r="Y188" s="10" t="s">
        <v>0</v>
      </c>
    </row>
    <row r="189">
      <c r="A189" s="10" t="s">
        <v>814</v>
      </c>
      <c r="B189" s="11">
        <v>44242.74779851852</v>
      </c>
      <c r="C189" s="10" t="s">
        <v>181</v>
      </c>
      <c r="D189" s="10" t="s">
        <v>69</v>
      </c>
      <c r="E189" s="10" t="s">
        <v>815</v>
      </c>
      <c r="F189" s="10" t="s">
        <v>816</v>
      </c>
      <c r="G189" s="10" t="s">
        <v>817</v>
      </c>
      <c r="H189" s="17">
        <v>44249.4375</v>
      </c>
      <c r="I189" s="17">
        <v>44318.4375</v>
      </c>
      <c r="J189" s="10" t="s">
        <v>73</v>
      </c>
      <c r="K189" s="10" t="s">
        <v>34</v>
      </c>
      <c r="N189" s="10" t="s">
        <v>35</v>
      </c>
      <c r="V189" s="9"/>
      <c r="W189" s="13" t="s">
        <v>36</v>
      </c>
      <c r="X189" s="10" t="s">
        <v>37</v>
      </c>
      <c r="Y189" s="10" t="s">
        <v>0</v>
      </c>
    </row>
    <row r="190">
      <c r="A190" s="10" t="s">
        <v>818</v>
      </c>
      <c r="B190" s="11">
        <v>44231.86539527778</v>
      </c>
      <c r="C190" s="10" t="s">
        <v>80</v>
      </c>
      <c r="D190" s="10" t="s">
        <v>81</v>
      </c>
      <c r="E190" s="10" t="s">
        <v>281</v>
      </c>
      <c r="F190" s="10" t="s">
        <v>819</v>
      </c>
      <c r="G190" s="10" t="s">
        <v>820</v>
      </c>
      <c r="H190" s="25">
        <v>44249.5</v>
      </c>
      <c r="I190" s="25">
        <v>44249.5</v>
      </c>
      <c r="J190" s="10" t="s">
        <v>73</v>
      </c>
      <c r="K190" s="10" t="s">
        <v>34</v>
      </c>
      <c r="N190" s="10" t="s">
        <v>35</v>
      </c>
      <c r="V190" s="9"/>
      <c r="W190" s="13" t="s">
        <v>36</v>
      </c>
      <c r="X190" s="10" t="s">
        <v>37</v>
      </c>
      <c r="Y190" s="10" t="s">
        <v>0</v>
      </c>
    </row>
    <row r="191">
      <c r="A191" s="10" t="s">
        <v>821</v>
      </c>
      <c r="B191" s="11">
        <v>44245.78518251158</v>
      </c>
      <c r="C191" s="10" t="s">
        <v>186</v>
      </c>
      <c r="D191" s="10" t="s">
        <v>187</v>
      </c>
      <c r="E191" s="10" t="s">
        <v>188</v>
      </c>
      <c r="F191" s="10" t="s">
        <v>822</v>
      </c>
      <c r="G191" s="26" t="s">
        <v>823</v>
      </c>
      <c r="H191" s="24">
        <v>44249.60416666667</v>
      </c>
      <c r="I191" s="24">
        <v>44249.6875</v>
      </c>
      <c r="J191" s="10" t="s">
        <v>128</v>
      </c>
      <c r="K191" s="10" t="s">
        <v>34</v>
      </c>
      <c r="N191" s="10" t="s">
        <v>35</v>
      </c>
      <c r="V191" s="9"/>
      <c r="W191" s="13" t="s">
        <v>36</v>
      </c>
      <c r="X191" s="10" t="s">
        <v>37</v>
      </c>
      <c r="Y191" s="10" t="s">
        <v>0</v>
      </c>
    </row>
    <row r="192">
      <c r="A192" s="10" t="s">
        <v>824</v>
      </c>
      <c r="B192" s="11">
        <v>44249.83795826389</v>
      </c>
      <c r="C192" s="10" t="s">
        <v>247</v>
      </c>
      <c r="D192" s="10" t="s">
        <v>248</v>
      </c>
      <c r="E192" s="10" t="s">
        <v>825</v>
      </c>
      <c r="F192" s="10" t="s">
        <v>826</v>
      </c>
      <c r="G192" s="10" t="s">
        <v>827</v>
      </c>
      <c r="H192" s="16">
        <v>44249.60416666667</v>
      </c>
      <c r="I192" s="16">
        <v>44249.6875</v>
      </c>
      <c r="J192" s="10" t="s">
        <v>128</v>
      </c>
      <c r="K192" s="10" t="s">
        <v>34</v>
      </c>
      <c r="N192" s="10" t="s">
        <v>35</v>
      </c>
      <c r="V192" s="9"/>
      <c r="W192" s="13" t="s">
        <v>66</v>
      </c>
      <c r="X192" s="10" t="s">
        <v>37</v>
      </c>
      <c r="Y192" s="10" t="s">
        <v>0</v>
      </c>
    </row>
    <row r="193">
      <c r="A193" s="10" t="s">
        <v>828</v>
      </c>
      <c r="B193" s="11">
        <v>44243.5122963426</v>
      </c>
      <c r="C193" s="10" t="s">
        <v>829</v>
      </c>
      <c r="D193" s="10" t="s">
        <v>331</v>
      </c>
      <c r="E193" s="10" t="s">
        <v>830</v>
      </c>
      <c r="F193" s="10" t="s">
        <v>831</v>
      </c>
      <c r="G193" s="10" t="s">
        <v>789</v>
      </c>
      <c r="H193" s="16">
        <v>44246.64583333333</v>
      </c>
      <c r="I193" s="16">
        <v>44246.75</v>
      </c>
      <c r="J193" s="10" t="s">
        <v>43</v>
      </c>
      <c r="K193" s="10" t="s">
        <v>34</v>
      </c>
      <c r="N193" s="10" t="s">
        <v>296</v>
      </c>
      <c r="O193" s="18" t="s">
        <v>832</v>
      </c>
      <c r="P193" s="10" t="s">
        <v>35</v>
      </c>
      <c r="R193" s="10" t="s">
        <v>35</v>
      </c>
      <c r="T193" s="10" t="s">
        <v>296</v>
      </c>
      <c r="U193" s="10">
        <v>1.0</v>
      </c>
      <c r="V193" s="27"/>
      <c r="W193" s="20" t="s">
        <v>833</v>
      </c>
      <c r="X193" s="10" t="s">
        <v>37</v>
      </c>
      <c r="Y193" s="10" t="s">
        <v>0</v>
      </c>
    </row>
    <row r="194">
      <c r="A194" s="10" t="s">
        <v>834</v>
      </c>
      <c r="B194" s="11">
        <v>44244.35638153936</v>
      </c>
      <c r="C194" s="10" t="s">
        <v>661</v>
      </c>
      <c r="D194" s="21" t="s">
        <v>662</v>
      </c>
      <c r="E194" s="21" t="s">
        <v>749</v>
      </c>
      <c r="F194" s="21" t="s">
        <v>835</v>
      </c>
      <c r="G194" s="21" t="s">
        <v>836</v>
      </c>
      <c r="H194" s="22">
        <v>44246.79166666667</v>
      </c>
      <c r="I194" s="22">
        <v>44246.80208333333</v>
      </c>
      <c r="J194" s="10" t="s">
        <v>236</v>
      </c>
      <c r="K194" s="10" t="s">
        <v>34</v>
      </c>
      <c r="N194" s="10" t="s">
        <v>35</v>
      </c>
      <c r="V194" s="9"/>
      <c r="W194" s="13" t="s">
        <v>36</v>
      </c>
      <c r="X194" s="21" t="s">
        <v>37</v>
      </c>
      <c r="Y194" s="21" t="s">
        <v>0</v>
      </c>
    </row>
    <row r="195">
      <c r="A195" s="10" t="s">
        <v>837</v>
      </c>
      <c r="B195" s="11">
        <v>44238.797590636575</v>
      </c>
      <c r="C195" s="10" t="s">
        <v>181</v>
      </c>
      <c r="D195" s="10" t="s">
        <v>69</v>
      </c>
      <c r="E195" s="10" t="s">
        <v>838</v>
      </c>
      <c r="F195" s="10" t="s">
        <v>839</v>
      </c>
      <c r="G195" s="10" t="s">
        <v>840</v>
      </c>
      <c r="H195" s="16">
        <v>44247.60416666667</v>
      </c>
      <c r="I195" s="16">
        <v>44247.6875</v>
      </c>
      <c r="J195" s="10" t="s">
        <v>43</v>
      </c>
      <c r="K195" s="10" t="s">
        <v>34</v>
      </c>
      <c r="N195" s="10" t="s">
        <v>35</v>
      </c>
      <c r="V195" s="9"/>
      <c r="W195" s="13" t="s">
        <v>36</v>
      </c>
      <c r="X195" s="10" t="s">
        <v>37</v>
      </c>
      <c r="Y195" s="10" t="s">
        <v>0</v>
      </c>
    </row>
    <row r="196">
      <c r="A196" s="10" t="s">
        <v>841</v>
      </c>
      <c r="B196" s="11">
        <v>44242.39504690972</v>
      </c>
      <c r="C196" s="10" t="s">
        <v>181</v>
      </c>
      <c r="D196" s="10" t="s">
        <v>69</v>
      </c>
      <c r="E196" s="10" t="s">
        <v>842</v>
      </c>
      <c r="F196" s="10" t="s">
        <v>843</v>
      </c>
      <c r="G196" s="10" t="s">
        <v>844</v>
      </c>
      <c r="H196" s="17">
        <v>44249.8125</v>
      </c>
      <c r="I196" s="17">
        <v>44249.85416666667</v>
      </c>
      <c r="J196" s="10" t="s">
        <v>128</v>
      </c>
      <c r="K196" s="10" t="s">
        <v>34</v>
      </c>
      <c r="N196" s="10" t="s">
        <v>35</v>
      </c>
      <c r="V196" s="9"/>
      <c r="W196" s="13" t="s">
        <v>36</v>
      </c>
      <c r="X196" s="10" t="s">
        <v>37</v>
      </c>
      <c r="Y196" s="10" t="s">
        <v>0</v>
      </c>
    </row>
    <row r="197">
      <c r="A197" s="10" t="s">
        <v>845</v>
      </c>
      <c r="B197" s="11">
        <v>44242.74126700232</v>
      </c>
      <c r="C197" s="10" t="s">
        <v>181</v>
      </c>
      <c r="D197" s="10" t="s">
        <v>69</v>
      </c>
      <c r="E197" s="10" t="s">
        <v>313</v>
      </c>
      <c r="F197" s="10" t="s">
        <v>846</v>
      </c>
      <c r="G197" s="10" t="s">
        <v>847</v>
      </c>
      <c r="H197" s="17">
        <v>44250.4375</v>
      </c>
      <c r="I197" s="17">
        <v>44346.4375</v>
      </c>
      <c r="J197" s="10" t="s">
        <v>51</v>
      </c>
      <c r="K197" s="10" t="s">
        <v>34</v>
      </c>
      <c r="N197" s="10" t="s">
        <v>35</v>
      </c>
      <c r="V197" s="9"/>
      <c r="W197" s="13" t="s">
        <v>36</v>
      </c>
      <c r="X197" s="10" t="s">
        <v>37</v>
      </c>
      <c r="Y197" s="10" t="s">
        <v>0</v>
      </c>
    </row>
    <row r="198">
      <c r="A198" s="10" t="s">
        <v>848</v>
      </c>
      <c r="B198" s="11">
        <v>44242.39629101852</v>
      </c>
      <c r="C198" s="10" t="s">
        <v>181</v>
      </c>
      <c r="D198" s="10" t="s">
        <v>69</v>
      </c>
      <c r="E198" s="10" t="s">
        <v>849</v>
      </c>
      <c r="F198" s="10" t="s">
        <v>850</v>
      </c>
      <c r="G198" s="10" t="s">
        <v>851</v>
      </c>
      <c r="H198" s="17">
        <v>44250.58333333333</v>
      </c>
      <c r="I198" s="17">
        <v>44250.66666666667</v>
      </c>
      <c r="J198" s="10" t="s">
        <v>128</v>
      </c>
      <c r="K198" s="10" t="s">
        <v>34</v>
      </c>
      <c r="N198" s="10" t="s">
        <v>35</v>
      </c>
      <c r="V198" s="9"/>
      <c r="W198" s="13" t="s">
        <v>36</v>
      </c>
      <c r="X198" s="10" t="s">
        <v>37</v>
      </c>
      <c r="Y198" s="10" t="s">
        <v>0</v>
      </c>
    </row>
    <row r="199">
      <c r="A199" s="10" t="s">
        <v>852</v>
      </c>
      <c r="B199" s="11">
        <v>44250.83752212963</v>
      </c>
      <c r="C199" s="10" t="s">
        <v>491</v>
      </c>
      <c r="D199" s="10" t="s">
        <v>492</v>
      </c>
      <c r="E199" s="10" t="s">
        <v>853</v>
      </c>
      <c r="F199" s="10" t="s">
        <v>854</v>
      </c>
      <c r="G199" s="10" t="s">
        <v>855</v>
      </c>
      <c r="H199" s="17">
        <v>44250.79166666667</v>
      </c>
      <c r="I199" s="17">
        <v>44250.79166666667</v>
      </c>
      <c r="J199" s="10" t="s">
        <v>73</v>
      </c>
      <c r="K199" s="10" t="s">
        <v>34</v>
      </c>
      <c r="N199" s="10" t="s">
        <v>35</v>
      </c>
      <c r="V199" s="9"/>
      <c r="W199" s="13" t="s">
        <v>78</v>
      </c>
      <c r="X199" s="10" t="s">
        <v>37</v>
      </c>
      <c r="Y199" s="10" t="s">
        <v>0</v>
      </c>
    </row>
    <row r="200">
      <c r="A200" s="10" t="s">
        <v>856</v>
      </c>
      <c r="B200" s="11">
        <v>44242.7430509375</v>
      </c>
      <c r="C200" s="10" t="s">
        <v>181</v>
      </c>
      <c r="D200" s="10" t="s">
        <v>69</v>
      </c>
      <c r="E200" s="10" t="s">
        <v>808</v>
      </c>
      <c r="F200" s="10" t="s">
        <v>857</v>
      </c>
      <c r="G200" s="10" t="s">
        <v>858</v>
      </c>
      <c r="H200" s="17">
        <v>44251.35416666667</v>
      </c>
      <c r="I200" s="17">
        <v>44347.35416666667</v>
      </c>
      <c r="J200" s="10" t="s">
        <v>73</v>
      </c>
      <c r="K200" s="10" t="s">
        <v>34</v>
      </c>
      <c r="N200" s="10" t="s">
        <v>35</v>
      </c>
      <c r="V200" s="9"/>
      <c r="W200" s="13" t="s">
        <v>36</v>
      </c>
      <c r="X200" s="10" t="s">
        <v>37</v>
      </c>
      <c r="Y200" s="10" t="s">
        <v>0</v>
      </c>
    </row>
    <row r="201">
      <c r="A201" s="10" t="s">
        <v>859</v>
      </c>
      <c r="B201" s="11">
        <v>44246.576535844906</v>
      </c>
      <c r="C201" s="10" t="s">
        <v>181</v>
      </c>
      <c r="D201" s="10" t="s">
        <v>69</v>
      </c>
      <c r="E201" s="10" t="s">
        <v>860</v>
      </c>
      <c r="F201" s="10" t="s">
        <v>861</v>
      </c>
      <c r="G201" s="10" t="s">
        <v>862</v>
      </c>
      <c r="H201" s="24">
        <v>44251.375</v>
      </c>
      <c r="I201" s="24">
        <v>44251.99930555555</v>
      </c>
      <c r="J201" s="10" t="s">
        <v>73</v>
      </c>
      <c r="K201" s="10" t="s">
        <v>34</v>
      </c>
      <c r="N201" s="10" t="s">
        <v>35</v>
      </c>
      <c r="V201" s="9"/>
      <c r="W201" s="13" t="s">
        <v>78</v>
      </c>
      <c r="X201" s="10" t="s">
        <v>37</v>
      </c>
      <c r="Y201" s="10" t="s">
        <v>0</v>
      </c>
    </row>
    <row r="202">
      <c r="A202" s="10" t="s">
        <v>863</v>
      </c>
      <c r="B202" s="11">
        <v>44242.397501168976</v>
      </c>
      <c r="C202" s="10" t="s">
        <v>181</v>
      </c>
      <c r="D202" s="10" t="s">
        <v>69</v>
      </c>
      <c r="E202" s="10" t="s">
        <v>864</v>
      </c>
      <c r="F202" s="10" t="s">
        <v>865</v>
      </c>
      <c r="G202" s="10" t="s">
        <v>866</v>
      </c>
      <c r="H202" s="17">
        <v>44251.41666666667</v>
      </c>
      <c r="I202" s="17">
        <v>44251.41666666667</v>
      </c>
      <c r="J202" s="10" t="s">
        <v>51</v>
      </c>
      <c r="K202" s="10" t="s">
        <v>34</v>
      </c>
      <c r="N202" s="10" t="s">
        <v>35</v>
      </c>
      <c r="V202" s="9"/>
      <c r="W202" s="13" t="s">
        <v>36</v>
      </c>
      <c r="X202" s="10" t="s">
        <v>37</v>
      </c>
      <c r="Y202" s="10" t="s">
        <v>0</v>
      </c>
    </row>
    <row r="203">
      <c r="A203" s="10" t="s">
        <v>867</v>
      </c>
      <c r="B203" s="11">
        <v>44247.61032491898</v>
      </c>
      <c r="C203" s="10" t="s">
        <v>80</v>
      </c>
      <c r="D203" s="10" t="s">
        <v>81</v>
      </c>
      <c r="E203" s="10" t="s">
        <v>469</v>
      </c>
      <c r="F203" s="10" t="s">
        <v>868</v>
      </c>
      <c r="G203" s="10" t="s">
        <v>869</v>
      </c>
      <c r="H203" s="16">
        <v>44252.375</v>
      </c>
      <c r="I203" s="16">
        <v>44252.41666666667</v>
      </c>
      <c r="J203" s="10" t="s">
        <v>73</v>
      </c>
      <c r="K203" s="10" t="s">
        <v>34</v>
      </c>
      <c r="N203" s="10" t="s">
        <v>35</v>
      </c>
      <c r="V203" s="9"/>
      <c r="W203" s="13" t="s">
        <v>78</v>
      </c>
      <c r="X203" s="10" t="s">
        <v>37</v>
      </c>
      <c r="Y203" s="10" t="s">
        <v>0</v>
      </c>
    </row>
    <row r="204">
      <c r="A204" s="10" t="s">
        <v>870</v>
      </c>
      <c r="B204" s="11">
        <v>44242.40245685185</v>
      </c>
      <c r="C204" s="10" t="s">
        <v>181</v>
      </c>
      <c r="D204" s="10" t="s">
        <v>69</v>
      </c>
      <c r="E204" s="10" t="s">
        <v>871</v>
      </c>
      <c r="F204" s="10" t="s">
        <v>872</v>
      </c>
      <c r="G204" s="10" t="s">
        <v>873</v>
      </c>
      <c r="H204" s="17">
        <v>44252.41666666667</v>
      </c>
      <c r="I204" s="17">
        <v>44252.52083333333</v>
      </c>
      <c r="J204" s="10" t="s">
        <v>128</v>
      </c>
      <c r="K204" s="10" t="s">
        <v>34</v>
      </c>
      <c r="N204" s="10" t="s">
        <v>35</v>
      </c>
      <c r="V204" s="9"/>
      <c r="W204" s="13" t="s">
        <v>36</v>
      </c>
      <c r="X204" s="10" t="s">
        <v>37</v>
      </c>
      <c r="Y204" s="10" t="s">
        <v>0</v>
      </c>
    </row>
    <row r="205">
      <c r="A205" s="10" t="s">
        <v>874</v>
      </c>
      <c r="B205" s="11">
        <v>44242.40320539352</v>
      </c>
      <c r="C205" s="10" t="s">
        <v>181</v>
      </c>
      <c r="D205" s="10" t="s">
        <v>69</v>
      </c>
      <c r="E205" s="10" t="s">
        <v>871</v>
      </c>
      <c r="F205" s="10" t="s">
        <v>875</v>
      </c>
      <c r="G205" s="10" t="s">
        <v>876</v>
      </c>
      <c r="H205" s="17">
        <v>44252.41666666667</v>
      </c>
      <c r="I205" s="17">
        <v>44252.52083333333</v>
      </c>
      <c r="J205" s="10" t="s">
        <v>128</v>
      </c>
      <c r="K205" s="10" t="s">
        <v>34</v>
      </c>
      <c r="N205" s="10" t="s">
        <v>35</v>
      </c>
      <c r="V205" s="9"/>
      <c r="W205" s="13" t="s">
        <v>36</v>
      </c>
      <c r="X205" s="10" t="s">
        <v>37</v>
      </c>
      <c r="Y205" s="10" t="s">
        <v>0</v>
      </c>
    </row>
    <row r="206">
      <c r="A206" s="10" t="s">
        <v>877</v>
      </c>
      <c r="B206" s="11">
        <v>44231.866248935185</v>
      </c>
      <c r="C206" s="10" t="s">
        <v>80</v>
      </c>
      <c r="D206" s="10" t="s">
        <v>81</v>
      </c>
      <c r="E206" s="10" t="s">
        <v>281</v>
      </c>
      <c r="F206" s="10" t="s">
        <v>878</v>
      </c>
      <c r="G206" s="10" t="s">
        <v>451</v>
      </c>
      <c r="H206" s="25">
        <v>44252.5</v>
      </c>
      <c r="I206" s="25">
        <v>44252.5</v>
      </c>
      <c r="J206" s="10" t="s">
        <v>73</v>
      </c>
      <c r="K206" s="10" t="s">
        <v>34</v>
      </c>
      <c r="N206" s="10" t="s">
        <v>35</v>
      </c>
      <c r="V206" s="9"/>
      <c r="W206" s="13" t="s">
        <v>36</v>
      </c>
      <c r="X206" s="10" t="s">
        <v>37</v>
      </c>
      <c r="Y206" s="10" t="s">
        <v>0</v>
      </c>
    </row>
    <row r="207">
      <c r="A207" s="10" t="s">
        <v>879</v>
      </c>
      <c r="B207" s="11">
        <v>44242.86843030092</v>
      </c>
      <c r="C207" s="10" t="s">
        <v>80</v>
      </c>
      <c r="D207" s="10" t="s">
        <v>81</v>
      </c>
      <c r="E207" s="10" t="s">
        <v>765</v>
      </c>
      <c r="F207" s="10" t="s">
        <v>880</v>
      </c>
      <c r="G207" s="10" t="s">
        <v>881</v>
      </c>
      <c r="H207" s="17">
        <v>44252.5</v>
      </c>
      <c r="I207" s="17">
        <v>44252.45833333333</v>
      </c>
      <c r="J207" s="10" t="s">
        <v>73</v>
      </c>
      <c r="K207" s="10" t="s">
        <v>34</v>
      </c>
      <c r="N207" s="10" t="s">
        <v>35</v>
      </c>
      <c r="V207" s="9"/>
      <c r="W207" s="13" t="s">
        <v>36</v>
      </c>
      <c r="X207" s="10" t="s">
        <v>37</v>
      </c>
      <c r="Y207" s="10" t="s">
        <v>0</v>
      </c>
    </row>
    <row r="208">
      <c r="A208" s="10" t="s">
        <v>882</v>
      </c>
      <c r="B208" s="11">
        <v>44242.40505028935</v>
      </c>
      <c r="C208" s="10" t="s">
        <v>181</v>
      </c>
      <c r="D208" s="21" t="s">
        <v>69</v>
      </c>
      <c r="E208" s="21" t="s">
        <v>313</v>
      </c>
      <c r="F208" s="21" t="s">
        <v>883</v>
      </c>
      <c r="G208" s="21" t="s">
        <v>884</v>
      </c>
      <c r="H208" s="22">
        <v>44249.64583333333</v>
      </c>
      <c r="I208" s="22">
        <v>44249.72916666667</v>
      </c>
      <c r="J208" s="10" t="s">
        <v>236</v>
      </c>
      <c r="K208" s="10" t="s">
        <v>34</v>
      </c>
      <c r="N208" s="10" t="s">
        <v>35</v>
      </c>
      <c r="V208" s="9"/>
      <c r="W208" s="13" t="s">
        <v>36</v>
      </c>
      <c r="X208" s="21" t="s">
        <v>37</v>
      </c>
      <c r="Y208" s="21" t="s">
        <v>0</v>
      </c>
    </row>
    <row r="209">
      <c r="A209" s="10" t="s">
        <v>885</v>
      </c>
      <c r="B209" s="11">
        <v>44263.84986744213</v>
      </c>
      <c r="C209" s="10" t="s">
        <v>96</v>
      </c>
      <c r="D209" s="10" t="s">
        <v>97</v>
      </c>
      <c r="E209" s="10" t="s">
        <v>120</v>
      </c>
      <c r="F209" s="10" t="s">
        <v>886</v>
      </c>
      <c r="G209" s="10" t="s">
        <v>887</v>
      </c>
      <c r="H209" s="16">
        <v>44252.60416666667</v>
      </c>
      <c r="I209" s="16">
        <v>44336.60416666667</v>
      </c>
      <c r="J209" s="10" t="s">
        <v>51</v>
      </c>
      <c r="K209" s="10" t="s">
        <v>34</v>
      </c>
      <c r="N209" s="10" t="s">
        <v>35</v>
      </c>
      <c r="V209" s="9"/>
      <c r="W209" s="13" t="s">
        <v>78</v>
      </c>
      <c r="X209" s="10" t="s">
        <v>37</v>
      </c>
      <c r="Y209" s="10" t="s">
        <v>0</v>
      </c>
    </row>
    <row r="210">
      <c r="A210" s="10" t="s">
        <v>888</v>
      </c>
      <c r="B210" s="11">
        <v>44245.61851782407</v>
      </c>
      <c r="C210" s="10" t="s">
        <v>491</v>
      </c>
      <c r="D210" s="10" t="s">
        <v>492</v>
      </c>
      <c r="E210" s="10" t="s">
        <v>657</v>
      </c>
      <c r="F210" s="10" t="s">
        <v>889</v>
      </c>
      <c r="G210" s="10" t="s">
        <v>890</v>
      </c>
      <c r="H210" s="24">
        <v>44252.79166666667</v>
      </c>
      <c r="I210" s="24">
        <v>44252.83333333333</v>
      </c>
      <c r="J210" s="10" t="s">
        <v>128</v>
      </c>
      <c r="K210" s="10" t="s">
        <v>34</v>
      </c>
      <c r="N210" s="10" t="s">
        <v>35</v>
      </c>
      <c r="V210" s="9"/>
      <c r="W210" s="13" t="s">
        <v>36</v>
      </c>
      <c r="X210" s="10" t="s">
        <v>37</v>
      </c>
      <c r="Y210" s="10" t="s">
        <v>0</v>
      </c>
    </row>
    <row r="211">
      <c r="A211" s="10" t="s">
        <v>891</v>
      </c>
      <c r="B211" s="11">
        <v>44251.497375439816</v>
      </c>
      <c r="C211" s="10" t="s">
        <v>181</v>
      </c>
      <c r="D211" s="10" t="s">
        <v>69</v>
      </c>
      <c r="E211" s="10" t="s">
        <v>860</v>
      </c>
      <c r="F211" s="10" t="s">
        <v>892</v>
      </c>
      <c r="G211" s="10" t="s">
        <v>893</v>
      </c>
      <c r="H211" s="17">
        <v>44253.375</v>
      </c>
      <c r="I211" s="17">
        <v>44253.99930555555</v>
      </c>
      <c r="J211" s="10" t="s">
        <v>73</v>
      </c>
      <c r="K211" s="10" t="s">
        <v>34</v>
      </c>
      <c r="N211" s="10" t="s">
        <v>35</v>
      </c>
      <c r="V211" s="9"/>
      <c r="W211" s="13" t="s">
        <v>78</v>
      </c>
      <c r="X211" s="10" t="s">
        <v>37</v>
      </c>
      <c r="Y211" s="10" t="s">
        <v>0</v>
      </c>
    </row>
    <row r="212">
      <c r="A212" s="10" t="s">
        <v>894</v>
      </c>
      <c r="B212" s="11">
        <v>44242.75421408565</v>
      </c>
      <c r="C212" s="10" t="s">
        <v>181</v>
      </c>
      <c r="D212" s="10" t="s">
        <v>69</v>
      </c>
      <c r="E212" s="10" t="s">
        <v>313</v>
      </c>
      <c r="F212" s="10" t="s">
        <v>895</v>
      </c>
      <c r="G212" s="10" t="s">
        <v>896</v>
      </c>
      <c r="H212" s="24">
        <v>44249.6875</v>
      </c>
      <c r="I212" s="24">
        <v>44249.77083333333</v>
      </c>
      <c r="J212" s="10" t="s">
        <v>43</v>
      </c>
      <c r="K212" s="10" t="s">
        <v>34</v>
      </c>
      <c r="N212" s="10" t="s">
        <v>296</v>
      </c>
      <c r="O212" s="18" t="s">
        <v>897</v>
      </c>
      <c r="P212" s="10" t="s">
        <v>35</v>
      </c>
      <c r="R212" s="10" t="s">
        <v>296</v>
      </c>
      <c r="S212" s="10">
        <v>1.0</v>
      </c>
      <c r="T212" s="10" t="s">
        <v>35</v>
      </c>
      <c r="V212" s="9"/>
      <c r="W212" s="13" t="s">
        <v>36</v>
      </c>
      <c r="X212" s="10" t="s">
        <v>37</v>
      </c>
      <c r="Y212" s="10" t="s">
        <v>0</v>
      </c>
    </row>
    <row r="213">
      <c r="A213" s="10" t="s">
        <v>898</v>
      </c>
      <c r="B213" s="11">
        <v>44242.73242965278</v>
      </c>
      <c r="C213" s="10" t="s">
        <v>181</v>
      </c>
      <c r="D213" s="10" t="s">
        <v>69</v>
      </c>
      <c r="E213" s="10" t="s">
        <v>313</v>
      </c>
      <c r="F213" s="10" t="s">
        <v>899</v>
      </c>
      <c r="G213" s="10" t="s">
        <v>900</v>
      </c>
      <c r="H213" s="24">
        <v>44249.72916666667</v>
      </c>
      <c r="I213" s="24">
        <v>44249.8125</v>
      </c>
      <c r="J213" s="10" t="s">
        <v>43</v>
      </c>
      <c r="K213" s="10" t="s">
        <v>34</v>
      </c>
      <c r="N213" s="10" t="s">
        <v>296</v>
      </c>
      <c r="O213" s="18" t="s">
        <v>901</v>
      </c>
      <c r="P213" s="10" t="s">
        <v>35</v>
      </c>
      <c r="R213" s="10" t="s">
        <v>35</v>
      </c>
      <c r="T213" s="10" t="s">
        <v>296</v>
      </c>
      <c r="U213" s="10">
        <v>1.0</v>
      </c>
      <c r="V213" s="27"/>
      <c r="W213" s="13" t="s">
        <v>78</v>
      </c>
      <c r="X213" s="10" t="s">
        <v>37</v>
      </c>
      <c r="Y213" s="10" t="s">
        <v>0</v>
      </c>
    </row>
    <row r="214">
      <c r="A214" s="10" t="s">
        <v>902</v>
      </c>
      <c r="B214" s="11">
        <v>44247.59857869213</v>
      </c>
      <c r="C214" s="10" t="s">
        <v>336</v>
      </c>
      <c r="D214" s="10" t="s">
        <v>337</v>
      </c>
      <c r="E214" s="10" t="s">
        <v>903</v>
      </c>
      <c r="F214" s="10" t="s">
        <v>684</v>
      </c>
      <c r="G214" s="10" t="s">
        <v>904</v>
      </c>
      <c r="H214" s="16">
        <v>44253.41666666667</v>
      </c>
      <c r="I214" s="16">
        <v>44253.45833333333</v>
      </c>
      <c r="J214" s="10" t="s">
        <v>128</v>
      </c>
      <c r="K214" s="10" t="s">
        <v>34</v>
      </c>
      <c r="N214" s="10" t="s">
        <v>35</v>
      </c>
      <c r="V214" s="9"/>
      <c r="W214" s="13" t="s">
        <v>78</v>
      </c>
      <c r="X214" s="10" t="s">
        <v>37</v>
      </c>
      <c r="Y214" s="10" t="s">
        <v>0</v>
      </c>
    </row>
    <row r="215">
      <c r="A215" s="10" t="s">
        <v>905</v>
      </c>
      <c r="B215" s="11">
        <v>44242.742239224535</v>
      </c>
      <c r="C215" s="10" t="s">
        <v>181</v>
      </c>
      <c r="D215" s="10" t="s">
        <v>69</v>
      </c>
      <c r="E215" s="10" t="s">
        <v>313</v>
      </c>
      <c r="F215" s="10" t="s">
        <v>906</v>
      </c>
      <c r="G215" s="10" t="s">
        <v>907</v>
      </c>
      <c r="H215" s="17">
        <v>44253.47916666667</v>
      </c>
      <c r="I215" s="17">
        <v>44347.47916666667</v>
      </c>
      <c r="J215" s="10" t="s">
        <v>73</v>
      </c>
      <c r="K215" s="10" t="s">
        <v>34</v>
      </c>
      <c r="N215" s="10" t="s">
        <v>35</v>
      </c>
      <c r="V215" s="9"/>
      <c r="W215" s="13" t="s">
        <v>36</v>
      </c>
      <c r="X215" s="10" t="s">
        <v>37</v>
      </c>
      <c r="Y215" s="10" t="s">
        <v>0</v>
      </c>
    </row>
    <row r="216">
      <c r="A216" s="10" t="s">
        <v>908</v>
      </c>
      <c r="B216" s="11">
        <v>44253.948174247686</v>
      </c>
      <c r="C216" s="10" t="s">
        <v>909</v>
      </c>
      <c r="D216" s="10" t="s">
        <v>662</v>
      </c>
      <c r="E216" s="10" t="s">
        <v>910</v>
      </c>
      <c r="F216" s="10" t="s">
        <v>911</v>
      </c>
      <c r="G216" s="10" t="s">
        <v>912</v>
      </c>
      <c r="H216" s="16">
        <v>44253.47916666667</v>
      </c>
      <c r="I216" s="16">
        <v>44253.52083333333</v>
      </c>
      <c r="J216" s="10" t="s">
        <v>128</v>
      </c>
      <c r="K216" s="10" t="s">
        <v>34</v>
      </c>
      <c r="N216" s="10" t="s">
        <v>296</v>
      </c>
      <c r="O216" s="18" t="s">
        <v>913</v>
      </c>
      <c r="P216" s="10" t="s">
        <v>35</v>
      </c>
      <c r="R216" s="10" t="s">
        <v>296</v>
      </c>
      <c r="S216" s="10">
        <v>1.0</v>
      </c>
      <c r="T216" s="10" t="s">
        <v>35</v>
      </c>
      <c r="V216" s="9"/>
      <c r="W216" s="13" t="s">
        <v>78</v>
      </c>
      <c r="X216" s="10" t="s">
        <v>37</v>
      </c>
      <c r="Y216" s="10" t="s">
        <v>0</v>
      </c>
    </row>
    <row r="217">
      <c r="A217" s="10" t="s">
        <v>914</v>
      </c>
      <c r="B217" s="11">
        <v>44235.847555925924</v>
      </c>
      <c r="C217" s="10" t="s">
        <v>219</v>
      </c>
      <c r="D217" s="10" t="s">
        <v>220</v>
      </c>
      <c r="E217" s="10" t="s">
        <v>915</v>
      </c>
      <c r="F217" s="10" t="s">
        <v>916</v>
      </c>
      <c r="G217" s="10" t="s">
        <v>917</v>
      </c>
      <c r="H217" s="25">
        <v>44253.5</v>
      </c>
      <c r="I217" s="25">
        <v>44306.5</v>
      </c>
      <c r="J217" s="10" t="s">
        <v>128</v>
      </c>
      <c r="K217" s="10" t="s">
        <v>34</v>
      </c>
      <c r="N217" s="10" t="s">
        <v>35</v>
      </c>
      <c r="V217" s="9"/>
      <c r="W217" s="13" t="s">
        <v>36</v>
      </c>
      <c r="X217" s="10" t="s">
        <v>37</v>
      </c>
      <c r="Y217" s="10" t="s">
        <v>0</v>
      </c>
    </row>
    <row r="218">
      <c r="A218" s="10" t="s">
        <v>918</v>
      </c>
      <c r="B218" s="11">
        <v>44247.42946277778</v>
      </c>
      <c r="C218" s="10" t="s">
        <v>694</v>
      </c>
      <c r="D218" s="10" t="s">
        <v>695</v>
      </c>
      <c r="E218" s="10" t="s">
        <v>696</v>
      </c>
      <c r="F218" s="10" t="s">
        <v>697</v>
      </c>
      <c r="G218" s="10" t="s">
        <v>698</v>
      </c>
      <c r="H218" s="16">
        <v>44253.52083333333</v>
      </c>
      <c r="I218" s="16">
        <v>44253.5625</v>
      </c>
      <c r="J218" s="10" t="s">
        <v>128</v>
      </c>
      <c r="K218" s="10" t="s">
        <v>34</v>
      </c>
      <c r="N218" s="10" t="s">
        <v>35</v>
      </c>
      <c r="V218" s="9"/>
      <c r="W218" s="13" t="s">
        <v>78</v>
      </c>
      <c r="X218" s="10" t="s">
        <v>37</v>
      </c>
      <c r="Y218" s="10" t="s">
        <v>0</v>
      </c>
    </row>
    <row r="219">
      <c r="A219" s="10" t="s">
        <v>919</v>
      </c>
      <c r="B219" s="11">
        <v>44240.78628438657</v>
      </c>
      <c r="C219" s="10" t="s">
        <v>137</v>
      </c>
      <c r="D219" s="10" t="s">
        <v>138</v>
      </c>
      <c r="E219" s="10" t="s">
        <v>920</v>
      </c>
      <c r="F219" s="10" t="s">
        <v>921</v>
      </c>
      <c r="G219" s="10" t="s">
        <v>922</v>
      </c>
      <c r="H219" s="17">
        <v>44253.58333333333</v>
      </c>
      <c r="I219" s="17">
        <v>44253.66666666667</v>
      </c>
      <c r="J219" s="10" t="s">
        <v>128</v>
      </c>
      <c r="K219" s="10" t="s">
        <v>34</v>
      </c>
      <c r="N219" s="10" t="s">
        <v>35</v>
      </c>
      <c r="V219" s="9"/>
      <c r="W219" s="13" t="s">
        <v>36</v>
      </c>
      <c r="X219" s="10" t="s">
        <v>37</v>
      </c>
      <c r="Y219" s="10" t="s">
        <v>0</v>
      </c>
    </row>
    <row r="220">
      <c r="A220" s="10" t="s">
        <v>923</v>
      </c>
      <c r="B220" s="11">
        <v>44242.73918355324</v>
      </c>
      <c r="C220" s="10" t="s">
        <v>181</v>
      </c>
      <c r="D220" s="10" t="s">
        <v>69</v>
      </c>
      <c r="E220" s="10" t="s">
        <v>924</v>
      </c>
      <c r="F220" s="10" t="s">
        <v>925</v>
      </c>
      <c r="G220" s="10" t="s">
        <v>926</v>
      </c>
      <c r="H220" s="17">
        <v>44253.60416666667</v>
      </c>
      <c r="I220" s="17">
        <v>44253.6875</v>
      </c>
      <c r="J220" s="10" t="s">
        <v>128</v>
      </c>
      <c r="K220" s="10" t="s">
        <v>34</v>
      </c>
      <c r="N220" s="10" t="s">
        <v>35</v>
      </c>
      <c r="V220" s="9"/>
      <c r="W220" s="13" t="s">
        <v>36</v>
      </c>
      <c r="X220" s="10" t="s">
        <v>37</v>
      </c>
      <c r="Y220" s="10" t="s">
        <v>0</v>
      </c>
    </row>
    <row r="221">
      <c r="A221" s="10" t="s">
        <v>927</v>
      </c>
      <c r="B221" s="11">
        <v>44246.73696940972</v>
      </c>
      <c r="C221" s="10" t="s">
        <v>671</v>
      </c>
      <c r="D221" s="10" t="s">
        <v>672</v>
      </c>
      <c r="E221" s="10" t="s">
        <v>928</v>
      </c>
      <c r="F221" s="10" t="s">
        <v>929</v>
      </c>
      <c r="G221" s="10" t="s">
        <v>930</v>
      </c>
      <c r="H221" s="17">
        <v>44253.60416666667</v>
      </c>
      <c r="I221" s="17">
        <v>44253.6875</v>
      </c>
      <c r="J221" s="10" t="s">
        <v>128</v>
      </c>
      <c r="K221" s="10" t="s">
        <v>34</v>
      </c>
      <c r="N221" s="10" t="s">
        <v>35</v>
      </c>
      <c r="V221" s="9"/>
      <c r="W221" s="13" t="s">
        <v>78</v>
      </c>
      <c r="X221" s="10" t="s">
        <v>37</v>
      </c>
      <c r="Y221" s="10" t="s">
        <v>0</v>
      </c>
    </row>
    <row r="222">
      <c r="A222" s="10" t="s">
        <v>931</v>
      </c>
      <c r="B222" s="11">
        <v>44244.99862829861</v>
      </c>
      <c r="C222" s="10" t="s">
        <v>186</v>
      </c>
      <c r="D222" s="10" t="s">
        <v>187</v>
      </c>
      <c r="E222" s="10" t="s">
        <v>188</v>
      </c>
      <c r="F222" s="10" t="s">
        <v>932</v>
      </c>
      <c r="G222" s="10" t="s">
        <v>933</v>
      </c>
      <c r="H222" s="24">
        <v>44253.625</v>
      </c>
      <c r="I222" s="24">
        <v>44253.66666666667</v>
      </c>
      <c r="J222" s="10" t="s">
        <v>128</v>
      </c>
      <c r="K222" s="10" t="s">
        <v>34</v>
      </c>
      <c r="N222" s="10" t="s">
        <v>35</v>
      </c>
      <c r="V222" s="9"/>
      <c r="W222" s="13" t="s">
        <v>36</v>
      </c>
      <c r="X222" s="10" t="s">
        <v>37</v>
      </c>
      <c r="Y222" s="10" t="s">
        <v>0</v>
      </c>
    </row>
    <row r="223">
      <c r="A223" s="10" t="s">
        <v>934</v>
      </c>
      <c r="B223" s="11">
        <v>44246.469862858794</v>
      </c>
      <c r="C223" s="10" t="s">
        <v>381</v>
      </c>
      <c r="D223" s="10" t="s">
        <v>382</v>
      </c>
      <c r="E223" s="10" t="s">
        <v>935</v>
      </c>
      <c r="F223" s="10" t="s">
        <v>936</v>
      </c>
      <c r="G223" s="10" t="s">
        <v>937</v>
      </c>
      <c r="H223" s="24">
        <v>44253.6875</v>
      </c>
      <c r="I223" s="24">
        <v>44253.72916666667</v>
      </c>
      <c r="J223" s="10" t="s">
        <v>128</v>
      </c>
      <c r="K223" s="10" t="s">
        <v>34</v>
      </c>
      <c r="N223" s="10" t="s">
        <v>35</v>
      </c>
      <c r="V223" s="9"/>
      <c r="W223" s="13" t="s">
        <v>36</v>
      </c>
      <c r="X223" s="10" t="s">
        <v>37</v>
      </c>
      <c r="Y223" s="10" t="s">
        <v>0</v>
      </c>
    </row>
    <row r="224">
      <c r="A224" s="10" t="s">
        <v>938</v>
      </c>
      <c r="B224" s="11">
        <v>44247.60727409722</v>
      </c>
      <c r="C224" s="10" t="s">
        <v>80</v>
      </c>
      <c r="D224" s="10" t="s">
        <v>81</v>
      </c>
      <c r="E224" s="10" t="s">
        <v>469</v>
      </c>
      <c r="F224" s="10" t="s">
        <v>939</v>
      </c>
      <c r="G224" s="10" t="s">
        <v>940</v>
      </c>
      <c r="H224" s="16">
        <v>44253.6875</v>
      </c>
      <c r="I224" s="16">
        <v>44253.72916666667</v>
      </c>
      <c r="J224" s="10" t="s">
        <v>33</v>
      </c>
      <c r="K224" s="10" t="s">
        <v>34</v>
      </c>
      <c r="N224" s="10" t="s">
        <v>296</v>
      </c>
      <c r="O224" s="18" t="s">
        <v>941</v>
      </c>
      <c r="P224" s="10" t="s">
        <v>296</v>
      </c>
      <c r="Q224" s="10">
        <v>1.0</v>
      </c>
      <c r="R224" s="10" t="s">
        <v>35</v>
      </c>
      <c r="T224" s="10" t="s">
        <v>35</v>
      </c>
      <c r="V224" s="9"/>
      <c r="W224" s="13" t="s">
        <v>78</v>
      </c>
      <c r="X224" s="10" t="s">
        <v>37</v>
      </c>
      <c r="Y224" s="10" t="s">
        <v>0</v>
      </c>
    </row>
    <row r="225">
      <c r="A225" s="10" t="s">
        <v>942</v>
      </c>
      <c r="B225" s="11">
        <v>44252.897555497686</v>
      </c>
      <c r="C225" s="10" t="s">
        <v>269</v>
      </c>
      <c r="D225" s="10" t="s">
        <v>168</v>
      </c>
      <c r="E225" s="10" t="s">
        <v>943</v>
      </c>
      <c r="F225" s="10" t="s">
        <v>944</v>
      </c>
      <c r="G225" s="10" t="s">
        <v>945</v>
      </c>
      <c r="H225" s="17">
        <v>44253.6875</v>
      </c>
      <c r="I225" s="17">
        <v>44253.72916666667</v>
      </c>
      <c r="J225" s="10" t="s">
        <v>128</v>
      </c>
      <c r="K225" s="10" t="s">
        <v>34</v>
      </c>
      <c r="N225" s="10" t="s">
        <v>35</v>
      </c>
      <c r="V225" s="9"/>
      <c r="W225" s="13" t="s">
        <v>78</v>
      </c>
      <c r="X225" s="10" t="s">
        <v>37</v>
      </c>
      <c r="Y225" s="10" t="s">
        <v>0</v>
      </c>
    </row>
    <row r="226">
      <c r="A226" s="10" t="s">
        <v>946</v>
      </c>
      <c r="B226" s="11">
        <v>44259.74114615741</v>
      </c>
      <c r="C226" s="10" t="s">
        <v>160</v>
      </c>
      <c r="D226" s="10" t="s">
        <v>161</v>
      </c>
      <c r="E226" s="10" t="s">
        <v>947</v>
      </c>
      <c r="F226" s="10" t="s">
        <v>948</v>
      </c>
      <c r="G226" s="10" t="s">
        <v>949</v>
      </c>
      <c r="H226" s="17">
        <v>44253.77083333333</v>
      </c>
      <c r="I226" s="17">
        <v>44253.72916666667</v>
      </c>
      <c r="J226" s="10" t="s">
        <v>128</v>
      </c>
      <c r="K226" s="10" t="s">
        <v>34</v>
      </c>
      <c r="N226" s="10" t="s">
        <v>35</v>
      </c>
      <c r="V226" s="9"/>
      <c r="W226" s="13" t="s">
        <v>78</v>
      </c>
      <c r="X226" s="10" t="s">
        <v>37</v>
      </c>
      <c r="Y226" s="10" t="s">
        <v>0</v>
      </c>
    </row>
    <row r="227">
      <c r="A227" s="10" t="s">
        <v>950</v>
      </c>
      <c r="B227" s="11">
        <v>44250.93366821759</v>
      </c>
      <c r="C227" s="10" t="s">
        <v>150</v>
      </c>
      <c r="D227" s="10" t="s">
        <v>151</v>
      </c>
      <c r="E227" s="10" t="s">
        <v>951</v>
      </c>
      <c r="F227" s="10" t="s">
        <v>952</v>
      </c>
      <c r="G227" s="10" t="s">
        <v>953</v>
      </c>
      <c r="H227" s="17">
        <v>44254.41666666667</v>
      </c>
      <c r="I227" s="17">
        <v>44254.5</v>
      </c>
      <c r="J227" s="10" t="s">
        <v>128</v>
      </c>
      <c r="K227" s="10" t="s">
        <v>34</v>
      </c>
      <c r="N227" s="10" t="s">
        <v>296</v>
      </c>
      <c r="O227" s="18" t="s">
        <v>954</v>
      </c>
      <c r="P227" s="10" t="s">
        <v>35</v>
      </c>
      <c r="R227" s="10" t="s">
        <v>35</v>
      </c>
      <c r="T227" s="10" t="s">
        <v>296</v>
      </c>
      <c r="U227" s="10">
        <v>1.0</v>
      </c>
      <c r="V227" s="27"/>
      <c r="W227" s="13" t="s">
        <v>78</v>
      </c>
      <c r="X227" s="10" t="s">
        <v>37</v>
      </c>
      <c r="Y227" s="10" t="s">
        <v>0</v>
      </c>
    </row>
    <row r="228">
      <c r="A228" s="10" t="s">
        <v>955</v>
      </c>
      <c r="B228" s="11">
        <v>44254.434974895834</v>
      </c>
      <c r="C228" s="10" t="s">
        <v>418</v>
      </c>
      <c r="D228" s="10" t="s">
        <v>419</v>
      </c>
      <c r="E228" s="10" t="s">
        <v>956</v>
      </c>
      <c r="F228" s="10" t="s">
        <v>957</v>
      </c>
      <c r="G228" s="10" t="s">
        <v>958</v>
      </c>
      <c r="H228" s="16">
        <v>44254.41666666667</v>
      </c>
      <c r="I228" s="16">
        <v>44254.5</v>
      </c>
      <c r="J228" s="10" t="s">
        <v>128</v>
      </c>
      <c r="K228" s="10" t="s">
        <v>34</v>
      </c>
      <c r="N228" s="10" t="s">
        <v>296</v>
      </c>
      <c r="O228" s="18" t="s">
        <v>959</v>
      </c>
      <c r="P228" s="10" t="s">
        <v>296</v>
      </c>
      <c r="Q228" s="10">
        <v>1.0</v>
      </c>
      <c r="R228" s="10" t="s">
        <v>296</v>
      </c>
      <c r="S228" s="10">
        <v>1.0</v>
      </c>
      <c r="T228" s="10" t="s">
        <v>35</v>
      </c>
      <c r="V228" s="9"/>
      <c r="W228" s="13" t="s">
        <v>78</v>
      </c>
      <c r="X228" s="10" t="s">
        <v>37</v>
      </c>
      <c r="Y228" s="10" t="s">
        <v>0</v>
      </c>
    </row>
    <row r="229">
      <c r="A229" s="10" t="s">
        <v>960</v>
      </c>
      <c r="B229" s="11">
        <v>44245.70424265046</v>
      </c>
      <c r="C229" s="10" t="s">
        <v>347</v>
      </c>
      <c r="D229" s="10" t="s">
        <v>348</v>
      </c>
      <c r="E229" s="10" t="s">
        <v>349</v>
      </c>
      <c r="F229" s="10" t="s">
        <v>961</v>
      </c>
      <c r="G229" s="10" t="s">
        <v>962</v>
      </c>
      <c r="H229" s="24">
        <v>44254.4375</v>
      </c>
      <c r="I229" s="24">
        <v>44254.52083333333</v>
      </c>
      <c r="J229" s="10" t="s">
        <v>128</v>
      </c>
      <c r="K229" s="10" t="s">
        <v>34</v>
      </c>
      <c r="N229" s="10" t="s">
        <v>35</v>
      </c>
      <c r="V229" s="9"/>
      <c r="W229" s="13" t="s">
        <v>36</v>
      </c>
      <c r="X229" s="10" t="s">
        <v>37</v>
      </c>
      <c r="Y229" s="10" t="s">
        <v>0</v>
      </c>
    </row>
    <row r="230">
      <c r="A230" s="10" t="s">
        <v>963</v>
      </c>
      <c r="B230" s="11">
        <v>44246.57725769676</v>
      </c>
      <c r="C230" s="10" t="s">
        <v>181</v>
      </c>
      <c r="D230" s="10" t="s">
        <v>69</v>
      </c>
      <c r="E230" s="10" t="s">
        <v>964</v>
      </c>
      <c r="F230" s="10" t="s">
        <v>965</v>
      </c>
      <c r="G230" s="10" t="s">
        <v>966</v>
      </c>
      <c r="H230" s="24">
        <v>44254.60416666667</v>
      </c>
      <c r="I230" s="24">
        <v>44254.6875</v>
      </c>
      <c r="J230" s="10" t="s">
        <v>33</v>
      </c>
      <c r="K230" s="10" t="s">
        <v>34</v>
      </c>
      <c r="N230" s="10" t="s">
        <v>35</v>
      </c>
      <c r="V230" s="9"/>
      <c r="W230" s="13" t="s">
        <v>78</v>
      </c>
      <c r="X230" s="10" t="s">
        <v>37</v>
      </c>
      <c r="Y230" s="10" t="s">
        <v>0</v>
      </c>
    </row>
    <row r="231">
      <c r="A231" s="10" t="s">
        <v>967</v>
      </c>
      <c r="B231" s="11">
        <v>44259.74433366898</v>
      </c>
      <c r="C231" s="10" t="s">
        <v>160</v>
      </c>
      <c r="D231" s="10" t="s">
        <v>161</v>
      </c>
      <c r="E231" s="10" t="s">
        <v>968</v>
      </c>
      <c r="F231" s="10" t="s">
        <v>969</v>
      </c>
      <c r="G231" s="10" t="s">
        <v>970</v>
      </c>
      <c r="H231" s="17">
        <v>44254.60416666667</v>
      </c>
      <c r="I231" s="17">
        <v>44254.64583333333</v>
      </c>
      <c r="J231" s="10" t="s">
        <v>128</v>
      </c>
      <c r="K231" s="10" t="s">
        <v>34</v>
      </c>
      <c r="N231" s="10" t="s">
        <v>35</v>
      </c>
      <c r="V231" s="9"/>
      <c r="W231" s="13" t="s">
        <v>78</v>
      </c>
      <c r="X231" s="10" t="s">
        <v>37</v>
      </c>
      <c r="Y231" s="10" t="s">
        <v>0</v>
      </c>
    </row>
    <row r="232">
      <c r="A232" s="10" t="s">
        <v>971</v>
      </c>
      <c r="B232" s="11">
        <v>44244.90825142361</v>
      </c>
      <c r="C232" s="10" t="s">
        <v>28</v>
      </c>
      <c r="D232" s="10" t="s">
        <v>29</v>
      </c>
      <c r="E232" s="10" t="s">
        <v>63</v>
      </c>
      <c r="F232" s="10" t="s">
        <v>972</v>
      </c>
      <c r="G232" s="10" t="s">
        <v>973</v>
      </c>
      <c r="H232" s="24">
        <v>44252.60416666667</v>
      </c>
      <c r="I232" s="24">
        <v>44252.64583333333</v>
      </c>
      <c r="J232" s="10" t="s">
        <v>43</v>
      </c>
      <c r="K232" s="10" t="s">
        <v>34</v>
      </c>
      <c r="N232" s="10" t="s">
        <v>35</v>
      </c>
      <c r="V232" s="9"/>
      <c r="W232" s="13" t="s">
        <v>36</v>
      </c>
      <c r="X232" s="10" t="s">
        <v>37</v>
      </c>
      <c r="Y232" s="10" t="s">
        <v>0</v>
      </c>
    </row>
    <row r="233">
      <c r="A233" s="10" t="s">
        <v>974</v>
      </c>
      <c r="B233" s="11">
        <v>44250.515914814816</v>
      </c>
      <c r="C233" s="10" t="s">
        <v>975</v>
      </c>
      <c r="D233" s="10" t="s">
        <v>976</v>
      </c>
      <c r="E233" s="10" t="s">
        <v>977</v>
      </c>
      <c r="F233" s="10" t="s">
        <v>978</v>
      </c>
      <c r="G233" s="10" t="s">
        <v>979</v>
      </c>
      <c r="H233" s="17">
        <v>44254.625</v>
      </c>
      <c r="I233" s="17">
        <v>44254.66666666667</v>
      </c>
      <c r="J233" s="10" t="s">
        <v>128</v>
      </c>
      <c r="K233" s="10" t="s">
        <v>34</v>
      </c>
      <c r="N233" s="10" t="s">
        <v>35</v>
      </c>
      <c r="V233" s="9"/>
      <c r="W233" s="13" t="s">
        <v>78</v>
      </c>
      <c r="X233" s="10" t="s">
        <v>37</v>
      </c>
      <c r="Y233" s="10" t="s">
        <v>0</v>
      </c>
    </row>
    <row r="234">
      <c r="A234" s="10" t="s">
        <v>980</v>
      </c>
      <c r="B234" s="11">
        <v>44250.7128859375</v>
      </c>
      <c r="C234" s="10" t="s">
        <v>336</v>
      </c>
      <c r="D234" s="10" t="s">
        <v>337</v>
      </c>
      <c r="E234" s="10" t="s">
        <v>981</v>
      </c>
      <c r="F234" s="10" t="s">
        <v>982</v>
      </c>
      <c r="G234" s="10" t="s">
        <v>983</v>
      </c>
      <c r="H234" s="17">
        <v>44254.625</v>
      </c>
      <c r="I234" s="17">
        <v>44254.66666666667</v>
      </c>
      <c r="J234" s="10" t="s">
        <v>128</v>
      </c>
      <c r="K234" s="10" t="s">
        <v>34</v>
      </c>
      <c r="N234" s="10" t="s">
        <v>35</v>
      </c>
      <c r="V234" s="9"/>
      <c r="W234" s="13" t="s">
        <v>78</v>
      </c>
      <c r="X234" s="10" t="s">
        <v>37</v>
      </c>
      <c r="Y234" s="10" t="s">
        <v>0</v>
      </c>
    </row>
    <row r="235">
      <c r="A235" s="10" t="s">
        <v>984</v>
      </c>
      <c r="B235" s="11">
        <v>44259.74294615741</v>
      </c>
      <c r="C235" s="10" t="s">
        <v>160</v>
      </c>
      <c r="D235" s="10" t="s">
        <v>161</v>
      </c>
      <c r="E235" s="10" t="s">
        <v>985</v>
      </c>
      <c r="F235" s="10" t="s">
        <v>986</v>
      </c>
      <c r="G235" s="10" t="s">
        <v>970</v>
      </c>
      <c r="H235" s="17">
        <v>44254.64583333333</v>
      </c>
      <c r="I235" s="17">
        <v>44254.6875</v>
      </c>
      <c r="J235" s="10" t="s">
        <v>128</v>
      </c>
      <c r="K235" s="10" t="s">
        <v>34</v>
      </c>
      <c r="N235" s="10" t="s">
        <v>35</v>
      </c>
      <c r="V235" s="9"/>
      <c r="W235" s="13" t="s">
        <v>78</v>
      </c>
      <c r="X235" s="10" t="s">
        <v>37</v>
      </c>
      <c r="Y235" s="10" t="s">
        <v>0</v>
      </c>
    </row>
    <row r="236">
      <c r="A236" s="10" t="s">
        <v>987</v>
      </c>
      <c r="B236" s="11">
        <v>44240.810671377316</v>
      </c>
      <c r="C236" s="10" t="s">
        <v>137</v>
      </c>
      <c r="D236" s="10" t="s">
        <v>138</v>
      </c>
      <c r="E236" s="10" t="s">
        <v>920</v>
      </c>
      <c r="F236" s="10" t="s">
        <v>988</v>
      </c>
      <c r="G236" s="10" t="s">
        <v>989</v>
      </c>
      <c r="H236" s="24">
        <v>44254.66666666667</v>
      </c>
      <c r="I236" s="24">
        <v>44254.75</v>
      </c>
      <c r="J236" s="10" t="s">
        <v>60</v>
      </c>
      <c r="K236" s="10" t="s">
        <v>34</v>
      </c>
      <c r="N236" s="10" t="s">
        <v>35</v>
      </c>
      <c r="V236" s="9"/>
      <c r="W236" s="13" t="s">
        <v>36</v>
      </c>
      <c r="X236" s="10" t="s">
        <v>37</v>
      </c>
      <c r="Y236" s="10" t="s">
        <v>0</v>
      </c>
    </row>
    <row r="237">
      <c r="A237" s="10" t="s">
        <v>990</v>
      </c>
      <c r="B237" s="11">
        <v>44249.9867835301</v>
      </c>
      <c r="C237" s="10" t="s">
        <v>239</v>
      </c>
      <c r="D237" s="10" t="s">
        <v>240</v>
      </c>
      <c r="E237" s="10" t="s">
        <v>991</v>
      </c>
      <c r="F237" s="10" t="s">
        <v>992</v>
      </c>
      <c r="G237" s="10" t="s">
        <v>993</v>
      </c>
      <c r="H237" s="16">
        <v>44255.0</v>
      </c>
      <c r="I237" s="16">
        <v>44255.5</v>
      </c>
      <c r="J237" s="10" t="s">
        <v>73</v>
      </c>
      <c r="K237" s="10" t="s">
        <v>34</v>
      </c>
      <c r="N237" s="10" t="s">
        <v>35</v>
      </c>
      <c r="V237" s="9"/>
      <c r="W237" s="13" t="s">
        <v>78</v>
      </c>
      <c r="X237" s="10" t="s">
        <v>37</v>
      </c>
      <c r="Y237" s="10" t="s">
        <v>0</v>
      </c>
    </row>
    <row r="238">
      <c r="A238" s="10" t="s">
        <v>994</v>
      </c>
      <c r="B238" s="11">
        <v>44242.74443795139</v>
      </c>
      <c r="C238" s="10" t="s">
        <v>181</v>
      </c>
      <c r="D238" s="10" t="s">
        <v>69</v>
      </c>
      <c r="E238" s="10" t="s">
        <v>808</v>
      </c>
      <c r="F238" s="10" t="s">
        <v>995</v>
      </c>
      <c r="G238" s="10" t="s">
        <v>72</v>
      </c>
      <c r="H238" s="17">
        <v>44255.3125</v>
      </c>
      <c r="I238" s="17">
        <v>44347.3125</v>
      </c>
      <c r="J238" s="10" t="s">
        <v>73</v>
      </c>
      <c r="K238" s="10" t="s">
        <v>34</v>
      </c>
      <c r="N238" s="10" t="s">
        <v>35</v>
      </c>
      <c r="V238" s="9"/>
      <c r="W238" s="13" t="s">
        <v>36</v>
      </c>
      <c r="X238" s="10" t="s">
        <v>37</v>
      </c>
      <c r="Y238" s="10" t="s">
        <v>0</v>
      </c>
    </row>
    <row r="239">
      <c r="A239" s="10" t="s">
        <v>996</v>
      </c>
      <c r="B239" s="11">
        <v>44251.49963265046</v>
      </c>
      <c r="C239" s="10" t="s">
        <v>181</v>
      </c>
      <c r="D239" s="10" t="s">
        <v>69</v>
      </c>
      <c r="E239" s="10" t="s">
        <v>860</v>
      </c>
      <c r="F239" s="10" t="s">
        <v>997</v>
      </c>
      <c r="G239" s="10" t="s">
        <v>998</v>
      </c>
      <c r="H239" s="17">
        <v>44255.375</v>
      </c>
      <c r="I239" s="17">
        <v>44255.95833333333</v>
      </c>
      <c r="J239" s="10" t="s">
        <v>73</v>
      </c>
      <c r="K239" s="10" t="s">
        <v>34</v>
      </c>
      <c r="N239" s="10" t="s">
        <v>35</v>
      </c>
      <c r="V239" s="9"/>
      <c r="W239" s="13" t="s">
        <v>78</v>
      </c>
      <c r="X239" s="10" t="s">
        <v>37</v>
      </c>
      <c r="Y239" s="10" t="s">
        <v>0</v>
      </c>
    </row>
    <row r="240">
      <c r="A240" s="10" t="s">
        <v>999</v>
      </c>
      <c r="B240" s="11">
        <v>44249.98822799769</v>
      </c>
      <c r="C240" s="10" t="s">
        <v>239</v>
      </c>
      <c r="D240" s="10" t="s">
        <v>240</v>
      </c>
      <c r="E240" s="10" t="s">
        <v>991</v>
      </c>
      <c r="F240" s="10" t="s">
        <v>1000</v>
      </c>
      <c r="G240" s="10" t="s">
        <v>1001</v>
      </c>
      <c r="H240" s="24">
        <v>44256.0</v>
      </c>
      <c r="I240" s="24">
        <v>44260.6875</v>
      </c>
      <c r="J240" s="10" t="s">
        <v>51</v>
      </c>
      <c r="K240" s="10" t="s">
        <v>34</v>
      </c>
      <c r="N240" s="10" t="s">
        <v>35</v>
      </c>
      <c r="V240" s="9"/>
      <c r="W240" s="13" t="s">
        <v>78</v>
      </c>
      <c r="X240" s="10" t="s">
        <v>37</v>
      </c>
      <c r="Y240" s="10" t="s">
        <v>0</v>
      </c>
    </row>
    <row r="241">
      <c r="A241" s="10" t="s">
        <v>1002</v>
      </c>
      <c r="B241" s="11">
        <v>44269.694119224536</v>
      </c>
      <c r="C241" s="10" t="s">
        <v>102</v>
      </c>
      <c r="D241" s="10" t="s">
        <v>103</v>
      </c>
      <c r="E241" s="10" t="s">
        <v>1003</v>
      </c>
      <c r="F241" s="10" t="s">
        <v>1004</v>
      </c>
      <c r="G241" s="10" t="s">
        <v>1005</v>
      </c>
      <c r="H241" s="17">
        <v>44256.125</v>
      </c>
      <c r="I241" s="17">
        <v>44256.20833333333</v>
      </c>
      <c r="J241" s="10" t="s">
        <v>128</v>
      </c>
      <c r="K241" s="10" t="s">
        <v>34</v>
      </c>
      <c r="N241" s="10" t="s">
        <v>35</v>
      </c>
      <c r="V241" s="9"/>
      <c r="W241" s="13" t="s">
        <v>78</v>
      </c>
      <c r="X241" s="10" t="s">
        <v>37</v>
      </c>
      <c r="Y241" s="10" t="s">
        <v>0</v>
      </c>
    </row>
    <row r="242">
      <c r="A242" s="10" t="s">
        <v>1006</v>
      </c>
      <c r="B242" s="11">
        <v>44253.66622971065</v>
      </c>
      <c r="C242" s="10" t="s">
        <v>1007</v>
      </c>
      <c r="D242" s="10" t="s">
        <v>1008</v>
      </c>
      <c r="E242" s="10" t="s">
        <v>1009</v>
      </c>
      <c r="F242" s="10" t="s">
        <v>1010</v>
      </c>
      <c r="G242" s="10" t="s">
        <v>1011</v>
      </c>
      <c r="H242" s="17">
        <v>44256.20833333333</v>
      </c>
      <c r="I242" s="17">
        <v>44256.29166666667</v>
      </c>
      <c r="J242" s="10" t="s">
        <v>128</v>
      </c>
      <c r="K242" s="10" t="s">
        <v>34</v>
      </c>
      <c r="N242" s="10" t="s">
        <v>35</v>
      </c>
      <c r="V242" s="9"/>
      <c r="W242" s="13" t="s">
        <v>78</v>
      </c>
      <c r="X242" s="10" t="s">
        <v>37</v>
      </c>
      <c r="Y242" s="10" t="s">
        <v>0</v>
      </c>
    </row>
    <row r="243">
      <c r="A243" s="10" t="s">
        <v>1012</v>
      </c>
      <c r="B243" s="11">
        <v>44253.64820054398</v>
      </c>
      <c r="C243" s="10" t="s">
        <v>539</v>
      </c>
      <c r="D243" s="10" t="s">
        <v>540</v>
      </c>
      <c r="E243" s="10" t="s">
        <v>541</v>
      </c>
      <c r="F243" s="10" t="s">
        <v>1013</v>
      </c>
      <c r="G243" s="10" t="s">
        <v>1014</v>
      </c>
      <c r="H243" s="17">
        <v>44256.47916666667</v>
      </c>
      <c r="I243" s="17">
        <v>44256.83333333333</v>
      </c>
      <c r="J243" s="10" t="s">
        <v>73</v>
      </c>
      <c r="K243" s="10" t="s">
        <v>34</v>
      </c>
      <c r="N243" s="10" t="s">
        <v>35</v>
      </c>
      <c r="V243" s="9"/>
      <c r="W243" s="13" t="s">
        <v>78</v>
      </c>
      <c r="X243" s="10" t="s">
        <v>37</v>
      </c>
      <c r="Y243" s="10" t="s">
        <v>0</v>
      </c>
    </row>
    <row r="244">
      <c r="A244" s="10" t="s">
        <v>1015</v>
      </c>
      <c r="B244" s="11">
        <v>44252.93936671296</v>
      </c>
      <c r="C244" s="10" t="s">
        <v>269</v>
      </c>
      <c r="D244" s="10" t="s">
        <v>168</v>
      </c>
      <c r="E244" s="10" t="s">
        <v>943</v>
      </c>
      <c r="F244" s="10" t="s">
        <v>1016</v>
      </c>
      <c r="G244" s="10" t="s">
        <v>1017</v>
      </c>
      <c r="H244" s="24">
        <v>44256.58333333333</v>
      </c>
      <c r="I244" s="24">
        <v>44263.58333333333</v>
      </c>
      <c r="J244" s="10" t="s">
        <v>51</v>
      </c>
      <c r="K244" s="10" t="s">
        <v>34</v>
      </c>
      <c r="N244" s="10" t="s">
        <v>35</v>
      </c>
      <c r="V244" s="9"/>
      <c r="W244" s="13" t="s">
        <v>78</v>
      </c>
      <c r="X244" s="10" t="s">
        <v>37</v>
      </c>
      <c r="Y244" s="10" t="s">
        <v>0</v>
      </c>
    </row>
    <row r="245">
      <c r="A245" s="10" t="s">
        <v>1018</v>
      </c>
      <c r="B245" s="11">
        <v>44256.786600127314</v>
      </c>
      <c r="C245" s="10" t="s">
        <v>491</v>
      </c>
      <c r="D245" s="10" t="s">
        <v>492</v>
      </c>
      <c r="E245" s="10" t="s">
        <v>853</v>
      </c>
      <c r="F245" s="10" t="s">
        <v>1019</v>
      </c>
      <c r="G245" s="10" t="s">
        <v>1020</v>
      </c>
      <c r="H245" s="16">
        <v>44256.75</v>
      </c>
      <c r="I245" s="16">
        <v>44256.75</v>
      </c>
      <c r="J245" s="10" t="s">
        <v>73</v>
      </c>
      <c r="K245" s="10" t="s">
        <v>34</v>
      </c>
      <c r="N245" s="10" t="s">
        <v>35</v>
      </c>
      <c r="V245" s="9"/>
      <c r="W245" s="13" t="s">
        <v>78</v>
      </c>
      <c r="X245" s="10" t="s">
        <v>37</v>
      </c>
      <c r="Y245" s="10" t="s">
        <v>0</v>
      </c>
    </row>
    <row r="246">
      <c r="A246" s="10" t="s">
        <v>1021</v>
      </c>
      <c r="B246" s="11">
        <v>44251.50513659722</v>
      </c>
      <c r="C246" s="10" t="s">
        <v>181</v>
      </c>
      <c r="D246" s="10" t="s">
        <v>69</v>
      </c>
      <c r="E246" s="10" t="s">
        <v>1022</v>
      </c>
      <c r="F246" s="10" t="s">
        <v>1023</v>
      </c>
      <c r="G246" s="10" t="s">
        <v>1024</v>
      </c>
      <c r="H246" s="17">
        <v>44257.375</v>
      </c>
      <c r="I246" s="17">
        <v>44257.375</v>
      </c>
      <c r="J246" s="10" t="s">
        <v>73</v>
      </c>
      <c r="K246" s="10" t="s">
        <v>34</v>
      </c>
      <c r="N246" s="10" t="s">
        <v>35</v>
      </c>
      <c r="V246" s="9"/>
      <c r="W246" s="13" t="s">
        <v>78</v>
      </c>
      <c r="X246" s="10" t="s">
        <v>37</v>
      </c>
      <c r="Y246" s="10" t="s">
        <v>0</v>
      </c>
    </row>
    <row r="247">
      <c r="A247" s="10" t="s">
        <v>1025</v>
      </c>
      <c r="B247" s="11">
        <v>44248.40563105324</v>
      </c>
      <c r="C247" s="10" t="s">
        <v>80</v>
      </c>
      <c r="D247" s="10" t="s">
        <v>81</v>
      </c>
      <c r="E247" s="10" t="s">
        <v>82</v>
      </c>
      <c r="F247" s="10" t="s">
        <v>590</v>
      </c>
      <c r="G247" s="10" t="s">
        <v>587</v>
      </c>
      <c r="H247" s="24">
        <v>44257.52083333333</v>
      </c>
      <c r="I247" s="24">
        <v>44257.70833333333</v>
      </c>
      <c r="J247" s="10" t="s">
        <v>73</v>
      </c>
      <c r="K247" s="10" t="s">
        <v>34</v>
      </c>
      <c r="N247" s="10" t="s">
        <v>35</v>
      </c>
      <c r="V247" s="9"/>
      <c r="W247" s="13" t="s">
        <v>78</v>
      </c>
      <c r="X247" s="10" t="s">
        <v>37</v>
      </c>
      <c r="Y247" s="10" t="s">
        <v>0</v>
      </c>
    </row>
    <row r="248">
      <c r="A248" s="10" t="s">
        <v>1026</v>
      </c>
      <c r="B248" s="11">
        <v>44256.586447939815</v>
      </c>
      <c r="C248" s="10" t="s">
        <v>209</v>
      </c>
      <c r="D248" s="10" t="s">
        <v>210</v>
      </c>
      <c r="E248" s="10" t="s">
        <v>1027</v>
      </c>
      <c r="F248" s="10" t="s">
        <v>1028</v>
      </c>
      <c r="G248" s="10" t="s">
        <v>1029</v>
      </c>
      <c r="H248" s="16">
        <v>44258.41666666667</v>
      </c>
      <c r="I248" s="16">
        <v>44258.41666666667</v>
      </c>
      <c r="J248" s="10" t="s">
        <v>51</v>
      </c>
      <c r="K248" s="10" t="s">
        <v>34</v>
      </c>
      <c r="N248" s="10" t="s">
        <v>35</v>
      </c>
      <c r="V248" s="9"/>
      <c r="W248" s="13" t="s">
        <v>78</v>
      </c>
      <c r="X248" s="10" t="s">
        <v>37</v>
      </c>
      <c r="Y248" s="10" t="s">
        <v>0</v>
      </c>
    </row>
    <row r="249">
      <c r="A249" s="10" t="s">
        <v>1030</v>
      </c>
      <c r="B249" s="11">
        <v>44253.690487314816</v>
      </c>
      <c r="C249" s="10" t="s">
        <v>539</v>
      </c>
      <c r="D249" s="10" t="s">
        <v>540</v>
      </c>
      <c r="E249" s="10" t="s">
        <v>1031</v>
      </c>
      <c r="F249" s="10" t="s">
        <v>1032</v>
      </c>
      <c r="G249" s="10" t="s">
        <v>1033</v>
      </c>
      <c r="H249" s="17">
        <v>44258.47916666667</v>
      </c>
      <c r="I249" s="17">
        <v>44258.83333333333</v>
      </c>
      <c r="J249" s="10" t="s">
        <v>73</v>
      </c>
      <c r="K249" s="10" t="s">
        <v>34</v>
      </c>
      <c r="N249" s="10" t="s">
        <v>35</v>
      </c>
      <c r="V249" s="9"/>
      <c r="W249" s="13" t="s">
        <v>78</v>
      </c>
      <c r="X249" s="10" t="s">
        <v>37</v>
      </c>
      <c r="Y249" s="10" t="s">
        <v>0</v>
      </c>
    </row>
    <row r="250">
      <c r="A250" s="10" t="s">
        <v>1034</v>
      </c>
      <c r="B250" s="11">
        <v>44272.508236828704</v>
      </c>
      <c r="C250" s="10" t="s">
        <v>1035</v>
      </c>
      <c r="D250" s="10" t="s">
        <v>1036</v>
      </c>
      <c r="E250" s="10" t="s">
        <v>1037</v>
      </c>
      <c r="F250" s="10" t="s">
        <v>1038</v>
      </c>
      <c r="G250" s="10" t="s">
        <v>1039</v>
      </c>
      <c r="H250" s="17">
        <v>44258.625</v>
      </c>
      <c r="I250" s="17">
        <v>44258.66666666667</v>
      </c>
      <c r="J250" s="10" t="s">
        <v>128</v>
      </c>
      <c r="K250" s="10" t="s">
        <v>34</v>
      </c>
      <c r="N250" s="10" t="s">
        <v>35</v>
      </c>
      <c r="V250" s="9"/>
      <c r="W250" s="13" t="s">
        <v>78</v>
      </c>
      <c r="X250" s="10" t="s">
        <v>37</v>
      </c>
      <c r="Y250" s="10" t="s">
        <v>0</v>
      </c>
    </row>
    <row r="251">
      <c r="A251" s="10" t="s">
        <v>1040</v>
      </c>
      <c r="B251" s="11">
        <v>44259.333641550926</v>
      </c>
      <c r="C251" s="10" t="s">
        <v>491</v>
      </c>
      <c r="D251" s="10" t="s">
        <v>492</v>
      </c>
      <c r="E251" s="10" t="s">
        <v>853</v>
      </c>
      <c r="F251" s="10" t="s">
        <v>1041</v>
      </c>
      <c r="G251" s="10" t="s">
        <v>1042</v>
      </c>
      <c r="H251" s="16">
        <v>44258.79166666667</v>
      </c>
      <c r="I251" s="16">
        <v>44258.79166666667</v>
      </c>
      <c r="J251" s="10" t="s">
        <v>73</v>
      </c>
      <c r="K251" s="10" t="s">
        <v>34</v>
      </c>
      <c r="N251" s="10" t="s">
        <v>35</v>
      </c>
      <c r="V251" s="9"/>
      <c r="W251" s="13" t="s">
        <v>78</v>
      </c>
      <c r="X251" s="10" t="s">
        <v>37</v>
      </c>
      <c r="Y251" s="10" t="s">
        <v>0</v>
      </c>
    </row>
    <row r="252">
      <c r="A252" s="10" t="s">
        <v>1043</v>
      </c>
      <c r="B252" s="11">
        <v>44242.74691689815</v>
      </c>
      <c r="C252" s="10" t="s">
        <v>181</v>
      </c>
      <c r="D252" s="21" t="s">
        <v>69</v>
      </c>
      <c r="E252" s="21" t="s">
        <v>313</v>
      </c>
      <c r="F252" s="21" t="s">
        <v>1044</v>
      </c>
      <c r="G252" s="21" t="s">
        <v>1045</v>
      </c>
      <c r="H252" s="22">
        <v>44253.39583333333</v>
      </c>
      <c r="I252" s="22">
        <v>44253.47916666667</v>
      </c>
      <c r="J252" s="10" t="s">
        <v>236</v>
      </c>
      <c r="K252" s="10" t="s">
        <v>34</v>
      </c>
      <c r="N252" s="10" t="s">
        <v>296</v>
      </c>
      <c r="O252" s="18" t="s">
        <v>1046</v>
      </c>
      <c r="P252" s="10" t="s">
        <v>296</v>
      </c>
      <c r="Q252" s="10">
        <v>1.0</v>
      </c>
      <c r="R252" s="10" t="s">
        <v>35</v>
      </c>
      <c r="T252" s="10" t="s">
        <v>35</v>
      </c>
      <c r="V252" s="9"/>
      <c r="W252" s="13" t="s">
        <v>78</v>
      </c>
      <c r="X252" s="10" t="s">
        <v>37</v>
      </c>
      <c r="Y252" s="10" t="s">
        <v>0</v>
      </c>
    </row>
    <row r="253">
      <c r="A253" s="10" t="s">
        <v>1047</v>
      </c>
      <c r="B253" s="11">
        <v>44247.51246736111</v>
      </c>
      <c r="C253" s="10" t="s">
        <v>694</v>
      </c>
      <c r="D253" s="10" t="s">
        <v>695</v>
      </c>
      <c r="E253" s="10" t="s">
        <v>696</v>
      </c>
      <c r="F253" s="10" t="s">
        <v>1048</v>
      </c>
      <c r="G253" s="10" t="s">
        <v>1049</v>
      </c>
      <c r="H253" s="16">
        <v>44253.39583333333</v>
      </c>
      <c r="I253" s="16">
        <v>44253.4375</v>
      </c>
      <c r="J253" s="10" t="s">
        <v>43</v>
      </c>
      <c r="K253" s="10" t="s">
        <v>34</v>
      </c>
      <c r="N253" s="10" t="s">
        <v>35</v>
      </c>
      <c r="V253" s="9"/>
      <c r="W253" s="13" t="s">
        <v>78</v>
      </c>
      <c r="X253" s="10" t="s">
        <v>37</v>
      </c>
      <c r="Y253" s="10" t="s">
        <v>0</v>
      </c>
    </row>
    <row r="254">
      <c r="A254" s="10" t="s">
        <v>1050</v>
      </c>
      <c r="B254" s="11">
        <v>44253.3332519213</v>
      </c>
      <c r="C254" s="10" t="s">
        <v>181</v>
      </c>
      <c r="D254" s="10" t="s">
        <v>69</v>
      </c>
      <c r="E254" s="10" t="s">
        <v>1051</v>
      </c>
      <c r="F254" s="10" t="s">
        <v>1052</v>
      </c>
      <c r="G254" s="10" t="s">
        <v>1053</v>
      </c>
      <c r="H254" s="17">
        <v>44259.375</v>
      </c>
      <c r="I254" s="17">
        <v>44259.95833333333</v>
      </c>
      <c r="J254" s="10" t="s">
        <v>73</v>
      </c>
      <c r="K254" s="10" t="s">
        <v>34</v>
      </c>
      <c r="N254" s="10" t="s">
        <v>296</v>
      </c>
      <c r="O254" s="18" t="s">
        <v>1054</v>
      </c>
      <c r="P254" s="10" t="s">
        <v>35</v>
      </c>
      <c r="R254" s="10" t="s">
        <v>35</v>
      </c>
      <c r="T254" s="10" t="s">
        <v>296</v>
      </c>
      <c r="U254" s="10">
        <v>1.0</v>
      </c>
      <c r="V254" s="27"/>
      <c r="W254" s="13" t="s">
        <v>78</v>
      </c>
      <c r="X254" s="10" t="s">
        <v>37</v>
      </c>
      <c r="Y254" s="10" t="s">
        <v>0</v>
      </c>
    </row>
    <row r="255">
      <c r="A255" s="10" t="s">
        <v>1055</v>
      </c>
      <c r="B255" s="11">
        <v>44257.76791962963</v>
      </c>
      <c r="C255" s="10" t="s">
        <v>181</v>
      </c>
      <c r="D255" s="10" t="s">
        <v>69</v>
      </c>
      <c r="E255" s="10" t="s">
        <v>1051</v>
      </c>
      <c r="F255" s="10" t="s">
        <v>1052</v>
      </c>
      <c r="G255" s="10" t="s">
        <v>1056</v>
      </c>
      <c r="H255" s="17">
        <v>44259.375</v>
      </c>
      <c r="I255" s="17">
        <v>44259.95833333333</v>
      </c>
      <c r="J255" s="10" t="s">
        <v>73</v>
      </c>
      <c r="K255" s="10" t="s">
        <v>34</v>
      </c>
      <c r="N255" s="10" t="s">
        <v>296</v>
      </c>
      <c r="O255" s="18" t="s">
        <v>1057</v>
      </c>
      <c r="P255" s="10" t="s">
        <v>35</v>
      </c>
      <c r="R255" s="10" t="s">
        <v>35</v>
      </c>
      <c r="T255" s="10" t="s">
        <v>296</v>
      </c>
      <c r="U255" s="10">
        <v>1.0</v>
      </c>
      <c r="V255" s="27"/>
      <c r="W255" s="13" t="s">
        <v>78</v>
      </c>
      <c r="X255" s="10" t="s">
        <v>37</v>
      </c>
      <c r="Y255" s="10" t="s">
        <v>0</v>
      </c>
    </row>
    <row r="256">
      <c r="A256" s="10" t="s">
        <v>1058</v>
      </c>
      <c r="B256" s="11">
        <v>44248.408734826386</v>
      </c>
      <c r="C256" s="10" t="s">
        <v>80</v>
      </c>
      <c r="D256" s="10" t="s">
        <v>81</v>
      </c>
      <c r="E256" s="10" t="s">
        <v>82</v>
      </c>
      <c r="F256" s="10" t="s">
        <v>1059</v>
      </c>
      <c r="G256" s="10" t="s">
        <v>1060</v>
      </c>
      <c r="H256" s="24">
        <v>44259.52083333333</v>
      </c>
      <c r="I256" s="24">
        <v>44259.70833333333</v>
      </c>
      <c r="J256" s="10" t="s">
        <v>73</v>
      </c>
      <c r="K256" s="10" t="s">
        <v>34</v>
      </c>
      <c r="N256" s="10" t="s">
        <v>35</v>
      </c>
      <c r="V256" s="9"/>
      <c r="W256" s="13" t="s">
        <v>78</v>
      </c>
      <c r="X256" s="10" t="s">
        <v>37</v>
      </c>
      <c r="Y256" s="10" t="s">
        <v>0</v>
      </c>
    </row>
    <row r="257">
      <c r="A257" s="10" t="s">
        <v>1061</v>
      </c>
      <c r="B257" s="11">
        <v>44261.578338067135</v>
      </c>
      <c r="C257" s="10" t="s">
        <v>727</v>
      </c>
      <c r="D257" s="10" t="s">
        <v>728</v>
      </c>
      <c r="E257" s="10" t="s">
        <v>1062</v>
      </c>
      <c r="F257" s="10" t="s">
        <v>1063</v>
      </c>
      <c r="G257" s="10" t="s">
        <v>1064</v>
      </c>
      <c r="H257" s="17">
        <v>44259.5625</v>
      </c>
      <c r="I257" s="17">
        <v>44259.60416666667</v>
      </c>
      <c r="J257" s="10" t="s">
        <v>128</v>
      </c>
      <c r="K257" s="10" t="s">
        <v>34</v>
      </c>
      <c r="N257" s="10" t="s">
        <v>35</v>
      </c>
      <c r="V257" s="9"/>
      <c r="W257" s="13" t="s">
        <v>66</v>
      </c>
      <c r="X257" s="10" t="s">
        <v>37</v>
      </c>
      <c r="Y257" s="10" t="s">
        <v>0</v>
      </c>
    </row>
    <row r="258">
      <c r="A258" s="10" t="s">
        <v>1065</v>
      </c>
      <c r="B258" s="11">
        <v>44257.77965251157</v>
      </c>
      <c r="C258" s="10" t="s">
        <v>694</v>
      </c>
      <c r="D258" s="10" t="s">
        <v>695</v>
      </c>
      <c r="E258" s="10" t="s">
        <v>696</v>
      </c>
      <c r="F258" s="10" t="s">
        <v>1066</v>
      </c>
      <c r="G258" s="10" t="s">
        <v>1067</v>
      </c>
      <c r="H258" s="16">
        <v>44259.60416666667</v>
      </c>
      <c r="I258" s="16">
        <v>44260.64583333333</v>
      </c>
      <c r="J258" s="10" t="s">
        <v>33</v>
      </c>
      <c r="K258" s="10" t="s">
        <v>34</v>
      </c>
      <c r="N258" s="10" t="s">
        <v>35</v>
      </c>
      <c r="V258" s="9"/>
      <c r="W258" s="13" t="s">
        <v>78</v>
      </c>
      <c r="X258" s="10" t="s">
        <v>37</v>
      </c>
      <c r="Y258" s="10" t="s">
        <v>0</v>
      </c>
    </row>
    <row r="259">
      <c r="A259" s="10" t="s">
        <v>1068</v>
      </c>
      <c r="B259" s="11">
        <v>44244.762540763884</v>
      </c>
      <c r="C259" s="10" t="s">
        <v>150</v>
      </c>
      <c r="D259" s="10" t="s">
        <v>151</v>
      </c>
      <c r="E259" s="10" t="s">
        <v>1069</v>
      </c>
      <c r="F259" s="10" t="s">
        <v>1070</v>
      </c>
      <c r="G259" s="10" t="s">
        <v>1071</v>
      </c>
      <c r="H259" s="24">
        <v>44254.625</v>
      </c>
      <c r="I259" s="24">
        <v>44254.75</v>
      </c>
      <c r="J259" s="10" t="s">
        <v>43</v>
      </c>
      <c r="K259" s="10" t="s">
        <v>34</v>
      </c>
      <c r="N259" s="10" t="s">
        <v>35</v>
      </c>
      <c r="V259" s="9"/>
      <c r="W259" s="13" t="s">
        <v>78</v>
      </c>
      <c r="X259" s="10" t="s">
        <v>37</v>
      </c>
      <c r="Y259" s="10" t="s">
        <v>0</v>
      </c>
    </row>
    <row r="260">
      <c r="A260" s="10" t="s">
        <v>1072</v>
      </c>
      <c r="B260" s="11">
        <v>44259.857913078704</v>
      </c>
      <c r="C260" s="10" t="s">
        <v>1073</v>
      </c>
      <c r="D260" s="10" t="s">
        <v>29</v>
      </c>
      <c r="E260" s="10" t="s">
        <v>63</v>
      </c>
      <c r="F260" s="10" t="s">
        <v>1074</v>
      </c>
      <c r="G260" s="10" t="s">
        <v>1075</v>
      </c>
      <c r="H260" s="16">
        <v>44260.0</v>
      </c>
      <c r="I260" s="16">
        <v>44286.49930555555</v>
      </c>
      <c r="J260" s="10" t="s">
        <v>51</v>
      </c>
      <c r="K260" s="10" t="s">
        <v>34</v>
      </c>
      <c r="N260" s="10" t="s">
        <v>35</v>
      </c>
      <c r="V260" s="9"/>
      <c r="W260" s="13" t="s">
        <v>78</v>
      </c>
      <c r="X260" s="10" t="s">
        <v>37</v>
      </c>
      <c r="Y260" s="10" t="s">
        <v>0</v>
      </c>
    </row>
    <row r="261">
      <c r="A261" s="10" t="s">
        <v>1076</v>
      </c>
      <c r="B261" s="11">
        <v>44256.62992493056</v>
      </c>
      <c r="C261" s="10" t="s">
        <v>1077</v>
      </c>
      <c r="D261" s="10" t="s">
        <v>81</v>
      </c>
      <c r="E261" s="10" t="s">
        <v>619</v>
      </c>
      <c r="F261" s="10" t="s">
        <v>1078</v>
      </c>
      <c r="G261" s="10" t="s">
        <v>1079</v>
      </c>
      <c r="H261" s="16">
        <v>44259.10416666667</v>
      </c>
      <c r="I261" s="16">
        <v>44259.10416666667</v>
      </c>
      <c r="J261" s="10" t="s">
        <v>43</v>
      </c>
      <c r="K261" s="10" t="s">
        <v>34</v>
      </c>
      <c r="N261" s="10" t="s">
        <v>296</v>
      </c>
      <c r="O261" s="18" t="s">
        <v>1080</v>
      </c>
      <c r="P261" s="10" t="s">
        <v>296</v>
      </c>
      <c r="Q261" s="10">
        <v>1.0</v>
      </c>
      <c r="R261" s="10" t="s">
        <v>296</v>
      </c>
      <c r="S261" s="10">
        <v>1.0</v>
      </c>
      <c r="T261" s="10" t="s">
        <v>35</v>
      </c>
      <c r="V261" s="9"/>
      <c r="W261" s="13" t="s">
        <v>78</v>
      </c>
      <c r="X261" s="10" t="s">
        <v>37</v>
      </c>
      <c r="Y261" s="10" t="s">
        <v>0</v>
      </c>
    </row>
    <row r="262">
      <c r="A262" s="10" t="s">
        <v>1081</v>
      </c>
      <c r="B262" s="11">
        <v>44258.40356738426</v>
      </c>
      <c r="C262" s="10" t="s">
        <v>80</v>
      </c>
      <c r="D262" s="10" t="s">
        <v>81</v>
      </c>
      <c r="E262" s="10" t="s">
        <v>1082</v>
      </c>
      <c r="F262" s="10" t="s">
        <v>1078</v>
      </c>
      <c r="G262" s="10" t="s">
        <v>1083</v>
      </c>
      <c r="H262" s="16">
        <v>44259.10416666667</v>
      </c>
      <c r="I262" s="16">
        <v>44259.1875</v>
      </c>
      <c r="J262" s="10" t="s">
        <v>43</v>
      </c>
      <c r="K262" s="10" t="s">
        <v>34</v>
      </c>
      <c r="N262" s="10" t="s">
        <v>296</v>
      </c>
      <c r="O262" s="18" t="s">
        <v>1084</v>
      </c>
      <c r="P262" s="10" t="s">
        <v>296</v>
      </c>
      <c r="Q262" s="10">
        <v>1.0</v>
      </c>
      <c r="R262" s="10" t="s">
        <v>296</v>
      </c>
      <c r="S262" s="10">
        <v>1.0</v>
      </c>
      <c r="T262" s="10" t="s">
        <v>35</v>
      </c>
      <c r="V262" s="9"/>
      <c r="W262" s="13" t="s">
        <v>78</v>
      </c>
      <c r="X262" s="10" t="s">
        <v>37</v>
      </c>
      <c r="Y262" s="10" t="s">
        <v>0</v>
      </c>
    </row>
    <row r="263">
      <c r="A263" s="10" t="s">
        <v>1085</v>
      </c>
      <c r="B263" s="11">
        <v>44259.69895177083</v>
      </c>
      <c r="C263" s="10" t="s">
        <v>160</v>
      </c>
      <c r="D263" s="10" t="s">
        <v>161</v>
      </c>
      <c r="E263" s="10" t="s">
        <v>947</v>
      </c>
      <c r="F263" s="10" t="s">
        <v>1078</v>
      </c>
      <c r="G263" s="10" t="s">
        <v>1086</v>
      </c>
      <c r="H263" s="16">
        <v>44259.60416666667</v>
      </c>
      <c r="I263" s="16">
        <v>44259.6875</v>
      </c>
      <c r="J263" s="10" t="s">
        <v>43</v>
      </c>
      <c r="K263" s="10" t="s">
        <v>34</v>
      </c>
      <c r="N263" s="10" t="s">
        <v>296</v>
      </c>
      <c r="O263" s="18" t="s">
        <v>1087</v>
      </c>
      <c r="P263" s="10" t="s">
        <v>296</v>
      </c>
      <c r="Q263" s="10">
        <v>2.0</v>
      </c>
      <c r="R263" s="10" t="s">
        <v>296</v>
      </c>
      <c r="S263" s="10">
        <v>2.0</v>
      </c>
      <c r="T263" s="10" t="s">
        <v>35</v>
      </c>
      <c r="V263" s="9"/>
      <c r="W263" s="13" t="s">
        <v>78</v>
      </c>
      <c r="X263" s="10" t="s">
        <v>37</v>
      </c>
      <c r="Y263" s="10" t="s">
        <v>0</v>
      </c>
    </row>
    <row r="264">
      <c r="A264" s="10" t="s">
        <v>1088</v>
      </c>
      <c r="B264" s="11">
        <v>44250.47903326389</v>
      </c>
      <c r="C264" s="10" t="s">
        <v>516</v>
      </c>
      <c r="D264" s="10" t="s">
        <v>511</v>
      </c>
      <c r="E264" s="10" t="s">
        <v>518</v>
      </c>
      <c r="F264" s="10" t="s">
        <v>1089</v>
      </c>
      <c r="G264" s="10" t="s">
        <v>1090</v>
      </c>
      <c r="H264" s="24">
        <v>44260.4375</v>
      </c>
      <c r="I264" s="24">
        <v>44260.4375</v>
      </c>
      <c r="J264" s="10" t="s">
        <v>128</v>
      </c>
      <c r="K264" s="10" t="s">
        <v>34</v>
      </c>
      <c r="N264" s="10" t="s">
        <v>35</v>
      </c>
      <c r="V264" s="9"/>
      <c r="W264" s="13" t="s">
        <v>78</v>
      </c>
      <c r="X264" s="10" t="s">
        <v>37</v>
      </c>
      <c r="Y264" s="10" t="s">
        <v>0</v>
      </c>
    </row>
    <row r="265">
      <c r="A265" s="10" t="s">
        <v>1091</v>
      </c>
      <c r="B265" s="11">
        <v>44257.78145458333</v>
      </c>
      <c r="C265" s="10" t="s">
        <v>694</v>
      </c>
      <c r="D265" s="10" t="s">
        <v>695</v>
      </c>
      <c r="E265" s="10" t="s">
        <v>696</v>
      </c>
      <c r="F265" s="10" t="s">
        <v>697</v>
      </c>
      <c r="G265" s="10" t="s">
        <v>698</v>
      </c>
      <c r="H265" s="17">
        <v>44260.52083333333</v>
      </c>
      <c r="I265" s="17">
        <v>44260.5625</v>
      </c>
      <c r="J265" s="10" t="s">
        <v>128</v>
      </c>
      <c r="K265" s="10" t="s">
        <v>34</v>
      </c>
      <c r="N265" s="10" t="s">
        <v>35</v>
      </c>
      <c r="V265" s="9"/>
      <c r="W265" s="13" t="s">
        <v>78</v>
      </c>
      <c r="X265" s="10" t="s">
        <v>37</v>
      </c>
      <c r="Y265" s="10" t="s">
        <v>0</v>
      </c>
    </row>
    <row r="266">
      <c r="A266" s="10" t="s">
        <v>1092</v>
      </c>
      <c r="B266" s="11">
        <v>44256.479390023145</v>
      </c>
      <c r="C266" s="10" t="s">
        <v>137</v>
      </c>
      <c r="D266" s="10" t="s">
        <v>138</v>
      </c>
      <c r="E266" s="10" t="s">
        <v>1093</v>
      </c>
      <c r="F266" s="10" t="s">
        <v>482</v>
      </c>
      <c r="G266" s="10" t="s">
        <v>1094</v>
      </c>
      <c r="H266" s="17">
        <v>44260.58333333333</v>
      </c>
      <c r="I266" s="17">
        <v>44260.66666666667</v>
      </c>
      <c r="J266" s="10" t="s">
        <v>128</v>
      </c>
      <c r="K266" s="10" t="s">
        <v>34</v>
      </c>
      <c r="N266" s="10" t="s">
        <v>35</v>
      </c>
      <c r="V266" s="9"/>
      <c r="W266" s="13" t="s">
        <v>78</v>
      </c>
      <c r="X266" s="10" t="s">
        <v>37</v>
      </c>
      <c r="Y266" s="10" t="s">
        <v>0</v>
      </c>
    </row>
    <row r="267">
      <c r="A267" s="10" t="s">
        <v>1095</v>
      </c>
      <c r="B267" s="11">
        <v>44252.81885303241</v>
      </c>
      <c r="C267" s="10" t="s">
        <v>181</v>
      </c>
      <c r="D267" s="10" t="s">
        <v>69</v>
      </c>
      <c r="E267" s="10" t="s">
        <v>1096</v>
      </c>
      <c r="F267" s="10" t="s">
        <v>1097</v>
      </c>
      <c r="G267" s="10" t="s">
        <v>1098</v>
      </c>
      <c r="H267" s="17">
        <v>44260.60416666667</v>
      </c>
      <c r="I267" s="17">
        <v>44260.6875</v>
      </c>
      <c r="J267" s="10" t="s">
        <v>33</v>
      </c>
      <c r="K267" s="10" t="s">
        <v>34</v>
      </c>
      <c r="N267" s="10" t="s">
        <v>35</v>
      </c>
      <c r="V267" s="9"/>
      <c r="W267" s="13" t="s">
        <v>78</v>
      </c>
      <c r="X267" s="10" t="s">
        <v>37</v>
      </c>
      <c r="Y267" s="10" t="s">
        <v>0</v>
      </c>
    </row>
    <row r="268">
      <c r="A268" s="10" t="s">
        <v>1099</v>
      </c>
      <c r="B268" s="11">
        <v>44253.4334078588</v>
      </c>
      <c r="C268" s="10" t="s">
        <v>671</v>
      </c>
      <c r="D268" s="10" t="s">
        <v>672</v>
      </c>
      <c r="E268" s="10" t="s">
        <v>928</v>
      </c>
      <c r="F268" s="10" t="s">
        <v>1100</v>
      </c>
      <c r="G268" s="10" t="s">
        <v>1101</v>
      </c>
      <c r="H268" s="17">
        <v>44260.60416666667</v>
      </c>
      <c r="I268" s="17">
        <v>44260.6875</v>
      </c>
      <c r="J268" s="10" t="s">
        <v>128</v>
      </c>
      <c r="K268" s="10" t="s">
        <v>34</v>
      </c>
      <c r="N268" s="10" t="s">
        <v>296</v>
      </c>
      <c r="O268" s="18" t="s">
        <v>1102</v>
      </c>
      <c r="P268" s="10" t="s">
        <v>35</v>
      </c>
      <c r="R268" s="10" t="s">
        <v>296</v>
      </c>
      <c r="S268" s="10">
        <v>1.0</v>
      </c>
      <c r="T268" s="10" t="s">
        <v>35</v>
      </c>
      <c r="V268" s="9"/>
      <c r="W268" s="13" t="s">
        <v>78</v>
      </c>
      <c r="X268" s="10" t="s">
        <v>37</v>
      </c>
      <c r="Y268" s="10" t="s">
        <v>0</v>
      </c>
    </row>
    <row r="269">
      <c r="A269" s="10" t="s">
        <v>1103</v>
      </c>
      <c r="B269" s="11">
        <v>44257.638913981486</v>
      </c>
      <c r="C269" s="10" t="s">
        <v>1077</v>
      </c>
      <c r="D269" s="10" t="s">
        <v>81</v>
      </c>
      <c r="E269" s="10" t="s">
        <v>619</v>
      </c>
      <c r="F269" s="10" t="s">
        <v>1104</v>
      </c>
      <c r="G269" s="10" t="s">
        <v>1105</v>
      </c>
      <c r="H269" s="16">
        <v>44260.125</v>
      </c>
      <c r="I269" s="16">
        <v>44260.1875</v>
      </c>
      <c r="J269" s="10" t="s">
        <v>43</v>
      </c>
      <c r="K269" s="10" t="s">
        <v>34</v>
      </c>
      <c r="N269" s="10" t="s">
        <v>296</v>
      </c>
      <c r="O269" s="18" t="s">
        <v>1106</v>
      </c>
      <c r="P269" s="10" t="s">
        <v>296</v>
      </c>
      <c r="Q269" s="10">
        <v>1.0</v>
      </c>
      <c r="R269" s="10" t="s">
        <v>35</v>
      </c>
      <c r="T269" s="10" t="s">
        <v>35</v>
      </c>
      <c r="V269" s="9"/>
      <c r="W269" s="13" t="s">
        <v>78</v>
      </c>
      <c r="X269" s="10" t="s">
        <v>37</v>
      </c>
      <c r="Y269" s="10" t="s">
        <v>0</v>
      </c>
    </row>
    <row r="270">
      <c r="A270" s="10" t="s">
        <v>1107</v>
      </c>
      <c r="B270" s="11">
        <v>44258.41290993056</v>
      </c>
      <c r="C270" s="10" t="s">
        <v>80</v>
      </c>
      <c r="D270" s="10" t="s">
        <v>81</v>
      </c>
      <c r="E270" s="10" t="s">
        <v>1082</v>
      </c>
      <c r="F270" s="10" t="s">
        <v>1108</v>
      </c>
      <c r="G270" s="10" t="s">
        <v>1109</v>
      </c>
      <c r="H270" s="16">
        <v>44260.125</v>
      </c>
      <c r="I270" s="16">
        <v>44260.1875</v>
      </c>
      <c r="J270" s="10" t="s">
        <v>43</v>
      </c>
      <c r="K270" s="10" t="s">
        <v>34</v>
      </c>
      <c r="N270" s="10" t="s">
        <v>296</v>
      </c>
      <c r="O270" s="18" t="s">
        <v>1110</v>
      </c>
      <c r="P270" s="10" t="s">
        <v>296</v>
      </c>
      <c r="Q270" s="10">
        <v>1.0</v>
      </c>
      <c r="R270" s="10" t="s">
        <v>35</v>
      </c>
      <c r="T270" s="10" t="s">
        <v>35</v>
      </c>
      <c r="V270" s="9"/>
      <c r="W270" s="13" t="s">
        <v>78</v>
      </c>
      <c r="X270" s="10" t="s">
        <v>37</v>
      </c>
      <c r="Y270" s="10" t="s">
        <v>0</v>
      </c>
    </row>
    <row r="271">
      <c r="A271" s="10" t="s">
        <v>1111</v>
      </c>
      <c r="B271" s="11">
        <v>44259.7268869213</v>
      </c>
      <c r="C271" s="10" t="s">
        <v>160</v>
      </c>
      <c r="D271" s="10" t="s">
        <v>161</v>
      </c>
      <c r="E271" s="10" t="s">
        <v>947</v>
      </c>
      <c r="F271" s="10" t="s">
        <v>1112</v>
      </c>
      <c r="G271" s="10" t="s">
        <v>1113</v>
      </c>
      <c r="H271" s="17">
        <v>44260.64583333333</v>
      </c>
      <c r="I271" s="17">
        <v>44260.6875</v>
      </c>
      <c r="J271" s="10" t="s">
        <v>128</v>
      </c>
      <c r="K271" s="10" t="s">
        <v>34</v>
      </c>
      <c r="N271" s="10" t="s">
        <v>35</v>
      </c>
      <c r="V271" s="9"/>
      <c r="W271" s="13" t="s">
        <v>78</v>
      </c>
      <c r="X271" s="10" t="s">
        <v>37</v>
      </c>
      <c r="Y271" s="10" t="s">
        <v>0</v>
      </c>
    </row>
    <row r="272">
      <c r="A272" s="10" t="s">
        <v>1114</v>
      </c>
      <c r="B272" s="11">
        <v>44253.44192412037</v>
      </c>
      <c r="C272" s="10" t="s">
        <v>671</v>
      </c>
      <c r="D272" s="10" t="s">
        <v>672</v>
      </c>
      <c r="E272" s="10" t="s">
        <v>1115</v>
      </c>
      <c r="F272" s="10" t="s">
        <v>1116</v>
      </c>
      <c r="G272" s="10" t="s">
        <v>1117</v>
      </c>
      <c r="H272" s="17">
        <v>44260.6875</v>
      </c>
      <c r="I272" s="17">
        <v>44260.72916666667</v>
      </c>
      <c r="J272" s="10" t="s">
        <v>128</v>
      </c>
      <c r="K272" s="10" t="s">
        <v>34</v>
      </c>
      <c r="N272" s="10" t="s">
        <v>35</v>
      </c>
      <c r="V272" s="9"/>
      <c r="W272" s="13" t="s">
        <v>78</v>
      </c>
      <c r="X272" s="10" t="s">
        <v>37</v>
      </c>
      <c r="Y272" s="10" t="s">
        <v>0</v>
      </c>
    </row>
    <row r="273">
      <c r="A273" s="10" t="s">
        <v>1118</v>
      </c>
      <c r="B273" s="11">
        <v>44253.66580855324</v>
      </c>
      <c r="C273" s="10" t="s">
        <v>381</v>
      </c>
      <c r="D273" s="10" t="s">
        <v>382</v>
      </c>
      <c r="E273" s="10" t="s">
        <v>1119</v>
      </c>
      <c r="F273" s="10" t="s">
        <v>1120</v>
      </c>
      <c r="G273" s="10" t="s">
        <v>1121</v>
      </c>
      <c r="H273" s="24">
        <v>44260.6875</v>
      </c>
      <c r="I273" s="24">
        <v>44260.64583333333</v>
      </c>
      <c r="J273" s="10" t="s">
        <v>128</v>
      </c>
      <c r="K273" s="10" t="s">
        <v>34</v>
      </c>
      <c r="N273" s="10" t="s">
        <v>35</v>
      </c>
      <c r="V273" s="9"/>
      <c r="W273" s="13" t="s">
        <v>78</v>
      </c>
      <c r="X273" s="10" t="s">
        <v>37</v>
      </c>
      <c r="Y273" s="10" t="s">
        <v>0</v>
      </c>
    </row>
    <row r="274">
      <c r="A274" s="10" t="s">
        <v>1122</v>
      </c>
      <c r="B274" s="11">
        <v>44259.33571479167</v>
      </c>
      <c r="C274" s="10" t="s">
        <v>491</v>
      </c>
      <c r="D274" s="10" t="s">
        <v>492</v>
      </c>
      <c r="E274" s="10" t="s">
        <v>853</v>
      </c>
      <c r="F274" s="10" t="s">
        <v>1123</v>
      </c>
      <c r="G274" s="10" t="s">
        <v>1124</v>
      </c>
      <c r="H274" s="17">
        <v>44260.79166666667</v>
      </c>
      <c r="I274" s="17">
        <v>44260.79166666667</v>
      </c>
      <c r="J274" s="10" t="s">
        <v>73</v>
      </c>
      <c r="K274" s="10" t="s">
        <v>34</v>
      </c>
      <c r="N274" s="10" t="s">
        <v>35</v>
      </c>
      <c r="V274" s="9"/>
      <c r="W274" s="13" t="s">
        <v>78</v>
      </c>
      <c r="X274" s="10" t="s">
        <v>37</v>
      </c>
      <c r="Y274" s="10" t="s">
        <v>0</v>
      </c>
    </row>
    <row r="275">
      <c r="A275" s="10" t="s">
        <v>1125</v>
      </c>
      <c r="B275" s="11">
        <v>44256.63316899305</v>
      </c>
      <c r="C275" s="10" t="s">
        <v>1077</v>
      </c>
      <c r="D275" s="10" t="s">
        <v>81</v>
      </c>
      <c r="E275" s="10" t="s">
        <v>619</v>
      </c>
      <c r="F275" s="10" t="s">
        <v>1126</v>
      </c>
      <c r="G275" s="10" t="s">
        <v>1127</v>
      </c>
      <c r="H275" s="17">
        <v>44261.16666666667</v>
      </c>
      <c r="I275" s="17">
        <v>44261.211111111115</v>
      </c>
      <c r="J275" s="10" t="s">
        <v>128</v>
      </c>
      <c r="K275" s="10" t="s">
        <v>34</v>
      </c>
      <c r="N275" s="10" t="s">
        <v>296</v>
      </c>
      <c r="O275" s="18" t="s">
        <v>1128</v>
      </c>
      <c r="P275" s="10" t="s">
        <v>296</v>
      </c>
      <c r="Q275" s="10">
        <v>1.0</v>
      </c>
      <c r="R275" s="10" t="s">
        <v>35</v>
      </c>
      <c r="T275" s="10" t="s">
        <v>35</v>
      </c>
      <c r="V275" s="9"/>
      <c r="W275" s="13" t="s">
        <v>78</v>
      </c>
      <c r="X275" s="10" t="s">
        <v>37</v>
      </c>
      <c r="Y275" s="10" t="s">
        <v>0</v>
      </c>
    </row>
    <row r="276">
      <c r="A276" s="10" t="s">
        <v>1129</v>
      </c>
      <c r="B276" s="11">
        <v>44258.41551762732</v>
      </c>
      <c r="C276" s="10" t="s">
        <v>80</v>
      </c>
      <c r="D276" s="10" t="s">
        <v>81</v>
      </c>
      <c r="E276" s="10" t="s">
        <v>1082</v>
      </c>
      <c r="F276" s="10" t="s">
        <v>1130</v>
      </c>
      <c r="G276" s="10" t="s">
        <v>1131</v>
      </c>
      <c r="H276" s="17">
        <v>44261.16666666667</v>
      </c>
      <c r="I276" s="17">
        <v>44261.20833333333</v>
      </c>
      <c r="J276" s="10" t="s">
        <v>128</v>
      </c>
      <c r="K276" s="10" t="s">
        <v>34</v>
      </c>
      <c r="N276" s="10" t="s">
        <v>296</v>
      </c>
      <c r="O276" s="18" t="s">
        <v>1132</v>
      </c>
      <c r="P276" s="10" t="s">
        <v>296</v>
      </c>
      <c r="Q276" s="10">
        <v>1.0</v>
      </c>
      <c r="R276" s="10" t="s">
        <v>35</v>
      </c>
      <c r="T276" s="10" t="s">
        <v>35</v>
      </c>
      <c r="V276" s="9"/>
      <c r="W276" s="13" t="s">
        <v>78</v>
      </c>
      <c r="X276" s="10" t="s">
        <v>37</v>
      </c>
      <c r="Y276" s="10" t="s">
        <v>0</v>
      </c>
    </row>
    <row r="277">
      <c r="A277" s="10" t="s">
        <v>1133</v>
      </c>
      <c r="B277" s="11">
        <v>44253.72888152778</v>
      </c>
      <c r="C277" s="10" t="s">
        <v>539</v>
      </c>
      <c r="D277" s="10" t="s">
        <v>540</v>
      </c>
      <c r="E277" s="10" t="s">
        <v>1031</v>
      </c>
      <c r="F277" s="10" t="s">
        <v>1134</v>
      </c>
      <c r="G277" s="10" t="s">
        <v>1135</v>
      </c>
      <c r="H277" s="17">
        <v>44261.375</v>
      </c>
      <c r="I277" s="17">
        <v>44261.83333333333</v>
      </c>
      <c r="J277" s="10" t="s">
        <v>73</v>
      </c>
      <c r="K277" s="10" t="s">
        <v>34</v>
      </c>
      <c r="N277" s="10" t="s">
        <v>35</v>
      </c>
      <c r="V277" s="9"/>
      <c r="W277" s="13" t="s">
        <v>78</v>
      </c>
      <c r="X277" s="10" t="s">
        <v>37</v>
      </c>
      <c r="Y277" s="10" t="s">
        <v>0</v>
      </c>
    </row>
    <row r="278">
      <c r="A278" s="10" t="s">
        <v>1136</v>
      </c>
      <c r="B278" s="11">
        <v>44257.40118299768</v>
      </c>
      <c r="C278" s="10" t="s">
        <v>150</v>
      </c>
      <c r="D278" s="10" t="s">
        <v>151</v>
      </c>
      <c r="E278" s="10" t="s">
        <v>152</v>
      </c>
      <c r="F278" s="10" t="s">
        <v>1137</v>
      </c>
      <c r="G278" s="10" t="s">
        <v>1138</v>
      </c>
      <c r="H278" s="17">
        <v>44261.41666666667</v>
      </c>
      <c r="I278" s="17">
        <v>44261.5</v>
      </c>
      <c r="J278" s="10" t="s">
        <v>128</v>
      </c>
      <c r="K278" s="10" t="s">
        <v>34</v>
      </c>
      <c r="N278" s="10" t="s">
        <v>35</v>
      </c>
      <c r="V278" s="9"/>
      <c r="W278" s="13" t="s">
        <v>78</v>
      </c>
      <c r="X278" s="10" t="s">
        <v>37</v>
      </c>
      <c r="Y278" s="10" t="s">
        <v>0</v>
      </c>
    </row>
    <row r="279">
      <c r="A279" s="10" t="s">
        <v>1139</v>
      </c>
      <c r="B279" s="11">
        <v>44252.44927887731</v>
      </c>
      <c r="C279" s="10" t="s">
        <v>671</v>
      </c>
      <c r="D279" s="10" t="s">
        <v>672</v>
      </c>
      <c r="E279" s="10" t="s">
        <v>1140</v>
      </c>
      <c r="F279" s="10" t="s">
        <v>1141</v>
      </c>
      <c r="G279" s="10" t="s">
        <v>1142</v>
      </c>
      <c r="H279" s="24">
        <v>44261.4375</v>
      </c>
      <c r="I279" s="24">
        <v>44261.52083333333</v>
      </c>
      <c r="J279" s="10" t="s">
        <v>128</v>
      </c>
      <c r="K279" s="10" t="s">
        <v>34</v>
      </c>
      <c r="N279" s="10" t="s">
        <v>35</v>
      </c>
      <c r="V279" s="9"/>
      <c r="W279" s="13" t="s">
        <v>78</v>
      </c>
      <c r="X279" s="10" t="s">
        <v>37</v>
      </c>
      <c r="Y279" s="10" t="s">
        <v>0</v>
      </c>
    </row>
    <row r="280">
      <c r="A280" s="10" t="s">
        <v>1143</v>
      </c>
      <c r="B280" s="11">
        <v>44248.41228131944</v>
      </c>
      <c r="C280" s="10" t="s">
        <v>80</v>
      </c>
      <c r="D280" s="10" t="s">
        <v>81</v>
      </c>
      <c r="E280" s="10" t="s">
        <v>82</v>
      </c>
      <c r="F280" s="10" t="s">
        <v>599</v>
      </c>
      <c r="G280" s="10" t="s">
        <v>779</v>
      </c>
      <c r="H280" s="24">
        <v>44261.52083333333</v>
      </c>
      <c r="I280" s="24">
        <v>44261.70833333333</v>
      </c>
      <c r="J280" s="10" t="s">
        <v>73</v>
      </c>
      <c r="K280" s="10" t="s">
        <v>34</v>
      </c>
      <c r="N280" s="10" t="s">
        <v>35</v>
      </c>
      <c r="V280" s="9"/>
      <c r="W280" s="13" t="s">
        <v>78</v>
      </c>
      <c r="X280" s="10" t="s">
        <v>37</v>
      </c>
      <c r="Y280" s="10" t="s">
        <v>0</v>
      </c>
    </row>
    <row r="281">
      <c r="A281" s="10" t="s">
        <v>1144</v>
      </c>
      <c r="B281" s="11">
        <v>44253.338033657405</v>
      </c>
      <c r="C281" s="10" t="s">
        <v>374</v>
      </c>
      <c r="D281" s="10" t="s">
        <v>375</v>
      </c>
      <c r="E281" s="10" t="s">
        <v>261</v>
      </c>
      <c r="F281" s="10" t="s">
        <v>1145</v>
      </c>
      <c r="G281" s="10" t="s">
        <v>1146</v>
      </c>
      <c r="H281" s="17">
        <v>44261.54166666667</v>
      </c>
      <c r="I281" s="17">
        <v>44267.54236111111</v>
      </c>
      <c r="J281" s="10" t="s">
        <v>51</v>
      </c>
      <c r="K281" s="10" t="s">
        <v>34</v>
      </c>
      <c r="N281" s="10" t="s">
        <v>35</v>
      </c>
      <c r="V281" s="9"/>
      <c r="W281" s="13" t="s">
        <v>78</v>
      </c>
      <c r="X281" s="10" t="s">
        <v>37</v>
      </c>
      <c r="Y281" s="10" t="s">
        <v>0</v>
      </c>
    </row>
    <row r="282">
      <c r="A282" s="10" t="s">
        <v>1147</v>
      </c>
      <c r="B282" s="11">
        <v>44255.987358750004</v>
      </c>
      <c r="C282" s="10" t="s">
        <v>1148</v>
      </c>
      <c r="D282" s="10" t="s">
        <v>240</v>
      </c>
      <c r="E282" s="10" t="s">
        <v>1149</v>
      </c>
      <c r="F282" s="10" t="s">
        <v>1150</v>
      </c>
      <c r="G282" s="10" t="s">
        <v>1151</v>
      </c>
      <c r="H282" s="17">
        <v>44261.64583333333</v>
      </c>
      <c r="I282" s="17">
        <v>44261.6875</v>
      </c>
      <c r="J282" s="10" t="s">
        <v>33</v>
      </c>
      <c r="K282" s="10" t="s">
        <v>34</v>
      </c>
      <c r="N282" s="10" t="s">
        <v>35</v>
      </c>
      <c r="V282" s="9"/>
      <c r="W282" s="13" t="s">
        <v>78</v>
      </c>
      <c r="X282" s="10" t="s">
        <v>37</v>
      </c>
      <c r="Y282" s="10" t="s">
        <v>0</v>
      </c>
    </row>
    <row r="283">
      <c r="A283" s="10" t="s">
        <v>1152</v>
      </c>
      <c r="B283" s="11">
        <v>44256.65853615741</v>
      </c>
      <c r="C283" s="10" t="s">
        <v>239</v>
      </c>
      <c r="D283" s="10" t="s">
        <v>240</v>
      </c>
      <c r="E283" s="10" t="s">
        <v>1153</v>
      </c>
      <c r="F283" s="10" t="s">
        <v>1150</v>
      </c>
      <c r="G283" s="10" t="s">
        <v>1151</v>
      </c>
      <c r="H283" s="17">
        <v>44261.64583333333</v>
      </c>
      <c r="I283" s="17">
        <v>44261.6875</v>
      </c>
      <c r="J283" s="10" t="s">
        <v>33</v>
      </c>
      <c r="K283" s="10" t="s">
        <v>34</v>
      </c>
      <c r="N283" s="10" t="s">
        <v>35</v>
      </c>
      <c r="V283" s="9"/>
      <c r="W283" s="13" t="s">
        <v>78</v>
      </c>
      <c r="X283" s="10" t="s">
        <v>37</v>
      </c>
      <c r="Y283" s="10" t="s">
        <v>0</v>
      </c>
    </row>
    <row r="284">
      <c r="A284" s="10" t="s">
        <v>1154</v>
      </c>
      <c r="B284" s="11">
        <v>44270.81652625</v>
      </c>
      <c r="C284" s="10" t="s">
        <v>160</v>
      </c>
      <c r="D284" s="10" t="s">
        <v>161</v>
      </c>
      <c r="E284" s="10" t="s">
        <v>947</v>
      </c>
      <c r="F284" s="10" t="s">
        <v>1155</v>
      </c>
      <c r="G284" s="10" t="s">
        <v>1156</v>
      </c>
      <c r="H284" s="16">
        <v>44262.625</v>
      </c>
      <c r="I284" s="16">
        <v>44268.5</v>
      </c>
      <c r="J284" s="10" t="s">
        <v>51</v>
      </c>
      <c r="K284" s="10" t="s">
        <v>34</v>
      </c>
      <c r="N284" s="10" t="s">
        <v>35</v>
      </c>
      <c r="V284" s="9"/>
      <c r="W284" s="13" t="s">
        <v>78</v>
      </c>
      <c r="X284" s="10" t="s">
        <v>37</v>
      </c>
      <c r="Y284" s="10" t="s">
        <v>0</v>
      </c>
    </row>
    <row r="285">
      <c r="A285" s="10" t="s">
        <v>1157</v>
      </c>
      <c r="B285" s="11">
        <v>44262.83024447916</v>
      </c>
      <c r="C285" s="10" t="s">
        <v>102</v>
      </c>
      <c r="D285" s="10" t="s">
        <v>103</v>
      </c>
      <c r="E285" s="10" t="s">
        <v>289</v>
      </c>
      <c r="F285" s="10" t="s">
        <v>1158</v>
      </c>
      <c r="G285" s="10" t="s">
        <v>1159</v>
      </c>
      <c r="H285" s="17">
        <v>44262.79166666667</v>
      </c>
      <c r="I285" s="17">
        <v>44262.82291666667</v>
      </c>
      <c r="J285" s="10" t="s">
        <v>128</v>
      </c>
      <c r="K285" s="10" t="s">
        <v>34</v>
      </c>
      <c r="N285" s="10" t="s">
        <v>35</v>
      </c>
      <c r="V285" s="9"/>
      <c r="W285" s="13" t="s">
        <v>78</v>
      </c>
      <c r="X285" s="10" t="s">
        <v>37</v>
      </c>
      <c r="Y285" s="10" t="s">
        <v>0</v>
      </c>
    </row>
    <row r="286">
      <c r="A286" s="10" t="s">
        <v>1160</v>
      </c>
      <c r="B286" s="11">
        <v>44257.76998390046</v>
      </c>
      <c r="C286" s="10" t="s">
        <v>181</v>
      </c>
      <c r="D286" s="10" t="s">
        <v>69</v>
      </c>
      <c r="E286" s="10" t="s">
        <v>1161</v>
      </c>
      <c r="F286" s="10" t="s">
        <v>1162</v>
      </c>
      <c r="G286" s="10" t="s">
        <v>1163</v>
      </c>
      <c r="H286" s="16">
        <v>44260.41666666667</v>
      </c>
      <c r="I286" s="16">
        <v>44260.5</v>
      </c>
      <c r="J286" s="10" t="s">
        <v>43</v>
      </c>
      <c r="K286" s="10" t="s">
        <v>34</v>
      </c>
      <c r="N286" s="10" t="s">
        <v>35</v>
      </c>
      <c r="V286" s="9"/>
      <c r="W286" s="13" t="s">
        <v>78</v>
      </c>
      <c r="X286" s="10" t="s">
        <v>37</v>
      </c>
      <c r="Y286" s="10" t="s">
        <v>0</v>
      </c>
    </row>
    <row r="287">
      <c r="A287" s="10" t="s">
        <v>1164</v>
      </c>
      <c r="B287" s="11">
        <v>44256.70942709491</v>
      </c>
      <c r="C287" s="10" t="s">
        <v>150</v>
      </c>
      <c r="D287" s="10" t="s">
        <v>151</v>
      </c>
      <c r="E287" s="10" t="s">
        <v>152</v>
      </c>
      <c r="F287" s="10" t="s">
        <v>1165</v>
      </c>
      <c r="G287" s="10" t="s">
        <v>1166</v>
      </c>
      <c r="H287" s="17">
        <v>44263.33333333333</v>
      </c>
      <c r="I287" s="17">
        <v>44267.79166666667</v>
      </c>
      <c r="J287" s="10" t="s">
        <v>51</v>
      </c>
      <c r="K287" s="10" t="s">
        <v>34</v>
      </c>
      <c r="N287" s="10" t="s">
        <v>35</v>
      </c>
      <c r="V287" s="9"/>
      <c r="W287" s="13" t="s">
        <v>78</v>
      </c>
      <c r="X287" s="10" t="s">
        <v>37</v>
      </c>
      <c r="Y287" s="10" t="s">
        <v>0</v>
      </c>
    </row>
    <row r="288">
      <c r="A288" s="10" t="s">
        <v>1167</v>
      </c>
      <c r="B288" s="11">
        <v>44256.8673708912</v>
      </c>
      <c r="C288" s="10" t="s">
        <v>80</v>
      </c>
      <c r="D288" s="10" t="s">
        <v>81</v>
      </c>
      <c r="E288" s="10" t="s">
        <v>1168</v>
      </c>
      <c r="F288" s="10" t="s">
        <v>1169</v>
      </c>
      <c r="G288" s="10" t="s">
        <v>1170</v>
      </c>
      <c r="H288" s="17">
        <v>44263.33333333333</v>
      </c>
      <c r="I288" s="17">
        <v>44263.375</v>
      </c>
      <c r="J288" s="10" t="s">
        <v>73</v>
      </c>
      <c r="K288" s="10" t="s">
        <v>34</v>
      </c>
      <c r="N288" s="10" t="s">
        <v>35</v>
      </c>
      <c r="V288" s="9"/>
      <c r="W288" s="13" t="s">
        <v>78</v>
      </c>
      <c r="X288" s="10" t="s">
        <v>37</v>
      </c>
      <c r="Y288" s="10" t="s">
        <v>0</v>
      </c>
    </row>
    <row r="289">
      <c r="A289" s="10" t="s">
        <v>1171</v>
      </c>
      <c r="B289" s="11">
        <v>44277.590559097225</v>
      </c>
      <c r="C289" s="10" t="s">
        <v>516</v>
      </c>
      <c r="D289" s="10" t="s">
        <v>511</v>
      </c>
      <c r="E289" s="10" t="s">
        <v>1172</v>
      </c>
      <c r="F289" s="10" t="s">
        <v>1173</v>
      </c>
      <c r="G289" s="10" t="s">
        <v>1174</v>
      </c>
      <c r="H289" s="17">
        <v>44263.33333333333</v>
      </c>
      <c r="I289" s="17">
        <v>44267.33333333333</v>
      </c>
      <c r="J289" s="10" t="s">
        <v>51</v>
      </c>
      <c r="K289" s="10" t="s">
        <v>34</v>
      </c>
      <c r="N289" s="10" t="s">
        <v>35</v>
      </c>
      <c r="V289" s="9"/>
      <c r="W289" s="13" t="s">
        <v>78</v>
      </c>
      <c r="X289" s="10" t="s">
        <v>37</v>
      </c>
      <c r="Y289" s="10" t="s">
        <v>0</v>
      </c>
    </row>
    <row r="290">
      <c r="A290" s="10" t="s">
        <v>1175</v>
      </c>
      <c r="B290" s="11">
        <v>44250.48252089121</v>
      </c>
      <c r="C290" s="10" t="s">
        <v>694</v>
      </c>
      <c r="D290" s="10" t="s">
        <v>695</v>
      </c>
      <c r="E290" s="10" t="s">
        <v>696</v>
      </c>
      <c r="F290" s="10" t="s">
        <v>1176</v>
      </c>
      <c r="G290" s="10" t="s">
        <v>1177</v>
      </c>
      <c r="H290" s="17">
        <v>44263.35416666667</v>
      </c>
      <c r="I290" s="17">
        <v>44267.77083333333</v>
      </c>
      <c r="J290" s="10" t="s">
        <v>51</v>
      </c>
      <c r="K290" s="10" t="s">
        <v>34</v>
      </c>
      <c r="N290" s="10" t="s">
        <v>35</v>
      </c>
      <c r="V290" s="9"/>
      <c r="W290" s="13" t="s">
        <v>78</v>
      </c>
      <c r="X290" s="10" t="s">
        <v>37</v>
      </c>
      <c r="Y290" s="10" t="s">
        <v>0</v>
      </c>
    </row>
    <row r="291">
      <c r="A291" s="10" t="s">
        <v>1178</v>
      </c>
      <c r="B291" s="11">
        <v>44257.769020312495</v>
      </c>
      <c r="C291" s="10" t="s">
        <v>181</v>
      </c>
      <c r="D291" s="10" t="s">
        <v>69</v>
      </c>
      <c r="E291" s="10" t="s">
        <v>1179</v>
      </c>
      <c r="F291" s="10" t="s">
        <v>1180</v>
      </c>
      <c r="G291" s="10" t="s">
        <v>1181</v>
      </c>
      <c r="H291" s="17">
        <v>44263.375</v>
      </c>
      <c r="I291" s="17">
        <v>44263.83333333333</v>
      </c>
      <c r="J291" s="10" t="s">
        <v>51</v>
      </c>
      <c r="K291" s="10" t="s">
        <v>34</v>
      </c>
      <c r="N291" s="10" t="s">
        <v>35</v>
      </c>
      <c r="V291" s="9"/>
      <c r="W291" s="13" t="s">
        <v>78</v>
      </c>
      <c r="X291" s="10" t="s">
        <v>37</v>
      </c>
      <c r="Y291" s="10" t="s">
        <v>0</v>
      </c>
    </row>
    <row r="292">
      <c r="A292" s="10" t="s">
        <v>1182</v>
      </c>
      <c r="B292" s="11">
        <v>44246.49071131945</v>
      </c>
      <c r="C292" s="10" t="s">
        <v>347</v>
      </c>
      <c r="D292" s="10" t="s">
        <v>348</v>
      </c>
      <c r="E292" s="10" t="s">
        <v>349</v>
      </c>
      <c r="F292" s="10" t="s">
        <v>1183</v>
      </c>
      <c r="G292" s="10" t="s">
        <v>1184</v>
      </c>
      <c r="H292" s="17">
        <v>44263.4375</v>
      </c>
      <c r="I292" s="17">
        <v>44263.52083333333</v>
      </c>
      <c r="J292" s="10" t="s">
        <v>51</v>
      </c>
      <c r="K292" s="10" t="s">
        <v>34</v>
      </c>
      <c r="N292" s="10" t="s">
        <v>35</v>
      </c>
      <c r="V292" s="9"/>
      <c r="W292" s="13" t="s">
        <v>36</v>
      </c>
      <c r="X292" s="10" t="s">
        <v>37</v>
      </c>
      <c r="Y292" s="10" t="s">
        <v>0</v>
      </c>
    </row>
    <row r="293">
      <c r="A293" s="10" t="s">
        <v>1185</v>
      </c>
      <c r="B293" s="11">
        <v>44253.950576504634</v>
      </c>
      <c r="C293" s="10" t="s">
        <v>330</v>
      </c>
      <c r="D293" s="10" t="s">
        <v>331</v>
      </c>
      <c r="E293" s="10" t="s">
        <v>1186</v>
      </c>
      <c r="F293" s="10" t="s">
        <v>1187</v>
      </c>
      <c r="G293" s="10" t="s">
        <v>1188</v>
      </c>
      <c r="H293" s="16">
        <v>44260.64583333333</v>
      </c>
      <c r="I293" s="16">
        <v>44260.75</v>
      </c>
      <c r="J293" s="10" t="s">
        <v>43</v>
      </c>
      <c r="K293" s="10" t="s">
        <v>34</v>
      </c>
      <c r="N293" s="10" t="s">
        <v>296</v>
      </c>
      <c r="O293" s="18" t="s">
        <v>1189</v>
      </c>
      <c r="P293" s="10" t="s">
        <v>296</v>
      </c>
      <c r="Q293" s="10">
        <v>2.0</v>
      </c>
      <c r="R293" s="10" t="s">
        <v>296</v>
      </c>
      <c r="S293" s="10">
        <v>2.0</v>
      </c>
      <c r="T293" s="10" t="s">
        <v>35</v>
      </c>
      <c r="V293" s="9"/>
      <c r="W293" s="13" t="s">
        <v>78</v>
      </c>
      <c r="X293" s="10" t="s">
        <v>37</v>
      </c>
      <c r="Y293" s="10" t="s">
        <v>0</v>
      </c>
    </row>
    <row r="294">
      <c r="A294" s="10" t="s">
        <v>1190</v>
      </c>
      <c r="B294" s="11">
        <v>44256.39186516203</v>
      </c>
      <c r="C294" s="10" t="s">
        <v>330</v>
      </c>
      <c r="D294" s="10" t="s">
        <v>331</v>
      </c>
      <c r="E294" s="10" t="s">
        <v>1191</v>
      </c>
      <c r="F294" s="10" t="s">
        <v>1187</v>
      </c>
      <c r="G294" s="10" t="s">
        <v>1192</v>
      </c>
      <c r="H294" s="16">
        <v>44260.64583333333</v>
      </c>
      <c r="I294" s="16">
        <v>44260.75</v>
      </c>
      <c r="J294" s="10" t="s">
        <v>43</v>
      </c>
      <c r="K294" s="10" t="s">
        <v>34</v>
      </c>
      <c r="N294" s="10" t="s">
        <v>296</v>
      </c>
      <c r="O294" s="18" t="s">
        <v>1193</v>
      </c>
      <c r="P294" s="10" t="s">
        <v>296</v>
      </c>
      <c r="Q294" s="10">
        <v>2.0</v>
      </c>
      <c r="R294" s="10" t="s">
        <v>296</v>
      </c>
      <c r="S294" s="10">
        <v>2.0</v>
      </c>
      <c r="T294" s="10" t="s">
        <v>35</v>
      </c>
      <c r="V294" s="9"/>
      <c r="W294" s="13" t="s">
        <v>78</v>
      </c>
      <c r="X294" s="10" t="s">
        <v>37</v>
      </c>
      <c r="Y294" s="10" t="s">
        <v>0</v>
      </c>
    </row>
    <row r="295">
      <c r="A295" s="10" t="s">
        <v>1194</v>
      </c>
      <c r="B295" s="11">
        <v>44260.61973070602</v>
      </c>
      <c r="C295" s="10" t="s">
        <v>342</v>
      </c>
      <c r="D295" s="10" t="s">
        <v>187</v>
      </c>
      <c r="E295" s="10" t="s">
        <v>188</v>
      </c>
      <c r="F295" s="10" t="s">
        <v>1183</v>
      </c>
      <c r="G295" s="10" t="s">
        <v>1195</v>
      </c>
      <c r="H295" s="24">
        <v>44263.4375</v>
      </c>
      <c r="I295" s="24">
        <v>44263.52083333333</v>
      </c>
      <c r="J295" s="10" t="s">
        <v>128</v>
      </c>
      <c r="K295" s="10" t="s">
        <v>34</v>
      </c>
      <c r="N295" s="10" t="s">
        <v>35</v>
      </c>
      <c r="V295" s="9"/>
      <c r="W295" s="13" t="s">
        <v>78</v>
      </c>
      <c r="X295" s="10" t="s">
        <v>37</v>
      </c>
      <c r="Y295" s="10" t="s">
        <v>0</v>
      </c>
    </row>
    <row r="296">
      <c r="A296" s="10" t="s">
        <v>1196</v>
      </c>
      <c r="B296" s="11">
        <v>44260.62228710648</v>
      </c>
      <c r="C296" s="10" t="s">
        <v>186</v>
      </c>
      <c r="D296" s="10" t="s">
        <v>187</v>
      </c>
      <c r="E296" s="10" t="s">
        <v>188</v>
      </c>
      <c r="F296" s="10" t="s">
        <v>1183</v>
      </c>
      <c r="G296" s="10" t="s">
        <v>1197</v>
      </c>
      <c r="H296" s="24">
        <v>44263.4375</v>
      </c>
      <c r="I296" s="24">
        <v>44263.52083333333</v>
      </c>
      <c r="J296" s="10" t="s">
        <v>128</v>
      </c>
      <c r="K296" s="10" t="s">
        <v>34</v>
      </c>
      <c r="N296" s="10" t="s">
        <v>35</v>
      </c>
      <c r="V296" s="9"/>
      <c r="W296" s="13" t="s">
        <v>78</v>
      </c>
      <c r="X296" s="10" t="s">
        <v>37</v>
      </c>
      <c r="Y296" s="10" t="s">
        <v>0</v>
      </c>
    </row>
    <row r="297">
      <c r="A297" s="10" t="s">
        <v>1198</v>
      </c>
      <c r="B297" s="11">
        <v>44257.96233313657</v>
      </c>
      <c r="C297" s="10" t="s">
        <v>80</v>
      </c>
      <c r="D297" s="10" t="s">
        <v>81</v>
      </c>
      <c r="E297" s="10" t="s">
        <v>1199</v>
      </c>
      <c r="F297" s="10" t="s">
        <v>1200</v>
      </c>
      <c r="G297" s="10" t="s">
        <v>1201</v>
      </c>
      <c r="H297" s="17">
        <v>44263.5</v>
      </c>
      <c r="I297" s="17">
        <v>44269.25</v>
      </c>
      <c r="J297" s="10" t="s">
        <v>51</v>
      </c>
      <c r="K297" s="10" t="s">
        <v>34</v>
      </c>
      <c r="N297" s="10" t="s">
        <v>35</v>
      </c>
      <c r="V297" s="9"/>
      <c r="W297" s="13" t="s">
        <v>78</v>
      </c>
      <c r="X297" s="10" t="s">
        <v>37</v>
      </c>
      <c r="Y297" s="10" t="s">
        <v>0</v>
      </c>
    </row>
    <row r="298">
      <c r="A298" s="10" t="s">
        <v>1202</v>
      </c>
      <c r="B298" s="11">
        <v>44263.789287604166</v>
      </c>
      <c r="C298" s="10" t="s">
        <v>491</v>
      </c>
      <c r="D298" s="10" t="s">
        <v>492</v>
      </c>
      <c r="E298" s="10" t="s">
        <v>853</v>
      </c>
      <c r="F298" s="10" t="s">
        <v>1203</v>
      </c>
      <c r="G298" s="10" t="s">
        <v>1204</v>
      </c>
      <c r="H298" s="17">
        <v>44263.5</v>
      </c>
      <c r="I298" s="17">
        <v>44263.5</v>
      </c>
      <c r="J298" s="10" t="s">
        <v>73</v>
      </c>
      <c r="K298" s="10" t="s">
        <v>34</v>
      </c>
      <c r="N298" s="10" t="s">
        <v>35</v>
      </c>
      <c r="V298" s="9"/>
      <c r="W298" s="13" t="s">
        <v>78</v>
      </c>
      <c r="X298" s="10" t="s">
        <v>37</v>
      </c>
      <c r="Y298" s="10" t="s">
        <v>0</v>
      </c>
    </row>
    <row r="299">
      <c r="A299" s="10" t="s">
        <v>1205</v>
      </c>
      <c r="B299" s="11">
        <v>44263.79475273148</v>
      </c>
      <c r="C299" s="10" t="s">
        <v>491</v>
      </c>
      <c r="D299" s="10" t="s">
        <v>492</v>
      </c>
      <c r="E299" s="10" t="s">
        <v>853</v>
      </c>
      <c r="F299" s="10" t="s">
        <v>1206</v>
      </c>
      <c r="G299" s="10" t="s">
        <v>1207</v>
      </c>
      <c r="H299" s="17">
        <v>44263.5</v>
      </c>
      <c r="I299" s="17">
        <v>44267.625</v>
      </c>
      <c r="J299" s="10" t="s">
        <v>51</v>
      </c>
      <c r="K299" s="10" t="s">
        <v>34</v>
      </c>
      <c r="N299" s="10" t="s">
        <v>35</v>
      </c>
      <c r="V299" s="9"/>
      <c r="W299" s="13" t="s">
        <v>78</v>
      </c>
      <c r="X299" s="10" t="s">
        <v>37</v>
      </c>
      <c r="Y299" s="10" t="s">
        <v>0</v>
      </c>
    </row>
    <row r="300">
      <c r="A300" s="10" t="s">
        <v>1208</v>
      </c>
      <c r="B300" s="11">
        <v>44260.48911216435</v>
      </c>
      <c r="C300" s="10" t="s">
        <v>80</v>
      </c>
      <c r="D300" s="10" t="s">
        <v>81</v>
      </c>
      <c r="E300" s="10" t="s">
        <v>1082</v>
      </c>
      <c r="F300" s="10" t="s">
        <v>1209</v>
      </c>
      <c r="G300" s="10" t="s">
        <v>1210</v>
      </c>
      <c r="H300" s="24">
        <v>44263.1875</v>
      </c>
      <c r="I300" s="24">
        <v>44263.22916666667</v>
      </c>
      <c r="J300" s="10" t="s">
        <v>43</v>
      </c>
      <c r="K300" s="10" t="s">
        <v>34</v>
      </c>
      <c r="N300" s="10" t="s">
        <v>296</v>
      </c>
      <c r="O300" s="18" t="s">
        <v>1211</v>
      </c>
      <c r="P300" s="10" t="s">
        <v>296</v>
      </c>
      <c r="Q300" s="10">
        <v>1.0</v>
      </c>
      <c r="R300" s="10" t="s">
        <v>35</v>
      </c>
      <c r="T300" s="10" t="s">
        <v>35</v>
      </c>
      <c r="V300" s="9"/>
      <c r="W300" s="13" t="s">
        <v>78</v>
      </c>
      <c r="X300" s="10" t="s">
        <v>37</v>
      </c>
      <c r="Y300" s="10" t="s">
        <v>0</v>
      </c>
    </row>
    <row r="301">
      <c r="A301" s="10" t="s">
        <v>1212</v>
      </c>
      <c r="B301" s="11">
        <v>44250.51238326389</v>
      </c>
      <c r="C301" s="10" t="s">
        <v>186</v>
      </c>
      <c r="D301" s="10" t="s">
        <v>187</v>
      </c>
      <c r="E301" s="10" t="s">
        <v>1213</v>
      </c>
      <c r="F301" s="10" t="s">
        <v>1183</v>
      </c>
      <c r="G301" s="10" t="s">
        <v>1214</v>
      </c>
      <c r="H301" s="24">
        <v>44263.4375</v>
      </c>
      <c r="I301" s="24">
        <v>44263.52083333333</v>
      </c>
      <c r="J301" s="10" t="s">
        <v>43</v>
      </c>
      <c r="K301" s="10" t="s">
        <v>34</v>
      </c>
      <c r="N301" s="10" t="s">
        <v>296</v>
      </c>
      <c r="O301" s="18" t="s">
        <v>1215</v>
      </c>
      <c r="P301" s="10" t="s">
        <v>296</v>
      </c>
      <c r="Q301" s="10">
        <v>4.0</v>
      </c>
      <c r="R301" s="10" t="s">
        <v>35</v>
      </c>
      <c r="T301" s="10" t="s">
        <v>35</v>
      </c>
      <c r="V301" s="9"/>
      <c r="W301" s="13" t="s">
        <v>78</v>
      </c>
      <c r="X301" s="10" t="s">
        <v>37</v>
      </c>
      <c r="Y301" s="10" t="s">
        <v>0</v>
      </c>
    </row>
    <row r="302">
      <c r="A302" s="10" t="s">
        <v>1216</v>
      </c>
      <c r="B302" s="11">
        <v>44250.718748113424</v>
      </c>
      <c r="C302" s="10" t="s">
        <v>28</v>
      </c>
      <c r="D302" s="10" t="s">
        <v>29</v>
      </c>
      <c r="E302" s="10" t="s">
        <v>1217</v>
      </c>
      <c r="F302" s="10" t="s">
        <v>1183</v>
      </c>
      <c r="G302" s="10" t="s">
        <v>1218</v>
      </c>
      <c r="H302" s="24">
        <v>44263.4375</v>
      </c>
      <c r="I302" s="24">
        <v>44263.52083333333</v>
      </c>
      <c r="J302" s="10" t="s">
        <v>43</v>
      </c>
      <c r="K302" s="10" t="s">
        <v>34</v>
      </c>
      <c r="N302" s="10" t="s">
        <v>35</v>
      </c>
      <c r="V302" s="9"/>
      <c r="W302" s="13" t="s">
        <v>78</v>
      </c>
      <c r="X302" s="10" t="s">
        <v>37</v>
      </c>
      <c r="Y302" s="10" t="s">
        <v>0</v>
      </c>
    </row>
    <row r="303">
      <c r="A303" s="10" t="s">
        <v>1219</v>
      </c>
      <c r="B303" s="11">
        <v>44263.54386780092</v>
      </c>
      <c r="C303" s="10" t="s">
        <v>247</v>
      </c>
      <c r="D303" s="10" t="s">
        <v>248</v>
      </c>
      <c r="E303" s="10" t="s">
        <v>1220</v>
      </c>
      <c r="F303" s="10" t="s">
        <v>1221</v>
      </c>
      <c r="G303" s="10" t="s">
        <v>1222</v>
      </c>
      <c r="H303" s="16">
        <v>44263.60416666667</v>
      </c>
      <c r="I303" s="16">
        <v>44263.66666666667</v>
      </c>
      <c r="J303" s="10" t="s">
        <v>43</v>
      </c>
      <c r="K303" s="10" t="s">
        <v>34</v>
      </c>
      <c r="N303" s="10" t="s">
        <v>296</v>
      </c>
      <c r="O303" s="18" t="s">
        <v>1223</v>
      </c>
      <c r="P303" s="10" t="s">
        <v>296</v>
      </c>
      <c r="Q303" s="10">
        <v>2.0</v>
      </c>
      <c r="R303" s="10" t="s">
        <v>35</v>
      </c>
      <c r="T303" s="10" t="s">
        <v>296</v>
      </c>
      <c r="U303" s="10">
        <v>1.0</v>
      </c>
      <c r="V303" s="27"/>
      <c r="W303" s="13" t="s">
        <v>78</v>
      </c>
      <c r="X303" s="10" t="s">
        <v>37</v>
      </c>
      <c r="Y303" s="10" t="s">
        <v>0</v>
      </c>
    </row>
    <row r="304">
      <c r="A304" s="10" t="s">
        <v>1224</v>
      </c>
      <c r="B304" s="11">
        <v>44250.61917924769</v>
      </c>
      <c r="C304" s="10" t="s">
        <v>239</v>
      </c>
      <c r="D304" s="10" t="s">
        <v>240</v>
      </c>
      <c r="E304" s="10" t="s">
        <v>1225</v>
      </c>
      <c r="F304" s="10" t="s">
        <v>1226</v>
      </c>
      <c r="G304" s="10" t="s">
        <v>1227</v>
      </c>
      <c r="H304" s="24">
        <v>44263.625</v>
      </c>
      <c r="I304" s="24">
        <v>44263.66666666667</v>
      </c>
      <c r="J304" s="10" t="s">
        <v>43</v>
      </c>
      <c r="K304" s="10" t="s">
        <v>34</v>
      </c>
      <c r="N304" s="10" t="s">
        <v>35</v>
      </c>
      <c r="V304" s="9"/>
      <c r="W304" s="13" t="s">
        <v>78</v>
      </c>
      <c r="X304" s="10" t="s">
        <v>37</v>
      </c>
      <c r="Y304" s="10" t="s">
        <v>0</v>
      </c>
    </row>
    <row r="305">
      <c r="A305" s="10" t="s">
        <v>1228</v>
      </c>
      <c r="B305" s="11">
        <v>44257.77536704861</v>
      </c>
      <c r="C305" s="10" t="s">
        <v>181</v>
      </c>
      <c r="D305" s="10" t="s">
        <v>69</v>
      </c>
      <c r="E305" s="10" t="s">
        <v>1229</v>
      </c>
      <c r="F305" s="10" t="s">
        <v>1230</v>
      </c>
      <c r="G305" s="10" t="s">
        <v>1231</v>
      </c>
      <c r="H305" s="17">
        <v>44264.27083333333</v>
      </c>
      <c r="I305" s="17">
        <v>44334.3125</v>
      </c>
      <c r="J305" s="10" t="s">
        <v>128</v>
      </c>
      <c r="K305" s="10" t="s">
        <v>34</v>
      </c>
      <c r="N305" s="10" t="s">
        <v>35</v>
      </c>
      <c r="V305" s="9"/>
      <c r="W305" s="13" t="s">
        <v>78</v>
      </c>
      <c r="X305" s="10" t="s">
        <v>37</v>
      </c>
      <c r="Y305" s="10" t="s">
        <v>0</v>
      </c>
    </row>
    <row r="306">
      <c r="A306" s="10" t="s">
        <v>1232</v>
      </c>
      <c r="B306" s="11">
        <v>44266.92346980324</v>
      </c>
      <c r="C306" s="10" t="s">
        <v>491</v>
      </c>
      <c r="D306" s="10" t="s">
        <v>492</v>
      </c>
      <c r="E306" s="10" t="s">
        <v>853</v>
      </c>
      <c r="F306" s="10" t="s">
        <v>1233</v>
      </c>
      <c r="G306" s="10" t="s">
        <v>1234</v>
      </c>
      <c r="H306" s="17">
        <v>44264.5</v>
      </c>
      <c r="I306" s="17">
        <v>44264.5</v>
      </c>
      <c r="J306" s="10" t="s">
        <v>73</v>
      </c>
      <c r="K306" s="10" t="s">
        <v>34</v>
      </c>
      <c r="N306" s="10" t="s">
        <v>35</v>
      </c>
      <c r="V306" s="9"/>
      <c r="W306" s="13" t="s">
        <v>78</v>
      </c>
      <c r="X306" s="10" t="s">
        <v>37</v>
      </c>
      <c r="Y306" s="10" t="s">
        <v>0</v>
      </c>
    </row>
    <row r="307">
      <c r="A307" s="10" t="s">
        <v>1235</v>
      </c>
      <c r="B307" s="11">
        <v>44264.00717328704</v>
      </c>
      <c r="C307" s="10" t="s">
        <v>186</v>
      </c>
      <c r="D307" s="10" t="s">
        <v>187</v>
      </c>
      <c r="E307" s="10" t="s">
        <v>343</v>
      </c>
      <c r="F307" s="10" t="s">
        <v>1236</v>
      </c>
      <c r="G307" s="10" t="s">
        <v>1237</v>
      </c>
      <c r="H307" s="16">
        <v>44264.625</v>
      </c>
      <c r="I307" s="16">
        <v>44264.70833333333</v>
      </c>
      <c r="J307" s="10" t="s">
        <v>128</v>
      </c>
      <c r="K307" s="10" t="s">
        <v>34</v>
      </c>
      <c r="N307" s="10" t="s">
        <v>35</v>
      </c>
      <c r="V307" s="9"/>
      <c r="W307" s="13" t="s">
        <v>78</v>
      </c>
      <c r="X307" s="10" t="s">
        <v>37</v>
      </c>
      <c r="Y307" s="10" t="s">
        <v>0</v>
      </c>
    </row>
    <row r="308">
      <c r="A308" s="10" t="s">
        <v>1238</v>
      </c>
      <c r="B308" s="11">
        <v>44256.43375087963</v>
      </c>
      <c r="C308" s="10" t="s">
        <v>209</v>
      </c>
      <c r="D308" s="10" t="s">
        <v>210</v>
      </c>
      <c r="E308" s="10" t="s">
        <v>261</v>
      </c>
      <c r="F308" s="10" t="s">
        <v>1239</v>
      </c>
      <c r="G308" s="10" t="s">
        <v>1240</v>
      </c>
      <c r="H308" s="24">
        <v>44263.64583333333</v>
      </c>
      <c r="I308" s="24">
        <v>44263.72916666667</v>
      </c>
      <c r="J308" s="10" t="s">
        <v>43</v>
      </c>
      <c r="K308" s="10" t="s">
        <v>34</v>
      </c>
      <c r="N308" s="10" t="s">
        <v>296</v>
      </c>
      <c r="O308" s="18" t="s">
        <v>1241</v>
      </c>
      <c r="P308" s="10" t="s">
        <v>296</v>
      </c>
      <c r="Q308" s="10">
        <v>2.0</v>
      </c>
      <c r="R308" s="10" t="s">
        <v>296</v>
      </c>
      <c r="S308" s="10">
        <v>1.0</v>
      </c>
      <c r="T308" s="10" t="s">
        <v>35</v>
      </c>
      <c r="V308" s="9"/>
      <c r="W308" s="13" t="s">
        <v>78</v>
      </c>
      <c r="X308" s="10" t="s">
        <v>37</v>
      </c>
      <c r="Y308" s="10" t="s">
        <v>0</v>
      </c>
    </row>
    <row r="309">
      <c r="A309" s="10" t="s">
        <v>1242</v>
      </c>
      <c r="B309" s="11">
        <v>44259.69678067129</v>
      </c>
      <c r="C309" s="10" t="s">
        <v>160</v>
      </c>
      <c r="D309" s="10" t="s">
        <v>161</v>
      </c>
      <c r="E309" s="10" t="s">
        <v>947</v>
      </c>
      <c r="F309" s="10" t="s">
        <v>1243</v>
      </c>
      <c r="G309" s="10" t="s">
        <v>1244</v>
      </c>
      <c r="H309" s="24">
        <v>44263.64583333333</v>
      </c>
      <c r="I309" s="24">
        <v>44270.6875</v>
      </c>
      <c r="J309" s="10" t="s">
        <v>43</v>
      </c>
      <c r="K309" s="10" t="s">
        <v>34</v>
      </c>
      <c r="N309" s="10" t="s">
        <v>296</v>
      </c>
      <c r="O309" s="18" t="s">
        <v>1245</v>
      </c>
      <c r="P309" s="10" t="s">
        <v>296</v>
      </c>
      <c r="Q309" s="10">
        <v>3.0</v>
      </c>
      <c r="R309" s="10" t="s">
        <v>296</v>
      </c>
      <c r="S309" s="10">
        <v>3.0</v>
      </c>
      <c r="T309" s="10" t="s">
        <v>35</v>
      </c>
      <c r="V309" s="9"/>
      <c r="W309" s="13" t="s">
        <v>78</v>
      </c>
      <c r="X309" s="10" t="s">
        <v>37</v>
      </c>
      <c r="Y309" s="10" t="s">
        <v>0</v>
      </c>
    </row>
    <row r="310">
      <c r="A310" s="10" t="s">
        <v>1246</v>
      </c>
      <c r="B310" s="11">
        <v>44257.77105851852</v>
      </c>
      <c r="C310" s="10" t="s">
        <v>181</v>
      </c>
      <c r="D310" s="10" t="s">
        <v>69</v>
      </c>
      <c r="E310" s="10" t="s">
        <v>1161</v>
      </c>
      <c r="F310" s="10" t="s">
        <v>1247</v>
      </c>
      <c r="G310" s="10" t="s">
        <v>1248</v>
      </c>
      <c r="H310" s="17">
        <v>44264.77083333333</v>
      </c>
      <c r="I310" s="17">
        <v>44264.85416666667</v>
      </c>
      <c r="J310" s="10" t="s">
        <v>128</v>
      </c>
      <c r="K310" s="10" t="s">
        <v>34</v>
      </c>
      <c r="N310" s="10" t="s">
        <v>35</v>
      </c>
      <c r="V310" s="9"/>
      <c r="W310" s="13" t="s">
        <v>78</v>
      </c>
      <c r="X310" s="10" t="s">
        <v>37</v>
      </c>
      <c r="Y310" s="10" t="s">
        <v>0</v>
      </c>
    </row>
    <row r="311">
      <c r="A311" s="10" t="s">
        <v>1249</v>
      </c>
      <c r="B311" s="11">
        <v>44259.49727409722</v>
      </c>
      <c r="C311" s="10" t="s">
        <v>347</v>
      </c>
      <c r="D311" s="10" t="s">
        <v>348</v>
      </c>
      <c r="E311" s="10" t="s">
        <v>349</v>
      </c>
      <c r="F311" s="10" t="s">
        <v>1250</v>
      </c>
      <c r="G311" s="10" t="s">
        <v>1251</v>
      </c>
      <c r="H311" s="17">
        <v>44265.0625</v>
      </c>
      <c r="I311" s="17">
        <v>44265.10416666667</v>
      </c>
      <c r="J311" s="10" t="s">
        <v>73</v>
      </c>
      <c r="K311" s="10" t="s">
        <v>34</v>
      </c>
      <c r="N311" s="10" t="s">
        <v>35</v>
      </c>
      <c r="V311" s="9"/>
      <c r="W311" s="13" t="s">
        <v>78</v>
      </c>
      <c r="X311" s="10" t="s">
        <v>37</v>
      </c>
      <c r="Y311" s="10" t="s">
        <v>0</v>
      </c>
    </row>
    <row r="312">
      <c r="A312" s="10" t="s">
        <v>1252</v>
      </c>
      <c r="B312" s="11">
        <v>44266.92578653935</v>
      </c>
      <c r="C312" s="10" t="s">
        <v>491</v>
      </c>
      <c r="D312" s="10" t="s">
        <v>492</v>
      </c>
      <c r="E312" s="10" t="s">
        <v>853</v>
      </c>
      <c r="F312" s="10" t="s">
        <v>1253</v>
      </c>
      <c r="G312" s="10" t="s">
        <v>1254</v>
      </c>
      <c r="H312" s="17">
        <v>44265.5</v>
      </c>
      <c r="I312" s="17">
        <v>44265.5</v>
      </c>
      <c r="J312" s="10" t="s">
        <v>73</v>
      </c>
      <c r="K312" s="10" t="s">
        <v>34</v>
      </c>
      <c r="N312" s="10" t="s">
        <v>35</v>
      </c>
      <c r="V312" s="9"/>
      <c r="W312" s="13" t="s">
        <v>78</v>
      </c>
      <c r="X312" s="10" t="s">
        <v>37</v>
      </c>
      <c r="Y312" s="10" t="s">
        <v>0</v>
      </c>
    </row>
    <row r="313">
      <c r="A313" s="10" t="s">
        <v>1255</v>
      </c>
      <c r="B313" s="11">
        <v>44260.68607877315</v>
      </c>
      <c r="C313" s="10" t="s">
        <v>387</v>
      </c>
      <c r="D313" s="10" t="s">
        <v>388</v>
      </c>
      <c r="E313" s="10" t="s">
        <v>1256</v>
      </c>
      <c r="F313" s="10" t="s">
        <v>1257</v>
      </c>
      <c r="G313" s="10" t="s">
        <v>1258</v>
      </c>
      <c r="H313" s="17">
        <v>44265.54166666667</v>
      </c>
      <c r="I313" s="17">
        <v>44265.70833333333</v>
      </c>
      <c r="J313" s="10" t="s">
        <v>128</v>
      </c>
      <c r="K313" s="10" t="s">
        <v>61</v>
      </c>
      <c r="N313" s="10" t="s">
        <v>35</v>
      </c>
      <c r="V313" s="9"/>
      <c r="W313" s="13" t="s">
        <v>78</v>
      </c>
      <c r="X313" s="10" t="s">
        <v>37</v>
      </c>
      <c r="Y313" s="10" t="s">
        <v>0</v>
      </c>
    </row>
    <row r="314">
      <c r="A314" s="10" t="s">
        <v>1259</v>
      </c>
      <c r="B314" s="11">
        <v>44253.89201378472</v>
      </c>
      <c r="C314" s="10" t="s">
        <v>269</v>
      </c>
      <c r="D314" s="10" t="s">
        <v>168</v>
      </c>
      <c r="E314" s="10" t="s">
        <v>1260</v>
      </c>
      <c r="F314" s="10" t="s">
        <v>1226</v>
      </c>
      <c r="G314" s="10" t="s">
        <v>1261</v>
      </c>
      <c r="H314" s="24">
        <v>44263.6875</v>
      </c>
      <c r="I314" s="24">
        <v>44263.75</v>
      </c>
      <c r="J314" s="10" t="s">
        <v>43</v>
      </c>
      <c r="K314" s="10" t="s">
        <v>34</v>
      </c>
      <c r="N314" s="10" t="s">
        <v>35</v>
      </c>
      <c r="V314" s="9"/>
      <c r="W314" s="13" t="s">
        <v>78</v>
      </c>
      <c r="X314" s="10" t="s">
        <v>37</v>
      </c>
      <c r="Y314" s="10" t="s">
        <v>0</v>
      </c>
    </row>
    <row r="315">
      <c r="A315" s="10" t="s">
        <v>1262</v>
      </c>
      <c r="B315" s="11">
        <v>44253.336244351856</v>
      </c>
      <c r="C315" s="10" t="s">
        <v>374</v>
      </c>
      <c r="D315" s="10" t="s">
        <v>375</v>
      </c>
      <c r="E315" s="10" t="s">
        <v>261</v>
      </c>
      <c r="F315" s="10" t="s">
        <v>1263</v>
      </c>
      <c r="G315" s="10" t="s">
        <v>1264</v>
      </c>
      <c r="H315" s="24">
        <v>44264.6875</v>
      </c>
      <c r="I315" s="24">
        <v>44264.75</v>
      </c>
      <c r="J315" s="10" t="s">
        <v>43</v>
      </c>
      <c r="K315" s="10" t="s">
        <v>34</v>
      </c>
      <c r="N315" s="10" t="s">
        <v>296</v>
      </c>
      <c r="O315" s="18" t="s">
        <v>1265</v>
      </c>
      <c r="P315" s="10" t="s">
        <v>296</v>
      </c>
      <c r="Q315" s="10">
        <v>1.0</v>
      </c>
      <c r="R315" s="10" t="s">
        <v>35</v>
      </c>
      <c r="T315" s="10" t="s">
        <v>35</v>
      </c>
      <c r="V315" s="9"/>
      <c r="W315" s="13" t="s">
        <v>78</v>
      </c>
      <c r="X315" s="10" t="s">
        <v>37</v>
      </c>
      <c r="Y315" s="10" t="s">
        <v>0</v>
      </c>
    </row>
    <row r="316">
      <c r="A316" s="10" t="s">
        <v>1266</v>
      </c>
      <c r="B316" s="11">
        <v>44259.70986150463</v>
      </c>
      <c r="C316" s="10" t="s">
        <v>160</v>
      </c>
      <c r="D316" s="10" t="s">
        <v>161</v>
      </c>
      <c r="E316" s="10" t="s">
        <v>947</v>
      </c>
      <c r="F316" s="10" t="s">
        <v>1267</v>
      </c>
      <c r="G316" s="10" t="s">
        <v>1268</v>
      </c>
      <c r="H316" s="24">
        <v>44264.6875</v>
      </c>
      <c r="I316" s="24">
        <v>44264.75</v>
      </c>
      <c r="J316" s="10" t="s">
        <v>43</v>
      </c>
      <c r="K316" s="10" t="s">
        <v>34</v>
      </c>
      <c r="N316" s="10" t="s">
        <v>296</v>
      </c>
      <c r="O316" s="18" t="s">
        <v>1269</v>
      </c>
      <c r="P316" s="10" t="s">
        <v>296</v>
      </c>
      <c r="Q316" s="10">
        <v>1.0</v>
      </c>
      <c r="R316" s="10" t="s">
        <v>296</v>
      </c>
      <c r="S316" s="10">
        <v>1.0</v>
      </c>
      <c r="T316" s="10" t="s">
        <v>35</v>
      </c>
      <c r="V316" s="9"/>
      <c r="W316" s="13" t="s">
        <v>78</v>
      </c>
      <c r="X316" s="10" t="s">
        <v>37</v>
      </c>
      <c r="Y316" s="10" t="s">
        <v>0</v>
      </c>
    </row>
    <row r="317">
      <c r="A317" s="10" t="s">
        <v>1270</v>
      </c>
      <c r="B317" s="11">
        <v>44252.363678124995</v>
      </c>
      <c r="C317" s="10" t="s">
        <v>1271</v>
      </c>
      <c r="D317" s="10" t="s">
        <v>976</v>
      </c>
      <c r="E317" s="10" t="s">
        <v>977</v>
      </c>
      <c r="F317" s="10" t="s">
        <v>1272</v>
      </c>
      <c r="G317" s="10" t="s">
        <v>1273</v>
      </c>
      <c r="H317" s="24">
        <v>44265.5625</v>
      </c>
      <c r="I317" s="24">
        <v>44265.60416666667</v>
      </c>
      <c r="J317" s="10" t="s">
        <v>43</v>
      </c>
      <c r="K317" s="10" t="s">
        <v>34</v>
      </c>
      <c r="N317" s="10" t="s">
        <v>296</v>
      </c>
      <c r="O317" s="18" t="s">
        <v>1274</v>
      </c>
      <c r="P317" s="10" t="s">
        <v>35</v>
      </c>
      <c r="R317" s="10" t="s">
        <v>35</v>
      </c>
      <c r="T317" s="10" t="s">
        <v>296</v>
      </c>
      <c r="U317" s="10">
        <v>1.0</v>
      </c>
      <c r="V317" s="27"/>
      <c r="W317" s="13" t="s">
        <v>78</v>
      </c>
      <c r="X317" s="10" t="s">
        <v>37</v>
      </c>
      <c r="Y317" s="10" t="s">
        <v>0</v>
      </c>
    </row>
    <row r="318">
      <c r="A318" s="10" t="s">
        <v>1275</v>
      </c>
      <c r="B318" s="11">
        <v>44265.87626767361</v>
      </c>
      <c r="C318" s="10" t="s">
        <v>80</v>
      </c>
      <c r="D318" s="10" t="s">
        <v>81</v>
      </c>
      <c r="E318" s="10" t="s">
        <v>1276</v>
      </c>
      <c r="F318" s="10" t="s">
        <v>1277</v>
      </c>
      <c r="G318" s="10" t="s">
        <v>1278</v>
      </c>
      <c r="H318" s="17">
        <v>44266.10416666667</v>
      </c>
      <c r="I318" s="17">
        <v>44266.16666666667</v>
      </c>
      <c r="J318" s="10" t="s">
        <v>33</v>
      </c>
      <c r="K318" s="10" t="s">
        <v>34</v>
      </c>
      <c r="N318" s="10" t="s">
        <v>296</v>
      </c>
      <c r="O318" s="18" t="s">
        <v>1279</v>
      </c>
      <c r="P318" s="10" t="s">
        <v>296</v>
      </c>
      <c r="Q318" s="10">
        <v>2.0</v>
      </c>
      <c r="R318" s="10" t="s">
        <v>35</v>
      </c>
      <c r="T318" s="10" t="s">
        <v>35</v>
      </c>
      <c r="V318" s="9"/>
      <c r="W318" s="13" t="s">
        <v>78</v>
      </c>
      <c r="X318" s="10" t="s">
        <v>37</v>
      </c>
      <c r="Y318" s="10" t="s">
        <v>0</v>
      </c>
    </row>
    <row r="319">
      <c r="A319" s="10" t="s">
        <v>1280</v>
      </c>
      <c r="B319" s="11">
        <v>44252.36571429398</v>
      </c>
      <c r="C319" s="10" t="s">
        <v>975</v>
      </c>
      <c r="D319" s="10" t="s">
        <v>976</v>
      </c>
      <c r="E319" s="10" t="s">
        <v>977</v>
      </c>
      <c r="F319" s="10" t="s">
        <v>1272</v>
      </c>
      <c r="G319" s="10" t="s">
        <v>1281</v>
      </c>
      <c r="H319" s="24">
        <v>44265.5625</v>
      </c>
      <c r="I319" s="24">
        <v>44265.60416666667</v>
      </c>
      <c r="J319" s="10" t="s">
        <v>43</v>
      </c>
      <c r="K319" s="10" t="s">
        <v>34</v>
      </c>
      <c r="N319" s="10" t="s">
        <v>296</v>
      </c>
      <c r="O319" s="18" t="s">
        <v>1282</v>
      </c>
      <c r="P319" s="10" t="s">
        <v>35</v>
      </c>
      <c r="R319" s="10" t="s">
        <v>35</v>
      </c>
      <c r="T319" s="10" t="s">
        <v>296</v>
      </c>
      <c r="U319" s="10">
        <v>1.0</v>
      </c>
      <c r="V319" s="27"/>
      <c r="W319" s="13" t="s">
        <v>78</v>
      </c>
      <c r="X319" s="10" t="s">
        <v>37</v>
      </c>
      <c r="Y319" s="10" t="s">
        <v>0</v>
      </c>
    </row>
    <row r="320">
      <c r="A320" s="10" t="s">
        <v>1283</v>
      </c>
      <c r="B320" s="11">
        <v>44257.776226435184</v>
      </c>
      <c r="C320" s="10" t="s">
        <v>181</v>
      </c>
      <c r="D320" s="10" t="s">
        <v>69</v>
      </c>
      <c r="E320" s="10" t="s">
        <v>1284</v>
      </c>
      <c r="F320" s="10" t="s">
        <v>1285</v>
      </c>
      <c r="G320" s="10" t="s">
        <v>1286</v>
      </c>
      <c r="H320" s="17">
        <v>44266.375</v>
      </c>
      <c r="I320" s="17">
        <v>44266.99930555555</v>
      </c>
      <c r="J320" s="10" t="s">
        <v>73</v>
      </c>
      <c r="K320" s="10" t="s">
        <v>34</v>
      </c>
      <c r="N320" s="10" t="s">
        <v>35</v>
      </c>
      <c r="V320" s="9"/>
      <c r="W320" s="13" t="s">
        <v>78</v>
      </c>
      <c r="X320" s="10" t="s">
        <v>37</v>
      </c>
      <c r="Y320" s="10" t="s">
        <v>0</v>
      </c>
    </row>
    <row r="321">
      <c r="A321" s="10" t="s">
        <v>1287</v>
      </c>
      <c r="B321" s="11">
        <v>44260.627266689815</v>
      </c>
      <c r="C321" s="10" t="s">
        <v>186</v>
      </c>
      <c r="D321" s="10" t="s">
        <v>187</v>
      </c>
      <c r="E321" s="10" t="s">
        <v>188</v>
      </c>
      <c r="F321" s="10" t="s">
        <v>1288</v>
      </c>
      <c r="G321" s="10" t="s">
        <v>1289</v>
      </c>
      <c r="H321" s="17">
        <v>44266.4375</v>
      </c>
      <c r="I321" s="17">
        <v>44266.52083333333</v>
      </c>
      <c r="J321" s="10" t="s">
        <v>128</v>
      </c>
      <c r="K321" s="10" t="s">
        <v>34</v>
      </c>
      <c r="N321" s="10" t="s">
        <v>35</v>
      </c>
      <c r="V321" s="9"/>
      <c r="W321" s="13" t="s">
        <v>78</v>
      </c>
      <c r="X321" s="10" t="s">
        <v>37</v>
      </c>
      <c r="Y321" s="10" t="s">
        <v>0</v>
      </c>
    </row>
    <row r="322">
      <c r="A322" s="10" t="s">
        <v>1290</v>
      </c>
      <c r="B322" s="11">
        <v>44256.60003259259</v>
      </c>
      <c r="C322" s="10" t="s">
        <v>330</v>
      </c>
      <c r="D322" s="10" t="s">
        <v>331</v>
      </c>
      <c r="E322" s="10" t="s">
        <v>1291</v>
      </c>
      <c r="F322" s="10" t="s">
        <v>1292</v>
      </c>
      <c r="G322" s="10" t="s">
        <v>1293</v>
      </c>
      <c r="H322" s="24">
        <v>44265.6875</v>
      </c>
      <c r="I322" s="24">
        <v>44265.77083333333</v>
      </c>
      <c r="J322" s="10" t="s">
        <v>43</v>
      </c>
      <c r="K322" s="10" t="s">
        <v>34</v>
      </c>
      <c r="N322" s="10" t="s">
        <v>296</v>
      </c>
      <c r="O322" s="18" t="s">
        <v>1294</v>
      </c>
      <c r="P322" s="10" t="s">
        <v>296</v>
      </c>
      <c r="Q322" s="10">
        <v>1.0</v>
      </c>
      <c r="R322" s="10" t="s">
        <v>296</v>
      </c>
      <c r="S322" s="10">
        <v>1.0</v>
      </c>
      <c r="T322" s="10" t="s">
        <v>35</v>
      </c>
      <c r="V322" s="9"/>
      <c r="W322" s="13" t="s">
        <v>78</v>
      </c>
      <c r="X322" s="10" t="s">
        <v>37</v>
      </c>
      <c r="Y322" s="10" t="s">
        <v>0</v>
      </c>
    </row>
    <row r="323">
      <c r="A323" s="10" t="s">
        <v>1295</v>
      </c>
      <c r="B323" s="11">
        <v>44263.87191087963</v>
      </c>
      <c r="C323" s="10" t="s">
        <v>96</v>
      </c>
      <c r="D323" s="10" t="s">
        <v>97</v>
      </c>
      <c r="E323" s="10" t="s">
        <v>1296</v>
      </c>
      <c r="F323" s="10" t="s">
        <v>1297</v>
      </c>
      <c r="G323" s="10" t="s">
        <v>1298</v>
      </c>
      <c r="H323" s="17">
        <v>44266.60416666667</v>
      </c>
      <c r="I323" s="17">
        <v>44266.66666666667</v>
      </c>
      <c r="J323" s="10" t="s">
        <v>33</v>
      </c>
      <c r="K323" s="10" t="s">
        <v>34</v>
      </c>
      <c r="N323" s="10" t="s">
        <v>296</v>
      </c>
      <c r="O323" s="18" t="s">
        <v>1299</v>
      </c>
      <c r="P323" s="10" t="s">
        <v>296</v>
      </c>
      <c r="Q323" s="10">
        <v>1.0</v>
      </c>
      <c r="R323" s="10" t="s">
        <v>35</v>
      </c>
      <c r="T323" s="10" t="s">
        <v>35</v>
      </c>
      <c r="V323" s="9"/>
      <c r="W323" s="13" t="s">
        <v>78</v>
      </c>
      <c r="X323" s="10" t="s">
        <v>37</v>
      </c>
      <c r="Y323" s="10" t="s">
        <v>0</v>
      </c>
    </row>
    <row r="324">
      <c r="A324" s="10" t="s">
        <v>1300</v>
      </c>
      <c r="B324" s="11">
        <v>44259.72415715278</v>
      </c>
      <c r="C324" s="10" t="s">
        <v>160</v>
      </c>
      <c r="D324" s="10" t="s">
        <v>161</v>
      </c>
      <c r="E324" s="10" t="s">
        <v>947</v>
      </c>
      <c r="F324" s="10" t="s">
        <v>1301</v>
      </c>
      <c r="G324" s="10" t="s">
        <v>1302</v>
      </c>
      <c r="H324" s="17">
        <v>44266.64583333333</v>
      </c>
      <c r="I324" s="17">
        <v>44266.70833333333</v>
      </c>
      <c r="J324" s="10" t="s">
        <v>128</v>
      </c>
      <c r="K324" s="10" t="s">
        <v>34</v>
      </c>
      <c r="N324" s="10" t="s">
        <v>296</v>
      </c>
      <c r="O324" s="18" t="s">
        <v>1303</v>
      </c>
      <c r="P324" s="10" t="s">
        <v>296</v>
      </c>
      <c r="Q324" s="10">
        <v>1.0</v>
      </c>
      <c r="R324" s="10" t="s">
        <v>296</v>
      </c>
      <c r="S324" s="10">
        <v>1.0</v>
      </c>
      <c r="T324" s="10" t="s">
        <v>35</v>
      </c>
      <c r="V324" s="9"/>
      <c r="W324" s="13" t="s">
        <v>78</v>
      </c>
      <c r="X324" s="10" t="s">
        <v>37</v>
      </c>
      <c r="Y324" s="10" t="s">
        <v>0</v>
      </c>
    </row>
    <row r="325">
      <c r="A325" s="10" t="s">
        <v>1304</v>
      </c>
      <c r="B325" s="11">
        <v>44260.62954666666</v>
      </c>
      <c r="C325" s="10" t="s">
        <v>186</v>
      </c>
      <c r="D325" s="10" t="s">
        <v>187</v>
      </c>
      <c r="E325" s="10" t="s">
        <v>188</v>
      </c>
      <c r="F325" s="10" t="s">
        <v>1305</v>
      </c>
      <c r="G325" s="10" t="s">
        <v>1306</v>
      </c>
      <c r="H325" s="17">
        <v>44266.64583333333</v>
      </c>
      <c r="I325" s="17">
        <v>44266.72916666667</v>
      </c>
      <c r="J325" s="10" t="s">
        <v>128</v>
      </c>
      <c r="K325" s="10" t="s">
        <v>34</v>
      </c>
      <c r="N325" s="10" t="s">
        <v>35</v>
      </c>
      <c r="V325" s="9"/>
      <c r="W325" s="13" t="s">
        <v>78</v>
      </c>
      <c r="X325" s="10" t="s">
        <v>37</v>
      </c>
      <c r="Y325" s="10" t="s">
        <v>0</v>
      </c>
    </row>
    <row r="326">
      <c r="A326" s="10" t="s">
        <v>1307</v>
      </c>
      <c r="B326" s="11">
        <v>44256.32360092593</v>
      </c>
      <c r="C326" s="10" t="s">
        <v>671</v>
      </c>
      <c r="D326" s="10" t="s">
        <v>672</v>
      </c>
      <c r="E326" s="10" t="s">
        <v>1308</v>
      </c>
      <c r="F326" s="10" t="s">
        <v>1309</v>
      </c>
      <c r="G326" s="10" t="s">
        <v>1310</v>
      </c>
      <c r="H326" s="17">
        <v>44266.6875</v>
      </c>
      <c r="I326" s="17">
        <v>44266.72916666667</v>
      </c>
      <c r="J326" s="10" t="s">
        <v>128</v>
      </c>
      <c r="K326" s="10" t="s">
        <v>34</v>
      </c>
      <c r="N326" s="10" t="s">
        <v>35</v>
      </c>
      <c r="V326" s="9"/>
      <c r="W326" s="13" t="s">
        <v>78</v>
      </c>
      <c r="X326" s="10" t="s">
        <v>37</v>
      </c>
      <c r="Y326" s="10" t="s">
        <v>0</v>
      </c>
    </row>
    <row r="327">
      <c r="A327" s="10" t="s">
        <v>1311</v>
      </c>
      <c r="B327" s="11">
        <v>44259.55019938658</v>
      </c>
      <c r="C327" s="10" t="s">
        <v>671</v>
      </c>
      <c r="D327" s="10" t="s">
        <v>672</v>
      </c>
      <c r="E327" s="10" t="s">
        <v>1140</v>
      </c>
      <c r="F327" s="10" t="s">
        <v>1312</v>
      </c>
      <c r="G327" s="10" t="s">
        <v>1313</v>
      </c>
      <c r="H327" s="17">
        <v>44266.6875</v>
      </c>
      <c r="I327" s="17">
        <v>44327.6875</v>
      </c>
      <c r="J327" s="10" t="s">
        <v>128</v>
      </c>
      <c r="K327" s="10" t="s">
        <v>34</v>
      </c>
      <c r="N327" s="10" t="s">
        <v>35</v>
      </c>
      <c r="V327" s="9"/>
      <c r="W327" s="13" t="s">
        <v>78</v>
      </c>
      <c r="X327" s="10" t="s">
        <v>37</v>
      </c>
      <c r="Y327" s="10" t="s">
        <v>0</v>
      </c>
    </row>
    <row r="328">
      <c r="A328" s="10" t="s">
        <v>1314</v>
      </c>
      <c r="B328" s="11">
        <v>44272.50950704861</v>
      </c>
      <c r="C328" s="10" t="s">
        <v>1035</v>
      </c>
      <c r="D328" s="10" t="s">
        <v>1036</v>
      </c>
      <c r="E328" s="10" t="s">
        <v>1037</v>
      </c>
      <c r="F328" s="10" t="s">
        <v>1315</v>
      </c>
      <c r="G328" s="10" t="s">
        <v>1316</v>
      </c>
      <c r="H328" s="17">
        <v>44266.75</v>
      </c>
      <c r="I328" s="17">
        <v>44266.79166666667</v>
      </c>
      <c r="J328" s="10" t="s">
        <v>128</v>
      </c>
      <c r="K328" s="10" t="s">
        <v>34</v>
      </c>
      <c r="N328" s="10" t="s">
        <v>35</v>
      </c>
      <c r="V328" s="9"/>
      <c r="W328" s="13" t="s">
        <v>78</v>
      </c>
      <c r="X328" s="10" t="s">
        <v>37</v>
      </c>
      <c r="Y328" s="10" t="s">
        <v>0</v>
      </c>
    </row>
    <row r="329">
      <c r="A329" s="10" t="s">
        <v>1317</v>
      </c>
      <c r="B329" s="11">
        <v>44259.33174298611</v>
      </c>
      <c r="C329" s="10" t="s">
        <v>491</v>
      </c>
      <c r="D329" s="10" t="s">
        <v>492</v>
      </c>
      <c r="E329" s="10" t="s">
        <v>1318</v>
      </c>
      <c r="F329" s="10" t="s">
        <v>1319</v>
      </c>
      <c r="G329" s="10" t="s">
        <v>1320</v>
      </c>
      <c r="H329" s="17">
        <v>44266.79166666667</v>
      </c>
      <c r="I329" s="17">
        <v>44266.84375</v>
      </c>
      <c r="J329" s="10" t="s">
        <v>128</v>
      </c>
      <c r="K329" s="10" t="s">
        <v>34</v>
      </c>
      <c r="N329" s="10" t="s">
        <v>35</v>
      </c>
      <c r="V329" s="9"/>
      <c r="W329" s="13" t="s">
        <v>78</v>
      </c>
      <c r="X329" s="10" t="s">
        <v>37</v>
      </c>
      <c r="Y329" s="10" t="s">
        <v>0</v>
      </c>
    </row>
    <row r="330">
      <c r="A330" s="10" t="s">
        <v>1321</v>
      </c>
      <c r="B330" s="11">
        <v>44269.696020347226</v>
      </c>
      <c r="C330" s="10" t="s">
        <v>102</v>
      </c>
      <c r="D330" s="10" t="s">
        <v>103</v>
      </c>
      <c r="E330" s="10" t="s">
        <v>1322</v>
      </c>
      <c r="F330" s="10" t="s">
        <v>1323</v>
      </c>
      <c r="G330" s="10" t="s">
        <v>1324</v>
      </c>
      <c r="H330" s="17">
        <v>44267.125</v>
      </c>
      <c r="I330" s="17">
        <v>44267.20833333333</v>
      </c>
      <c r="J330" s="10" t="s">
        <v>128</v>
      </c>
      <c r="K330" s="10" t="s">
        <v>34</v>
      </c>
      <c r="N330" s="10" t="s">
        <v>35</v>
      </c>
      <c r="V330" s="9"/>
      <c r="W330" s="13" t="s">
        <v>78</v>
      </c>
      <c r="X330" s="10" t="s">
        <v>37</v>
      </c>
      <c r="Y330" s="10" t="s">
        <v>0</v>
      </c>
    </row>
    <row r="331">
      <c r="A331" s="10" t="s">
        <v>1325</v>
      </c>
      <c r="B331" s="11">
        <v>44259.71398892361</v>
      </c>
      <c r="C331" s="10" t="s">
        <v>160</v>
      </c>
      <c r="D331" s="10" t="s">
        <v>161</v>
      </c>
      <c r="E331" s="10" t="s">
        <v>1326</v>
      </c>
      <c r="F331" s="10" t="s">
        <v>1292</v>
      </c>
      <c r="G331" s="10" t="s">
        <v>1327</v>
      </c>
      <c r="H331" s="24">
        <v>44265.6875</v>
      </c>
      <c r="I331" s="24">
        <v>44265.75</v>
      </c>
      <c r="J331" s="10" t="s">
        <v>43</v>
      </c>
      <c r="K331" s="10" t="s">
        <v>34</v>
      </c>
      <c r="N331" s="10" t="s">
        <v>296</v>
      </c>
      <c r="O331" s="18" t="s">
        <v>1328</v>
      </c>
      <c r="P331" s="10" t="s">
        <v>296</v>
      </c>
      <c r="Q331" s="10">
        <v>1.0</v>
      </c>
      <c r="R331" s="10" t="s">
        <v>296</v>
      </c>
      <c r="S331" s="10">
        <v>1.0</v>
      </c>
      <c r="T331" s="10" t="s">
        <v>35</v>
      </c>
      <c r="V331" s="9"/>
      <c r="W331" s="13" t="s">
        <v>78</v>
      </c>
      <c r="X331" s="10" t="s">
        <v>37</v>
      </c>
      <c r="Y331" s="10" t="s">
        <v>0</v>
      </c>
    </row>
    <row r="332">
      <c r="A332" s="10" t="s">
        <v>1329</v>
      </c>
      <c r="B332" s="11">
        <v>44260.65157793982</v>
      </c>
      <c r="C332" s="10" t="s">
        <v>453</v>
      </c>
      <c r="D332" s="10" t="s">
        <v>393</v>
      </c>
      <c r="E332" s="10" t="s">
        <v>1330</v>
      </c>
      <c r="F332" s="10" t="s">
        <v>1331</v>
      </c>
      <c r="G332" s="10" t="s">
        <v>1332</v>
      </c>
      <c r="H332" s="24">
        <v>44266.16666666667</v>
      </c>
      <c r="I332" s="24">
        <v>44266.20833333333</v>
      </c>
      <c r="J332" s="10" t="s">
        <v>1333</v>
      </c>
      <c r="K332" s="10" t="s">
        <v>34</v>
      </c>
      <c r="L332" s="10" t="s">
        <v>1334</v>
      </c>
      <c r="N332" s="10" t="s">
        <v>35</v>
      </c>
      <c r="V332" s="9"/>
      <c r="W332" s="13" t="s">
        <v>78</v>
      </c>
      <c r="X332" s="10" t="s">
        <v>37</v>
      </c>
      <c r="Y332" s="10" t="s">
        <v>0</v>
      </c>
    </row>
    <row r="333">
      <c r="A333" s="10" t="s">
        <v>1335</v>
      </c>
      <c r="B333" s="11">
        <v>44258.72982414352</v>
      </c>
      <c r="C333" s="10" t="s">
        <v>539</v>
      </c>
      <c r="D333" s="10" t="s">
        <v>540</v>
      </c>
      <c r="E333" s="10" t="s">
        <v>1336</v>
      </c>
      <c r="F333" s="10" t="s">
        <v>1337</v>
      </c>
      <c r="G333" s="10" t="s">
        <v>1338</v>
      </c>
      <c r="H333" s="17">
        <v>44267.29166666667</v>
      </c>
      <c r="I333" s="17">
        <v>44267.83333333333</v>
      </c>
      <c r="J333" s="10" t="s">
        <v>73</v>
      </c>
      <c r="K333" s="10" t="s">
        <v>34</v>
      </c>
      <c r="N333" s="10" t="s">
        <v>35</v>
      </c>
      <c r="V333" s="9"/>
      <c r="W333" s="13" t="s">
        <v>78</v>
      </c>
      <c r="X333" s="10" t="s">
        <v>37</v>
      </c>
      <c r="Y333" s="10" t="s">
        <v>0</v>
      </c>
    </row>
    <row r="334">
      <c r="A334" s="10" t="s">
        <v>1339</v>
      </c>
      <c r="B334" s="11">
        <v>44259.57274363426</v>
      </c>
      <c r="C334" s="10" t="s">
        <v>181</v>
      </c>
      <c r="D334" s="10" t="s">
        <v>69</v>
      </c>
      <c r="E334" s="10" t="s">
        <v>1340</v>
      </c>
      <c r="F334" s="10" t="s">
        <v>1341</v>
      </c>
      <c r="G334" s="10" t="s">
        <v>1342</v>
      </c>
      <c r="H334" s="24">
        <v>44266.60416666667</v>
      </c>
      <c r="I334" s="24">
        <v>44266.66666666667</v>
      </c>
      <c r="J334" s="10" t="s">
        <v>43</v>
      </c>
      <c r="K334" s="10" t="s">
        <v>34</v>
      </c>
      <c r="N334" s="10" t="s">
        <v>296</v>
      </c>
      <c r="O334" s="18" t="s">
        <v>1343</v>
      </c>
      <c r="P334" s="10" t="s">
        <v>35</v>
      </c>
      <c r="R334" s="10" t="s">
        <v>35</v>
      </c>
      <c r="T334" s="10" t="s">
        <v>296</v>
      </c>
      <c r="U334" s="10">
        <v>1.0</v>
      </c>
      <c r="V334" s="27"/>
      <c r="W334" s="13" t="s">
        <v>78</v>
      </c>
      <c r="X334" s="10" t="s">
        <v>37</v>
      </c>
      <c r="Y334" s="10" t="s">
        <v>0</v>
      </c>
    </row>
    <row r="335">
      <c r="A335" s="10" t="s">
        <v>1344</v>
      </c>
      <c r="B335" s="11">
        <v>44272.5103925</v>
      </c>
      <c r="C335" s="10" t="s">
        <v>1035</v>
      </c>
      <c r="D335" s="10" t="s">
        <v>1036</v>
      </c>
      <c r="E335" s="10" t="s">
        <v>1037</v>
      </c>
      <c r="F335" s="10" t="s">
        <v>1315</v>
      </c>
      <c r="G335" s="10" t="s">
        <v>1345</v>
      </c>
      <c r="H335" s="17">
        <v>44267.39583333333</v>
      </c>
      <c r="I335" s="17">
        <v>44267.4375</v>
      </c>
      <c r="J335" s="10" t="s">
        <v>128</v>
      </c>
      <c r="K335" s="10" t="s">
        <v>34</v>
      </c>
      <c r="N335" s="10" t="s">
        <v>35</v>
      </c>
      <c r="V335" s="9"/>
      <c r="W335" s="13" t="s">
        <v>78</v>
      </c>
      <c r="X335" s="10" t="s">
        <v>37</v>
      </c>
      <c r="Y335" s="10" t="s">
        <v>0</v>
      </c>
    </row>
    <row r="336">
      <c r="A336" s="10" t="s">
        <v>1346</v>
      </c>
      <c r="B336" s="11">
        <v>44267.653685509256</v>
      </c>
      <c r="C336" s="10" t="s">
        <v>453</v>
      </c>
      <c r="D336" s="10" t="s">
        <v>393</v>
      </c>
      <c r="E336" s="10" t="s">
        <v>1347</v>
      </c>
      <c r="F336" s="10" t="s">
        <v>1348</v>
      </c>
      <c r="G336" s="10" t="s">
        <v>1349</v>
      </c>
      <c r="H336" s="16">
        <v>44267.14583333333</v>
      </c>
      <c r="I336" s="16">
        <v>44267.20833333333</v>
      </c>
      <c r="J336" s="10" t="s">
        <v>1333</v>
      </c>
      <c r="K336" s="10" t="s">
        <v>34</v>
      </c>
      <c r="L336" s="10" t="s">
        <v>1334</v>
      </c>
      <c r="N336" s="10" t="s">
        <v>35</v>
      </c>
      <c r="V336" s="9"/>
      <c r="W336" s="13" t="s">
        <v>78</v>
      </c>
      <c r="X336" s="10" t="s">
        <v>37</v>
      </c>
      <c r="Y336" s="10" t="s">
        <v>0</v>
      </c>
    </row>
    <row r="337">
      <c r="A337" s="10" t="s">
        <v>1350</v>
      </c>
      <c r="B337" s="11">
        <v>44263.43699552084</v>
      </c>
      <c r="C337" s="10" t="s">
        <v>80</v>
      </c>
      <c r="D337" s="10" t="s">
        <v>81</v>
      </c>
      <c r="E337" s="10" t="s">
        <v>1351</v>
      </c>
      <c r="F337" s="10" t="s">
        <v>1352</v>
      </c>
      <c r="G337" s="10" t="s">
        <v>1353</v>
      </c>
      <c r="H337" s="24">
        <v>44267.1875</v>
      </c>
      <c r="I337" s="24">
        <v>44267.22916666667</v>
      </c>
      <c r="J337" s="10" t="s">
        <v>43</v>
      </c>
      <c r="K337" s="10" t="s">
        <v>34</v>
      </c>
      <c r="N337" s="10" t="s">
        <v>296</v>
      </c>
      <c r="O337" s="18" t="s">
        <v>1354</v>
      </c>
      <c r="P337" s="10" t="s">
        <v>35</v>
      </c>
      <c r="R337" s="10" t="s">
        <v>35</v>
      </c>
      <c r="T337" s="10" t="s">
        <v>296</v>
      </c>
      <c r="U337" s="10">
        <v>1.0</v>
      </c>
      <c r="V337" s="27"/>
      <c r="W337" s="13" t="s">
        <v>78</v>
      </c>
      <c r="X337" s="10" t="s">
        <v>37</v>
      </c>
      <c r="Y337" s="10" t="s">
        <v>0</v>
      </c>
    </row>
    <row r="338">
      <c r="A338" s="10" t="s">
        <v>1355</v>
      </c>
      <c r="B338" s="11">
        <v>44263.94642489583</v>
      </c>
      <c r="C338" s="10" t="s">
        <v>28</v>
      </c>
      <c r="D338" s="10" t="s">
        <v>29</v>
      </c>
      <c r="E338" s="10" t="s">
        <v>63</v>
      </c>
      <c r="F338" s="10" t="s">
        <v>1356</v>
      </c>
      <c r="G338" s="10" t="s">
        <v>1357</v>
      </c>
      <c r="H338" s="16">
        <v>44267.3125</v>
      </c>
      <c r="I338" s="16">
        <v>44267.39583333333</v>
      </c>
      <c r="J338" s="10" t="s">
        <v>43</v>
      </c>
      <c r="K338" s="10" t="s">
        <v>34</v>
      </c>
      <c r="N338" s="10" t="s">
        <v>35</v>
      </c>
      <c r="V338" s="9"/>
      <c r="W338" s="13" t="s">
        <v>78</v>
      </c>
      <c r="X338" s="10" t="s">
        <v>37</v>
      </c>
      <c r="Y338" s="10" t="s">
        <v>0</v>
      </c>
    </row>
    <row r="339">
      <c r="A339" s="10" t="s">
        <v>1358</v>
      </c>
      <c r="B339" s="11">
        <v>44258.631364166664</v>
      </c>
      <c r="C339" s="10" t="s">
        <v>1359</v>
      </c>
      <c r="D339" s="10" t="s">
        <v>1360</v>
      </c>
      <c r="E339" s="10" t="s">
        <v>1361</v>
      </c>
      <c r="F339" s="10" t="s">
        <v>1362</v>
      </c>
      <c r="G339" s="10" t="s">
        <v>1363</v>
      </c>
      <c r="H339" s="24">
        <v>44267.41666666667</v>
      </c>
      <c r="I339" s="24">
        <v>44267.45833333333</v>
      </c>
      <c r="J339" s="10" t="s">
        <v>43</v>
      </c>
      <c r="K339" s="10" t="s">
        <v>34</v>
      </c>
      <c r="N339" s="10" t="s">
        <v>35</v>
      </c>
      <c r="V339" s="9"/>
      <c r="W339" s="13" t="s">
        <v>78</v>
      </c>
      <c r="X339" s="10" t="s">
        <v>37</v>
      </c>
      <c r="Y339" s="10" t="s">
        <v>0</v>
      </c>
    </row>
    <row r="340">
      <c r="A340" s="10" t="s">
        <v>1364</v>
      </c>
      <c r="B340" s="11">
        <v>44260.6306215625</v>
      </c>
      <c r="C340" s="10" t="s">
        <v>186</v>
      </c>
      <c r="D340" s="10" t="s">
        <v>187</v>
      </c>
      <c r="E340" s="10" t="s">
        <v>188</v>
      </c>
      <c r="F340" s="10" t="s">
        <v>1365</v>
      </c>
      <c r="G340" s="10" t="s">
        <v>1366</v>
      </c>
      <c r="H340" s="17">
        <v>44267.45833333333</v>
      </c>
      <c r="I340" s="17">
        <v>44267.54166666667</v>
      </c>
      <c r="J340" s="10" t="s">
        <v>128</v>
      </c>
      <c r="K340" s="10" t="s">
        <v>34</v>
      </c>
      <c r="N340" s="10" t="s">
        <v>35</v>
      </c>
      <c r="V340" s="9"/>
      <c r="W340" s="13" t="s">
        <v>78</v>
      </c>
      <c r="X340" s="10" t="s">
        <v>37</v>
      </c>
      <c r="Y340" s="10" t="s">
        <v>0</v>
      </c>
    </row>
    <row r="341">
      <c r="A341" s="10" t="s">
        <v>1367</v>
      </c>
      <c r="B341" s="11">
        <v>44261.512716157406</v>
      </c>
      <c r="C341" s="10" t="s">
        <v>209</v>
      </c>
      <c r="D341" s="10" t="s">
        <v>210</v>
      </c>
      <c r="E341" s="10" t="s">
        <v>261</v>
      </c>
      <c r="F341" s="10" t="s">
        <v>1368</v>
      </c>
      <c r="G341" s="10" t="s">
        <v>1369</v>
      </c>
      <c r="H341" s="17">
        <v>44267.47916666667</v>
      </c>
      <c r="I341" s="17">
        <v>44267.52083333333</v>
      </c>
      <c r="J341" s="10" t="s">
        <v>33</v>
      </c>
      <c r="K341" s="10" t="s">
        <v>34</v>
      </c>
      <c r="N341" s="10" t="s">
        <v>35</v>
      </c>
      <c r="V341" s="9"/>
      <c r="W341" s="13" t="s">
        <v>78</v>
      </c>
      <c r="X341" s="10" t="s">
        <v>37</v>
      </c>
      <c r="Y341" s="10" t="s">
        <v>0</v>
      </c>
    </row>
    <row r="342">
      <c r="A342" s="10" t="s">
        <v>1370</v>
      </c>
      <c r="B342" s="11">
        <v>44256.58781070602</v>
      </c>
      <c r="C342" s="10" t="s">
        <v>209</v>
      </c>
      <c r="D342" s="10" t="s">
        <v>210</v>
      </c>
      <c r="E342" s="10" t="s">
        <v>1027</v>
      </c>
      <c r="F342" s="10" t="s">
        <v>1371</v>
      </c>
      <c r="G342" s="10" t="s">
        <v>1372</v>
      </c>
      <c r="H342" s="17">
        <v>44267.52083333333</v>
      </c>
      <c r="I342" s="17">
        <v>44267.60416666667</v>
      </c>
      <c r="J342" s="10" t="s">
        <v>128</v>
      </c>
      <c r="K342" s="10" t="s">
        <v>34</v>
      </c>
      <c r="N342" s="10" t="s">
        <v>35</v>
      </c>
      <c r="V342" s="9"/>
      <c r="W342" s="13" t="s">
        <v>78</v>
      </c>
      <c r="X342" s="10" t="s">
        <v>37</v>
      </c>
      <c r="Y342" s="10" t="s">
        <v>0</v>
      </c>
    </row>
    <row r="343">
      <c r="A343" s="10" t="s">
        <v>1373</v>
      </c>
      <c r="B343" s="11">
        <v>44267.535155034726</v>
      </c>
      <c r="C343" s="10" t="s">
        <v>694</v>
      </c>
      <c r="D343" s="10" t="s">
        <v>695</v>
      </c>
      <c r="E343" s="10" t="s">
        <v>696</v>
      </c>
      <c r="F343" s="10" t="s">
        <v>1374</v>
      </c>
      <c r="G343" s="10" t="s">
        <v>698</v>
      </c>
      <c r="H343" s="17">
        <v>44267.52083333333</v>
      </c>
      <c r="I343" s="17">
        <v>44267.5625</v>
      </c>
      <c r="J343" s="10" t="s">
        <v>128</v>
      </c>
      <c r="K343" s="10" t="s">
        <v>34</v>
      </c>
      <c r="N343" s="10" t="s">
        <v>35</v>
      </c>
      <c r="V343" s="9"/>
      <c r="W343" s="13" t="s">
        <v>78</v>
      </c>
      <c r="X343" s="10" t="s">
        <v>37</v>
      </c>
      <c r="Y343" s="10" t="s">
        <v>0</v>
      </c>
    </row>
    <row r="344">
      <c r="A344" s="10" t="s">
        <v>1375</v>
      </c>
      <c r="B344" s="11">
        <v>44256.482773564814</v>
      </c>
      <c r="C344" s="10" t="s">
        <v>137</v>
      </c>
      <c r="D344" s="10" t="s">
        <v>138</v>
      </c>
      <c r="E344" s="10" t="s">
        <v>1376</v>
      </c>
      <c r="F344" s="10" t="s">
        <v>482</v>
      </c>
      <c r="G344" s="10" t="s">
        <v>1377</v>
      </c>
      <c r="H344" s="17">
        <v>44267.58333333333</v>
      </c>
      <c r="I344" s="17">
        <v>44267.66666666667</v>
      </c>
      <c r="J344" s="10" t="s">
        <v>128</v>
      </c>
      <c r="K344" s="10" t="s">
        <v>34</v>
      </c>
      <c r="N344" s="10" t="s">
        <v>35</v>
      </c>
      <c r="V344" s="9"/>
      <c r="W344" s="13" t="s">
        <v>78</v>
      </c>
      <c r="X344" s="10" t="s">
        <v>37</v>
      </c>
      <c r="Y344" s="10" t="s">
        <v>0</v>
      </c>
    </row>
    <row r="345">
      <c r="A345" s="10" t="s">
        <v>1378</v>
      </c>
      <c r="B345" s="11">
        <v>44265.954052824076</v>
      </c>
      <c r="C345" s="10" t="s">
        <v>219</v>
      </c>
      <c r="D345" s="10" t="s">
        <v>220</v>
      </c>
      <c r="E345" s="10" t="s">
        <v>1379</v>
      </c>
      <c r="F345" s="10" t="s">
        <v>1380</v>
      </c>
      <c r="G345" s="10" t="s">
        <v>1381</v>
      </c>
      <c r="H345" s="16">
        <v>44267.41666666667</v>
      </c>
      <c r="I345" s="16">
        <v>44267.5</v>
      </c>
      <c r="J345" s="10" t="s">
        <v>43</v>
      </c>
      <c r="K345" s="10" t="s">
        <v>34</v>
      </c>
      <c r="N345" s="10" t="s">
        <v>35</v>
      </c>
      <c r="V345" s="9"/>
      <c r="W345" s="13" t="s">
        <v>78</v>
      </c>
      <c r="X345" s="10" t="s">
        <v>37</v>
      </c>
      <c r="Y345" s="10" t="s">
        <v>0</v>
      </c>
    </row>
    <row r="346">
      <c r="A346" s="10" t="s">
        <v>1382</v>
      </c>
      <c r="B346" s="11">
        <v>44259.535373113424</v>
      </c>
      <c r="C346" s="10" t="s">
        <v>671</v>
      </c>
      <c r="D346" s="10" t="s">
        <v>672</v>
      </c>
      <c r="E346" s="10" t="s">
        <v>1383</v>
      </c>
      <c r="F346" s="10" t="s">
        <v>1384</v>
      </c>
      <c r="G346" s="10" t="s">
        <v>1385</v>
      </c>
      <c r="H346" s="17">
        <v>44267.60416666667</v>
      </c>
      <c r="I346" s="17">
        <v>44267.6875</v>
      </c>
      <c r="J346" s="10" t="s">
        <v>128</v>
      </c>
      <c r="K346" s="10" t="s">
        <v>34</v>
      </c>
      <c r="N346" s="10" t="s">
        <v>296</v>
      </c>
      <c r="O346" s="18" t="s">
        <v>1386</v>
      </c>
      <c r="P346" s="10" t="s">
        <v>296</v>
      </c>
      <c r="Q346" s="10">
        <v>1.0</v>
      </c>
      <c r="R346" s="10" t="s">
        <v>296</v>
      </c>
      <c r="S346" s="10">
        <v>1.0</v>
      </c>
      <c r="T346" s="10" t="s">
        <v>35</v>
      </c>
      <c r="V346" s="9"/>
      <c r="W346" s="13" t="s">
        <v>78</v>
      </c>
      <c r="X346" s="10" t="s">
        <v>37</v>
      </c>
      <c r="Y346" s="10" t="s">
        <v>0</v>
      </c>
    </row>
    <row r="347">
      <c r="A347" s="10" t="s">
        <v>1387</v>
      </c>
      <c r="B347" s="11">
        <v>44260.730015891204</v>
      </c>
      <c r="C347" s="10" t="s">
        <v>186</v>
      </c>
      <c r="D347" s="10" t="s">
        <v>187</v>
      </c>
      <c r="E347" s="10" t="s">
        <v>188</v>
      </c>
      <c r="F347" s="10" t="s">
        <v>1388</v>
      </c>
      <c r="G347" s="10" t="s">
        <v>1389</v>
      </c>
      <c r="H347" s="17">
        <v>44267.60416666667</v>
      </c>
      <c r="I347" s="17">
        <v>44267.6875</v>
      </c>
      <c r="J347" s="10" t="s">
        <v>128</v>
      </c>
      <c r="K347" s="10" t="s">
        <v>34</v>
      </c>
      <c r="N347" s="10" t="s">
        <v>35</v>
      </c>
      <c r="V347" s="9"/>
      <c r="W347" s="13" t="s">
        <v>78</v>
      </c>
      <c r="X347" s="10" t="s">
        <v>37</v>
      </c>
      <c r="Y347" s="10" t="s">
        <v>0</v>
      </c>
    </row>
    <row r="348">
      <c r="A348" s="10" t="s">
        <v>1390</v>
      </c>
      <c r="B348" s="11">
        <v>44267.70220027778</v>
      </c>
      <c r="C348" s="10" t="s">
        <v>186</v>
      </c>
      <c r="D348" s="10" t="s">
        <v>187</v>
      </c>
      <c r="E348" s="10" t="s">
        <v>188</v>
      </c>
      <c r="F348" s="10" t="s">
        <v>1391</v>
      </c>
      <c r="G348" s="10" t="s">
        <v>1392</v>
      </c>
      <c r="H348" s="16">
        <v>44267.60416666667</v>
      </c>
      <c r="I348" s="16">
        <v>44268.6875</v>
      </c>
      <c r="J348" s="10" t="s">
        <v>128</v>
      </c>
      <c r="K348" s="10" t="s">
        <v>34</v>
      </c>
      <c r="N348" s="10" t="s">
        <v>35</v>
      </c>
      <c r="V348" s="9"/>
      <c r="W348" s="13" t="s">
        <v>78</v>
      </c>
      <c r="X348" s="10" t="s">
        <v>37</v>
      </c>
      <c r="Y348" s="10" t="s">
        <v>0</v>
      </c>
    </row>
    <row r="349">
      <c r="A349" s="10" t="s">
        <v>1393</v>
      </c>
      <c r="B349" s="11">
        <v>44250.71703667824</v>
      </c>
      <c r="C349" s="10" t="s">
        <v>28</v>
      </c>
      <c r="D349" s="10" t="s">
        <v>29</v>
      </c>
      <c r="E349" s="10" t="s">
        <v>1394</v>
      </c>
      <c r="F349" s="10" t="s">
        <v>1395</v>
      </c>
      <c r="G349" s="10" t="s">
        <v>1396</v>
      </c>
      <c r="H349" s="24">
        <v>44267.4375</v>
      </c>
      <c r="I349" s="24">
        <v>44267.52083333333</v>
      </c>
      <c r="J349" s="10" t="s">
        <v>43</v>
      </c>
      <c r="K349" s="10" t="s">
        <v>34</v>
      </c>
      <c r="N349" s="10" t="s">
        <v>35</v>
      </c>
      <c r="V349" s="9"/>
      <c r="W349" s="13" t="s">
        <v>78</v>
      </c>
      <c r="X349" s="10" t="s">
        <v>37</v>
      </c>
      <c r="Y349" s="10" t="s">
        <v>0</v>
      </c>
    </row>
    <row r="350">
      <c r="A350" s="10" t="s">
        <v>1397</v>
      </c>
      <c r="B350" s="11">
        <v>44260.48118357639</v>
      </c>
      <c r="C350" s="10" t="s">
        <v>975</v>
      </c>
      <c r="D350" s="10" t="s">
        <v>976</v>
      </c>
      <c r="E350" s="10" t="s">
        <v>1398</v>
      </c>
      <c r="F350" s="10" t="s">
        <v>1399</v>
      </c>
      <c r="G350" s="10" t="s">
        <v>1396</v>
      </c>
      <c r="H350" s="24">
        <v>44267.4375</v>
      </c>
      <c r="I350" s="24">
        <v>44267.52083333333</v>
      </c>
      <c r="J350" s="10" t="s">
        <v>43</v>
      </c>
      <c r="K350" s="10" t="s">
        <v>34</v>
      </c>
      <c r="N350" s="10" t="s">
        <v>296</v>
      </c>
      <c r="O350" s="18" t="s">
        <v>1400</v>
      </c>
      <c r="P350" s="10" t="s">
        <v>296</v>
      </c>
      <c r="Q350" s="10">
        <v>1.0</v>
      </c>
      <c r="R350" s="10" t="s">
        <v>35</v>
      </c>
      <c r="T350" s="10" t="s">
        <v>35</v>
      </c>
      <c r="V350" s="9"/>
      <c r="W350" s="13" t="s">
        <v>78</v>
      </c>
      <c r="X350" s="10" t="s">
        <v>37</v>
      </c>
      <c r="Y350" s="10" t="s">
        <v>0</v>
      </c>
    </row>
    <row r="351">
      <c r="A351" s="10" t="s">
        <v>1401</v>
      </c>
      <c r="B351" s="11">
        <v>44260.631674247685</v>
      </c>
      <c r="C351" s="10" t="s">
        <v>186</v>
      </c>
      <c r="D351" s="10" t="s">
        <v>187</v>
      </c>
      <c r="E351" s="10" t="s">
        <v>188</v>
      </c>
      <c r="F351" s="10" t="s">
        <v>1402</v>
      </c>
      <c r="G351" s="10" t="s">
        <v>1403</v>
      </c>
      <c r="H351" s="17">
        <v>44267.625</v>
      </c>
      <c r="I351" s="17">
        <v>44267.70833333333</v>
      </c>
      <c r="J351" s="10" t="s">
        <v>128</v>
      </c>
      <c r="K351" s="10" t="s">
        <v>34</v>
      </c>
      <c r="N351" s="10" t="s">
        <v>35</v>
      </c>
      <c r="V351" s="9"/>
      <c r="W351" s="13" t="s">
        <v>78</v>
      </c>
      <c r="X351" s="10" t="s">
        <v>37</v>
      </c>
      <c r="Y351" s="10" t="s">
        <v>0</v>
      </c>
    </row>
    <row r="352">
      <c r="A352" s="10" t="s">
        <v>1404</v>
      </c>
      <c r="B352" s="11">
        <v>44253.32900165509</v>
      </c>
      <c r="C352" s="21" t="s">
        <v>1405</v>
      </c>
      <c r="D352" s="21" t="s">
        <v>1406</v>
      </c>
      <c r="E352" s="21" t="s">
        <v>1407</v>
      </c>
      <c r="F352" s="21" t="s">
        <v>1408</v>
      </c>
      <c r="G352" s="21" t="s">
        <v>1409</v>
      </c>
      <c r="H352" s="22">
        <v>44267.604166666664</v>
      </c>
      <c r="I352" s="22">
        <v>44268.854166666664</v>
      </c>
      <c r="J352" s="10" t="s">
        <v>236</v>
      </c>
      <c r="K352" s="10" t="s">
        <v>34</v>
      </c>
      <c r="N352" s="10" t="s">
        <v>35</v>
      </c>
      <c r="V352" s="9"/>
      <c r="W352" s="13" t="s">
        <v>78</v>
      </c>
      <c r="X352" s="10" t="s">
        <v>37</v>
      </c>
      <c r="Y352" s="10" t="s">
        <v>0</v>
      </c>
    </row>
    <row r="353">
      <c r="A353" s="10" t="s">
        <v>1410</v>
      </c>
      <c r="B353" s="11">
        <v>44257.81022450232</v>
      </c>
      <c r="C353" s="10" t="s">
        <v>694</v>
      </c>
      <c r="D353" s="10" t="s">
        <v>695</v>
      </c>
      <c r="E353" s="10" t="s">
        <v>696</v>
      </c>
      <c r="F353" s="10" t="s">
        <v>1411</v>
      </c>
      <c r="G353" s="10" t="s">
        <v>1412</v>
      </c>
      <c r="H353" s="24">
        <v>44267.625</v>
      </c>
      <c r="I353" s="24">
        <v>44267.66666666667</v>
      </c>
      <c r="J353" s="10" t="s">
        <v>43</v>
      </c>
      <c r="K353" s="10" t="s">
        <v>34</v>
      </c>
      <c r="N353" s="10" t="s">
        <v>35</v>
      </c>
      <c r="V353" s="9"/>
      <c r="W353" s="13" t="s">
        <v>78</v>
      </c>
      <c r="X353" s="10" t="s">
        <v>37</v>
      </c>
      <c r="Y353" s="10" t="s">
        <v>0</v>
      </c>
    </row>
    <row r="354">
      <c r="A354" s="10" t="s">
        <v>1413</v>
      </c>
      <c r="B354" s="11">
        <v>44259.71831440972</v>
      </c>
      <c r="C354" s="10" t="s">
        <v>160</v>
      </c>
      <c r="D354" s="10" t="s">
        <v>161</v>
      </c>
      <c r="E354" s="10" t="s">
        <v>947</v>
      </c>
      <c r="F354" s="10" t="s">
        <v>1414</v>
      </c>
      <c r="G354" s="10" t="s">
        <v>1415</v>
      </c>
      <c r="H354" s="24">
        <v>44267.625</v>
      </c>
      <c r="I354" s="24">
        <v>44267.6875</v>
      </c>
      <c r="J354" s="10" t="s">
        <v>43</v>
      </c>
      <c r="K354" s="10" t="s">
        <v>34</v>
      </c>
      <c r="N354" s="10" t="s">
        <v>296</v>
      </c>
      <c r="O354" s="18" t="s">
        <v>1416</v>
      </c>
      <c r="P354" s="10" t="s">
        <v>296</v>
      </c>
      <c r="Q354" s="10">
        <v>2.0</v>
      </c>
      <c r="R354" s="10" t="s">
        <v>296</v>
      </c>
      <c r="S354" s="10">
        <v>2.0</v>
      </c>
      <c r="T354" s="10" t="s">
        <v>35</v>
      </c>
      <c r="V354" s="9"/>
      <c r="W354" s="13" t="s">
        <v>78</v>
      </c>
      <c r="X354" s="10" t="s">
        <v>37</v>
      </c>
      <c r="Y354" s="10" t="s">
        <v>0</v>
      </c>
    </row>
    <row r="355">
      <c r="A355" s="10" t="s">
        <v>1417</v>
      </c>
      <c r="B355" s="11">
        <v>44259.551847256946</v>
      </c>
      <c r="C355" s="10" t="s">
        <v>671</v>
      </c>
      <c r="D355" s="10" t="s">
        <v>672</v>
      </c>
      <c r="E355" s="10" t="s">
        <v>1140</v>
      </c>
      <c r="F355" s="10" t="s">
        <v>1418</v>
      </c>
      <c r="G355" s="10" t="s">
        <v>1313</v>
      </c>
      <c r="H355" s="17">
        <v>44267.6875</v>
      </c>
      <c r="I355" s="17">
        <v>44267.72916666667</v>
      </c>
      <c r="J355" s="10" t="s">
        <v>128</v>
      </c>
      <c r="K355" s="10" t="s">
        <v>34</v>
      </c>
      <c r="N355" s="10" t="s">
        <v>35</v>
      </c>
      <c r="V355" s="9"/>
      <c r="W355" s="13" t="s">
        <v>78</v>
      </c>
      <c r="X355" s="10" t="s">
        <v>37</v>
      </c>
      <c r="Y355" s="10" t="s">
        <v>0</v>
      </c>
    </row>
    <row r="356">
      <c r="A356" s="10" t="s">
        <v>1419</v>
      </c>
      <c r="B356" s="11">
        <v>44261.49679582176</v>
      </c>
      <c r="C356" s="10" t="s">
        <v>374</v>
      </c>
      <c r="D356" s="10" t="s">
        <v>375</v>
      </c>
      <c r="E356" s="10" t="s">
        <v>1420</v>
      </c>
      <c r="F356" s="10" t="s">
        <v>1421</v>
      </c>
      <c r="G356" s="10" t="s">
        <v>1422</v>
      </c>
      <c r="H356" s="17">
        <v>44267.6875</v>
      </c>
      <c r="I356" s="17">
        <v>44267.72916666667</v>
      </c>
      <c r="J356" s="10" t="s">
        <v>33</v>
      </c>
      <c r="K356" s="10" t="s">
        <v>34</v>
      </c>
      <c r="N356" s="10" t="s">
        <v>35</v>
      </c>
      <c r="V356" s="9"/>
      <c r="W356" s="13" t="s">
        <v>78</v>
      </c>
      <c r="X356" s="10" t="s">
        <v>37</v>
      </c>
      <c r="Y356" s="10" t="s">
        <v>0</v>
      </c>
    </row>
    <row r="357">
      <c r="A357" s="10" t="s">
        <v>1423</v>
      </c>
      <c r="B357" s="11">
        <v>44263.85810762731</v>
      </c>
      <c r="C357" s="10" t="s">
        <v>96</v>
      </c>
      <c r="D357" s="10" t="s">
        <v>97</v>
      </c>
      <c r="E357" s="10" t="s">
        <v>1296</v>
      </c>
      <c r="F357" s="10" t="s">
        <v>1424</v>
      </c>
      <c r="G357" s="10" t="s">
        <v>1425</v>
      </c>
      <c r="H357" s="17">
        <v>44267.6875</v>
      </c>
      <c r="I357" s="17">
        <v>44337.75</v>
      </c>
      <c r="J357" s="10" t="s">
        <v>128</v>
      </c>
      <c r="K357" s="10" t="s">
        <v>34</v>
      </c>
      <c r="N357" s="10" t="s">
        <v>35</v>
      </c>
      <c r="V357" s="9"/>
      <c r="W357" s="13" t="s">
        <v>78</v>
      </c>
      <c r="X357" s="10" t="s">
        <v>37</v>
      </c>
      <c r="Y357" s="10" t="s">
        <v>0</v>
      </c>
    </row>
    <row r="358">
      <c r="A358" s="10" t="s">
        <v>1426</v>
      </c>
      <c r="B358" s="11">
        <v>44273.68217684027</v>
      </c>
      <c r="C358" s="10" t="s">
        <v>186</v>
      </c>
      <c r="D358" s="10" t="s">
        <v>187</v>
      </c>
      <c r="E358" s="10" t="s">
        <v>1427</v>
      </c>
      <c r="F358" s="10" t="s">
        <v>1428</v>
      </c>
      <c r="G358" s="10" t="s">
        <v>1429</v>
      </c>
      <c r="H358" s="16">
        <v>44267.6875</v>
      </c>
      <c r="I358" s="16">
        <v>44267.77083333333</v>
      </c>
      <c r="J358" s="10" t="s">
        <v>128</v>
      </c>
      <c r="K358" s="10" t="s">
        <v>34</v>
      </c>
      <c r="N358" s="10" t="s">
        <v>35</v>
      </c>
      <c r="V358" s="9"/>
      <c r="W358" s="13" t="s">
        <v>78</v>
      </c>
      <c r="X358" s="10" t="s">
        <v>37</v>
      </c>
      <c r="Y358" s="10" t="s">
        <v>0</v>
      </c>
    </row>
    <row r="359">
      <c r="A359" s="10" t="s">
        <v>1430</v>
      </c>
      <c r="B359" s="11">
        <v>44261.51105238426</v>
      </c>
      <c r="C359" s="10" t="s">
        <v>209</v>
      </c>
      <c r="D359" s="10" t="s">
        <v>210</v>
      </c>
      <c r="E359" s="10" t="s">
        <v>261</v>
      </c>
      <c r="F359" s="10" t="s">
        <v>1431</v>
      </c>
      <c r="G359" s="10" t="s">
        <v>1432</v>
      </c>
      <c r="H359" s="17">
        <v>44267.77083333333</v>
      </c>
      <c r="I359" s="17">
        <v>44267.8125</v>
      </c>
      <c r="J359" s="10" t="s">
        <v>33</v>
      </c>
      <c r="K359" s="10" t="s">
        <v>34</v>
      </c>
      <c r="N359" s="10" t="s">
        <v>35</v>
      </c>
      <c r="V359" s="9"/>
      <c r="W359" s="13" t="s">
        <v>78</v>
      </c>
      <c r="X359" s="10" t="s">
        <v>37</v>
      </c>
      <c r="Y359" s="10" t="s">
        <v>0</v>
      </c>
    </row>
    <row r="360">
      <c r="A360" s="10" t="s">
        <v>1433</v>
      </c>
      <c r="B360" s="11">
        <v>44264.406007048616</v>
      </c>
      <c r="C360" s="10" t="s">
        <v>539</v>
      </c>
      <c r="D360" s="10" t="s">
        <v>540</v>
      </c>
      <c r="E360" s="10" t="s">
        <v>1434</v>
      </c>
      <c r="F360" s="10" t="s">
        <v>1435</v>
      </c>
      <c r="G360" s="10" t="s">
        <v>1436</v>
      </c>
      <c r="H360" s="17">
        <v>44268.33333333333</v>
      </c>
      <c r="I360" s="17">
        <v>44268.83333333333</v>
      </c>
      <c r="J360" s="10" t="s">
        <v>73</v>
      </c>
      <c r="K360" s="10" t="s">
        <v>34</v>
      </c>
      <c r="N360" s="10" t="s">
        <v>35</v>
      </c>
      <c r="V360" s="9"/>
      <c r="W360" s="13" t="s">
        <v>78</v>
      </c>
      <c r="X360" s="10" t="s">
        <v>37</v>
      </c>
      <c r="Y360" s="10" t="s">
        <v>0</v>
      </c>
    </row>
    <row r="361">
      <c r="A361" s="10" t="s">
        <v>1437</v>
      </c>
      <c r="B361" s="11">
        <v>44257.77713165509</v>
      </c>
      <c r="C361" s="10" t="s">
        <v>181</v>
      </c>
      <c r="D361" s="10" t="s">
        <v>69</v>
      </c>
      <c r="E361" s="10" t="s">
        <v>1284</v>
      </c>
      <c r="F361" s="10" t="s">
        <v>1438</v>
      </c>
      <c r="G361" s="10" t="s">
        <v>1439</v>
      </c>
      <c r="H361" s="17">
        <v>44268.375</v>
      </c>
      <c r="I361" s="17">
        <v>44268.99930555555</v>
      </c>
      <c r="J361" s="10" t="s">
        <v>73</v>
      </c>
      <c r="K361" s="10" t="s">
        <v>34</v>
      </c>
      <c r="N361" s="10" t="s">
        <v>35</v>
      </c>
      <c r="V361" s="9"/>
      <c r="W361" s="13" t="s">
        <v>78</v>
      </c>
      <c r="X361" s="10" t="s">
        <v>37</v>
      </c>
      <c r="Y361" s="10" t="s">
        <v>0</v>
      </c>
    </row>
    <row r="362">
      <c r="A362" s="10" t="s">
        <v>1440</v>
      </c>
      <c r="B362" s="11">
        <v>44265.34660765046</v>
      </c>
      <c r="C362" s="10" t="s">
        <v>150</v>
      </c>
      <c r="D362" s="10" t="s">
        <v>151</v>
      </c>
      <c r="E362" s="10" t="s">
        <v>152</v>
      </c>
      <c r="F362" s="10" t="s">
        <v>1137</v>
      </c>
      <c r="G362" s="10" t="s">
        <v>1441</v>
      </c>
      <c r="H362" s="17">
        <v>44268.41666666667</v>
      </c>
      <c r="I362" s="17">
        <v>44268.5</v>
      </c>
      <c r="J362" s="10" t="s">
        <v>128</v>
      </c>
      <c r="K362" s="10" t="s">
        <v>34</v>
      </c>
      <c r="N362" s="10" t="s">
        <v>35</v>
      </c>
      <c r="V362" s="9"/>
      <c r="W362" s="13" t="s">
        <v>78</v>
      </c>
      <c r="X362" s="10" t="s">
        <v>37</v>
      </c>
      <c r="Y362" s="10" t="s">
        <v>0</v>
      </c>
    </row>
    <row r="363">
      <c r="A363" s="10" t="s">
        <v>1442</v>
      </c>
      <c r="B363" s="11">
        <v>44250.491525300924</v>
      </c>
      <c r="C363" s="10" t="s">
        <v>694</v>
      </c>
      <c r="D363" s="10" t="s">
        <v>695</v>
      </c>
      <c r="E363" s="10" t="s">
        <v>696</v>
      </c>
      <c r="F363" s="10" t="s">
        <v>1443</v>
      </c>
      <c r="G363" s="10" t="s">
        <v>1444</v>
      </c>
      <c r="H363" s="24">
        <v>44267.64583333333</v>
      </c>
      <c r="I363" s="24">
        <v>44267.6875</v>
      </c>
      <c r="J363" s="10" t="s">
        <v>43</v>
      </c>
      <c r="K363" s="10" t="s">
        <v>34</v>
      </c>
      <c r="N363" s="10" t="s">
        <v>35</v>
      </c>
      <c r="V363" s="9"/>
      <c r="W363" s="13" t="s">
        <v>78</v>
      </c>
      <c r="X363" s="10" t="s">
        <v>37</v>
      </c>
      <c r="Y363" s="10" t="s">
        <v>0</v>
      </c>
    </row>
    <row r="364">
      <c r="A364" s="10" t="s">
        <v>1445</v>
      </c>
      <c r="B364" s="11">
        <v>44269.0291016088</v>
      </c>
      <c r="C364" s="10" t="s">
        <v>491</v>
      </c>
      <c r="D364" s="10" t="s">
        <v>492</v>
      </c>
      <c r="E364" s="10" t="s">
        <v>853</v>
      </c>
      <c r="F364" s="10" t="s">
        <v>1446</v>
      </c>
      <c r="G364" s="10" t="s">
        <v>1447</v>
      </c>
      <c r="H364" s="17">
        <v>44268.5</v>
      </c>
      <c r="I364" s="17">
        <v>44268.5</v>
      </c>
      <c r="J364" s="10" t="s">
        <v>73</v>
      </c>
      <c r="K364" s="10" t="s">
        <v>34</v>
      </c>
      <c r="N364" s="10" t="s">
        <v>35</v>
      </c>
      <c r="V364" s="9"/>
      <c r="W364" s="13" t="s">
        <v>78</v>
      </c>
      <c r="X364" s="10" t="s">
        <v>37</v>
      </c>
      <c r="Y364" s="10" t="s">
        <v>0</v>
      </c>
    </row>
    <row r="365">
      <c r="A365" s="10" t="s">
        <v>1448</v>
      </c>
      <c r="B365" s="11">
        <v>44261.50966916667</v>
      </c>
      <c r="C365" s="10" t="s">
        <v>209</v>
      </c>
      <c r="D365" s="10" t="s">
        <v>210</v>
      </c>
      <c r="E365" s="10" t="s">
        <v>261</v>
      </c>
      <c r="F365" s="10" t="s">
        <v>1449</v>
      </c>
      <c r="G365" s="10" t="s">
        <v>1450</v>
      </c>
      <c r="H365" s="17">
        <v>44268.60416666667</v>
      </c>
      <c r="I365" s="17">
        <v>44268.64583333333</v>
      </c>
      <c r="J365" s="10" t="s">
        <v>33</v>
      </c>
      <c r="K365" s="10" t="s">
        <v>34</v>
      </c>
      <c r="N365" s="10" t="s">
        <v>35</v>
      </c>
      <c r="V365" s="9"/>
      <c r="W365" s="13" t="s">
        <v>78</v>
      </c>
      <c r="X365" s="10" t="s">
        <v>37</v>
      </c>
      <c r="Y365" s="10" t="s">
        <v>0</v>
      </c>
    </row>
    <row r="366">
      <c r="A366" s="10" t="s">
        <v>1451</v>
      </c>
      <c r="B366" s="11">
        <v>44263.81588855324</v>
      </c>
      <c r="C366" s="10" t="s">
        <v>1452</v>
      </c>
      <c r="D366" s="10" t="s">
        <v>505</v>
      </c>
      <c r="E366" s="10" t="s">
        <v>1453</v>
      </c>
      <c r="F366" s="10" t="s">
        <v>1454</v>
      </c>
      <c r="G366" s="10" t="s">
        <v>1455</v>
      </c>
      <c r="H366" s="17">
        <v>44268.60416666667</v>
      </c>
      <c r="I366" s="17">
        <v>44268.66666666667</v>
      </c>
      <c r="J366" s="10" t="s">
        <v>128</v>
      </c>
      <c r="K366" s="10" t="s">
        <v>34</v>
      </c>
      <c r="N366" s="10" t="s">
        <v>35</v>
      </c>
      <c r="V366" s="9"/>
      <c r="W366" s="13" t="s">
        <v>78</v>
      </c>
      <c r="X366" s="10" t="s">
        <v>37</v>
      </c>
      <c r="Y366" s="10" t="s">
        <v>0</v>
      </c>
    </row>
    <row r="367">
      <c r="A367" s="10" t="s">
        <v>1456</v>
      </c>
      <c r="B367" s="11">
        <v>44261.50276482639</v>
      </c>
      <c r="C367" s="10" t="s">
        <v>374</v>
      </c>
      <c r="D367" s="10" t="s">
        <v>375</v>
      </c>
      <c r="E367" s="10" t="s">
        <v>1420</v>
      </c>
      <c r="F367" s="10" t="s">
        <v>1457</v>
      </c>
      <c r="G367" s="10" t="s">
        <v>1458</v>
      </c>
      <c r="H367" s="17">
        <v>44268.66666666667</v>
      </c>
      <c r="I367" s="17">
        <v>44268.69791666667</v>
      </c>
      <c r="J367" s="10" t="s">
        <v>33</v>
      </c>
      <c r="K367" s="10" t="s">
        <v>34</v>
      </c>
      <c r="N367" s="10" t="s">
        <v>35</v>
      </c>
      <c r="V367" s="9"/>
      <c r="W367" s="13" t="s">
        <v>78</v>
      </c>
      <c r="X367" s="10" t="s">
        <v>37</v>
      </c>
      <c r="Y367" s="10" t="s">
        <v>0</v>
      </c>
    </row>
    <row r="368">
      <c r="A368" s="10" t="s">
        <v>1459</v>
      </c>
      <c r="B368" s="11">
        <v>44269.485199710645</v>
      </c>
      <c r="C368" s="10" t="s">
        <v>239</v>
      </c>
      <c r="D368" s="10" t="s">
        <v>240</v>
      </c>
      <c r="E368" s="10" t="s">
        <v>305</v>
      </c>
      <c r="F368" s="10" t="s">
        <v>1460</v>
      </c>
      <c r="G368" s="10" t="s">
        <v>1461</v>
      </c>
      <c r="H368" s="17">
        <v>44268.83333333333</v>
      </c>
      <c r="I368" s="17">
        <v>44268.875</v>
      </c>
      <c r="J368" s="10" t="s">
        <v>128</v>
      </c>
      <c r="K368" s="10" t="s">
        <v>34</v>
      </c>
      <c r="N368" s="10" t="s">
        <v>35</v>
      </c>
      <c r="V368" s="9"/>
      <c r="W368" s="13" t="s">
        <v>78</v>
      </c>
      <c r="X368" s="10" t="s">
        <v>37</v>
      </c>
      <c r="Y368" s="10" t="s">
        <v>0</v>
      </c>
    </row>
    <row r="369">
      <c r="A369" s="10" t="s">
        <v>1462</v>
      </c>
      <c r="B369" s="11">
        <v>44261.50723020833</v>
      </c>
      <c r="C369" s="10" t="s">
        <v>374</v>
      </c>
      <c r="D369" s="10" t="s">
        <v>375</v>
      </c>
      <c r="E369" s="10" t="s">
        <v>1420</v>
      </c>
      <c r="F369" s="10" t="s">
        <v>1463</v>
      </c>
      <c r="G369" s="10" t="s">
        <v>1464</v>
      </c>
      <c r="H369" s="17">
        <v>44269.64583333333</v>
      </c>
      <c r="I369" s="17">
        <v>44269.6875</v>
      </c>
      <c r="J369" s="10" t="s">
        <v>33</v>
      </c>
      <c r="K369" s="10" t="s">
        <v>34</v>
      </c>
      <c r="N369" s="10" t="s">
        <v>35</v>
      </c>
      <c r="V369" s="9"/>
      <c r="W369" s="13" t="s">
        <v>78</v>
      </c>
      <c r="X369" s="10" t="s">
        <v>37</v>
      </c>
      <c r="Y369" s="10" t="s">
        <v>0</v>
      </c>
    </row>
    <row r="370">
      <c r="A370" s="10" t="s">
        <v>1465</v>
      </c>
      <c r="B370" s="11">
        <v>44265.34446375</v>
      </c>
      <c r="C370" s="10" t="s">
        <v>186</v>
      </c>
      <c r="D370" s="10" t="s">
        <v>187</v>
      </c>
      <c r="E370" s="10" t="s">
        <v>1466</v>
      </c>
      <c r="F370" s="10" t="s">
        <v>1467</v>
      </c>
      <c r="G370" s="10" t="s">
        <v>1468</v>
      </c>
      <c r="H370" s="17">
        <v>44270.0625</v>
      </c>
      <c r="I370" s="17">
        <v>44270.08333333333</v>
      </c>
      <c r="J370" s="10" t="s">
        <v>128</v>
      </c>
      <c r="K370" s="10" t="s">
        <v>61</v>
      </c>
      <c r="N370" s="10" t="s">
        <v>35</v>
      </c>
      <c r="V370" s="9"/>
      <c r="W370" s="13" t="s">
        <v>78</v>
      </c>
      <c r="X370" s="10" t="s">
        <v>37</v>
      </c>
      <c r="Y370" s="10" t="s">
        <v>0</v>
      </c>
    </row>
    <row r="371">
      <c r="A371" s="10" t="s">
        <v>1469</v>
      </c>
      <c r="B371" s="11">
        <v>44271.63864428241</v>
      </c>
      <c r="C371" s="10" t="s">
        <v>219</v>
      </c>
      <c r="D371" s="10" t="s">
        <v>220</v>
      </c>
      <c r="E371" s="10" t="s">
        <v>1470</v>
      </c>
      <c r="F371" s="10" t="s">
        <v>1471</v>
      </c>
      <c r="G371" s="10" t="s">
        <v>1472</v>
      </c>
      <c r="H371" s="17">
        <v>44270.33333333333</v>
      </c>
      <c r="I371" s="17">
        <v>44272.75</v>
      </c>
      <c r="J371" s="10" t="s">
        <v>128</v>
      </c>
      <c r="K371" s="10" t="s">
        <v>34</v>
      </c>
      <c r="N371" s="10" t="s">
        <v>35</v>
      </c>
      <c r="V371" s="9"/>
      <c r="W371" s="13" t="s">
        <v>78</v>
      </c>
      <c r="X371" s="10" t="s">
        <v>37</v>
      </c>
      <c r="Y371" s="10" t="s">
        <v>0</v>
      </c>
    </row>
    <row r="372">
      <c r="A372" s="10" t="s">
        <v>1473</v>
      </c>
      <c r="B372" s="11">
        <v>44271.64013671296</v>
      </c>
      <c r="C372" s="10" t="s">
        <v>219</v>
      </c>
      <c r="D372" s="10" t="s">
        <v>220</v>
      </c>
      <c r="E372" s="10" t="s">
        <v>1470</v>
      </c>
      <c r="F372" s="10" t="s">
        <v>1474</v>
      </c>
      <c r="G372" s="10" t="s">
        <v>1475</v>
      </c>
      <c r="H372" s="17">
        <v>44270.33333333333</v>
      </c>
      <c r="I372" s="17">
        <v>44274.75</v>
      </c>
      <c r="J372" s="10" t="s">
        <v>128</v>
      </c>
      <c r="K372" s="10" t="s">
        <v>34</v>
      </c>
      <c r="N372" s="10" t="s">
        <v>35</v>
      </c>
      <c r="V372" s="9"/>
      <c r="W372" s="13" t="s">
        <v>78</v>
      </c>
      <c r="X372" s="10" t="s">
        <v>37</v>
      </c>
      <c r="Y372" s="10" t="s">
        <v>0</v>
      </c>
    </row>
    <row r="373">
      <c r="A373" s="10" t="s">
        <v>1476</v>
      </c>
      <c r="B373" s="11">
        <v>44271.87742950232</v>
      </c>
      <c r="C373" s="10" t="s">
        <v>1405</v>
      </c>
      <c r="D373" s="10" t="s">
        <v>1406</v>
      </c>
      <c r="E373" s="10" t="s">
        <v>1477</v>
      </c>
      <c r="F373" s="10" t="s">
        <v>1478</v>
      </c>
      <c r="G373" s="10" t="s">
        <v>1479</v>
      </c>
      <c r="H373" s="17">
        <v>44270.35416666667</v>
      </c>
      <c r="I373" s="17">
        <v>44283.99930555555</v>
      </c>
      <c r="J373" s="10" t="s">
        <v>51</v>
      </c>
      <c r="K373" s="10" t="s">
        <v>34</v>
      </c>
      <c r="N373" s="10" t="s">
        <v>35</v>
      </c>
      <c r="V373" s="9"/>
      <c r="W373" s="13" t="s">
        <v>78</v>
      </c>
      <c r="X373" s="10" t="s">
        <v>37</v>
      </c>
      <c r="Y373" s="10" t="s">
        <v>0</v>
      </c>
    </row>
    <row r="374">
      <c r="A374" s="10" t="s">
        <v>1480</v>
      </c>
      <c r="B374" s="11">
        <v>44264.420120069444</v>
      </c>
      <c r="C374" s="10" t="s">
        <v>181</v>
      </c>
      <c r="D374" s="10" t="s">
        <v>69</v>
      </c>
      <c r="E374" s="10" t="s">
        <v>860</v>
      </c>
      <c r="F374" s="10" t="s">
        <v>1481</v>
      </c>
      <c r="G374" s="10" t="s">
        <v>1482</v>
      </c>
      <c r="H374" s="17">
        <v>44270.375</v>
      </c>
      <c r="I374" s="17">
        <v>44270.83333333333</v>
      </c>
      <c r="J374" s="10" t="s">
        <v>73</v>
      </c>
      <c r="K374" s="10" t="s">
        <v>34</v>
      </c>
      <c r="N374" s="10" t="s">
        <v>35</v>
      </c>
      <c r="V374" s="9"/>
      <c r="W374" s="13" t="s">
        <v>78</v>
      </c>
      <c r="X374" s="10" t="s">
        <v>37</v>
      </c>
      <c r="Y374" s="10" t="s">
        <v>0</v>
      </c>
    </row>
    <row r="375">
      <c r="A375" s="10" t="s">
        <v>1483</v>
      </c>
      <c r="B375" s="11">
        <v>44253.89483509259</v>
      </c>
      <c r="C375" s="10" t="s">
        <v>269</v>
      </c>
      <c r="D375" s="10" t="s">
        <v>168</v>
      </c>
      <c r="E375" s="10" t="s">
        <v>1484</v>
      </c>
      <c r="F375" s="10" t="s">
        <v>1352</v>
      </c>
      <c r="G375" s="10" t="s">
        <v>1485</v>
      </c>
      <c r="H375" s="24">
        <v>44267.6875</v>
      </c>
      <c r="I375" s="24">
        <v>44267.72916666667</v>
      </c>
      <c r="J375" s="10" t="s">
        <v>43</v>
      </c>
      <c r="K375" s="10" t="s">
        <v>34</v>
      </c>
      <c r="N375" s="10" t="s">
        <v>35</v>
      </c>
      <c r="V375" s="9"/>
      <c r="W375" s="13" t="s">
        <v>78</v>
      </c>
      <c r="X375" s="10" t="s">
        <v>37</v>
      </c>
      <c r="Y375" s="10" t="s">
        <v>0</v>
      </c>
    </row>
    <row r="376">
      <c r="A376" s="10" t="s">
        <v>1486</v>
      </c>
      <c r="B376" s="11">
        <v>44258.71425752315</v>
      </c>
      <c r="C376" s="10" t="s">
        <v>381</v>
      </c>
      <c r="D376" s="10" t="s">
        <v>382</v>
      </c>
      <c r="E376" s="10" t="s">
        <v>1487</v>
      </c>
      <c r="F376" s="10" t="s">
        <v>1488</v>
      </c>
      <c r="G376" s="10" t="s">
        <v>1489</v>
      </c>
      <c r="H376" s="24">
        <v>44267.6875</v>
      </c>
      <c r="I376" s="24">
        <v>44267.72916666667</v>
      </c>
      <c r="J376" s="10" t="s">
        <v>43</v>
      </c>
      <c r="K376" s="10" t="s">
        <v>34</v>
      </c>
      <c r="N376" s="10" t="s">
        <v>35</v>
      </c>
      <c r="V376" s="9"/>
      <c r="W376" s="13" t="s">
        <v>78</v>
      </c>
      <c r="X376" s="10" t="s">
        <v>37</v>
      </c>
      <c r="Y376" s="10" t="s">
        <v>0</v>
      </c>
    </row>
    <row r="377">
      <c r="A377" s="10" t="s">
        <v>1490</v>
      </c>
      <c r="B377" s="11">
        <v>44259.54394671296</v>
      </c>
      <c r="C377" s="10" t="s">
        <v>671</v>
      </c>
      <c r="D377" s="10" t="s">
        <v>672</v>
      </c>
      <c r="E377" s="10" t="s">
        <v>1491</v>
      </c>
      <c r="F377" s="10" t="s">
        <v>1492</v>
      </c>
      <c r="G377" s="10" t="s">
        <v>1493</v>
      </c>
      <c r="H377" s="17">
        <v>44270.47916666667</v>
      </c>
      <c r="I377" s="17">
        <v>44270.52083333333</v>
      </c>
      <c r="J377" s="10" t="s">
        <v>128</v>
      </c>
      <c r="K377" s="10" t="s">
        <v>34</v>
      </c>
      <c r="N377" s="10" t="s">
        <v>35</v>
      </c>
      <c r="V377" s="9"/>
      <c r="W377" s="13" t="s">
        <v>78</v>
      </c>
      <c r="X377" s="10" t="s">
        <v>37</v>
      </c>
      <c r="Y377" s="10" t="s">
        <v>0</v>
      </c>
    </row>
    <row r="378">
      <c r="A378" s="10" t="s">
        <v>1494</v>
      </c>
      <c r="B378" s="11">
        <v>44263.5285821875</v>
      </c>
      <c r="C378" s="10" t="s">
        <v>671</v>
      </c>
      <c r="D378" s="10" t="s">
        <v>672</v>
      </c>
      <c r="E378" s="10" t="s">
        <v>1495</v>
      </c>
      <c r="F378" s="10" t="s">
        <v>1496</v>
      </c>
      <c r="G378" s="10" t="s">
        <v>1497</v>
      </c>
      <c r="H378" s="17">
        <v>44270.47916666667</v>
      </c>
      <c r="I378" s="17">
        <v>44270.52083333333</v>
      </c>
      <c r="J378" s="10" t="s">
        <v>128</v>
      </c>
      <c r="K378" s="10" t="s">
        <v>34</v>
      </c>
      <c r="N378" s="10" t="s">
        <v>35</v>
      </c>
      <c r="V378" s="9"/>
      <c r="W378" s="13" t="s">
        <v>78</v>
      </c>
      <c r="X378" s="10" t="s">
        <v>37</v>
      </c>
      <c r="Y378" s="10" t="s">
        <v>0</v>
      </c>
    </row>
    <row r="379">
      <c r="A379" s="10" t="s">
        <v>1498</v>
      </c>
      <c r="B379" s="11">
        <v>44261.519619467595</v>
      </c>
      <c r="C379" s="10" t="s">
        <v>209</v>
      </c>
      <c r="D379" s="10" t="s">
        <v>210</v>
      </c>
      <c r="E379" s="10" t="s">
        <v>261</v>
      </c>
      <c r="F379" s="10" t="s">
        <v>1499</v>
      </c>
      <c r="G379" s="10" t="s">
        <v>1500</v>
      </c>
      <c r="H379" s="17">
        <v>44270.5625</v>
      </c>
      <c r="I379" s="17">
        <v>44270.60416666667</v>
      </c>
      <c r="J379" s="10" t="s">
        <v>33</v>
      </c>
      <c r="K379" s="10" t="s">
        <v>34</v>
      </c>
      <c r="N379" s="10" t="s">
        <v>35</v>
      </c>
      <c r="V379" s="9"/>
      <c r="W379" s="13" t="s">
        <v>78</v>
      </c>
      <c r="X379" s="10" t="s">
        <v>37</v>
      </c>
      <c r="Y379" s="10" t="s">
        <v>0</v>
      </c>
    </row>
    <row r="380">
      <c r="A380" s="10" t="s">
        <v>1501</v>
      </c>
      <c r="B380" s="11">
        <v>44263.53049002315</v>
      </c>
      <c r="C380" s="10" t="s">
        <v>671</v>
      </c>
      <c r="D380" s="10" t="s">
        <v>672</v>
      </c>
      <c r="E380" s="10" t="s">
        <v>1308</v>
      </c>
      <c r="F380" s="10" t="s">
        <v>1502</v>
      </c>
      <c r="G380" s="10" t="s">
        <v>1503</v>
      </c>
      <c r="H380" s="17">
        <v>44270.60416666667</v>
      </c>
      <c r="I380" s="17">
        <v>44287.60416666667</v>
      </c>
      <c r="J380" s="10" t="s">
        <v>33</v>
      </c>
      <c r="K380" s="10" t="s">
        <v>34</v>
      </c>
      <c r="N380" s="10" t="s">
        <v>35</v>
      </c>
      <c r="V380" s="9"/>
      <c r="W380" s="13" t="s">
        <v>78</v>
      </c>
      <c r="X380" s="10" t="s">
        <v>37</v>
      </c>
      <c r="Y380" s="10" t="s">
        <v>0</v>
      </c>
    </row>
    <row r="381">
      <c r="A381" s="10" t="s">
        <v>1504</v>
      </c>
      <c r="B381" s="11">
        <v>44269.68024909722</v>
      </c>
      <c r="C381" s="10" t="s">
        <v>219</v>
      </c>
      <c r="D381" s="10" t="s">
        <v>220</v>
      </c>
      <c r="E381" s="10" t="s">
        <v>582</v>
      </c>
      <c r="F381" s="10" t="s">
        <v>1505</v>
      </c>
      <c r="G381" s="10" t="s">
        <v>1506</v>
      </c>
      <c r="H381" s="17">
        <v>44270.60416666667</v>
      </c>
      <c r="I381" s="17">
        <v>44270.60416666667</v>
      </c>
      <c r="J381" s="10" t="s">
        <v>73</v>
      </c>
      <c r="K381" s="10" t="s">
        <v>34</v>
      </c>
      <c r="N381" s="10" t="s">
        <v>35</v>
      </c>
      <c r="V381" s="9"/>
      <c r="W381" s="13" t="s">
        <v>78</v>
      </c>
      <c r="X381" s="10" t="s">
        <v>37</v>
      </c>
      <c r="Y381" s="10" t="s">
        <v>0</v>
      </c>
    </row>
    <row r="382">
      <c r="A382" s="10" t="s">
        <v>1507</v>
      </c>
      <c r="B382" s="11">
        <v>44264.39998045139</v>
      </c>
      <c r="C382" s="10" t="s">
        <v>671</v>
      </c>
      <c r="D382" s="10" t="s">
        <v>672</v>
      </c>
      <c r="E382" s="10" t="s">
        <v>1508</v>
      </c>
      <c r="F382" s="10" t="s">
        <v>1509</v>
      </c>
      <c r="G382" s="10" t="s">
        <v>1510</v>
      </c>
      <c r="H382" s="17">
        <v>44270.6875</v>
      </c>
      <c r="I382" s="17">
        <v>44270.77083333333</v>
      </c>
      <c r="J382" s="10" t="s">
        <v>128</v>
      </c>
      <c r="K382" s="10" t="s">
        <v>34</v>
      </c>
      <c r="N382" s="10" t="s">
        <v>35</v>
      </c>
      <c r="V382" s="9"/>
      <c r="W382" s="13" t="s">
        <v>78</v>
      </c>
      <c r="X382" s="10" t="s">
        <v>37</v>
      </c>
      <c r="Y382" s="10" t="s">
        <v>0</v>
      </c>
    </row>
    <row r="383">
      <c r="A383" s="10" t="s">
        <v>1511</v>
      </c>
      <c r="B383" s="11">
        <v>44270.8241346412</v>
      </c>
      <c r="C383" s="10" t="s">
        <v>160</v>
      </c>
      <c r="D383" s="10" t="s">
        <v>161</v>
      </c>
      <c r="E383" s="10" t="s">
        <v>947</v>
      </c>
      <c r="F383" s="10" t="s">
        <v>1512</v>
      </c>
      <c r="G383" s="10" t="s">
        <v>1513</v>
      </c>
      <c r="H383" s="16">
        <v>44268.41666666667</v>
      </c>
      <c r="I383" s="16">
        <v>44268.5</v>
      </c>
      <c r="J383" s="10" t="s">
        <v>43</v>
      </c>
      <c r="K383" s="10" t="s">
        <v>34</v>
      </c>
      <c r="N383" s="10" t="s">
        <v>296</v>
      </c>
      <c r="O383" s="18" t="s">
        <v>1514</v>
      </c>
      <c r="P383" s="10" t="s">
        <v>296</v>
      </c>
      <c r="Q383" s="10">
        <v>2.0</v>
      </c>
      <c r="R383" s="10" t="s">
        <v>296</v>
      </c>
      <c r="S383" s="10">
        <v>1.0</v>
      </c>
      <c r="T383" s="10" t="s">
        <v>35</v>
      </c>
      <c r="V383" s="9"/>
      <c r="W383" s="13" t="s">
        <v>78</v>
      </c>
      <c r="X383" s="10" t="s">
        <v>37</v>
      </c>
      <c r="Y383" s="10" t="s">
        <v>0</v>
      </c>
    </row>
    <row r="384">
      <c r="A384" s="10" t="s">
        <v>1515</v>
      </c>
      <c r="B384" s="11">
        <v>44267.61188458333</v>
      </c>
      <c r="C384" s="10" t="s">
        <v>1516</v>
      </c>
      <c r="D384" s="10" t="s">
        <v>611</v>
      </c>
      <c r="E384" s="10" t="s">
        <v>612</v>
      </c>
      <c r="F384" s="10" t="s">
        <v>1517</v>
      </c>
      <c r="G384" s="10" t="s">
        <v>1518</v>
      </c>
      <c r="H384" s="24">
        <v>44271.6875</v>
      </c>
      <c r="I384" s="24">
        <v>44271.77083333333</v>
      </c>
      <c r="J384" s="10" t="s">
        <v>128</v>
      </c>
      <c r="K384" s="10" t="s">
        <v>34</v>
      </c>
      <c r="N384" s="10" t="s">
        <v>35</v>
      </c>
      <c r="V384" s="9"/>
      <c r="W384" s="13" t="s">
        <v>78</v>
      </c>
      <c r="X384" s="10" t="s">
        <v>37</v>
      </c>
      <c r="Y384" s="10" t="s">
        <v>0</v>
      </c>
    </row>
    <row r="385">
      <c r="A385" s="10" t="s">
        <v>1519</v>
      </c>
      <c r="B385" s="11">
        <v>44267.681381111106</v>
      </c>
      <c r="C385" s="10" t="s">
        <v>610</v>
      </c>
      <c r="D385" s="10" t="s">
        <v>611</v>
      </c>
      <c r="E385" s="10" t="s">
        <v>612</v>
      </c>
      <c r="F385" s="10" t="s">
        <v>1517</v>
      </c>
      <c r="G385" s="10" t="s">
        <v>1520</v>
      </c>
      <c r="H385" s="24">
        <v>44271.6875</v>
      </c>
      <c r="I385" s="24">
        <v>44271.77083333333</v>
      </c>
      <c r="J385" s="10" t="s">
        <v>128</v>
      </c>
      <c r="K385" s="10" t="s">
        <v>34</v>
      </c>
      <c r="N385" s="10" t="s">
        <v>35</v>
      </c>
      <c r="V385" s="9"/>
      <c r="W385" s="13" t="s">
        <v>78</v>
      </c>
      <c r="X385" s="10" t="s">
        <v>37</v>
      </c>
      <c r="Y385" s="10" t="s">
        <v>0</v>
      </c>
    </row>
    <row r="386">
      <c r="A386" s="10" t="s">
        <v>1521</v>
      </c>
      <c r="B386" s="11">
        <v>44268.66255486111</v>
      </c>
      <c r="C386" s="10" t="s">
        <v>186</v>
      </c>
      <c r="D386" s="10" t="s">
        <v>187</v>
      </c>
      <c r="E386" s="10" t="s">
        <v>1522</v>
      </c>
      <c r="F386" s="10" t="s">
        <v>1523</v>
      </c>
      <c r="G386" s="26" t="s">
        <v>1524</v>
      </c>
      <c r="H386" s="16">
        <v>44271.6875</v>
      </c>
      <c r="I386" s="16">
        <v>44271.77083333333</v>
      </c>
      <c r="J386" s="10" t="s">
        <v>128</v>
      </c>
      <c r="K386" s="10" t="s">
        <v>34</v>
      </c>
      <c r="N386" s="10" t="s">
        <v>35</v>
      </c>
      <c r="V386" s="9"/>
      <c r="W386" s="13" t="s">
        <v>78</v>
      </c>
      <c r="X386" s="10" t="s">
        <v>37</v>
      </c>
      <c r="Y386" s="10" t="s">
        <v>0</v>
      </c>
    </row>
    <row r="387">
      <c r="A387" s="10" t="s">
        <v>1525</v>
      </c>
      <c r="B387" s="11">
        <v>44365.60936916667</v>
      </c>
      <c r="C387" s="10" t="s">
        <v>102</v>
      </c>
      <c r="D387" s="10" t="s">
        <v>103</v>
      </c>
      <c r="E387" s="10" t="s">
        <v>1526</v>
      </c>
      <c r="F387" s="10" t="s">
        <v>1512</v>
      </c>
      <c r="G387" s="10" t="s">
        <v>1527</v>
      </c>
      <c r="H387" s="16">
        <v>44268.41666666667</v>
      </c>
      <c r="I387" s="16">
        <v>44268.5</v>
      </c>
      <c r="J387" s="10" t="s">
        <v>43</v>
      </c>
      <c r="K387" s="10" t="s">
        <v>34</v>
      </c>
      <c r="N387" s="10" t="s">
        <v>296</v>
      </c>
      <c r="O387" s="18" t="s">
        <v>1528</v>
      </c>
      <c r="P387" s="10" t="s">
        <v>35</v>
      </c>
      <c r="R387" s="10" t="s">
        <v>296</v>
      </c>
      <c r="S387" s="10">
        <v>3.0</v>
      </c>
      <c r="T387" s="10" t="s">
        <v>35</v>
      </c>
      <c r="V387" s="9"/>
      <c r="W387" s="13" t="s">
        <v>78</v>
      </c>
      <c r="X387" s="10" t="s">
        <v>37</v>
      </c>
      <c r="Y387" s="10" t="s">
        <v>0</v>
      </c>
    </row>
    <row r="388">
      <c r="A388" s="10" t="s">
        <v>1529</v>
      </c>
      <c r="B388" s="11">
        <v>44269.6778962963</v>
      </c>
      <c r="C388" s="10" t="s">
        <v>219</v>
      </c>
      <c r="D388" s="10" t="s">
        <v>220</v>
      </c>
      <c r="E388" s="10" t="s">
        <v>1530</v>
      </c>
      <c r="F388" s="10" t="s">
        <v>1531</v>
      </c>
      <c r="G388" s="10" t="s">
        <v>1532</v>
      </c>
      <c r="H388" s="16">
        <v>44270.41666666667</v>
      </c>
      <c r="I388" s="16">
        <v>44274.83333333333</v>
      </c>
      <c r="J388" s="10" t="s">
        <v>43</v>
      </c>
      <c r="K388" s="10" t="s">
        <v>34</v>
      </c>
      <c r="N388" s="10" t="s">
        <v>35</v>
      </c>
      <c r="V388" s="9"/>
      <c r="W388" s="13" t="s">
        <v>78</v>
      </c>
      <c r="X388" s="10" t="s">
        <v>37</v>
      </c>
      <c r="Y388" s="10" t="s">
        <v>0</v>
      </c>
    </row>
    <row r="389">
      <c r="A389" s="10" t="s">
        <v>1533</v>
      </c>
      <c r="B389" s="11">
        <v>44265.718284375005</v>
      </c>
      <c r="C389" s="10" t="s">
        <v>80</v>
      </c>
      <c r="D389" s="10" t="s">
        <v>81</v>
      </c>
      <c r="E389" s="10" t="s">
        <v>469</v>
      </c>
      <c r="F389" s="10" t="s">
        <v>1534</v>
      </c>
      <c r="G389" s="10" t="s">
        <v>1535</v>
      </c>
      <c r="H389" s="17">
        <v>44272.33333333333</v>
      </c>
      <c r="I389" s="17">
        <v>44272.375</v>
      </c>
      <c r="J389" s="10" t="s">
        <v>73</v>
      </c>
      <c r="K389" s="10" t="s">
        <v>34</v>
      </c>
      <c r="N389" s="10" t="s">
        <v>35</v>
      </c>
      <c r="V389" s="9"/>
      <c r="W389" s="13" t="s">
        <v>78</v>
      </c>
      <c r="X389" s="10" t="s">
        <v>37</v>
      </c>
      <c r="Y389" s="10" t="s">
        <v>0</v>
      </c>
    </row>
    <row r="390">
      <c r="A390" s="10" t="s">
        <v>1536</v>
      </c>
      <c r="B390" s="11">
        <v>44258.68887896991</v>
      </c>
      <c r="C390" s="10" t="s">
        <v>181</v>
      </c>
      <c r="D390" s="10" t="s">
        <v>69</v>
      </c>
      <c r="E390" s="10" t="s">
        <v>1340</v>
      </c>
      <c r="F390" s="10" t="s">
        <v>1537</v>
      </c>
      <c r="G390" s="10" t="s">
        <v>1538</v>
      </c>
      <c r="H390" s="24">
        <v>44270.4375</v>
      </c>
      <c r="I390" s="24">
        <v>44270.5</v>
      </c>
      <c r="J390" s="10" t="s">
        <v>43</v>
      </c>
      <c r="K390" s="10" t="s">
        <v>34</v>
      </c>
      <c r="N390" s="10" t="s">
        <v>296</v>
      </c>
      <c r="O390" s="18" t="s">
        <v>1539</v>
      </c>
      <c r="P390" s="10" t="s">
        <v>296</v>
      </c>
      <c r="Q390" s="10">
        <v>1.0</v>
      </c>
      <c r="R390" s="10" t="s">
        <v>35</v>
      </c>
      <c r="T390" s="10" t="s">
        <v>35</v>
      </c>
      <c r="V390" s="9"/>
      <c r="W390" s="13" t="s">
        <v>78</v>
      </c>
      <c r="X390" s="10" t="s">
        <v>37</v>
      </c>
      <c r="Y390" s="10" t="s">
        <v>0</v>
      </c>
    </row>
    <row r="391">
      <c r="A391" s="10" t="s">
        <v>1540</v>
      </c>
      <c r="B391" s="11">
        <v>44272.592453715275</v>
      </c>
      <c r="C391" s="10" t="s">
        <v>46</v>
      </c>
      <c r="D391" s="10" t="s">
        <v>47</v>
      </c>
      <c r="E391" s="10" t="s">
        <v>1541</v>
      </c>
      <c r="F391" s="10" t="s">
        <v>1542</v>
      </c>
      <c r="G391" s="10" t="s">
        <v>1543</v>
      </c>
      <c r="H391" s="17">
        <v>44273.33333333333</v>
      </c>
      <c r="I391" s="17">
        <v>44273.66666666667</v>
      </c>
      <c r="J391" s="10" t="s">
        <v>128</v>
      </c>
      <c r="K391" s="10" t="s">
        <v>34</v>
      </c>
      <c r="N391" s="10" t="s">
        <v>35</v>
      </c>
      <c r="V391" s="9"/>
      <c r="W391" s="13" t="s">
        <v>78</v>
      </c>
      <c r="X391" s="10" t="s">
        <v>37</v>
      </c>
      <c r="Y391" s="10" t="s">
        <v>0</v>
      </c>
    </row>
    <row r="392">
      <c r="A392" s="10" t="s">
        <v>1544</v>
      </c>
      <c r="B392" s="11">
        <v>44268.707321967595</v>
      </c>
      <c r="C392" s="10" t="s">
        <v>181</v>
      </c>
      <c r="D392" s="10" t="s">
        <v>69</v>
      </c>
      <c r="E392" s="10" t="s">
        <v>1545</v>
      </c>
      <c r="F392" s="10" t="s">
        <v>1546</v>
      </c>
      <c r="G392" s="10" t="s">
        <v>1547</v>
      </c>
      <c r="H392" s="17">
        <v>44273.375</v>
      </c>
      <c r="I392" s="17">
        <v>44273.95833333333</v>
      </c>
      <c r="J392" s="10" t="s">
        <v>73</v>
      </c>
      <c r="K392" s="10" t="s">
        <v>34</v>
      </c>
      <c r="N392" s="10" t="s">
        <v>35</v>
      </c>
      <c r="V392" s="9"/>
      <c r="W392" s="13" t="s">
        <v>78</v>
      </c>
      <c r="X392" s="10" t="s">
        <v>37</v>
      </c>
      <c r="Y392" s="10" t="s">
        <v>0</v>
      </c>
    </row>
    <row r="393">
      <c r="A393" s="10" t="s">
        <v>1548</v>
      </c>
      <c r="B393" s="11">
        <v>44275.43597511574</v>
      </c>
      <c r="C393" s="10" t="s">
        <v>491</v>
      </c>
      <c r="D393" s="10" t="s">
        <v>492</v>
      </c>
      <c r="E393" s="10" t="s">
        <v>853</v>
      </c>
      <c r="F393" s="10" t="s">
        <v>1549</v>
      </c>
      <c r="G393" s="10" t="s">
        <v>1550</v>
      </c>
      <c r="H393" s="17">
        <v>44273.5</v>
      </c>
      <c r="I393" s="17">
        <v>44273.5</v>
      </c>
      <c r="J393" s="10" t="s">
        <v>73</v>
      </c>
      <c r="K393" s="10" t="s">
        <v>34</v>
      </c>
      <c r="N393" s="10" t="s">
        <v>35</v>
      </c>
      <c r="V393" s="9"/>
      <c r="W393" s="13" t="s">
        <v>66</v>
      </c>
      <c r="X393" s="10" t="s">
        <v>37</v>
      </c>
      <c r="Y393" s="10" t="s">
        <v>0</v>
      </c>
    </row>
    <row r="394">
      <c r="A394" s="10" t="s">
        <v>1551</v>
      </c>
      <c r="B394" s="11">
        <v>44270.44580046296</v>
      </c>
      <c r="C394" s="10" t="s">
        <v>374</v>
      </c>
      <c r="D394" s="10" t="s">
        <v>375</v>
      </c>
      <c r="E394" s="10" t="s">
        <v>1552</v>
      </c>
      <c r="F394" s="10" t="s">
        <v>1553</v>
      </c>
      <c r="G394" s="10" t="s">
        <v>1554</v>
      </c>
      <c r="H394" s="17">
        <v>44273.52083333333</v>
      </c>
      <c r="I394" s="17">
        <v>44276.52083333333</v>
      </c>
      <c r="J394" s="10" t="s">
        <v>51</v>
      </c>
      <c r="K394" s="10" t="s">
        <v>34</v>
      </c>
      <c r="N394" s="10" t="s">
        <v>35</v>
      </c>
      <c r="V394" s="9"/>
      <c r="W394" s="13" t="s">
        <v>78</v>
      </c>
      <c r="X394" s="10" t="s">
        <v>37</v>
      </c>
      <c r="Y394" s="10" t="s">
        <v>0</v>
      </c>
    </row>
    <row r="395">
      <c r="A395" s="10" t="s">
        <v>1555</v>
      </c>
      <c r="B395" s="11">
        <v>44268.66045575231</v>
      </c>
      <c r="C395" s="10" t="s">
        <v>186</v>
      </c>
      <c r="D395" s="10" t="s">
        <v>187</v>
      </c>
      <c r="E395" s="10" t="s">
        <v>188</v>
      </c>
      <c r="F395" s="10" t="s">
        <v>1556</v>
      </c>
      <c r="G395" s="26" t="s">
        <v>1557</v>
      </c>
      <c r="H395" s="16">
        <v>44273.60416666667</v>
      </c>
      <c r="I395" s="16">
        <v>44273.6875</v>
      </c>
      <c r="J395" s="10" t="s">
        <v>128</v>
      </c>
      <c r="K395" s="10" t="s">
        <v>34</v>
      </c>
      <c r="N395" s="10" t="s">
        <v>35</v>
      </c>
      <c r="V395" s="9"/>
      <c r="W395" s="13" t="s">
        <v>78</v>
      </c>
      <c r="X395" s="10" t="s">
        <v>37</v>
      </c>
      <c r="Y395" s="10" t="s">
        <v>0</v>
      </c>
    </row>
    <row r="396">
      <c r="A396" s="10" t="s">
        <v>1558</v>
      </c>
      <c r="B396" s="11">
        <v>44264.44622945602</v>
      </c>
      <c r="C396" s="10" t="s">
        <v>539</v>
      </c>
      <c r="D396" s="10" t="s">
        <v>540</v>
      </c>
      <c r="E396" s="10" t="s">
        <v>1434</v>
      </c>
      <c r="F396" s="10" t="s">
        <v>1559</v>
      </c>
      <c r="G396" s="10" t="s">
        <v>1560</v>
      </c>
      <c r="H396" s="16">
        <v>44270.77083333333</v>
      </c>
      <c r="I396" s="16">
        <v>44270.8125</v>
      </c>
      <c r="J396" s="10" t="s">
        <v>43</v>
      </c>
      <c r="K396" s="10" t="s">
        <v>34</v>
      </c>
      <c r="N396" s="10" t="s">
        <v>35</v>
      </c>
      <c r="V396" s="9"/>
      <c r="W396" s="13" t="s">
        <v>78</v>
      </c>
      <c r="X396" s="10" t="s">
        <v>37</v>
      </c>
      <c r="Y396" s="10" t="s">
        <v>0</v>
      </c>
    </row>
    <row r="397">
      <c r="A397" s="10" t="s">
        <v>1561</v>
      </c>
      <c r="B397" s="11">
        <v>44265.64319880787</v>
      </c>
      <c r="C397" s="10" t="s">
        <v>610</v>
      </c>
      <c r="D397" s="10" t="s">
        <v>611</v>
      </c>
      <c r="E397" s="10" t="s">
        <v>612</v>
      </c>
      <c r="F397" s="10" t="s">
        <v>1562</v>
      </c>
      <c r="G397" s="10" t="s">
        <v>1563</v>
      </c>
      <c r="H397" s="24">
        <v>44273.6875</v>
      </c>
      <c r="I397" s="24">
        <v>44273.72916666667</v>
      </c>
      <c r="J397" s="10" t="s">
        <v>33</v>
      </c>
      <c r="K397" s="10" t="s">
        <v>34</v>
      </c>
      <c r="N397" s="10" t="s">
        <v>35</v>
      </c>
      <c r="V397" s="9"/>
      <c r="W397" s="13" t="s">
        <v>78</v>
      </c>
      <c r="X397" s="10" t="s">
        <v>37</v>
      </c>
      <c r="Y397" s="10" t="s">
        <v>0</v>
      </c>
    </row>
    <row r="398">
      <c r="A398" s="10" t="s">
        <v>1564</v>
      </c>
      <c r="B398" s="11">
        <v>44266.392793113424</v>
      </c>
      <c r="C398" s="10" t="s">
        <v>671</v>
      </c>
      <c r="D398" s="10" t="s">
        <v>672</v>
      </c>
      <c r="E398" s="10" t="s">
        <v>1565</v>
      </c>
      <c r="F398" s="10" t="s">
        <v>1566</v>
      </c>
      <c r="G398" s="10" t="s">
        <v>1567</v>
      </c>
      <c r="H398" s="17">
        <v>44273.6875</v>
      </c>
      <c r="I398" s="17">
        <v>44273.72916666667</v>
      </c>
      <c r="J398" s="10" t="s">
        <v>128</v>
      </c>
      <c r="K398" s="10" t="s">
        <v>34</v>
      </c>
      <c r="N398" s="10" t="s">
        <v>35</v>
      </c>
      <c r="V398" s="9"/>
      <c r="W398" s="13" t="s">
        <v>78</v>
      </c>
      <c r="X398" s="10" t="s">
        <v>37</v>
      </c>
      <c r="Y398" s="10" t="s">
        <v>0</v>
      </c>
    </row>
    <row r="399">
      <c r="A399" s="10" t="s">
        <v>1568</v>
      </c>
      <c r="B399" s="11">
        <v>44270.828172291665</v>
      </c>
      <c r="C399" s="10" t="s">
        <v>160</v>
      </c>
      <c r="D399" s="10" t="s">
        <v>161</v>
      </c>
      <c r="E399" s="10" t="s">
        <v>947</v>
      </c>
      <c r="F399" s="10" t="s">
        <v>1569</v>
      </c>
      <c r="G399" s="10" t="s">
        <v>1570</v>
      </c>
      <c r="H399" s="16">
        <v>44271.6875</v>
      </c>
      <c r="I399" s="16">
        <v>44271.77083333333</v>
      </c>
      <c r="J399" s="10" t="s">
        <v>43</v>
      </c>
      <c r="K399" s="10" t="s">
        <v>34</v>
      </c>
      <c r="N399" s="10" t="s">
        <v>296</v>
      </c>
      <c r="O399" s="18" t="s">
        <v>1571</v>
      </c>
      <c r="P399" s="10" t="s">
        <v>296</v>
      </c>
      <c r="Q399" s="10">
        <v>2.0</v>
      </c>
      <c r="R399" s="10" t="s">
        <v>35</v>
      </c>
      <c r="T399" s="10" t="s">
        <v>35</v>
      </c>
      <c r="V399" s="9"/>
      <c r="W399" s="13" t="s">
        <v>1572</v>
      </c>
      <c r="X399" s="10" t="s">
        <v>37</v>
      </c>
      <c r="Y399" s="10" t="s">
        <v>0</v>
      </c>
    </row>
    <row r="400">
      <c r="A400" s="10" t="s">
        <v>1573</v>
      </c>
      <c r="B400" s="11">
        <v>44273.679325613426</v>
      </c>
      <c r="C400" s="10" t="s">
        <v>342</v>
      </c>
      <c r="D400" s="10" t="s">
        <v>187</v>
      </c>
      <c r="E400" s="10" t="s">
        <v>188</v>
      </c>
      <c r="F400" s="10" t="s">
        <v>1574</v>
      </c>
      <c r="G400" s="10" t="s">
        <v>1575</v>
      </c>
      <c r="H400" s="16">
        <v>44273.6875</v>
      </c>
      <c r="I400" s="16">
        <v>44273.77083333333</v>
      </c>
      <c r="J400" s="10" t="s">
        <v>128</v>
      </c>
      <c r="K400" s="10" t="s">
        <v>34</v>
      </c>
      <c r="N400" s="10" t="s">
        <v>35</v>
      </c>
      <c r="V400" s="9"/>
      <c r="W400" s="13" t="s">
        <v>78</v>
      </c>
      <c r="X400" s="10" t="s">
        <v>37</v>
      </c>
      <c r="Y400" s="10" t="s">
        <v>0</v>
      </c>
    </row>
    <row r="401">
      <c r="A401" s="10" t="s">
        <v>1576</v>
      </c>
      <c r="B401" s="11">
        <v>44273.68089657408</v>
      </c>
      <c r="C401" s="10" t="s">
        <v>186</v>
      </c>
      <c r="D401" s="10" t="s">
        <v>187</v>
      </c>
      <c r="E401" s="10" t="s">
        <v>1427</v>
      </c>
      <c r="F401" s="10" t="s">
        <v>1574</v>
      </c>
      <c r="G401" s="10" t="s">
        <v>1577</v>
      </c>
      <c r="H401" s="16">
        <v>44273.6875</v>
      </c>
      <c r="I401" s="16">
        <v>44273.77083333333</v>
      </c>
      <c r="J401" s="10" t="s">
        <v>128</v>
      </c>
      <c r="K401" s="10" t="s">
        <v>34</v>
      </c>
      <c r="N401" s="10" t="s">
        <v>35</v>
      </c>
      <c r="V401" s="9"/>
      <c r="W401" s="13" t="s">
        <v>78</v>
      </c>
      <c r="X401" s="10" t="s">
        <v>37</v>
      </c>
      <c r="Y401" s="10" t="s">
        <v>0</v>
      </c>
    </row>
    <row r="402">
      <c r="A402" s="10" t="s">
        <v>1578</v>
      </c>
      <c r="B402" s="11">
        <v>44272.51766150463</v>
      </c>
      <c r="C402" s="10" t="s">
        <v>1035</v>
      </c>
      <c r="D402" s="10" t="s">
        <v>1036</v>
      </c>
      <c r="E402" s="10" t="s">
        <v>1579</v>
      </c>
      <c r="F402" s="10" t="s">
        <v>1580</v>
      </c>
      <c r="G402" s="10" t="s">
        <v>1581</v>
      </c>
      <c r="H402" s="17">
        <v>44273.75</v>
      </c>
      <c r="I402" s="17">
        <v>44273.79166666667</v>
      </c>
      <c r="J402" s="10" t="s">
        <v>128</v>
      </c>
      <c r="K402" s="10" t="s">
        <v>34</v>
      </c>
      <c r="N402" s="10" t="s">
        <v>35</v>
      </c>
      <c r="V402" s="9"/>
      <c r="W402" s="13" t="s">
        <v>78</v>
      </c>
      <c r="X402" s="10" t="s">
        <v>37</v>
      </c>
      <c r="Y402" s="10" t="s">
        <v>0</v>
      </c>
    </row>
    <row r="403">
      <c r="A403" s="10" t="s">
        <v>1582</v>
      </c>
      <c r="B403" s="11">
        <v>44269.492835868055</v>
      </c>
      <c r="C403" s="10" t="s">
        <v>1583</v>
      </c>
      <c r="D403" s="10" t="s">
        <v>505</v>
      </c>
      <c r="E403" s="10" t="s">
        <v>1584</v>
      </c>
      <c r="F403" s="10" t="s">
        <v>1585</v>
      </c>
      <c r="G403" s="10" t="s">
        <v>1586</v>
      </c>
      <c r="H403" s="17">
        <v>44273.79166666667</v>
      </c>
      <c r="I403" s="17">
        <v>44273.83333333333</v>
      </c>
      <c r="J403" s="10" t="s">
        <v>128</v>
      </c>
      <c r="K403" s="10" t="s">
        <v>34</v>
      </c>
      <c r="N403" s="10" t="s">
        <v>35</v>
      </c>
      <c r="V403" s="9"/>
      <c r="W403" s="13" t="s">
        <v>78</v>
      </c>
      <c r="X403" s="10" t="s">
        <v>37</v>
      </c>
      <c r="Y403" s="10" t="s">
        <v>0</v>
      </c>
    </row>
    <row r="404">
      <c r="A404" s="10" t="s">
        <v>1587</v>
      </c>
      <c r="B404" s="11">
        <v>44261.74545971065</v>
      </c>
      <c r="C404" s="10" t="s">
        <v>181</v>
      </c>
      <c r="D404" s="10" t="s">
        <v>69</v>
      </c>
      <c r="E404" s="10" t="s">
        <v>1588</v>
      </c>
      <c r="F404" s="10" t="s">
        <v>1589</v>
      </c>
      <c r="G404" s="10" t="s">
        <v>1590</v>
      </c>
      <c r="H404" s="24">
        <v>44272.30208333333</v>
      </c>
      <c r="I404" s="24">
        <v>44272.38541666667</v>
      </c>
      <c r="J404" s="10" t="s">
        <v>43</v>
      </c>
      <c r="K404" s="10" t="s">
        <v>34</v>
      </c>
      <c r="N404" s="10" t="s">
        <v>35</v>
      </c>
      <c r="V404" s="9"/>
      <c r="W404" s="13" t="s">
        <v>78</v>
      </c>
      <c r="X404" s="10" t="s">
        <v>37</v>
      </c>
      <c r="Y404" s="10" t="s">
        <v>0</v>
      </c>
    </row>
    <row r="405">
      <c r="A405" s="10" t="s">
        <v>1591</v>
      </c>
      <c r="B405" s="11">
        <v>44261.73293491898</v>
      </c>
      <c r="C405" s="10" t="s">
        <v>181</v>
      </c>
      <c r="D405" s="10" t="s">
        <v>69</v>
      </c>
      <c r="E405" s="10" t="s">
        <v>1179</v>
      </c>
      <c r="F405" s="10" t="s">
        <v>1592</v>
      </c>
      <c r="G405" s="10" t="s">
        <v>1593</v>
      </c>
      <c r="H405" s="24">
        <v>44274.35416666667</v>
      </c>
      <c r="I405" s="24">
        <v>44274.85416666667</v>
      </c>
      <c r="J405" s="10" t="s">
        <v>51</v>
      </c>
      <c r="K405" s="10" t="s">
        <v>34</v>
      </c>
      <c r="N405" s="10" t="s">
        <v>35</v>
      </c>
      <c r="V405" s="9"/>
      <c r="W405" s="13" t="s">
        <v>78</v>
      </c>
      <c r="X405" s="10" t="s">
        <v>37</v>
      </c>
      <c r="Y405" s="10" t="s">
        <v>0</v>
      </c>
    </row>
    <row r="406">
      <c r="A406" s="10" t="s">
        <v>1594</v>
      </c>
      <c r="B406" s="11">
        <v>44272.438852349536</v>
      </c>
      <c r="C406" s="10" t="s">
        <v>694</v>
      </c>
      <c r="D406" s="10" t="s">
        <v>695</v>
      </c>
      <c r="E406" s="10" t="s">
        <v>696</v>
      </c>
      <c r="F406" s="10" t="s">
        <v>1595</v>
      </c>
      <c r="G406" s="10" t="s">
        <v>1596</v>
      </c>
      <c r="H406" s="17">
        <v>44274.39583333333</v>
      </c>
      <c r="I406" s="17">
        <v>44274.39583333333</v>
      </c>
      <c r="J406" s="10" t="s">
        <v>128</v>
      </c>
      <c r="K406" s="10" t="s">
        <v>34</v>
      </c>
      <c r="N406" s="10" t="s">
        <v>35</v>
      </c>
      <c r="V406" s="9"/>
      <c r="W406" s="13" t="s">
        <v>78</v>
      </c>
      <c r="X406" s="10" t="s">
        <v>37</v>
      </c>
      <c r="Y406" s="10" t="s">
        <v>0</v>
      </c>
    </row>
    <row r="407">
      <c r="A407" s="10" t="s">
        <v>1597</v>
      </c>
      <c r="B407" s="11">
        <v>44272.51914405092</v>
      </c>
      <c r="C407" s="10" t="s">
        <v>1035</v>
      </c>
      <c r="D407" s="10" t="s">
        <v>1036</v>
      </c>
      <c r="E407" s="10" t="s">
        <v>1579</v>
      </c>
      <c r="F407" s="10" t="s">
        <v>1598</v>
      </c>
      <c r="G407" s="10" t="s">
        <v>1599</v>
      </c>
      <c r="H407" s="17">
        <v>44274.39583333333</v>
      </c>
      <c r="I407" s="17">
        <v>44274.4375</v>
      </c>
      <c r="J407" s="10" t="s">
        <v>128</v>
      </c>
      <c r="K407" s="10" t="s">
        <v>34</v>
      </c>
      <c r="N407" s="10" t="s">
        <v>35</v>
      </c>
      <c r="V407" s="9"/>
      <c r="W407" s="13" t="s">
        <v>78</v>
      </c>
      <c r="X407" s="10" t="s">
        <v>37</v>
      </c>
      <c r="Y407" s="10" t="s">
        <v>0</v>
      </c>
    </row>
    <row r="408">
      <c r="A408" s="10" t="s">
        <v>1600</v>
      </c>
      <c r="B408" s="11">
        <v>44270.519083321764</v>
      </c>
      <c r="C408" s="10" t="s">
        <v>80</v>
      </c>
      <c r="D408" s="10" t="s">
        <v>81</v>
      </c>
      <c r="E408" s="10" t="s">
        <v>1601</v>
      </c>
      <c r="F408" s="10" t="s">
        <v>1602</v>
      </c>
      <c r="G408" s="10" t="s">
        <v>1603</v>
      </c>
      <c r="H408" s="24">
        <v>44273.1875</v>
      </c>
      <c r="I408" s="24">
        <v>44273.22916666667</v>
      </c>
      <c r="J408" s="10" t="s">
        <v>43</v>
      </c>
      <c r="K408" s="10" t="s">
        <v>34</v>
      </c>
      <c r="N408" s="10" t="s">
        <v>296</v>
      </c>
      <c r="O408" s="18" t="s">
        <v>1604</v>
      </c>
      <c r="P408" s="10" t="s">
        <v>35</v>
      </c>
      <c r="R408" s="10" t="s">
        <v>296</v>
      </c>
      <c r="S408" s="10">
        <v>1.0</v>
      </c>
      <c r="T408" s="10" t="s">
        <v>35</v>
      </c>
      <c r="V408" s="9"/>
      <c r="W408" s="13" t="s">
        <v>78</v>
      </c>
      <c r="X408" s="10" t="s">
        <v>37</v>
      </c>
      <c r="Y408" s="10" t="s">
        <v>0</v>
      </c>
    </row>
    <row r="409">
      <c r="A409" s="10" t="s">
        <v>1605</v>
      </c>
      <c r="B409" s="11">
        <v>44261.528772314814</v>
      </c>
      <c r="C409" s="10" t="s">
        <v>209</v>
      </c>
      <c r="D409" s="10" t="s">
        <v>210</v>
      </c>
      <c r="E409" s="10" t="s">
        <v>261</v>
      </c>
      <c r="F409" s="10" t="s">
        <v>1606</v>
      </c>
      <c r="G409" s="10" t="s">
        <v>1607</v>
      </c>
      <c r="H409" s="17">
        <v>44274.47916666667</v>
      </c>
      <c r="I409" s="17">
        <v>44274.47916666667</v>
      </c>
      <c r="J409" s="10" t="s">
        <v>33</v>
      </c>
      <c r="K409" s="10" t="s">
        <v>34</v>
      </c>
      <c r="N409" s="10" t="s">
        <v>35</v>
      </c>
      <c r="V409" s="9"/>
      <c r="W409" s="13" t="s">
        <v>78</v>
      </c>
      <c r="X409" s="10" t="s">
        <v>37</v>
      </c>
      <c r="Y409" s="10" t="s">
        <v>0</v>
      </c>
    </row>
    <row r="410">
      <c r="A410" s="10" t="s">
        <v>1608</v>
      </c>
      <c r="B410" s="11">
        <v>44261.52987815972</v>
      </c>
      <c r="C410" s="10" t="s">
        <v>209</v>
      </c>
      <c r="D410" s="10" t="s">
        <v>210</v>
      </c>
      <c r="E410" s="10" t="s">
        <v>261</v>
      </c>
      <c r="F410" s="10" t="s">
        <v>1371</v>
      </c>
      <c r="G410" s="10" t="s">
        <v>1609</v>
      </c>
      <c r="H410" s="17">
        <v>44274.52083333333</v>
      </c>
      <c r="I410" s="17">
        <v>44274.60416666667</v>
      </c>
      <c r="J410" s="10" t="s">
        <v>128</v>
      </c>
      <c r="K410" s="10" t="s">
        <v>34</v>
      </c>
      <c r="N410" s="10" t="s">
        <v>35</v>
      </c>
      <c r="V410" s="9"/>
      <c r="W410" s="13" t="s">
        <v>78</v>
      </c>
      <c r="X410" s="10" t="s">
        <v>37</v>
      </c>
      <c r="Y410" s="10" t="s">
        <v>0</v>
      </c>
    </row>
    <row r="411">
      <c r="A411" s="10" t="s">
        <v>1610</v>
      </c>
      <c r="B411" s="11">
        <v>44267.535898622686</v>
      </c>
      <c r="C411" s="10" t="s">
        <v>694</v>
      </c>
      <c r="D411" s="10" t="s">
        <v>695</v>
      </c>
      <c r="E411" s="10" t="s">
        <v>696</v>
      </c>
      <c r="F411" s="10" t="s">
        <v>697</v>
      </c>
      <c r="G411" s="10" t="s">
        <v>698</v>
      </c>
      <c r="H411" s="17">
        <v>44274.52083333333</v>
      </c>
      <c r="I411" s="17">
        <v>44274.52083333333</v>
      </c>
      <c r="J411" s="10" t="s">
        <v>128</v>
      </c>
      <c r="K411" s="10" t="s">
        <v>34</v>
      </c>
      <c r="N411" s="10" t="s">
        <v>35</v>
      </c>
      <c r="V411" s="9"/>
      <c r="W411" s="13" t="s">
        <v>78</v>
      </c>
      <c r="X411" s="10" t="s">
        <v>37</v>
      </c>
      <c r="Y411" s="10" t="s">
        <v>0</v>
      </c>
    </row>
    <row r="412">
      <c r="A412" s="10" t="s">
        <v>1611</v>
      </c>
      <c r="B412" s="11">
        <v>44265.80831820602</v>
      </c>
      <c r="C412" s="10" t="s">
        <v>374</v>
      </c>
      <c r="D412" s="10" t="s">
        <v>375</v>
      </c>
      <c r="E412" s="10" t="s">
        <v>1612</v>
      </c>
      <c r="F412" s="10" t="s">
        <v>1613</v>
      </c>
      <c r="G412" s="10" t="s">
        <v>1614</v>
      </c>
      <c r="H412" s="17">
        <v>44274.5625</v>
      </c>
      <c r="I412" s="17">
        <v>44274.60416666667</v>
      </c>
      <c r="J412" s="10" t="s">
        <v>128</v>
      </c>
      <c r="K412" s="10" t="s">
        <v>34</v>
      </c>
      <c r="N412" s="10" t="s">
        <v>35</v>
      </c>
      <c r="V412" s="9"/>
      <c r="W412" s="13" t="s">
        <v>78</v>
      </c>
      <c r="X412" s="10" t="s">
        <v>37</v>
      </c>
      <c r="Y412" s="10" t="s">
        <v>0</v>
      </c>
    </row>
    <row r="413">
      <c r="A413" s="10" t="s">
        <v>1615</v>
      </c>
      <c r="B413" s="11">
        <v>44267.37866756944</v>
      </c>
      <c r="C413" s="10" t="s">
        <v>671</v>
      </c>
      <c r="D413" s="10" t="s">
        <v>672</v>
      </c>
      <c r="E413" s="10" t="s">
        <v>1616</v>
      </c>
      <c r="F413" s="10" t="s">
        <v>1617</v>
      </c>
      <c r="G413" s="10" t="s">
        <v>1618</v>
      </c>
      <c r="H413" s="17">
        <v>44274.5625</v>
      </c>
      <c r="I413" s="17">
        <v>44274.64583333333</v>
      </c>
      <c r="J413" s="10" t="s">
        <v>128</v>
      </c>
      <c r="K413" s="10" t="s">
        <v>34</v>
      </c>
      <c r="N413" s="10" t="s">
        <v>35</v>
      </c>
      <c r="V413" s="9"/>
      <c r="W413" s="13" t="s">
        <v>78</v>
      </c>
      <c r="X413" s="10" t="s">
        <v>37</v>
      </c>
      <c r="Y413" s="10" t="s">
        <v>0</v>
      </c>
    </row>
    <row r="414">
      <c r="A414" s="10" t="s">
        <v>1619</v>
      </c>
      <c r="B414" s="11">
        <v>44256.48434243056</v>
      </c>
      <c r="C414" s="10" t="s">
        <v>137</v>
      </c>
      <c r="D414" s="10" t="s">
        <v>138</v>
      </c>
      <c r="E414" s="10" t="s">
        <v>1376</v>
      </c>
      <c r="F414" s="10" t="s">
        <v>482</v>
      </c>
      <c r="G414" s="10" t="s">
        <v>1620</v>
      </c>
      <c r="H414" s="17">
        <v>44274.58333333333</v>
      </c>
      <c r="I414" s="17">
        <v>44274.66666666667</v>
      </c>
      <c r="J414" s="10" t="s">
        <v>128</v>
      </c>
      <c r="K414" s="10" t="s">
        <v>34</v>
      </c>
      <c r="N414" s="10" t="s">
        <v>35</v>
      </c>
      <c r="V414" s="9"/>
      <c r="W414" s="13" t="s">
        <v>78</v>
      </c>
      <c r="X414" s="10" t="s">
        <v>37</v>
      </c>
      <c r="Y414" s="10" t="s">
        <v>0</v>
      </c>
    </row>
    <row r="415">
      <c r="A415" s="10" t="s">
        <v>1621</v>
      </c>
      <c r="B415" s="11">
        <v>44259.736289594905</v>
      </c>
      <c r="C415" s="10" t="s">
        <v>160</v>
      </c>
      <c r="D415" s="10" t="s">
        <v>161</v>
      </c>
      <c r="E415" s="10" t="s">
        <v>947</v>
      </c>
      <c r="F415" s="10" t="s">
        <v>1622</v>
      </c>
      <c r="G415" s="10" t="s">
        <v>1623</v>
      </c>
      <c r="H415" s="24">
        <v>44273.6875</v>
      </c>
      <c r="I415" s="24">
        <v>44273.75</v>
      </c>
      <c r="J415" s="10" t="s">
        <v>43</v>
      </c>
      <c r="K415" s="10" t="s">
        <v>34</v>
      </c>
      <c r="N415" s="10" t="s">
        <v>296</v>
      </c>
      <c r="O415" s="18" t="s">
        <v>1624</v>
      </c>
      <c r="P415" s="10" t="s">
        <v>35</v>
      </c>
      <c r="R415" s="10" t="s">
        <v>296</v>
      </c>
      <c r="S415" s="10">
        <v>1.0</v>
      </c>
      <c r="T415" s="10" t="s">
        <v>35</v>
      </c>
      <c r="V415" s="9"/>
      <c r="W415" s="13" t="s">
        <v>78</v>
      </c>
      <c r="X415" s="10" t="s">
        <v>37</v>
      </c>
      <c r="Y415" s="10" t="s">
        <v>0</v>
      </c>
    </row>
    <row r="416">
      <c r="A416" s="10" t="s">
        <v>1625</v>
      </c>
      <c r="B416" s="11">
        <v>44263.861019398144</v>
      </c>
      <c r="C416" s="10" t="s">
        <v>96</v>
      </c>
      <c r="D416" s="10" t="s">
        <v>97</v>
      </c>
      <c r="E416" s="10" t="s">
        <v>1296</v>
      </c>
      <c r="F416" s="10" t="s">
        <v>1626</v>
      </c>
      <c r="G416" s="10" t="s">
        <v>1627</v>
      </c>
      <c r="H416" s="17">
        <v>44274.60416666667</v>
      </c>
      <c r="I416" s="17">
        <v>44330.75</v>
      </c>
      <c r="J416" s="10" t="s">
        <v>128</v>
      </c>
      <c r="K416" s="10" t="s">
        <v>34</v>
      </c>
      <c r="N416" s="10" t="s">
        <v>35</v>
      </c>
      <c r="V416" s="9"/>
      <c r="W416" s="13" t="s">
        <v>78</v>
      </c>
      <c r="X416" s="10" t="s">
        <v>37</v>
      </c>
      <c r="Y416" s="10" t="s">
        <v>0</v>
      </c>
    </row>
    <row r="417">
      <c r="A417" s="10" t="s">
        <v>1628</v>
      </c>
      <c r="B417" s="11">
        <v>44272.47482112268</v>
      </c>
      <c r="C417" s="10" t="s">
        <v>137</v>
      </c>
      <c r="D417" s="21" t="s">
        <v>138</v>
      </c>
      <c r="E417" s="21" t="s">
        <v>1629</v>
      </c>
      <c r="F417" s="21" t="s">
        <v>1630</v>
      </c>
      <c r="G417" s="21" t="s">
        <v>1631</v>
      </c>
      <c r="H417" s="22">
        <v>44273.6875</v>
      </c>
      <c r="I417" s="22">
        <v>44273.71875</v>
      </c>
      <c r="J417" s="21" t="s">
        <v>236</v>
      </c>
      <c r="K417" s="10" t="s">
        <v>34</v>
      </c>
      <c r="N417" s="10" t="s">
        <v>35</v>
      </c>
      <c r="V417" s="9"/>
      <c r="W417" s="13" t="s">
        <v>78</v>
      </c>
      <c r="X417" s="10" t="s">
        <v>37</v>
      </c>
      <c r="Y417" s="10" t="s">
        <v>0</v>
      </c>
    </row>
    <row r="418">
      <c r="A418" s="10" t="s">
        <v>1632</v>
      </c>
      <c r="B418" s="11">
        <v>44270.83261493055</v>
      </c>
      <c r="C418" s="10" t="s">
        <v>160</v>
      </c>
      <c r="D418" s="10" t="s">
        <v>161</v>
      </c>
      <c r="E418" s="10" t="s">
        <v>947</v>
      </c>
      <c r="F418" s="10" t="s">
        <v>1633</v>
      </c>
      <c r="G418" s="10" t="s">
        <v>1634</v>
      </c>
      <c r="H418" s="16">
        <v>44273.79166666667</v>
      </c>
      <c r="I418" s="16">
        <v>44273.875</v>
      </c>
      <c r="J418" s="10" t="s">
        <v>43</v>
      </c>
      <c r="K418" s="10" t="s">
        <v>34</v>
      </c>
      <c r="N418" s="10" t="s">
        <v>35</v>
      </c>
      <c r="V418" s="9"/>
      <c r="W418" s="13" t="s">
        <v>78</v>
      </c>
      <c r="X418" s="10" t="s">
        <v>37</v>
      </c>
      <c r="Y418" s="10" t="s">
        <v>0</v>
      </c>
    </row>
    <row r="419">
      <c r="A419" s="10" t="s">
        <v>1635</v>
      </c>
      <c r="B419" s="11">
        <v>44261.73082503473</v>
      </c>
      <c r="C419" s="10" t="s">
        <v>181</v>
      </c>
      <c r="D419" s="10" t="s">
        <v>69</v>
      </c>
      <c r="E419" s="10" t="s">
        <v>1636</v>
      </c>
      <c r="F419" s="10" t="s">
        <v>1637</v>
      </c>
      <c r="G419" s="10" t="s">
        <v>1638</v>
      </c>
      <c r="H419" s="17">
        <v>44274.6875</v>
      </c>
      <c r="I419" s="17">
        <v>44274.77083333333</v>
      </c>
      <c r="J419" s="10" t="s">
        <v>128</v>
      </c>
      <c r="K419" s="10" t="s">
        <v>34</v>
      </c>
      <c r="N419" s="10" t="s">
        <v>35</v>
      </c>
      <c r="V419" s="9"/>
      <c r="W419" s="13" t="s">
        <v>78</v>
      </c>
      <c r="X419" s="10" t="s">
        <v>37</v>
      </c>
      <c r="Y419" s="10" t="s">
        <v>0</v>
      </c>
    </row>
    <row r="420">
      <c r="A420" s="10" t="s">
        <v>1639</v>
      </c>
      <c r="B420" s="11">
        <v>44272.462591041665</v>
      </c>
      <c r="C420" s="10" t="s">
        <v>381</v>
      </c>
      <c r="D420" s="10" t="s">
        <v>382</v>
      </c>
      <c r="E420" s="10" t="s">
        <v>1487</v>
      </c>
      <c r="F420" s="10" t="s">
        <v>1640</v>
      </c>
      <c r="G420" s="10" t="s">
        <v>1641</v>
      </c>
      <c r="H420" s="17">
        <v>44274.6875</v>
      </c>
      <c r="I420" s="17">
        <v>44274.72916666667</v>
      </c>
      <c r="J420" s="10" t="s">
        <v>128</v>
      </c>
      <c r="K420" s="10" t="s">
        <v>34</v>
      </c>
      <c r="N420" s="10" t="s">
        <v>35</v>
      </c>
      <c r="V420" s="9"/>
      <c r="W420" s="13" t="s">
        <v>78</v>
      </c>
      <c r="X420" s="10" t="s">
        <v>37</v>
      </c>
      <c r="Y420" s="10" t="s">
        <v>0</v>
      </c>
    </row>
    <row r="421">
      <c r="A421" s="10" t="s">
        <v>1642</v>
      </c>
      <c r="B421" s="11">
        <v>44269.47435042824</v>
      </c>
      <c r="C421" s="10" t="s">
        <v>1643</v>
      </c>
      <c r="D421" s="10" t="s">
        <v>375</v>
      </c>
      <c r="E421" s="10" t="s">
        <v>1644</v>
      </c>
      <c r="F421" s="10" t="s">
        <v>1645</v>
      </c>
      <c r="G421" s="10" t="s">
        <v>1646</v>
      </c>
      <c r="H421" s="17">
        <v>44274.72916666667</v>
      </c>
      <c r="I421" s="17">
        <v>44274.77083333333</v>
      </c>
      <c r="J421" s="10" t="s">
        <v>33</v>
      </c>
      <c r="K421" s="10" t="s">
        <v>34</v>
      </c>
      <c r="N421" s="10" t="s">
        <v>35</v>
      </c>
      <c r="V421" s="9"/>
      <c r="W421" s="13" t="s">
        <v>78</v>
      </c>
      <c r="X421" s="10" t="s">
        <v>37</v>
      </c>
      <c r="Y421" s="10" t="s">
        <v>0</v>
      </c>
    </row>
    <row r="422">
      <c r="A422" s="10" t="s">
        <v>1647</v>
      </c>
      <c r="B422" s="11">
        <v>44261.52774334491</v>
      </c>
      <c r="C422" s="10" t="s">
        <v>209</v>
      </c>
      <c r="D422" s="10" t="s">
        <v>210</v>
      </c>
      <c r="E422" s="10" t="s">
        <v>261</v>
      </c>
      <c r="F422" s="10" t="s">
        <v>1648</v>
      </c>
      <c r="G422" s="10" t="s">
        <v>1649</v>
      </c>
      <c r="H422" s="17">
        <v>44274.77083333333</v>
      </c>
      <c r="I422" s="17">
        <v>44274.8125</v>
      </c>
      <c r="J422" s="10" t="s">
        <v>33</v>
      </c>
      <c r="K422" s="10" t="s">
        <v>34</v>
      </c>
      <c r="N422" s="10" t="s">
        <v>35</v>
      </c>
      <c r="V422" s="9"/>
      <c r="W422" s="13" t="s">
        <v>78</v>
      </c>
      <c r="X422" s="10" t="s">
        <v>37</v>
      </c>
      <c r="Y422" s="10" t="s">
        <v>0</v>
      </c>
    </row>
    <row r="423">
      <c r="A423" s="10" t="s">
        <v>1650</v>
      </c>
      <c r="B423" s="11">
        <v>44269.486742256944</v>
      </c>
      <c r="C423" s="10" t="s">
        <v>239</v>
      </c>
      <c r="D423" s="10" t="s">
        <v>240</v>
      </c>
      <c r="E423" s="10" t="s">
        <v>1651</v>
      </c>
      <c r="F423" s="10" t="s">
        <v>1652</v>
      </c>
      <c r="G423" s="10" t="s">
        <v>1653</v>
      </c>
      <c r="H423" s="17">
        <v>44274.77083333333</v>
      </c>
      <c r="I423" s="17">
        <v>44274.8125</v>
      </c>
      <c r="J423" s="10" t="s">
        <v>128</v>
      </c>
      <c r="K423" s="10" t="s">
        <v>34</v>
      </c>
      <c r="N423" s="10" t="s">
        <v>35</v>
      </c>
      <c r="V423" s="9"/>
      <c r="W423" s="13" t="s">
        <v>78</v>
      </c>
      <c r="X423" s="10" t="s">
        <v>37</v>
      </c>
      <c r="Y423" s="10" t="s">
        <v>0</v>
      </c>
    </row>
    <row r="424">
      <c r="A424" s="10" t="s">
        <v>1654</v>
      </c>
      <c r="B424" s="11">
        <v>44268.70895127315</v>
      </c>
      <c r="C424" s="10" t="s">
        <v>181</v>
      </c>
      <c r="D424" s="10" t="s">
        <v>69</v>
      </c>
      <c r="E424" s="10" t="s">
        <v>860</v>
      </c>
      <c r="F424" s="10" t="s">
        <v>1655</v>
      </c>
      <c r="G424" s="10" t="s">
        <v>1656</v>
      </c>
      <c r="H424" s="17">
        <v>44275.375</v>
      </c>
      <c r="I424" s="17">
        <v>44275.95833333333</v>
      </c>
      <c r="J424" s="10" t="s">
        <v>73</v>
      </c>
      <c r="K424" s="10" t="s">
        <v>34</v>
      </c>
      <c r="N424" s="10" t="s">
        <v>296</v>
      </c>
      <c r="O424" s="18" t="s">
        <v>1657</v>
      </c>
      <c r="P424" s="10" t="s">
        <v>296</v>
      </c>
      <c r="Q424" s="10">
        <v>1.0</v>
      </c>
      <c r="R424" s="10" t="s">
        <v>296</v>
      </c>
      <c r="S424" s="10">
        <v>1.0</v>
      </c>
      <c r="T424" s="10" t="s">
        <v>35</v>
      </c>
      <c r="V424" s="9"/>
      <c r="W424" s="13" t="s">
        <v>78</v>
      </c>
      <c r="X424" s="10" t="s">
        <v>37</v>
      </c>
      <c r="Y424" s="10" t="s">
        <v>0</v>
      </c>
    </row>
    <row r="425">
      <c r="A425" s="10" t="s">
        <v>1658</v>
      </c>
      <c r="B425" s="11">
        <v>44269.47642417824</v>
      </c>
      <c r="C425" s="10" t="s">
        <v>1643</v>
      </c>
      <c r="D425" s="10" t="s">
        <v>375</v>
      </c>
      <c r="E425" s="10" t="s">
        <v>1644</v>
      </c>
      <c r="F425" s="10" t="s">
        <v>1659</v>
      </c>
      <c r="G425" s="10" t="s">
        <v>1660</v>
      </c>
      <c r="H425" s="17">
        <v>44275.39583333333</v>
      </c>
      <c r="I425" s="17">
        <v>44275.4375</v>
      </c>
      <c r="J425" s="10" t="s">
        <v>33</v>
      </c>
      <c r="K425" s="10" t="s">
        <v>34</v>
      </c>
      <c r="N425" s="10" t="s">
        <v>35</v>
      </c>
      <c r="V425" s="9"/>
      <c r="W425" s="13" t="s">
        <v>78</v>
      </c>
      <c r="X425" s="10" t="s">
        <v>37</v>
      </c>
      <c r="Y425" s="10" t="s">
        <v>0</v>
      </c>
    </row>
    <row r="426">
      <c r="A426" s="10" t="s">
        <v>1661</v>
      </c>
      <c r="B426" s="11">
        <v>44272.871289305556</v>
      </c>
      <c r="C426" s="10" t="s">
        <v>150</v>
      </c>
      <c r="D426" s="10" t="s">
        <v>151</v>
      </c>
      <c r="E426" s="10" t="s">
        <v>152</v>
      </c>
      <c r="F426" s="10" t="s">
        <v>1662</v>
      </c>
      <c r="G426" s="10" t="s">
        <v>1663</v>
      </c>
      <c r="H426" s="17">
        <v>44275.41666666667</v>
      </c>
      <c r="I426" s="17">
        <v>44275.5</v>
      </c>
      <c r="J426" s="10" t="s">
        <v>128</v>
      </c>
      <c r="K426" s="10" t="s">
        <v>34</v>
      </c>
      <c r="N426" s="10" t="s">
        <v>35</v>
      </c>
      <c r="V426" s="9"/>
      <c r="W426" s="13" t="s">
        <v>78</v>
      </c>
      <c r="X426" s="10" t="s">
        <v>37</v>
      </c>
      <c r="Y426" s="10" t="s">
        <v>0</v>
      </c>
    </row>
    <row r="427">
      <c r="A427" s="10" t="s">
        <v>1664</v>
      </c>
      <c r="B427" s="11">
        <v>44277.68008636574</v>
      </c>
      <c r="C427" s="10" t="s">
        <v>1665</v>
      </c>
      <c r="D427" s="10" t="s">
        <v>248</v>
      </c>
      <c r="E427" s="10" t="s">
        <v>1666</v>
      </c>
      <c r="F427" s="10" t="s">
        <v>1667</v>
      </c>
      <c r="G427" s="10" t="s">
        <v>1668</v>
      </c>
      <c r="H427" s="17">
        <v>44275.58333333333</v>
      </c>
      <c r="I427" s="17">
        <v>44275.64583333333</v>
      </c>
      <c r="J427" s="10" t="s">
        <v>128</v>
      </c>
      <c r="K427" s="10" t="s">
        <v>34</v>
      </c>
      <c r="N427" s="10" t="s">
        <v>35</v>
      </c>
      <c r="V427" s="9"/>
      <c r="W427" s="13" t="s">
        <v>1669</v>
      </c>
      <c r="X427" s="10" t="s">
        <v>37</v>
      </c>
      <c r="Y427" s="10" t="s">
        <v>0</v>
      </c>
    </row>
    <row r="428">
      <c r="A428" s="10" t="s">
        <v>1670</v>
      </c>
      <c r="B428" s="11">
        <v>44261.52414435185</v>
      </c>
      <c r="C428" s="10" t="s">
        <v>209</v>
      </c>
      <c r="D428" s="10" t="s">
        <v>210</v>
      </c>
      <c r="E428" s="10" t="s">
        <v>261</v>
      </c>
      <c r="F428" s="10" t="s">
        <v>1449</v>
      </c>
      <c r="G428" s="10" t="s">
        <v>1671</v>
      </c>
      <c r="H428" s="17">
        <v>44275.60416666667</v>
      </c>
      <c r="I428" s="17">
        <v>44275.64583333333</v>
      </c>
      <c r="J428" s="10" t="s">
        <v>33</v>
      </c>
      <c r="K428" s="10" t="s">
        <v>34</v>
      </c>
      <c r="N428" s="10" t="s">
        <v>35</v>
      </c>
      <c r="V428" s="9"/>
      <c r="W428" s="13" t="s">
        <v>78</v>
      </c>
      <c r="X428" s="10" t="s">
        <v>37</v>
      </c>
      <c r="Y428" s="10" t="s">
        <v>0</v>
      </c>
    </row>
    <row r="429">
      <c r="A429" s="10" t="s">
        <v>1672</v>
      </c>
      <c r="B429" s="11">
        <v>44251.50327721065</v>
      </c>
      <c r="C429" s="10" t="s">
        <v>181</v>
      </c>
      <c r="D429" s="10" t="s">
        <v>69</v>
      </c>
      <c r="E429" s="10" t="s">
        <v>1340</v>
      </c>
      <c r="F429" s="10" t="s">
        <v>1673</v>
      </c>
      <c r="G429" s="10" t="s">
        <v>1674</v>
      </c>
      <c r="H429" s="24">
        <v>44274.4375</v>
      </c>
      <c r="I429" s="24">
        <v>44274.5</v>
      </c>
      <c r="J429" s="10" t="s">
        <v>43</v>
      </c>
      <c r="K429" s="10" t="s">
        <v>34</v>
      </c>
      <c r="N429" s="10" t="s">
        <v>296</v>
      </c>
      <c r="O429" s="18" t="s">
        <v>1675</v>
      </c>
      <c r="P429" s="10" t="s">
        <v>296</v>
      </c>
      <c r="Q429" s="10">
        <v>1.0</v>
      </c>
      <c r="R429" s="10" t="s">
        <v>35</v>
      </c>
      <c r="T429" s="10" t="s">
        <v>35</v>
      </c>
      <c r="V429" s="9"/>
      <c r="W429" s="13" t="s">
        <v>78</v>
      </c>
      <c r="X429" s="10" t="s">
        <v>37</v>
      </c>
      <c r="Y429" s="10" t="s">
        <v>0</v>
      </c>
    </row>
    <row r="430">
      <c r="A430" s="10" t="s">
        <v>1676</v>
      </c>
      <c r="B430" s="11">
        <v>44263.52699525463</v>
      </c>
      <c r="C430" s="10" t="s">
        <v>671</v>
      </c>
      <c r="D430" s="10" t="s">
        <v>672</v>
      </c>
      <c r="E430" s="10" t="s">
        <v>1495</v>
      </c>
      <c r="F430" s="10" t="s">
        <v>1677</v>
      </c>
      <c r="G430" s="10" t="s">
        <v>1678</v>
      </c>
      <c r="H430" s="24">
        <v>44274.60416666667</v>
      </c>
      <c r="I430" s="24">
        <v>44274.6875</v>
      </c>
      <c r="J430" s="10" t="s">
        <v>43</v>
      </c>
      <c r="K430" s="10" t="s">
        <v>34</v>
      </c>
      <c r="N430" s="10" t="s">
        <v>296</v>
      </c>
      <c r="O430" s="18" t="s">
        <v>1679</v>
      </c>
      <c r="P430" s="10" t="s">
        <v>35</v>
      </c>
      <c r="R430" s="10" t="s">
        <v>296</v>
      </c>
      <c r="S430" s="10">
        <v>1.0</v>
      </c>
      <c r="T430" s="10" t="s">
        <v>35</v>
      </c>
      <c r="V430" s="9"/>
      <c r="W430" s="13" t="s">
        <v>78</v>
      </c>
      <c r="X430" s="10" t="s">
        <v>37</v>
      </c>
      <c r="Y430" s="10" t="s">
        <v>0</v>
      </c>
    </row>
    <row r="431">
      <c r="A431" s="10" t="s">
        <v>1680</v>
      </c>
      <c r="B431" s="11">
        <v>44263.69328518519</v>
      </c>
      <c r="C431" s="10" t="s">
        <v>336</v>
      </c>
      <c r="D431" s="10" t="s">
        <v>337</v>
      </c>
      <c r="E431" s="10" t="s">
        <v>1681</v>
      </c>
      <c r="F431" s="10" t="s">
        <v>1682</v>
      </c>
      <c r="G431" s="10" t="s">
        <v>1683</v>
      </c>
      <c r="H431" s="17">
        <v>44275.66666666667</v>
      </c>
      <c r="I431" s="17">
        <v>44275.72916666667</v>
      </c>
      <c r="J431" s="10" t="s">
        <v>128</v>
      </c>
      <c r="K431" s="10" t="s">
        <v>34</v>
      </c>
      <c r="N431" s="10" t="s">
        <v>35</v>
      </c>
      <c r="V431" s="9"/>
      <c r="W431" s="13" t="s">
        <v>78</v>
      </c>
      <c r="X431" s="10" t="s">
        <v>37</v>
      </c>
      <c r="Y431" s="10" t="s">
        <v>0</v>
      </c>
    </row>
    <row r="432">
      <c r="A432" s="10" t="s">
        <v>1684</v>
      </c>
      <c r="B432" s="11">
        <v>44266.97609409722</v>
      </c>
      <c r="C432" s="10" t="s">
        <v>347</v>
      </c>
      <c r="D432" s="10" t="s">
        <v>348</v>
      </c>
      <c r="E432" s="10" t="s">
        <v>1685</v>
      </c>
      <c r="F432" s="10" t="s">
        <v>1686</v>
      </c>
      <c r="G432" s="10" t="s">
        <v>1687</v>
      </c>
      <c r="H432" s="17">
        <v>44275.6875</v>
      </c>
      <c r="I432" s="17">
        <v>44275.77083333333</v>
      </c>
      <c r="J432" s="10" t="s">
        <v>128</v>
      </c>
      <c r="K432" s="10" t="s">
        <v>34</v>
      </c>
      <c r="N432" s="10" t="s">
        <v>35</v>
      </c>
      <c r="V432" s="9"/>
      <c r="W432" s="13" t="s">
        <v>78</v>
      </c>
      <c r="X432" s="10" t="s">
        <v>37</v>
      </c>
      <c r="Y432" s="10" t="s">
        <v>0</v>
      </c>
    </row>
    <row r="433">
      <c r="A433" s="10" t="s">
        <v>1688</v>
      </c>
      <c r="B433" s="11">
        <v>44269.48383550926</v>
      </c>
      <c r="C433" s="10" t="s">
        <v>239</v>
      </c>
      <c r="D433" s="10" t="s">
        <v>240</v>
      </c>
      <c r="E433" s="10" t="s">
        <v>1153</v>
      </c>
      <c r="F433" s="10" t="s">
        <v>1689</v>
      </c>
      <c r="G433" s="10" t="s">
        <v>1690</v>
      </c>
      <c r="H433" s="17">
        <v>44275.6875</v>
      </c>
      <c r="I433" s="17">
        <v>44275.72916666667</v>
      </c>
      <c r="J433" s="10" t="s">
        <v>128</v>
      </c>
      <c r="K433" s="10" t="s">
        <v>34</v>
      </c>
      <c r="N433" s="10" t="s">
        <v>35</v>
      </c>
      <c r="V433" s="9"/>
      <c r="W433" s="13" t="s">
        <v>78</v>
      </c>
      <c r="X433" s="10" t="s">
        <v>37</v>
      </c>
      <c r="Y433" s="10" t="s">
        <v>0</v>
      </c>
    </row>
    <row r="434">
      <c r="A434" s="10" t="s">
        <v>1691</v>
      </c>
      <c r="B434" s="11">
        <v>44269.50731613426</v>
      </c>
      <c r="C434" s="10" t="s">
        <v>80</v>
      </c>
      <c r="D434" s="10" t="s">
        <v>81</v>
      </c>
      <c r="E434" s="10" t="s">
        <v>469</v>
      </c>
      <c r="F434" s="10" t="s">
        <v>1169</v>
      </c>
      <c r="G434" s="10" t="s">
        <v>1692</v>
      </c>
      <c r="H434" s="17">
        <v>44277.33333333333</v>
      </c>
      <c r="I434" s="17">
        <v>44277.375</v>
      </c>
      <c r="J434" s="10" t="s">
        <v>73</v>
      </c>
      <c r="K434" s="10" t="s">
        <v>34</v>
      </c>
      <c r="N434" s="10" t="s">
        <v>35</v>
      </c>
      <c r="V434" s="9"/>
      <c r="W434" s="13" t="s">
        <v>78</v>
      </c>
      <c r="X434" s="10" t="s">
        <v>37</v>
      </c>
      <c r="Y434" s="10" t="s">
        <v>0</v>
      </c>
    </row>
    <row r="435">
      <c r="A435" s="10" t="s">
        <v>1693</v>
      </c>
      <c r="B435" s="11">
        <v>44271.45259231482</v>
      </c>
      <c r="C435" s="10" t="s">
        <v>181</v>
      </c>
      <c r="D435" s="10" t="s">
        <v>69</v>
      </c>
      <c r="E435" s="10" t="s">
        <v>1694</v>
      </c>
      <c r="F435" s="10" t="s">
        <v>1695</v>
      </c>
      <c r="G435" s="10" t="s">
        <v>1696</v>
      </c>
      <c r="H435" s="17">
        <v>44277.375</v>
      </c>
      <c r="I435" s="17">
        <v>44290.95833333333</v>
      </c>
      <c r="J435" s="10" t="s">
        <v>73</v>
      </c>
      <c r="K435" s="10" t="s">
        <v>34</v>
      </c>
      <c r="N435" s="10" t="s">
        <v>35</v>
      </c>
      <c r="V435" s="9"/>
      <c r="W435" s="13" t="s">
        <v>78</v>
      </c>
      <c r="X435" s="10" t="s">
        <v>37</v>
      </c>
      <c r="Y435" s="10" t="s">
        <v>0</v>
      </c>
    </row>
    <row r="436">
      <c r="A436" s="10" t="s">
        <v>1697</v>
      </c>
      <c r="B436" s="11">
        <v>44271.453822951386</v>
      </c>
      <c r="C436" s="10" t="s">
        <v>181</v>
      </c>
      <c r="D436" s="10" t="s">
        <v>69</v>
      </c>
      <c r="E436" s="10" t="s">
        <v>860</v>
      </c>
      <c r="F436" s="10" t="s">
        <v>1698</v>
      </c>
      <c r="G436" s="10" t="s">
        <v>1699</v>
      </c>
      <c r="H436" s="17">
        <v>44277.375</v>
      </c>
      <c r="I436" s="17">
        <v>44277.95833333333</v>
      </c>
      <c r="J436" s="10" t="s">
        <v>73</v>
      </c>
      <c r="K436" s="10" t="s">
        <v>34</v>
      </c>
      <c r="N436" s="10" t="s">
        <v>35</v>
      </c>
      <c r="V436" s="9"/>
      <c r="W436" s="13" t="s">
        <v>78</v>
      </c>
      <c r="X436" s="10" t="s">
        <v>37</v>
      </c>
      <c r="Y436" s="10" t="s">
        <v>0</v>
      </c>
    </row>
    <row r="437">
      <c r="A437" s="10" t="s">
        <v>1700</v>
      </c>
      <c r="B437" s="11">
        <v>44276.55699923611</v>
      </c>
      <c r="C437" s="10" t="s">
        <v>181</v>
      </c>
      <c r="D437" s="10" t="s">
        <v>69</v>
      </c>
      <c r="E437" s="10" t="s">
        <v>1694</v>
      </c>
      <c r="F437" s="10" t="s">
        <v>1695</v>
      </c>
      <c r="G437" s="10" t="s">
        <v>1696</v>
      </c>
      <c r="H437" s="17">
        <v>44277.375</v>
      </c>
      <c r="I437" s="17">
        <v>44290.95833333333</v>
      </c>
      <c r="J437" s="10" t="s">
        <v>73</v>
      </c>
      <c r="K437" s="10" t="s">
        <v>34</v>
      </c>
      <c r="N437" s="10" t="s">
        <v>35</v>
      </c>
      <c r="V437" s="9"/>
      <c r="W437" s="13" t="s">
        <v>66</v>
      </c>
      <c r="X437" s="10" t="s">
        <v>37</v>
      </c>
      <c r="Y437" s="10" t="s">
        <v>0</v>
      </c>
    </row>
    <row r="438">
      <c r="A438" s="10" t="s">
        <v>1701</v>
      </c>
      <c r="B438" s="11">
        <v>44270.400754965274</v>
      </c>
      <c r="C438" s="10" t="s">
        <v>671</v>
      </c>
      <c r="D438" s="10" t="s">
        <v>672</v>
      </c>
      <c r="E438" s="10" t="s">
        <v>1702</v>
      </c>
      <c r="F438" s="10" t="s">
        <v>1703</v>
      </c>
      <c r="G438" s="10" t="s">
        <v>1704</v>
      </c>
      <c r="H438" s="17">
        <v>44277.45833333333</v>
      </c>
      <c r="I438" s="17">
        <v>44277.5</v>
      </c>
      <c r="J438" s="10" t="s">
        <v>73</v>
      </c>
      <c r="K438" s="10" t="s">
        <v>34</v>
      </c>
      <c r="N438" s="10" t="s">
        <v>35</v>
      </c>
      <c r="V438" s="9"/>
      <c r="W438" s="13" t="s">
        <v>78</v>
      </c>
      <c r="X438" s="10" t="s">
        <v>37</v>
      </c>
      <c r="Y438" s="10" t="s">
        <v>0</v>
      </c>
    </row>
    <row r="439">
      <c r="A439" s="10" t="s">
        <v>1705</v>
      </c>
      <c r="B439" s="11">
        <v>44277.59254719908</v>
      </c>
      <c r="C439" s="10" t="s">
        <v>516</v>
      </c>
      <c r="D439" s="10" t="s">
        <v>511</v>
      </c>
      <c r="E439" s="10" t="s">
        <v>1172</v>
      </c>
      <c r="F439" s="10" t="s">
        <v>1706</v>
      </c>
      <c r="G439" s="10" t="s">
        <v>1707</v>
      </c>
      <c r="H439" s="17">
        <v>44277.5</v>
      </c>
      <c r="I439" s="17">
        <v>44277.95833333333</v>
      </c>
      <c r="J439" s="10" t="s">
        <v>73</v>
      </c>
      <c r="K439" s="10" t="s">
        <v>34</v>
      </c>
      <c r="N439" s="10" t="s">
        <v>35</v>
      </c>
      <c r="V439" s="9"/>
      <c r="W439" s="13" t="s">
        <v>1669</v>
      </c>
      <c r="X439" s="10" t="s">
        <v>37</v>
      </c>
      <c r="Y439" s="10" t="s">
        <v>0</v>
      </c>
    </row>
    <row r="440">
      <c r="A440" s="10" t="s">
        <v>1708</v>
      </c>
      <c r="B440" s="11">
        <v>44270.44703814815</v>
      </c>
      <c r="C440" s="10" t="s">
        <v>374</v>
      </c>
      <c r="D440" s="10" t="s">
        <v>375</v>
      </c>
      <c r="E440" s="10" t="s">
        <v>1552</v>
      </c>
      <c r="F440" s="10" t="s">
        <v>1709</v>
      </c>
      <c r="G440" s="10" t="s">
        <v>1710</v>
      </c>
      <c r="H440" s="17">
        <v>44277.52083333333</v>
      </c>
      <c r="I440" s="17">
        <v>44280.52083333333</v>
      </c>
      <c r="J440" s="10" t="s">
        <v>51</v>
      </c>
      <c r="K440" s="10" t="s">
        <v>34</v>
      </c>
      <c r="N440" s="10" t="s">
        <v>35</v>
      </c>
      <c r="V440" s="9"/>
      <c r="W440" s="13" t="s">
        <v>78</v>
      </c>
      <c r="X440" s="10" t="s">
        <v>37</v>
      </c>
      <c r="Y440" s="10" t="s">
        <v>0</v>
      </c>
    </row>
    <row r="441">
      <c r="A441" s="10" t="s">
        <v>1711</v>
      </c>
      <c r="B441" s="11">
        <v>44261.53626479166</v>
      </c>
      <c r="C441" s="10" t="s">
        <v>209</v>
      </c>
      <c r="D441" s="10" t="s">
        <v>210</v>
      </c>
      <c r="E441" s="10" t="s">
        <v>261</v>
      </c>
      <c r="F441" s="10" t="s">
        <v>1712</v>
      </c>
      <c r="G441" s="10" t="s">
        <v>1713</v>
      </c>
      <c r="H441" s="17">
        <v>44277.5625</v>
      </c>
      <c r="I441" s="17">
        <v>44277.60416666667</v>
      </c>
      <c r="J441" s="10" t="s">
        <v>33</v>
      </c>
      <c r="K441" s="10" t="s">
        <v>34</v>
      </c>
      <c r="N441" s="10" t="s">
        <v>35</v>
      </c>
      <c r="V441" s="9"/>
      <c r="W441" s="13" t="s">
        <v>78</v>
      </c>
      <c r="X441" s="10" t="s">
        <v>37</v>
      </c>
      <c r="Y441" s="10" t="s">
        <v>0</v>
      </c>
    </row>
    <row r="442">
      <c r="A442" s="10" t="s">
        <v>1714</v>
      </c>
      <c r="B442" s="11">
        <v>44274.79393768519</v>
      </c>
      <c r="C442" s="10" t="s">
        <v>539</v>
      </c>
      <c r="D442" s="10" t="s">
        <v>540</v>
      </c>
      <c r="E442" s="10" t="s">
        <v>1715</v>
      </c>
      <c r="F442" s="10" t="s">
        <v>1716</v>
      </c>
      <c r="G442" s="10" t="s">
        <v>1717</v>
      </c>
      <c r="H442" s="17">
        <v>44277.72916666667</v>
      </c>
      <c r="I442" s="17">
        <v>44277.77083333333</v>
      </c>
      <c r="J442" s="10" t="s">
        <v>73</v>
      </c>
      <c r="K442" s="10" t="s">
        <v>34</v>
      </c>
      <c r="N442" s="10" t="s">
        <v>35</v>
      </c>
      <c r="V442" s="9"/>
      <c r="W442" s="13" t="s">
        <v>66</v>
      </c>
      <c r="X442" s="10" t="s">
        <v>37</v>
      </c>
      <c r="Y442" s="10" t="s">
        <v>0</v>
      </c>
    </row>
    <row r="443">
      <c r="A443" s="10" t="s">
        <v>1718</v>
      </c>
      <c r="B443" s="11">
        <v>44274.68797204861</v>
      </c>
      <c r="C443" s="10" t="s">
        <v>539</v>
      </c>
      <c r="D443" s="10" t="s">
        <v>540</v>
      </c>
      <c r="E443" s="10" t="s">
        <v>541</v>
      </c>
      <c r="F443" s="10" t="s">
        <v>1719</v>
      </c>
      <c r="G443" s="10" t="s">
        <v>1720</v>
      </c>
      <c r="H443" s="17">
        <v>44277.77083333333</v>
      </c>
      <c r="I443" s="17">
        <v>44277.8125</v>
      </c>
      <c r="J443" s="10" t="s">
        <v>128</v>
      </c>
      <c r="K443" s="10" t="s">
        <v>34</v>
      </c>
      <c r="N443" s="10" t="s">
        <v>35</v>
      </c>
      <c r="V443" s="9"/>
      <c r="W443" s="13" t="s">
        <v>78</v>
      </c>
      <c r="X443" s="10" t="s">
        <v>37</v>
      </c>
      <c r="Y443" s="10" t="s">
        <v>0</v>
      </c>
    </row>
    <row r="444">
      <c r="A444" s="10" t="s">
        <v>1721</v>
      </c>
      <c r="B444" s="11">
        <v>44265.60897342593</v>
      </c>
      <c r="C444" s="10" t="s">
        <v>671</v>
      </c>
      <c r="D444" s="10" t="s">
        <v>672</v>
      </c>
      <c r="E444" s="10" t="s">
        <v>1722</v>
      </c>
      <c r="F444" s="10" t="s">
        <v>1723</v>
      </c>
      <c r="G444" s="10" t="s">
        <v>1724</v>
      </c>
      <c r="H444" s="17">
        <v>44278.45833333333</v>
      </c>
      <c r="I444" s="17">
        <v>44278.5</v>
      </c>
      <c r="J444" s="10" t="s">
        <v>128</v>
      </c>
      <c r="K444" s="10" t="s">
        <v>34</v>
      </c>
      <c r="N444" s="10" t="s">
        <v>35</v>
      </c>
      <c r="V444" s="9"/>
      <c r="W444" s="13" t="s">
        <v>78</v>
      </c>
      <c r="X444" s="10" t="s">
        <v>37</v>
      </c>
      <c r="Y444" s="10" t="s">
        <v>0</v>
      </c>
    </row>
    <row r="445">
      <c r="A445" s="10" t="s">
        <v>1725</v>
      </c>
      <c r="B445" s="11">
        <v>44278.505000868056</v>
      </c>
      <c r="C445" s="10" t="s">
        <v>491</v>
      </c>
      <c r="D445" s="10" t="s">
        <v>492</v>
      </c>
      <c r="E445" s="10" t="s">
        <v>853</v>
      </c>
      <c r="F445" s="10" t="s">
        <v>1726</v>
      </c>
      <c r="G445" s="10" t="s">
        <v>1727</v>
      </c>
      <c r="H445" s="17">
        <v>44278.45833333333</v>
      </c>
      <c r="I445" s="17">
        <v>44278.45833333333</v>
      </c>
      <c r="J445" s="10" t="s">
        <v>73</v>
      </c>
      <c r="K445" s="10" t="s">
        <v>34</v>
      </c>
      <c r="N445" s="10" t="s">
        <v>35</v>
      </c>
      <c r="V445" s="9"/>
      <c r="W445" s="13" t="s">
        <v>78</v>
      </c>
      <c r="X445" s="10" t="s">
        <v>37</v>
      </c>
      <c r="Y445" s="10" t="s">
        <v>0</v>
      </c>
    </row>
    <row r="446">
      <c r="A446" s="10" t="s">
        <v>1728</v>
      </c>
      <c r="B446" s="11">
        <v>44273.50231188658</v>
      </c>
      <c r="C446" s="10" t="s">
        <v>80</v>
      </c>
      <c r="D446" s="10" t="s">
        <v>81</v>
      </c>
      <c r="E446" s="10" t="s">
        <v>1729</v>
      </c>
      <c r="F446" s="10" t="s">
        <v>1730</v>
      </c>
      <c r="G446" s="10" t="s">
        <v>1731</v>
      </c>
      <c r="H446" s="17">
        <v>44279.33333333333</v>
      </c>
      <c r="I446" s="17">
        <v>44279.375</v>
      </c>
      <c r="J446" s="10" t="s">
        <v>73</v>
      </c>
      <c r="K446" s="10" t="s">
        <v>34</v>
      </c>
      <c r="N446" s="10" t="s">
        <v>35</v>
      </c>
      <c r="V446" s="9"/>
      <c r="W446" s="13" t="s">
        <v>78</v>
      </c>
      <c r="X446" s="10" t="s">
        <v>37</v>
      </c>
      <c r="Y446" s="10" t="s">
        <v>0</v>
      </c>
    </row>
    <row r="447">
      <c r="A447" s="10" t="s">
        <v>1732</v>
      </c>
      <c r="B447" s="11">
        <v>44273.43854265046</v>
      </c>
      <c r="C447" s="10" t="s">
        <v>181</v>
      </c>
      <c r="D447" s="10" t="s">
        <v>69</v>
      </c>
      <c r="E447" s="10" t="s">
        <v>1733</v>
      </c>
      <c r="F447" s="10" t="s">
        <v>1734</v>
      </c>
      <c r="G447" s="10" t="s">
        <v>1735</v>
      </c>
      <c r="H447" s="17">
        <v>44279.375</v>
      </c>
      <c r="I447" s="17">
        <v>44279.95833333333</v>
      </c>
      <c r="J447" s="10" t="s">
        <v>73</v>
      </c>
      <c r="K447" s="10" t="s">
        <v>34</v>
      </c>
      <c r="N447" s="10" t="s">
        <v>35</v>
      </c>
      <c r="V447" s="9"/>
      <c r="W447" s="13" t="s">
        <v>78</v>
      </c>
      <c r="X447" s="10" t="s">
        <v>37</v>
      </c>
      <c r="Y447" s="10" t="s">
        <v>0</v>
      </c>
    </row>
    <row r="448">
      <c r="A448" s="10" t="s">
        <v>1736</v>
      </c>
      <c r="B448" s="11">
        <v>44274.58128090278</v>
      </c>
      <c r="C448" s="10" t="s">
        <v>610</v>
      </c>
      <c r="D448" s="10" t="s">
        <v>611</v>
      </c>
      <c r="E448" s="10" t="s">
        <v>612</v>
      </c>
      <c r="F448" s="10" t="s">
        <v>1737</v>
      </c>
      <c r="G448" s="10" t="s">
        <v>1738</v>
      </c>
      <c r="H448" s="17">
        <v>44279.41666666667</v>
      </c>
      <c r="I448" s="17">
        <v>44281.72916666667</v>
      </c>
      <c r="J448" s="10" t="s">
        <v>128</v>
      </c>
      <c r="K448" s="10" t="s">
        <v>34</v>
      </c>
      <c r="N448" s="10" t="s">
        <v>35</v>
      </c>
      <c r="V448" s="9"/>
      <c r="W448" s="13" t="s">
        <v>78</v>
      </c>
      <c r="X448" s="10" t="s">
        <v>37</v>
      </c>
      <c r="Y448" s="10" t="s">
        <v>0</v>
      </c>
    </row>
    <row r="449">
      <c r="A449" s="10" t="s">
        <v>1739</v>
      </c>
      <c r="B449" s="11">
        <v>44280.648633715275</v>
      </c>
      <c r="C449" s="10" t="s">
        <v>1740</v>
      </c>
      <c r="D449" s="10" t="s">
        <v>419</v>
      </c>
      <c r="E449" s="10" t="s">
        <v>1741</v>
      </c>
      <c r="F449" s="10" t="s">
        <v>1742</v>
      </c>
      <c r="G449" s="10" t="s">
        <v>1743</v>
      </c>
      <c r="H449" s="17">
        <v>44280.14583333333</v>
      </c>
      <c r="I449" s="17">
        <v>44280.1875</v>
      </c>
      <c r="J449" s="10" t="s">
        <v>128</v>
      </c>
      <c r="K449" s="10" t="s">
        <v>34</v>
      </c>
      <c r="N449" s="10" t="s">
        <v>35</v>
      </c>
      <c r="V449" s="9"/>
      <c r="W449" s="13" t="s">
        <v>78</v>
      </c>
      <c r="X449" s="10" t="s">
        <v>37</v>
      </c>
      <c r="Y449" s="10" t="s">
        <v>0</v>
      </c>
    </row>
    <row r="450">
      <c r="A450" s="10" t="s">
        <v>1744</v>
      </c>
      <c r="B450" s="11">
        <v>44273.58722048611</v>
      </c>
      <c r="C450" s="10" t="s">
        <v>491</v>
      </c>
      <c r="D450" s="10" t="s">
        <v>492</v>
      </c>
      <c r="E450" s="10" t="s">
        <v>1745</v>
      </c>
      <c r="F450" s="10" t="s">
        <v>1746</v>
      </c>
      <c r="G450" s="10" t="s">
        <v>1747</v>
      </c>
      <c r="H450" s="17">
        <v>44280.29166666667</v>
      </c>
      <c r="I450" s="17">
        <v>44280.34375</v>
      </c>
      <c r="J450" s="10" t="s">
        <v>128</v>
      </c>
      <c r="K450" s="10" t="s">
        <v>34</v>
      </c>
      <c r="N450" s="10" t="s">
        <v>35</v>
      </c>
      <c r="V450" s="9"/>
      <c r="W450" s="13" t="s">
        <v>78</v>
      </c>
      <c r="X450" s="10" t="s">
        <v>37</v>
      </c>
      <c r="Y450" s="10" t="s">
        <v>0</v>
      </c>
    </row>
    <row r="451">
      <c r="A451" s="10" t="s">
        <v>1748</v>
      </c>
      <c r="B451" s="11">
        <v>44365.74474484954</v>
      </c>
      <c r="C451" s="10" t="s">
        <v>102</v>
      </c>
      <c r="D451" s="10" t="s">
        <v>103</v>
      </c>
      <c r="E451" s="10" t="s">
        <v>1749</v>
      </c>
      <c r="F451" s="10" t="s">
        <v>1750</v>
      </c>
      <c r="G451" s="10" t="s">
        <v>1751</v>
      </c>
      <c r="H451" s="16">
        <v>44274.60416666667</v>
      </c>
      <c r="I451" s="16">
        <v>44274.6875</v>
      </c>
      <c r="J451" s="10" t="s">
        <v>43</v>
      </c>
      <c r="K451" s="10" t="s">
        <v>34</v>
      </c>
      <c r="N451" s="10" t="s">
        <v>296</v>
      </c>
      <c r="O451" s="18" t="s">
        <v>1752</v>
      </c>
      <c r="P451" s="10" t="s">
        <v>35</v>
      </c>
      <c r="R451" s="10" t="s">
        <v>296</v>
      </c>
      <c r="S451" s="10">
        <v>1.0</v>
      </c>
      <c r="T451" s="10" t="s">
        <v>35</v>
      </c>
      <c r="V451" s="9"/>
      <c r="W451" s="13" t="s">
        <v>78</v>
      </c>
      <c r="X451" s="10" t="s">
        <v>37</v>
      </c>
      <c r="Y451" s="10" t="s">
        <v>0</v>
      </c>
    </row>
    <row r="452">
      <c r="A452" s="10" t="s">
        <v>1753</v>
      </c>
      <c r="B452" s="11">
        <v>44267.77111716435</v>
      </c>
      <c r="C452" s="10" t="s">
        <v>330</v>
      </c>
      <c r="D452" s="10" t="s">
        <v>331</v>
      </c>
      <c r="E452" s="10" t="s">
        <v>1754</v>
      </c>
      <c r="F452" s="10" t="s">
        <v>1755</v>
      </c>
      <c r="G452" s="10" t="s">
        <v>1756</v>
      </c>
      <c r="H452" s="24">
        <v>44274.64583333333</v>
      </c>
      <c r="I452" s="24">
        <v>44274.75</v>
      </c>
      <c r="J452" s="10" t="s">
        <v>43</v>
      </c>
      <c r="K452" s="10" t="s">
        <v>34</v>
      </c>
      <c r="N452" s="10" t="s">
        <v>35</v>
      </c>
      <c r="V452" s="9"/>
      <c r="W452" s="13" t="s">
        <v>78</v>
      </c>
      <c r="X452" s="10" t="s">
        <v>37</v>
      </c>
      <c r="Y452" s="10" t="s">
        <v>0</v>
      </c>
    </row>
    <row r="453">
      <c r="A453" s="10" t="s">
        <v>1757</v>
      </c>
      <c r="B453" s="11">
        <v>44278.438051261575</v>
      </c>
      <c r="C453" s="10" t="s">
        <v>160</v>
      </c>
      <c r="D453" s="10" t="s">
        <v>161</v>
      </c>
      <c r="E453" s="10" t="s">
        <v>947</v>
      </c>
      <c r="F453" s="10" t="s">
        <v>1758</v>
      </c>
      <c r="G453" s="10" t="s">
        <v>1759</v>
      </c>
      <c r="H453" s="17">
        <v>44280.77083333333</v>
      </c>
      <c r="I453" s="17">
        <v>44280.85416666667</v>
      </c>
      <c r="J453" s="10" t="s">
        <v>128</v>
      </c>
      <c r="K453" s="10" t="s">
        <v>34</v>
      </c>
      <c r="N453" s="10" t="s">
        <v>35</v>
      </c>
      <c r="V453" s="9"/>
      <c r="W453" s="13" t="s">
        <v>78</v>
      </c>
      <c r="X453" s="10" t="s">
        <v>37</v>
      </c>
      <c r="Y453" s="10" t="s">
        <v>0</v>
      </c>
    </row>
    <row r="454">
      <c r="A454" s="10" t="s">
        <v>1760</v>
      </c>
      <c r="B454" s="11">
        <v>44270.83631712963</v>
      </c>
      <c r="C454" s="10" t="s">
        <v>160</v>
      </c>
      <c r="D454" s="10" t="s">
        <v>161</v>
      </c>
      <c r="E454" s="10" t="s">
        <v>1761</v>
      </c>
      <c r="F454" s="10" t="s">
        <v>1762</v>
      </c>
      <c r="G454" s="10" t="s">
        <v>1763</v>
      </c>
      <c r="H454" s="24">
        <v>44274.64583333333</v>
      </c>
      <c r="I454" s="24">
        <v>44274.77083333333</v>
      </c>
      <c r="J454" s="10" t="s">
        <v>43</v>
      </c>
      <c r="K454" s="10" t="s">
        <v>34</v>
      </c>
      <c r="N454" s="10" t="s">
        <v>35</v>
      </c>
      <c r="V454" s="9"/>
      <c r="W454" s="13" t="s">
        <v>78</v>
      </c>
      <c r="X454" s="10" t="s">
        <v>37</v>
      </c>
      <c r="Y454" s="10" t="s">
        <v>0</v>
      </c>
    </row>
    <row r="455">
      <c r="A455" s="10" t="s">
        <v>1764</v>
      </c>
      <c r="B455" s="11">
        <v>44272.44237738426</v>
      </c>
      <c r="C455" s="10" t="s">
        <v>694</v>
      </c>
      <c r="D455" s="10" t="s">
        <v>695</v>
      </c>
      <c r="E455" s="10" t="s">
        <v>696</v>
      </c>
      <c r="F455" s="10" t="s">
        <v>1765</v>
      </c>
      <c r="G455" s="10" t="s">
        <v>1766</v>
      </c>
      <c r="H455" s="17">
        <v>44281.39583333333</v>
      </c>
      <c r="I455" s="17">
        <v>44281.39583333333</v>
      </c>
      <c r="J455" s="10" t="s">
        <v>128</v>
      </c>
      <c r="K455" s="10" t="s">
        <v>34</v>
      </c>
      <c r="N455" s="10" t="s">
        <v>35</v>
      </c>
      <c r="V455" s="9"/>
      <c r="W455" s="13" t="s">
        <v>78</v>
      </c>
      <c r="X455" s="10" t="s">
        <v>37</v>
      </c>
      <c r="Y455" s="10" t="s">
        <v>0</v>
      </c>
    </row>
    <row r="456">
      <c r="A456" s="10" t="s">
        <v>1767</v>
      </c>
      <c r="B456" s="11">
        <v>44366.05370414352</v>
      </c>
      <c r="C456" s="10" t="s">
        <v>102</v>
      </c>
      <c r="D456" s="10" t="s">
        <v>103</v>
      </c>
      <c r="E456" s="10" t="s">
        <v>1768</v>
      </c>
      <c r="F456" s="10" t="s">
        <v>1769</v>
      </c>
      <c r="G456" s="10" t="s">
        <v>1770</v>
      </c>
      <c r="H456" s="16">
        <v>44275.41666666667</v>
      </c>
      <c r="I456" s="16">
        <v>44275.5</v>
      </c>
      <c r="J456" s="10" t="s">
        <v>43</v>
      </c>
      <c r="K456" s="10" t="s">
        <v>34</v>
      </c>
      <c r="N456" s="10" t="s">
        <v>296</v>
      </c>
      <c r="O456" s="18" t="s">
        <v>1771</v>
      </c>
      <c r="P456" s="10" t="s">
        <v>35</v>
      </c>
      <c r="R456" s="10" t="s">
        <v>296</v>
      </c>
      <c r="S456" s="10">
        <v>3.0</v>
      </c>
      <c r="T456" s="10" t="s">
        <v>35</v>
      </c>
      <c r="V456" s="9"/>
      <c r="W456" s="13" t="s">
        <v>78</v>
      </c>
      <c r="X456" s="10" t="s">
        <v>37</v>
      </c>
      <c r="Y456" s="10" t="s">
        <v>0</v>
      </c>
    </row>
    <row r="457">
      <c r="A457" s="10" t="s">
        <v>1772</v>
      </c>
      <c r="B457" s="11">
        <v>44282.60585842593</v>
      </c>
      <c r="C457" s="10" t="s">
        <v>491</v>
      </c>
      <c r="D457" s="10" t="s">
        <v>492</v>
      </c>
      <c r="E457" s="10" t="s">
        <v>853</v>
      </c>
      <c r="F457" s="10" t="s">
        <v>1773</v>
      </c>
      <c r="G457" s="10" t="s">
        <v>1774</v>
      </c>
      <c r="H457" s="17">
        <v>44281.5</v>
      </c>
      <c r="I457" s="17">
        <v>44281.5</v>
      </c>
      <c r="J457" s="10" t="s">
        <v>73</v>
      </c>
      <c r="K457" s="10" t="s">
        <v>34</v>
      </c>
      <c r="N457" s="10" t="s">
        <v>35</v>
      </c>
      <c r="V457" s="9"/>
      <c r="W457" s="13" t="s">
        <v>78</v>
      </c>
      <c r="X457" s="10" t="s">
        <v>37</v>
      </c>
      <c r="Y457" s="10" t="s">
        <v>0</v>
      </c>
    </row>
    <row r="458">
      <c r="A458" s="10" t="s">
        <v>1775</v>
      </c>
      <c r="B458" s="11">
        <v>44267.5404690625</v>
      </c>
      <c r="C458" s="10" t="s">
        <v>694</v>
      </c>
      <c r="D458" s="10" t="s">
        <v>695</v>
      </c>
      <c r="E458" s="10" t="s">
        <v>696</v>
      </c>
      <c r="F458" s="10" t="s">
        <v>697</v>
      </c>
      <c r="G458" s="10" t="s">
        <v>698</v>
      </c>
      <c r="H458" s="17">
        <v>44281.52083333333</v>
      </c>
      <c r="I458" s="17">
        <v>44281.5625</v>
      </c>
      <c r="J458" s="10" t="s">
        <v>128</v>
      </c>
      <c r="K458" s="10" t="s">
        <v>34</v>
      </c>
      <c r="N458" s="10" t="s">
        <v>35</v>
      </c>
      <c r="V458" s="9"/>
      <c r="W458" s="13" t="s">
        <v>78</v>
      </c>
      <c r="X458" s="10" t="s">
        <v>37</v>
      </c>
      <c r="Y458" s="10" t="s">
        <v>0</v>
      </c>
    </row>
    <row r="459">
      <c r="A459" s="10" t="s">
        <v>1776</v>
      </c>
      <c r="B459" s="11">
        <v>44274.57502233796</v>
      </c>
      <c r="C459" s="10" t="s">
        <v>671</v>
      </c>
      <c r="D459" s="10" t="s">
        <v>672</v>
      </c>
      <c r="E459" s="10" t="s">
        <v>1777</v>
      </c>
      <c r="F459" s="10" t="s">
        <v>1778</v>
      </c>
      <c r="G459" s="10" t="s">
        <v>1618</v>
      </c>
      <c r="H459" s="17">
        <v>44281.5625</v>
      </c>
      <c r="I459" s="17">
        <v>44281.60416666667</v>
      </c>
      <c r="J459" s="10" t="s">
        <v>128</v>
      </c>
      <c r="K459" s="10" t="s">
        <v>34</v>
      </c>
      <c r="N459" s="10" t="s">
        <v>35</v>
      </c>
      <c r="V459" s="9"/>
      <c r="W459" s="13" t="s">
        <v>78</v>
      </c>
      <c r="X459" s="10" t="s">
        <v>37</v>
      </c>
      <c r="Y459" s="10" t="s">
        <v>0</v>
      </c>
    </row>
    <row r="460">
      <c r="A460" s="10" t="s">
        <v>1779</v>
      </c>
      <c r="B460" s="11">
        <v>44277.57667643519</v>
      </c>
      <c r="C460" s="10" t="s">
        <v>374</v>
      </c>
      <c r="D460" s="10" t="s">
        <v>375</v>
      </c>
      <c r="E460" s="10" t="s">
        <v>1552</v>
      </c>
      <c r="F460" s="10" t="s">
        <v>1780</v>
      </c>
      <c r="G460" s="10" t="s">
        <v>1781</v>
      </c>
      <c r="H460" s="17">
        <v>44281.5625</v>
      </c>
      <c r="I460" s="17">
        <v>44281.60416666667</v>
      </c>
      <c r="J460" s="10" t="s">
        <v>33</v>
      </c>
      <c r="K460" s="10" t="s">
        <v>34</v>
      </c>
      <c r="N460" s="10" t="s">
        <v>35</v>
      </c>
      <c r="V460" s="9"/>
      <c r="W460" s="13" t="s">
        <v>78</v>
      </c>
      <c r="X460" s="10" t="s">
        <v>37</v>
      </c>
      <c r="Y460" s="10" t="s">
        <v>0</v>
      </c>
    </row>
    <row r="461">
      <c r="A461" s="10" t="s">
        <v>1782</v>
      </c>
      <c r="B461" s="11">
        <v>44256.48957799769</v>
      </c>
      <c r="C461" s="10" t="s">
        <v>137</v>
      </c>
      <c r="D461" s="10" t="s">
        <v>138</v>
      </c>
      <c r="E461" s="10" t="s">
        <v>1376</v>
      </c>
      <c r="F461" s="10" t="s">
        <v>482</v>
      </c>
      <c r="G461" s="10" t="s">
        <v>1783</v>
      </c>
      <c r="H461" s="17">
        <v>44281.58333333333</v>
      </c>
      <c r="I461" s="17">
        <v>44281.66666666667</v>
      </c>
      <c r="J461" s="10" t="s">
        <v>128</v>
      </c>
      <c r="K461" s="10" t="s">
        <v>34</v>
      </c>
      <c r="N461" s="10" t="s">
        <v>35</v>
      </c>
      <c r="V461" s="9"/>
      <c r="W461" s="13" t="s">
        <v>78</v>
      </c>
      <c r="X461" s="10" t="s">
        <v>37</v>
      </c>
      <c r="Y461" s="10" t="s">
        <v>0</v>
      </c>
    </row>
    <row r="462">
      <c r="A462" s="10" t="s">
        <v>1784</v>
      </c>
      <c r="B462" s="11">
        <v>44274.94553415509</v>
      </c>
      <c r="C462" s="10" t="s">
        <v>167</v>
      </c>
      <c r="D462" s="10" t="s">
        <v>168</v>
      </c>
      <c r="E462" s="10" t="s">
        <v>943</v>
      </c>
      <c r="F462" s="10" t="s">
        <v>1785</v>
      </c>
      <c r="G462" s="10" t="s">
        <v>1786</v>
      </c>
      <c r="H462" s="17">
        <v>44281.58333333333</v>
      </c>
      <c r="I462" s="17">
        <v>44281.625</v>
      </c>
      <c r="J462" s="10" t="s">
        <v>73</v>
      </c>
      <c r="K462" s="10" t="s">
        <v>34</v>
      </c>
      <c r="N462" s="10" t="s">
        <v>35</v>
      </c>
      <c r="V462" s="9"/>
      <c r="W462" s="13" t="s">
        <v>78</v>
      </c>
      <c r="X462" s="10" t="s">
        <v>37</v>
      </c>
      <c r="Y462" s="10" t="s">
        <v>0</v>
      </c>
    </row>
    <row r="463">
      <c r="A463" s="10" t="s">
        <v>1787</v>
      </c>
      <c r="B463" s="11">
        <v>44266.7256896412</v>
      </c>
      <c r="C463" s="10" t="s">
        <v>96</v>
      </c>
      <c r="D463" s="10" t="s">
        <v>97</v>
      </c>
      <c r="E463" s="10" t="s">
        <v>1788</v>
      </c>
      <c r="F463" s="10" t="s">
        <v>1789</v>
      </c>
      <c r="G463" s="10" t="s">
        <v>1790</v>
      </c>
      <c r="H463" s="24">
        <v>44275.60416666667</v>
      </c>
      <c r="I463" s="24">
        <v>44275.66666666667</v>
      </c>
      <c r="J463" s="10" t="s">
        <v>43</v>
      </c>
      <c r="K463" s="10" t="s">
        <v>34</v>
      </c>
      <c r="N463" s="10" t="s">
        <v>296</v>
      </c>
      <c r="O463" s="18" t="s">
        <v>1791</v>
      </c>
      <c r="P463" s="10" t="s">
        <v>296</v>
      </c>
      <c r="Q463" s="10">
        <v>2.0</v>
      </c>
      <c r="R463" s="10" t="s">
        <v>35</v>
      </c>
      <c r="T463" s="10" t="s">
        <v>35</v>
      </c>
      <c r="V463" s="9"/>
      <c r="W463" s="13" t="s">
        <v>78</v>
      </c>
      <c r="X463" s="10" t="s">
        <v>37</v>
      </c>
      <c r="Y463" s="10" t="s">
        <v>0</v>
      </c>
    </row>
    <row r="464">
      <c r="A464" s="10" t="s">
        <v>1792</v>
      </c>
      <c r="B464" s="11">
        <v>44267.46709497685</v>
      </c>
      <c r="C464" s="10" t="s">
        <v>671</v>
      </c>
      <c r="D464" s="10" t="s">
        <v>672</v>
      </c>
      <c r="E464" s="10" t="s">
        <v>1115</v>
      </c>
      <c r="F464" s="10" t="s">
        <v>1793</v>
      </c>
      <c r="G464" s="10" t="s">
        <v>1794</v>
      </c>
      <c r="H464" s="24">
        <v>44275.60416666667</v>
      </c>
      <c r="I464" s="24">
        <v>44275.6875</v>
      </c>
      <c r="J464" s="10" t="s">
        <v>43</v>
      </c>
      <c r="K464" s="10" t="s">
        <v>34</v>
      </c>
      <c r="N464" s="10" t="s">
        <v>296</v>
      </c>
      <c r="O464" s="18" t="s">
        <v>1795</v>
      </c>
      <c r="P464" s="10" t="s">
        <v>35</v>
      </c>
      <c r="R464" s="10" t="s">
        <v>296</v>
      </c>
      <c r="S464" s="10">
        <v>1.0</v>
      </c>
      <c r="T464" s="10" t="s">
        <v>35</v>
      </c>
      <c r="V464" s="9"/>
      <c r="W464" s="13" t="s">
        <v>78</v>
      </c>
      <c r="X464" s="10" t="s">
        <v>37</v>
      </c>
      <c r="Y464" s="10" t="s">
        <v>0</v>
      </c>
    </row>
    <row r="465">
      <c r="A465" s="10" t="s">
        <v>1796</v>
      </c>
      <c r="B465" s="11">
        <v>44281.648383761574</v>
      </c>
      <c r="C465" s="10" t="s">
        <v>239</v>
      </c>
      <c r="D465" s="10" t="s">
        <v>240</v>
      </c>
      <c r="E465" s="10" t="s">
        <v>1797</v>
      </c>
      <c r="F465" s="10" t="s">
        <v>1798</v>
      </c>
      <c r="G465" s="10" t="s">
        <v>1799</v>
      </c>
      <c r="H465" s="17">
        <v>44281.64583333333</v>
      </c>
      <c r="I465" s="17">
        <v>44281.6875</v>
      </c>
      <c r="J465" s="10" t="s">
        <v>128</v>
      </c>
      <c r="K465" s="10" t="s">
        <v>34</v>
      </c>
      <c r="N465" s="10" t="s">
        <v>35</v>
      </c>
      <c r="V465" s="9"/>
      <c r="W465" s="13" t="s">
        <v>78</v>
      </c>
      <c r="X465" s="10" t="s">
        <v>37</v>
      </c>
      <c r="Y465" s="10" t="s">
        <v>0</v>
      </c>
    </row>
    <row r="466">
      <c r="A466" s="10" t="s">
        <v>1800</v>
      </c>
      <c r="B466" s="11">
        <v>44274.87171096065</v>
      </c>
      <c r="C466" s="10" t="s">
        <v>381</v>
      </c>
      <c r="D466" s="10" t="s">
        <v>382</v>
      </c>
      <c r="E466" s="10" t="s">
        <v>935</v>
      </c>
      <c r="F466" s="10" t="s">
        <v>1801</v>
      </c>
      <c r="G466" s="10" t="s">
        <v>1802</v>
      </c>
      <c r="H466" s="17">
        <v>44281.66666666667</v>
      </c>
      <c r="I466" s="17">
        <v>44280.70833333333</v>
      </c>
      <c r="J466" s="10" t="s">
        <v>128</v>
      </c>
      <c r="K466" s="10" t="s">
        <v>34</v>
      </c>
      <c r="N466" s="10" t="s">
        <v>35</v>
      </c>
      <c r="V466" s="9"/>
      <c r="W466" s="13" t="s">
        <v>78</v>
      </c>
      <c r="X466" s="10" t="s">
        <v>37</v>
      </c>
      <c r="Y466" s="10" t="s">
        <v>0</v>
      </c>
    </row>
    <row r="467">
      <c r="A467" s="10" t="s">
        <v>1803</v>
      </c>
      <c r="B467" s="11">
        <v>44274.699017465275</v>
      </c>
      <c r="C467" s="10" t="s">
        <v>539</v>
      </c>
      <c r="D467" s="10" t="s">
        <v>540</v>
      </c>
      <c r="E467" s="10" t="s">
        <v>541</v>
      </c>
      <c r="F467" s="10" t="s">
        <v>1719</v>
      </c>
      <c r="G467" s="10" t="s">
        <v>1804</v>
      </c>
      <c r="H467" s="17">
        <v>44281.6875</v>
      </c>
      <c r="I467" s="17">
        <v>44281.72916666667</v>
      </c>
      <c r="J467" s="10" t="s">
        <v>128</v>
      </c>
      <c r="K467" s="10" t="s">
        <v>34</v>
      </c>
      <c r="N467" s="10" t="s">
        <v>35</v>
      </c>
      <c r="V467" s="9"/>
      <c r="W467" s="13" t="s">
        <v>78</v>
      </c>
      <c r="X467" s="10" t="s">
        <v>37</v>
      </c>
      <c r="Y467" s="10" t="s">
        <v>0</v>
      </c>
    </row>
    <row r="468">
      <c r="A468" s="10" t="s">
        <v>1805</v>
      </c>
      <c r="B468" s="11">
        <v>44274.79546565972</v>
      </c>
      <c r="C468" s="10" t="s">
        <v>539</v>
      </c>
      <c r="D468" s="10" t="s">
        <v>540</v>
      </c>
      <c r="E468" s="10" t="s">
        <v>1715</v>
      </c>
      <c r="F468" s="10" t="s">
        <v>1806</v>
      </c>
      <c r="G468" s="10" t="s">
        <v>83</v>
      </c>
      <c r="H468" s="17">
        <v>44281.72916666667</v>
      </c>
      <c r="I468" s="17">
        <v>44281.77083333333</v>
      </c>
      <c r="J468" s="10" t="s">
        <v>73</v>
      </c>
      <c r="K468" s="10" t="s">
        <v>34</v>
      </c>
      <c r="N468" s="10" t="s">
        <v>35</v>
      </c>
      <c r="V468" s="9"/>
      <c r="W468" s="13" t="s">
        <v>78</v>
      </c>
      <c r="X468" s="10" t="s">
        <v>37</v>
      </c>
      <c r="Y468" s="10" t="s">
        <v>0</v>
      </c>
    </row>
    <row r="469">
      <c r="A469" s="10" t="s">
        <v>1807</v>
      </c>
      <c r="B469" s="11">
        <v>44272.9642224537</v>
      </c>
      <c r="C469" s="10" t="s">
        <v>347</v>
      </c>
      <c r="D469" s="10" t="s">
        <v>348</v>
      </c>
      <c r="E469" s="10" t="s">
        <v>349</v>
      </c>
      <c r="F469" s="10" t="s">
        <v>1808</v>
      </c>
      <c r="G469" s="10" t="s">
        <v>1809</v>
      </c>
      <c r="H469" s="24">
        <v>44280.47916666667</v>
      </c>
      <c r="I469" s="24">
        <v>44280.52083333333</v>
      </c>
      <c r="J469" s="10" t="s">
        <v>43</v>
      </c>
      <c r="K469" s="10" t="s">
        <v>34</v>
      </c>
      <c r="N469" s="10" t="s">
        <v>35</v>
      </c>
      <c r="V469" s="9"/>
      <c r="W469" s="13" t="s">
        <v>78</v>
      </c>
      <c r="X469" s="10" t="s">
        <v>37</v>
      </c>
      <c r="Y469" s="10" t="s">
        <v>0</v>
      </c>
    </row>
    <row r="470">
      <c r="A470" s="10" t="s">
        <v>1810</v>
      </c>
      <c r="B470" s="11">
        <v>44282.58595438657</v>
      </c>
      <c r="C470" s="10" t="s">
        <v>102</v>
      </c>
      <c r="D470" s="10" t="s">
        <v>103</v>
      </c>
      <c r="E470" s="10" t="s">
        <v>1811</v>
      </c>
      <c r="F470" s="10" t="s">
        <v>1812</v>
      </c>
      <c r="G470" s="10" t="s">
        <v>1813</v>
      </c>
      <c r="H470" s="17">
        <v>44282.0625</v>
      </c>
      <c r="I470" s="17">
        <v>44282.10416666667</v>
      </c>
      <c r="J470" s="10" t="s">
        <v>128</v>
      </c>
      <c r="K470" s="10" t="s">
        <v>34</v>
      </c>
      <c r="N470" s="10" t="s">
        <v>35</v>
      </c>
      <c r="V470" s="9"/>
      <c r="W470" s="13" t="s">
        <v>78</v>
      </c>
      <c r="X470" s="10" t="s">
        <v>37</v>
      </c>
      <c r="Y470" s="10" t="s">
        <v>0</v>
      </c>
    </row>
    <row r="471">
      <c r="A471" s="10" t="s">
        <v>1814</v>
      </c>
      <c r="B471" s="11">
        <v>44282.626878518524</v>
      </c>
      <c r="C471" s="10" t="s">
        <v>102</v>
      </c>
      <c r="D471" s="10" t="s">
        <v>103</v>
      </c>
      <c r="E471" s="10" t="s">
        <v>1811</v>
      </c>
      <c r="F471" s="10" t="s">
        <v>1812</v>
      </c>
      <c r="G471" s="10" t="s">
        <v>1813</v>
      </c>
      <c r="H471" s="17">
        <v>44282.0625</v>
      </c>
      <c r="I471" s="17">
        <v>44282.10416666667</v>
      </c>
      <c r="J471" s="10" t="s">
        <v>128</v>
      </c>
      <c r="K471" s="10" t="s">
        <v>34</v>
      </c>
      <c r="N471" s="10" t="s">
        <v>35</v>
      </c>
      <c r="V471" s="9"/>
      <c r="W471" s="13" t="s">
        <v>78</v>
      </c>
      <c r="X471" s="10" t="s">
        <v>37</v>
      </c>
      <c r="Y471" s="10" t="s">
        <v>0</v>
      </c>
    </row>
    <row r="472">
      <c r="A472" s="10" t="s">
        <v>1815</v>
      </c>
      <c r="B472" s="11">
        <v>44278.728883171294</v>
      </c>
      <c r="C472" s="10" t="s">
        <v>80</v>
      </c>
      <c r="D472" s="10" t="s">
        <v>81</v>
      </c>
      <c r="E472" s="10" t="s">
        <v>1816</v>
      </c>
      <c r="F472" s="10" t="s">
        <v>1817</v>
      </c>
      <c r="G472" s="10" t="s">
        <v>1818</v>
      </c>
      <c r="H472" s="17">
        <v>44282.10416666667</v>
      </c>
      <c r="I472" s="17">
        <v>44282.10416666667</v>
      </c>
      <c r="J472" s="10" t="s">
        <v>128</v>
      </c>
      <c r="K472" s="10" t="s">
        <v>34</v>
      </c>
      <c r="N472" s="10" t="s">
        <v>35</v>
      </c>
      <c r="V472" s="9"/>
      <c r="W472" s="13" t="s">
        <v>78</v>
      </c>
      <c r="X472" s="10" t="s">
        <v>37</v>
      </c>
      <c r="Y472" s="10" t="s">
        <v>0</v>
      </c>
    </row>
    <row r="473">
      <c r="A473" s="10" t="s">
        <v>1819</v>
      </c>
      <c r="B473" s="11">
        <v>44271.346511261574</v>
      </c>
      <c r="C473" s="10" t="s">
        <v>209</v>
      </c>
      <c r="D473" s="10" t="s">
        <v>210</v>
      </c>
      <c r="E473" s="10" t="s">
        <v>261</v>
      </c>
      <c r="F473" s="10" t="s">
        <v>1820</v>
      </c>
      <c r="G473" s="10" t="s">
        <v>1821</v>
      </c>
      <c r="H473" s="24">
        <v>44280.64583333333</v>
      </c>
      <c r="I473" s="24">
        <v>44280.6875</v>
      </c>
      <c r="J473" s="10" t="s">
        <v>43</v>
      </c>
      <c r="K473" s="10" t="s">
        <v>34</v>
      </c>
      <c r="N473" s="10" t="s">
        <v>296</v>
      </c>
      <c r="O473" s="18" t="s">
        <v>1822</v>
      </c>
      <c r="P473" s="10" t="s">
        <v>296</v>
      </c>
      <c r="Q473" s="10">
        <v>1.0</v>
      </c>
      <c r="R473" s="10" t="s">
        <v>35</v>
      </c>
      <c r="T473" s="10" t="s">
        <v>35</v>
      </c>
      <c r="V473" s="9"/>
      <c r="W473" s="13" t="s">
        <v>78</v>
      </c>
      <c r="X473" s="10" t="s">
        <v>37</v>
      </c>
      <c r="Y473" s="10" t="s">
        <v>0</v>
      </c>
    </row>
    <row r="474">
      <c r="A474" s="10" t="s">
        <v>1823</v>
      </c>
      <c r="B474" s="11">
        <v>44274.709895300926</v>
      </c>
      <c r="C474" s="10" t="s">
        <v>80</v>
      </c>
      <c r="D474" s="10" t="s">
        <v>81</v>
      </c>
      <c r="E474" s="10" t="s">
        <v>1824</v>
      </c>
      <c r="F474" s="10" t="s">
        <v>1825</v>
      </c>
      <c r="G474" s="10" t="s">
        <v>1826</v>
      </c>
      <c r="H474" s="24">
        <v>44281.22916666667</v>
      </c>
      <c r="I474" s="24">
        <v>44281.27083333333</v>
      </c>
      <c r="J474" s="10" t="s">
        <v>43</v>
      </c>
      <c r="K474" s="10" t="s">
        <v>34</v>
      </c>
      <c r="N474" s="10" t="s">
        <v>296</v>
      </c>
      <c r="O474" s="18" t="s">
        <v>1827</v>
      </c>
      <c r="P474" s="10" t="s">
        <v>296</v>
      </c>
      <c r="Q474" s="10">
        <v>1.0</v>
      </c>
      <c r="R474" s="10" t="s">
        <v>35</v>
      </c>
      <c r="T474" s="10" t="s">
        <v>296</v>
      </c>
      <c r="U474" s="10">
        <v>1.0</v>
      </c>
      <c r="V474" s="27"/>
      <c r="W474" s="13" t="s">
        <v>78</v>
      </c>
      <c r="X474" s="10" t="s">
        <v>37</v>
      </c>
      <c r="Y474" s="10" t="s">
        <v>0</v>
      </c>
    </row>
    <row r="475">
      <c r="A475" s="10" t="s">
        <v>1828</v>
      </c>
      <c r="B475" s="11">
        <v>44278.53108144676</v>
      </c>
      <c r="C475" s="10" t="s">
        <v>150</v>
      </c>
      <c r="D475" s="10" t="s">
        <v>151</v>
      </c>
      <c r="E475" s="10" t="s">
        <v>152</v>
      </c>
      <c r="F475" s="10" t="s">
        <v>1829</v>
      </c>
      <c r="G475" s="10" t="s">
        <v>1830</v>
      </c>
      <c r="H475" s="17">
        <v>44282.41666666667</v>
      </c>
      <c r="I475" s="17">
        <v>44282.5</v>
      </c>
      <c r="J475" s="10" t="s">
        <v>33</v>
      </c>
      <c r="K475" s="10" t="s">
        <v>34</v>
      </c>
      <c r="N475" s="10" t="s">
        <v>296</v>
      </c>
      <c r="O475" s="18" t="s">
        <v>1831</v>
      </c>
      <c r="P475" s="10" t="s">
        <v>296</v>
      </c>
      <c r="Q475" s="10">
        <v>1.0</v>
      </c>
      <c r="R475" s="10" t="s">
        <v>35</v>
      </c>
      <c r="T475" s="10" t="s">
        <v>35</v>
      </c>
      <c r="V475" s="9"/>
      <c r="W475" s="13" t="s">
        <v>78</v>
      </c>
      <c r="X475" s="10" t="s">
        <v>37</v>
      </c>
      <c r="Y475" s="10" t="s">
        <v>0</v>
      </c>
    </row>
    <row r="476">
      <c r="A476" s="10" t="s">
        <v>1832</v>
      </c>
      <c r="B476" s="11">
        <v>44277.44480003472</v>
      </c>
      <c r="C476" s="10" t="s">
        <v>516</v>
      </c>
      <c r="D476" s="10" t="s">
        <v>511</v>
      </c>
      <c r="E476" s="10" t="s">
        <v>1833</v>
      </c>
      <c r="F476" s="10" t="s">
        <v>1834</v>
      </c>
      <c r="G476" s="10" t="s">
        <v>1835</v>
      </c>
      <c r="H476" s="17">
        <v>44282.4375</v>
      </c>
      <c r="I476" s="17">
        <v>44313.4375</v>
      </c>
      <c r="J476" s="10" t="s">
        <v>51</v>
      </c>
      <c r="K476" s="10" t="s">
        <v>34</v>
      </c>
      <c r="N476" s="10" t="s">
        <v>35</v>
      </c>
      <c r="V476" s="9"/>
      <c r="W476" s="13" t="s">
        <v>78</v>
      </c>
      <c r="X476" s="10" t="s">
        <v>37</v>
      </c>
      <c r="Y476" s="10" t="s">
        <v>0</v>
      </c>
    </row>
    <row r="477">
      <c r="A477" s="10" t="s">
        <v>1836</v>
      </c>
      <c r="B477" s="22">
        <v>44272.6920516088</v>
      </c>
      <c r="C477" s="21" t="s">
        <v>392</v>
      </c>
      <c r="D477" s="21" t="s">
        <v>393</v>
      </c>
      <c r="E477" s="21" t="s">
        <v>1837</v>
      </c>
      <c r="F477" s="21" t="s">
        <v>1838</v>
      </c>
      <c r="G477" s="21" t="s">
        <v>1839</v>
      </c>
      <c r="H477" s="24">
        <v>44281.4375</v>
      </c>
      <c r="I477" s="24">
        <v>44281.52083333333</v>
      </c>
      <c r="J477" s="21" t="s">
        <v>236</v>
      </c>
      <c r="K477" s="10" t="s">
        <v>34</v>
      </c>
      <c r="N477" s="10" t="s">
        <v>296</v>
      </c>
      <c r="O477" s="18" t="s">
        <v>1840</v>
      </c>
      <c r="P477" s="10" t="s">
        <v>296</v>
      </c>
      <c r="Q477" s="10">
        <v>1.0</v>
      </c>
      <c r="R477" s="10" t="s">
        <v>296</v>
      </c>
      <c r="S477" s="10">
        <v>2.0</v>
      </c>
      <c r="T477" s="10" t="s">
        <v>296</v>
      </c>
      <c r="U477" s="10">
        <v>1.0</v>
      </c>
      <c r="V477" s="27"/>
      <c r="W477" s="13" t="s">
        <v>78</v>
      </c>
      <c r="X477" s="10" t="s">
        <v>37</v>
      </c>
      <c r="Y477" s="10" t="s">
        <v>0</v>
      </c>
    </row>
    <row r="478">
      <c r="A478" s="10" t="s">
        <v>1841</v>
      </c>
      <c r="B478" s="11">
        <v>44274.69474074074</v>
      </c>
      <c r="C478" s="10" t="s">
        <v>539</v>
      </c>
      <c r="D478" s="10" t="s">
        <v>540</v>
      </c>
      <c r="E478" s="10" t="s">
        <v>1715</v>
      </c>
      <c r="F478" s="10" t="s">
        <v>1842</v>
      </c>
      <c r="G478" s="10" t="s">
        <v>1843</v>
      </c>
      <c r="H478" s="17">
        <v>44282.72916666667</v>
      </c>
      <c r="I478" s="17">
        <v>44282.77083333333</v>
      </c>
      <c r="J478" s="10" t="s">
        <v>73</v>
      </c>
      <c r="K478" s="10" t="s">
        <v>34</v>
      </c>
      <c r="N478" s="10" t="s">
        <v>35</v>
      </c>
      <c r="V478" s="9"/>
      <c r="W478" s="13" t="s">
        <v>78</v>
      </c>
      <c r="X478" s="10" t="s">
        <v>37</v>
      </c>
      <c r="Y478" s="10" t="s">
        <v>0</v>
      </c>
    </row>
    <row r="479">
      <c r="A479" s="10" t="s">
        <v>1844</v>
      </c>
      <c r="B479" s="11">
        <v>44276.55778851852</v>
      </c>
      <c r="C479" s="10" t="s">
        <v>181</v>
      </c>
      <c r="D479" s="10" t="s">
        <v>69</v>
      </c>
      <c r="E479" s="10" t="s">
        <v>860</v>
      </c>
      <c r="F479" s="10" t="s">
        <v>1845</v>
      </c>
      <c r="G479" s="10" t="s">
        <v>1846</v>
      </c>
      <c r="H479" s="17">
        <v>44283.375</v>
      </c>
      <c r="I479" s="17">
        <v>44283.95833333333</v>
      </c>
      <c r="J479" s="10" t="s">
        <v>73</v>
      </c>
      <c r="K479" s="10" t="s">
        <v>34</v>
      </c>
      <c r="N479" s="10" t="s">
        <v>35</v>
      </c>
      <c r="V479" s="9"/>
      <c r="W479" s="13" t="s">
        <v>78</v>
      </c>
      <c r="X479" s="10" t="s">
        <v>37</v>
      </c>
      <c r="Y479" s="10" t="s">
        <v>0</v>
      </c>
    </row>
    <row r="480">
      <c r="A480" s="10" t="s">
        <v>1847</v>
      </c>
      <c r="B480" s="11">
        <v>44281.98394063658</v>
      </c>
      <c r="C480" s="10" t="s">
        <v>374</v>
      </c>
      <c r="D480" s="10" t="s">
        <v>375</v>
      </c>
      <c r="E480" s="10" t="s">
        <v>1552</v>
      </c>
      <c r="F480" s="10" t="s">
        <v>1848</v>
      </c>
      <c r="G480" s="10" t="s">
        <v>1849</v>
      </c>
      <c r="H480" s="17">
        <v>44284.39583333333</v>
      </c>
      <c r="I480" s="17">
        <v>44284.4375</v>
      </c>
      <c r="J480" s="10" t="s">
        <v>33</v>
      </c>
      <c r="K480" s="10" t="s">
        <v>34</v>
      </c>
      <c r="N480" s="10" t="s">
        <v>35</v>
      </c>
      <c r="V480" s="9"/>
      <c r="W480" s="13" t="s">
        <v>78</v>
      </c>
      <c r="X480" s="10" t="s">
        <v>37</v>
      </c>
      <c r="Y480" s="10" t="s">
        <v>0</v>
      </c>
    </row>
    <row r="481">
      <c r="A481" s="10" t="s">
        <v>1850</v>
      </c>
      <c r="B481" s="11">
        <v>44286.39452219907</v>
      </c>
      <c r="C481" s="10" t="s">
        <v>491</v>
      </c>
      <c r="D481" s="10" t="s">
        <v>492</v>
      </c>
      <c r="E481" s="10" t="s">
        <v>853</v>
      </c>
      <c r="F481" s="10" t="s">
        <v>1851</v>
      </c>
      <c r="G481" s="10" t="s">
        <v>1852</v>
      </c>
      <c r="H481" s="17">
        <v>44284.5</v>
      </c>
      <c r="I481" s="17">
        <v>44284.5</v>
      </c>
      <c r="J481" s="10" t="s">
        <v>73</v>
      </c>
      <c r="K481" s="10" t="s">
        <v>34</v>
      </c>
      <c r="N481" s="10" t="s">
        <v>35</v>
      </c>
      <c r="V481" s="9"/>
      <c r="W481" s="13" t="s">
        <v>78</v>
      </c>
      <c r="X481" s="10" t="s">
        <v>37</v>
      </c>
      <c r="Y481" s="10" t="s">
        <v>0</v>
      </c>
    </row>
    <row r="482">
      <c r="A482" s="10" t="s">
        <v>1853</v>
      </c>
      <c r="B482" s="11">
        <v>44278.41691236111</v>
      </c>
      <c r="C482" s="10" t="s">
        <v>181</v>
      </c>
      <c r="D482" s="10" t="s">
        <v>69</v>
      </c>
      <c r="E482" s="10" t="s">
        <v>860</v>
      </c>
      <c r="F482" s="10" t="s">
        <v>1854</v>
      </c>
      <c r="G482" s="10" t="s">
        <v>1855</v>
      </c>
      <c r="H482" s="17">
        <v>44285.375</v>
      </c>
      <c r="I482" s="17">
        <v>44285.95833333333</v>
      </c>
      <c r="J482" s="10" t="s">
        <v>73</v>
      </c>
      <c r="K482" s="10" t="s">
        <v>34</v>
      </c>
      <c r="N482" s="10" t="s">
        <v>35</v>
      </c>
      <c r="V482" s="9"/>
      <c r="W482" s="13" t="s">
        <v>78</v>
      </c>
      <c r="X482" s="10" t="s">
        <v>37</v>
      </c>
      <c r="Y482" s="10" t="s">
        <v>0</v>
      </c>
    </row>
    <row r="483">
      <c r="A483" s="10" t="s">
        <v>1856</v>
      </c>
      <c r="B483" s="11">
        <v>44281.9913924537</v>
      </c>
      <c r="C483" s="10" t="s">
        <v>374</v>
      </c>
      <c r="D483" s="10" t="s">
        <v>375</v>
      </c>
      <c r="E483" s="10" t="s">
        <v>1552</v>
      </c>
      <c r="F483" s="10" t="s">
        <v>1857</v>
      </c>
      <c r="G483" s="10" t="s">
        <v>1858</v>
      </c>
      <c r="H483" s="17">
        <v>44285.60416666667</v>
      </c>
      <c r="I483" s="17">
        <v>44285.64583333333</v>
      </c>
      <c r="J483" s="10" t="s">
        <v>33</v>
      </c>
      <c r="K483" s="10" t="s">
        <v>34</v>
      </c>
      <c r="N483" s="10" t="s">
        <v>35</v>
      </c>
      <c r="V483" s="9"/>
      <c r="W483" s="13" t="s">
        <v>78</v>
      </c>
      <c r="X483" s="10" t="s">
        <v>37</v>
      </c>
      <c r="Y483" s="10" t="s">
        <v>0</v>
      </c>
    </row>
    <row r="484">
      <c r="A484" s="10" t="s">
        <v>1859</v>
      </c>
      <c r="B484" s="11">
        <v>44274.57289201389</v>
      </c>
      <c r="C484" s="10" t="s">
        <v>671</v>
      </c>
      <c r="D484" s="10" t="s">
        <v>672</v>
      </c>
      <c r="E484" s="10" t="s">
        <v>928</v>
      </c>
      <c r="F484" s="10" t="s">
        <v>1860</v>
      </c>
      <c r="G484" s="10" t="s">
        <v>1861</v>
      </c>
      <c r="H484" s="24">
        <v>44281.60416666667</v>
      </c>
      <c r="I484" s="24">
        <v>44281.6875</v>
      </c>
      <c r="J484" s="10" t="s">
        <v>43</v>
      </c>
      <c r="K484" s="10" t="s">
        <v>34</v>
      </c>
      <c r="N484" s="10" t="s">
        <v>296</v>
      </c>
      <c r="O484" s="18" t="s">
        <v>1862</v>
      </c>
      <c r="P484" s="10" t="s">
        <v>35</v>
      </c>
      <c r="R484" s="10" t="s">
        <v>35</v>
      </c>
      <c r="T484" s="10" t="s">
        <v>296</v>
      </c>
      <c r="U484" s="10">
        <v>1.0</v>
      </c>
      <c r="V484" s="27"/>
      <c r="W484" s="13" t="s">
        <v>78</v>
      </c>
      <c r="X484" s="10" t="s">
        <v>37</v>
      </c>
      <c r="Y484" s="10" t="s">
        <v>0</v>
      </c>
    </row>
    <row r="485">
      <c r="A485" s="10" t="s">
        <v>1863</v>
      </c>
      <c r="B485" s="11">
        <v>44286.85801094907</v>
      </c>
      <c r="C485" s="10" t="s">
        <v>102</v>
      </c>
      <c r="D485" s="10" t="s">
        <v>103</v>
      </c>
      <c r="E485" s="10" t="s">
        <v>1811</v>
      </c>
      <c r="F485" s="10" t="s">
        <v>1864</v>
      </c>
      <c r="G485" s="10" t="s">
        <v>1865</v>
      </c>
      <c r="H485" s="17">
        <v>44286.35416666667</v>
      </c>
      <c r="I485" s="17">
        <v>44286.35416666667</v>
      </c>
      <c r="J485" s="10" t="s">
        <v>73</v>
      </c>
      <c r="K485" s="10" t="s">
        <v>34</v>
      </c>
      <c r="N485" s="10" t="s">
        <v>35</v>
      </c>
      <c r="V485" s="9"/>
      <c r="W485" s="13" t="s">
        <v>78</v>
      </c>
      <c r="X485" s="10" t="s">
        <v>37</v>
      </c>
      <c r="Y485" s="10" t="s">
        <v>0</v>
      </c>
    </row>
    <row r="486">
      <c r="A486" s="10" t="s">
        <v>1866</v>
      </c>
      <c r="B486" s="11">
        <v>44286.89215270833</v>
      </c>
      <c r="C486" s="10" t="s">
        <v>491</v>
      </c>
      <c r="D486" s="10" t="s">
        <v>492</v>
      </c>
      <c r="E486" s="10" t="s">
        <v>1867</v>
      </c>
      <c r="F486" s="10" t="s">
        <v>1868</v>
      </c>
      <c r="G486" s="10" t="s">
        <v>1869</v>
      </c>
      <c r="H486" s="17">
        <v>44286.75</v>
      </c>
      <c r="I486" s="17">
        <v>44286.75</v>
      </c>
      <c r="J486" s="10" t="s">
        <v>73</v>
      </c>
      <c r="K486" s="10" t="s">
        <v>34</v>
      </c>
      <c r="N486" s="10" t="s">
        <v>35</v>
      </c>
      <c r="V486" s="9"/>
      <c r="W486" s="13" t="s">
        <v>78</v>
      </c>
      <c r="X486" s="10" t="s">
        <v>37</v>
      </c>
      <c r="Y486" s="10" t="s">
        <v>0</v>
      </c>
    </row>
    <row r="487">
      <c r="A487" s="10" t="s">
        <v>1870</v>
      </c>
      <c r="B487" s="11">
        <v>44280.350732430554</v>
      </c>
      <c r="C487" s="10" t="s">
        <v>137</v>
      </c>
      <c r="D487" s="10" t="s">
        <v>138</v>
      </c>
      <c r="E487" s="10" t="s">
        <v>1871</v>
      </c>
      <c r="F487" s="10" t="s">
        <v>1872</v>
      </c>
      <c r="G487" s="10" t="s">
        <v>1873</v>
      </c>
      <c r="H487" s="17">
        <v>44287.8125</v>
      </c>
      <c r="I487" s="17">
        <v>44287.85416666667</v>
      </c>
      <c r="J487" s="10" t="s">
        <v>33</v>
      </c>
      <c r="K487" s="10" t="s">
        <v>34</v>
      </c>
      <c r="N487" s="10" t="s">
        <v>35</v>
      </c>
      <c r="V487" s="9"/>
      <c r="W487" s="13" t="s">
        <v>78</v>
      </c>
      <c r="X487" s="10" t="s">
        <v>37</v>
      </c>
      <c r="Y487" s="10" t="s">
        <v>0</v>
      </c>
    </row>
    <row r="488">
      <c r="A488" s="10" t="s">
        <v>1874</v>
      </c>
      <c r="B488" s="11">
        <v>44277.47547696759</v>
      </c>
      <c r="C488" s="10" t="s">
        <v>374</v>
      </c>
      <c r="D488" s="10" t="s">
        <v>375</v>
      </c>
      <c r="E488" s="10" t="s">
        <v>1552</v>
      </c>
      <c r="F488" s="10" t="s">
        <v>1875</v>
      </c>
      <c r="G488" s="10" t="s">
        <v>1876</v>
      </c>
      <c r="H488" s="16">
        <v>44281.64583333333</v>
      </c>
      <c r="I488" s="16">
        <v>44281.70833333333</v>
      </c>
      <c r="J488" s="10" t="s">
        <v>43</v>
      </c>
      <c r="K488" s="10" t="s">
        <v>34</v>
      </c>
      <c r="N488" s="10" t="s">
        <v>296</v>
      </c>
      <c r="O488" s="18" t="s">
        <v>1877</v>
      </c>
      <c r="P488" s="10" t="s">
        <v>296</v>
      </c>
      <c r="Q488" s="10">
        <v>1.0</v>
      </c>
      <c r="R488" s="10" t="s">
        <v>296</v>
      </c>
      <c r="S488" s="10">
        <v>1.0</v>
      </c>
      <c r="T488" s="10" t="s">
        <v>35</v>
      </c>
      <c r="V488" s="9"/>
      <c r="W488" s="13" t="s">
        <v>78</v>
      </c>
      <c r="X488" s="10" t="s">
        <v>37</v>
      </c>
      <c r="Y488" s="10" t="s">
        <v>0</v>
      </c>
    </row>
    <row r="489">
      <c r="A489" s="10" t="s">
        <v>1878</v>
      </c>
      <c r="B489" s="11">
        <v>44283.533236539355</v>
      </c>
      <c r="C489" s="10" t="s">
        <v>181</v>
      </c>
      <c r="D489" s="10" t="s">
        <v>69</v>
      </c>
      <c r="E489" s="10" t="s">
        <v>1879</v>
      </c>
      <c r="F489" s="10" t="s">
        <v>1880</v>
      </c>
      <c r="G489" s="10" t="s">
        <v>1881</v>
      </c>
      <c r="H489" s="17">
        <v>44289.375</v>
      </c>
      <c r="I489" s="17">
        <v>44289.37569444445</v>
      </c>
      <c r="J489" s="10" t="s">
        <v>73</v>
      </c>
      <c r="K489" s="10" t="s">
        <v>34</v>
      </c>
      <c r="N489" s="10" t="s">
        <v>35</v>
      </c>
      <c r="V489" s="9"/>
      <c r="W489" s="13" t="s">
        <v>78</v>
      </c>
      <c r="X489" s="10" t="s">
        <v>37</v>
      </c>
      <c r="Y489" s="10" t="s">
        <v>0</v>
      </c>
    </row>
    <row r="490">
      <c r="A490" s="10" t="s">
        <v>1882</v>
      </c>
      <c r="B490" s="11">
        <v>44365.82537716435</v>
      </c>
      <c r="C490" s="10" t="s">
        <v>102</v>
      </c>
      <c r="D490" s="10" t="s">
        <v>103</v>
      </c>
      <c r="E490" s="10" t="s">
        <v>1883</v>
      </c>
      <c r="F490" s="10" t="s">
        <v>1884</v>
      </c>
      <c r="G490" s="10" t="s">
        <v>1885</v>
      </c>
      <c r="H490" s="16">
        <v>44281.64583333333</v>
      </c>
      <c r="I490" s="16">
        <v>44281.72916666667</v>
      </c>
      <c r="J490" s="10" t="s">
        <v>43</v>
      </c>
      <c r="K490" s="10" t="s">
        <v>34</v>
      </c>
      <c r="N490" s="10" t="s">
        <v>296</v>
      </c>
      <c r="O490" s="18" t="s">
        <v>1886</v>
      </c>
      <c r="P490" s="10" t="s">
        <v>35</v>
      </c>
      <c r="R490" s="10" t="s">
        <v>296</v>
      </c>
      <c r="S490" s="10">
        <v>3.0</v>
      </c>
      <c r="T490" s="10" t="s">
        <v>35</v>
      </c>
      <c r="V490" s="9"/>
      <c r="W490" s="13" t="s">
        <v>78</v>
      </c>
      <c r="X490" s="10" t="s">
        <v>37</v>
      </c>
      <c r="Y490" s="10" t="s">
        <v>0</v>
      </c>
    </row>
    <row r="491">
      <c r="A491" s="10" t="s">
        <v>1887</v>
      </c>
      <c r="B491" s="11">
        <v>44278.43246361111</v>
      </c>
      <c r="C491" s="10" t="s">
        <v>160</v>
      </c>
      <c r="D491" s="10" t="s">
        <v>161</v>
      </c>
      <c r="E491" s="10" t="s">
        <v>947</v>
      </c>
      <c r="F491" s="10" t="s">
        <v>1888</v>
      </c>
      <c r="G491" s="10" t="s">
        <v>1889</v>
      </c>
      <c r="H491" s="17">
        <v>44281.72916666667</v>
      </c>
      <c r="I491" s="17">
        <v>44281.77083333333</v>
      </c>
      <c r="J491" s="10" t="s">
        <v>43</v>
      </c>
      <c r="K491" s="10" t="s">
        <v>34</v>
      </c>
      <c r="N491" s="10" t="s">
        <v>296</v>
      </c>
      <c r="O491" s="18" t="s">
        <v>1890</v>
      </c>
      <c r="P491" s="10" t="s">
        <v>296</v>
      </c>
      <c r="Q491" s="10">
        <v>1.0</v>
      </c>
      <c r="R491" s="10" t="s">
        <v>35</v>
      </c>
      <c r="T491" s="10" t="s">
        <v>296</v>
      </c>
      <c r="U491" s="10">
        <v>1.0</v>
      </c>
      <c r="V491" s="27"/>
      <c r="W491" s="13" t="s">
        <v>78</v>
      </c>
      <c r="X491" s="10" t="s">
        <v>37</v>
      </c>
      <c r="Y491" s="10" t="s">
        <v>0</v>
      </c>
    </row>
    <row r="492">
      <c r="A492" s="10" t="s">
        <v>1891</v>
      </c>
      <c r="B492" s="11">
        <v>44263.695808159726</v>
      </c>
      <c r="C492" s="10" t="s">
        <v>336</v>
      </c>
      <c r="D492" s="10" t="s">
        <v>337</v>
      </c>
      <c r="E492" s="10" t="s">
        <v>1892</v>
      </c>
      <c r="F492" s="10" t="s">
        <v>1893</v>
      </c>
      <c r="G492" s="10" t="s">
        <v>1894</v>
      </c>
      <c r="H492" s="17">
        <v>44289.66666666667</v>
      </c>
      <c r="I492" s="17">
        <v>44289.72916666667</v>
      </c>
      <c r="J492" s="10" t="s">
        <v>128</v>
      </c>
      <c r="K492" s="10" t="s">
        <v>34</v>
      </c>
      <c r="N492" s="10" t="s">
        <v>35</v>
      </c>
      <c r="V492" s="9"/>
      <c r="W492" s="13" t="s">
        <v>78</v>
      </c>
      <c r="X492" s="10" t="s">
        <v>37</v>
      </c>
      <c r="Y492" s="10" t="s">
        <v>0</v>
      </c>
    </row>
    <row r="493">
      <c r="A493" s="10" t="s">
        <v>1895</v>
      </c>
      <c r="B493" s="11">
        <v>44272.55208263889</v>
      </c>
      <c r="C493" s="10" t="s">
        <v>181</v>
      </c>
      <c r="D493" s="10" t="s">
        <v>69</v>
      </c>
      <c r="E493" s="10" t="s">
        <v>1896</v>
      </c>
      <c r="F493" s="10" t="s">
        <v>1897</v>
      </c>
      <c r="G493" s="10" t="s">
        <v>1898</v>
      </c>
      <c r="H493" s="24">
        <v>44282.29166666667</v>
      </c>
      <c r="I493" s="24">
        <v>44282.79166666667</v>
      </c>
      <c r="J493" s="10" t="s">
        <v>43</v>
      </c>
      <c r="K493" s="10" t="s">
        <v>34</v>
      </c>
      <c r="N493" s="10" t="s">
        <v>35</v>
      </c>
      <c r="V493" s="9"/>
      <c r="W493" s="13" t="s">
        <v>78</v>
      </c>
      <c r="X493" s="10" t="s">
        <v>37</v>
      </c>
      <c r="Y493" s="10" t="s">
        <v>0</v>
      </c>
    </row>
    <row r="494">
      <c r="A494" s="10" t="s">
        <v>1899</v>
      </c>
      <c r="B494" s="11">
        <v>44275.374076319444</v>
      </c>
      <c r="C494" s="10" t="s">
        <v>671</v>
      </c>
      <c r="D494" s="10" t="s">
        <v>672</v>
      </c>
      <c r="E494" s="10" t="s">
        <v>1308</v>
      </c>
      <c r="F494" s="10" t="s">
        <v>1900</v>
      </c>
      <c r="G494" s="10" t="s">
        <v>1901</v>
      </c>
      <c r="H494" s="24">
        <v>44282.35416666667</v>
      </c>
      <c r="I494" s="24">
        <v>44282.52083333333</v>
      </c>
      <c r="J494" s="10" t="s">
        <v>43</v>
      </c>
      <c r="K494" s="10" t="s">
        <v>34</v>
      </c>
      <c r="N494" s="10" t="s">
        <v>35</v>
      </c>
      <c r="V494" s="9"/>
      <c r="W494" s="13" t="s">
        <v>78</v>
      </c>
      <c r="X494" s="10" t="s">
        <v>37</v>
      </c>
      <c r="Y494" s="10" t="s">
        <v>0</v>
      </c>
    </row>
    <row r="495">
      <c r="A495" s="10" t="s">
        <v>1902</v>
      </c>
      <c r="B495" s="11">
        <v>44298.94169306713</v>
      </c>
      <c r="C495" s="10" t="s">
        <v>1903</v>
      </c>
      <c r="D495" s="10" t="s">
        <v>1360</v>
      </c>
      <c r="E495" s="10" t="s">
        <v>1904</v>
      </c>
      <c r="F495" s="10" t="s">
        <v>1905</v>
      </c>
      <c r="G495" s="10" t="s">
        <v>1906</v>
      </c>
      <c r="H495" s="17">
        <v>44291.08333333333</v>
      </c>
      <c r="I495" s="17">
        <v>44316.16666666667</v>
      </c>
      <c r="J495" s="10" t="s">
        <v>33</v>
      </c>
      <c r="K495" s="10" t="s">
        <v>34</v>
      </c>
      <c r="N495" s="10" t="s">
        <v>296</v>
      </c>
      <c r="O495" s="18" t="s">
        <v>1907</v>
      </c>
      <c r="P495" s="10" t="s">
        <v>35</v>
      </c>
      <c r="R495" s="10" t="s">
        <v>296</v>
      </c>
      <c r="S495" s="10">
        <v>1.0</v>
      </c>
      <c r="T495" s="10" t="s">
        <v>35</v>
      </c>
      <c r="V495" s="9"/>
      <c r="W495" s="13" t="s">
        <v>78</v>
      </c>
      <c r="X495" s="10" t="s">
        <v>37</v>
      </c>
      <c r="Y495" s="10" t="s">
        <v>0</v>
      </c>
    </row>
    <row r="496">
      <c r="A496" s="10" t="s">
        <v>1908</v>
      </c>
      <c r="B496" s="11">
        <v>44280.65503409722</v>
      </c>
      <c r="C496" s="10" t="s">
        <v>516</v>
      </c>
      <c r="D496" s="10" t="s">
        <v>511</v>
      </c>
      <c r="E496" s="10" t="s">
        <v>1909</v>
      </c>
      <c r="F496" s="10" t="s">
        <v>1910</v>
      </c>
      <c r="G496" s="10" t="s">
        <v>1911</v>
      </c>
      <c r="H496" s="16">
        <v>44282.4375</v>
      </c>
      <c r="I496" s="16">
        <v>44282.52083333333</v>
      </c>
      <c r="J496" s="10" t="s">
        <v>43</v>
      </c>
      <c r="K496" s="10" t="s">
        <v>34</v>
      </c>
      <c r="N496" s="10" t="s">
        <v>35</v>
      </c>
      <c r="V496" s="9"/>
      <c r="W496" s="13" t="s">
        <v>78</v>
      </c>
      <c r="X496" s="10" t="s">
        <v>37</v>
      </c>
      <c r="Y496" s="10" t="s">
        <v>0</v>
      </c>
    </row>
    <row r="497">
      <c r="A497" s="10" t="s">
        <v>1912</v>
      </c>
      <c r="B497" s="11">
        <v>44278.41621251157</v>
      </c>
      <c r="C497" s="10" t="s">
        <v>181</v>
      </c>
      <c r="D497" s="10" t="s">
        <v>69</v>
      </c>
      <c r="E497" s="10" t="s">
        <v>1913</v>
      </c>
      <c r="F497" s="10" t="s">
        <v>1914</v>
      </c>
      <c r="G497" s="10" t="s">
        <v>1915</v>
      </c>
      <c r="H497" s="24">
        <v>44286.35416666667</v>
      </c>
      <c r="I497" s="24">
        <v>44288.35416666667</v>
      </c>
      <c r="J497" s="10" t="s">
        <v>43</v>
      </c>
      <c r="K497" s="10" t="s">
        <v>34</v>
      </c>
      <c r="N497" s="10" t="s">
        <v>35</v>
      </c>
      <c r="V497" s="9"/>
      <c r="W497" s="13" t="s">
        <v>78</v>
      </c>
      <c r="X497" s="10" t="s">
        <v>37</v>
      </c>
      <c r="Y497" s="10" t="s">
        <v>0</v>
      </c>
    </row>
    <row r="498">
      <c r="A498" s="10" t="s">
        <v>1916</v>
      </c>
      <c r="B498" s="11">
        <v>44288.40530648148</v>
      </c>
      <c r="C498" s="10" t="s">
        <v>671</v>
      </c>
      <c r="D498" s="10" t="s">
        <v>672</v>
      </c>
      <c r="E498" s="10" t="s">
        <v>1495</v>
      </c>
      <c r="F498" s="10" t="s">
        <v>1917</v>
      </c>
      <c r="G498" s="10" t="s">
        <v>1918</v>
      </c>
      <c r="H498" s="17">
        <v>44291.47916666667</v>
      </c>
      <c r="I498" s="17">
        <v>44291.52083333333</v>
      </c>
      <c r="J498" s="10" t="s">
        <v>128</v>
      </c>
      <c r="K498" s="10" t="s">
        <v>34</v>
      </c>
      <c r="N498" s="10" t="s">
        <v>35</v>
      </c>
      <c r="V498" s="9"/>
      <c r="W498" s="13" t="s">
        <v>78</v>
      </c>
      <c r="X498" s="10" t="s">
        <v>37</v>
      </c>
      <c r="Y498" s="10" t="s">
        <v>0</v>
      </c>
    </row>
    <row r="499">
      <c r="A499" s="10" t="s">
        <v>1919</v>
      </c>
      <c r="B499" s="11">
        <v>44300.749746608795</v>
      </c>
      <c r="C499" s="10" t="s">
        <v>516</v>
      </c>
      <c r="D499" s="10" t="s">
        <v>511</v>
      </c>
      <c r="E499" s="10" t="s">
        <v>1920</v>
      </c>
      <c r="F499" s="10" t="s">
        <v>1921</v>
      </c>
      <c r="G499" s="10" t="s">
        <v>1922</v>
      </c>
      <c r="H499" s="17">
        <v>44291.5</v>
      </c>
      <c r="I499" s="17">
        <v>44303.5</v>
      </c>
      <c r="J499" s="10" t="s">
        <v>51</v>
      </c>
      <c r="K499" s="10" t="s">
        <v>34</v>
      </c>
      <c r="N499" s="10" t="s">
        <v>35</v>
      </c>
      <c r="V499" s="9"/>
      <c r="W499" s="13" t="s">
        <v>78</v>
      </c>
      <c r="X499" s="10" t="s">
        <v>37</v>
      </c>
      <c r="Y499" s="10" t="s">
        <v>0</v>
      </c>
    </row>
    <row r="500">
      <c r="A500" s="10" t="s">
        <v>1923</v>
      </c>
      <c r="B500" s="11">
        <v>44275.7943565162</v>
      </c>
      <c r="C500" s="10" t="s">
        <v>181</v>
      </c>
      <c r="D500" s="10" t="s">
        <v>69</v>
      </c>
      <c r="E500" s="10" t="s">
        <v>1924</v>
      </c>
      <c r="F500" s="10" t="s">
        <v>1925</v>
      </c>
      <c r="G500" s="10" t="s">
        <v>1926</v>
      </c>
      <c r="H500" s="17">
        <v>44291.58333333333</v>
      </c>
      <c r="I500" s="17">
        <v>44291.66666666667</v>
      </c>
      <c r="J500" s="10" t="s">
        <v>128</v>
      </c>
      <c r="K500" s="10" t="s">
        <v>34</v>
      </c>
      <c r="N500" s="10" t="s">
        <v>35</v>
      </c>
      <c r="V500" s="9"/>
      <c r="W500" s="13" t="s">
        <v>78</v>
      </c>
      <c r="X500" s="10" t="s">
        <v>37</v>
      </c>
      <c r="Y500" s="10" t="s">
        <v>0</v>
      </c>
    </row>
    <row r="501">
      <c r="A501" s="10" t="s">
        <v>1927</v>
      </c>
      <c r="B501" s="11">
        <v>44280.362013460646</v>
      </c>
      <c r="C501" s="10" t="s">
        <v>239</v>
      </c>
      <c r="D501" s="10" t="s">
        <v>240</v>
      </c>
      <c r="E501" s="10" t="s">
        <v>1928</v>
      </c>
      <c r="F501" s="10" t="s">
        <v>1929</v>
      </c>
      <c r="G501" s="10" t="s">
        <v>1930</v>
      </c>
      <c r="H501" s="24">
        <v>44289.35416666667</v>
      </c>
      <c r="I501" s="24">
        <v>44290.8125</v>
      </c>
      <c r="J501" s="10" t="s">
        <v>43</v>
      </c>
      <c r="K501" s="10" t="s">
        <v>34</v>
      </c>
      <c r="N501" s="10" t="s">
        <v>35</v>
      </c>
      <c r="V501" s="9"/>
      <c r="W501" s="13" t="s">
        <v>78</v>
      </c>
      <c r="X501" s="10" t="s">
        <v>37</v>
      </c>
      <c r="Y501" s="10" t="s">
        <v>0</v>
      </c>
    </row>
    <row r="502">
      <c r="A502" s="10" t="s">
        <v>1931</v>
      </c>
      <c r="B502" s="11">
        <v>44286.62191935185</v>
      </c>
      <c r="C502" s="10" t="s">
        <v>80</v>
      </c>
      <c r="D502" s="10" t="s">
        <v>81</v>
      </c>
      <c r="E502" s="10" t="s">
        <v>1932</v>
      </c>
      <c r="F502" s="10" t="s">
        <v>1933</v>
      </c>
      <c r="G502" s="10" t="s">
        <v>1934</v>
      </c>
      <c r="H502" s="17">
        <v>44291.6875</v>
      </c>
      <c r="I502" s="17">
        <v>44291.72916666667</v>
      </c>
      <c r="J502" s="10" t="s">
        <v>128</v>
      </c>
      <c r="K502" s="10" t="s">
        <v>34</v>
      </c>
      <c r="N502" s="10" t="s">
        <v>296</v>
      </c>
      <c r="O502" s="18" t="s">
        <v>1935</v>
      </c>
      <c r="P502" s="10" t="s">
        <v>296</v>
      </c>
      <c r="Q502" s="10">
        <v>1.0</v>
      </c>
      <c r="R502" s="10" t="s">
        <v>35</v>
      </c>
      <c r="T502" s="10" t="s">
        <v>35</v>
      </c>
      <c r="V502" s="9"/>
      <c r="W502" s="13" t="s">
        <v>78</v>
      </c>
      <c r="X502" s="10" t="s">
        <v>37</v>
      </c>
      <c r="Y502" s="10" t="s">
        <v>0</v>
      </c>
    </row>
    <row r="503">
      <c r="A503" s="10" t="s">
        <v>1936</v>
      </c>
      <c r="B503" s="11">
        <v>44291.403459988425</v>
      </c>
      <c r="C503" s="10" t="s">
        <v>539</v>
      </c>
      <c r="D503" s="10" t="s">
        <v>540</v>
      </c>
      <c r="E503" s="10" t="s">
        <v>541</v>
      </c>
      <c r="F503" s="10" t="s">
        <v>1719</v>
      </c>
      <c r="G503" s="10" t="s">
        <v>1937</v>
      </c>
      <c r="H503" s="17">
        <v>44291.77083333333</v>
      </c>
      <c r="I503" s="17">
        <v>44291.8125</v>
      </c>
      <c r="J503" s="10" t="s">
        <v>128</v>
      </c>
      <c r="K503" s="10" t="s">
        <v>34</v>
      </c>
      <c r="N503" s="10" t="s">
        <v>35</v>
      </c>
      <c r="V503" s="9"/>
      <c r="W503" s="13" t="s">
        <v>78</v>
      </c>
      <c r="X503" s="10" t="s">
        <v>37</v>
      </c>
      <c r="Y503" s="10" t="s">
        <v>0</v>
      </c>
    </row>
    <row r="504">
      <c r="A504" s="10" t="s">
        <v>1938</v>
      </c>
      <c r="B504" s="11">
        <v>44291.85522355324</v>
      </c>
      <c r="C504" s="10" t="s">
        <v>491</v>
      </c>
      <c r="D504" s="10" t="s">
        <v>492</v>
      </c>
      <c r="E504" s="10" t="s">
        <v>657</v>
      </c>
      <c r="F504" s="10" t="s">
        <v>1939</v>
      </c>
      <c r="G504" s="10" t="s">
        <v>1940</v>
      </c>
      <c r="H504" s="17">
        <v>44291.79166666667</v>
      </c>
      <c r="I504" s="17">
        <v>44291.79166666667</v>
      </c>
      <c r="J504" s="10" t="s">
        <v>73</v>
      </c>
      <c r="K504" s="10" t="s">
        <v>34</v>
      </c>
      <c r="N504" s="10" t="s">
        <v>35</v>
      </c>
      <c r="V504" s="9"/>
      <c r="W504" s="13" t="s">
        <v>78</v>
      </c>
      <c r="X504" s="10" t="s">
        <v>37</v>
      </c>
      <c r="Y504" s="10" t="s">
        <v>0</v>
      </c>
    </row>
    <row r="505">
      <c r="A505" s="10" t="s">
        <v>1941</v>
      </c>
      <c r="B505" s="11">
        <v>44285.66305762732</v>
      </c>
      <c r="C505" s="10" t="s">
        <v>239</v>
      </c>
      <c r="D505" s="10" t="s">
        <v>240</v>
      </c>
      <c r="E505" s="10" t="s">
        <v>1928</v>
      </c>
      <c r="F505" s="10" t="s">
        <v>1942</v>
      </c>
      <c r="G505" s="10" t="s">
        <v>1943</v>
      </c>
      <c r="H505" s="16">
        <v>44289.41666666667</v>
      </c>
      <c r="I505" s="16">
        <v>44289.45833333333</v>
      </c>
      <c r="J505" s="10" t="s">
        <v>43</v>
      </c>
      <c r="K505" s="10" t="s">
        <v>34</v>
      </c>
      <c r="N505" s="10" t="s">
        <v>35</v>
      </c>
      <c r="V505" s="9"/>
      <c r="W505" s="13" t="s">
        <v>78</v>
      </c>
      <c r="X505" s="10" t="s">
        <v>37</v>
      </c>
      <c r="Y505" s="10" t="s">
        <v>0</v>
      </c>
    </row>
    <row r="506">
      <c r="A506" s="10" t="s">
        <v>1944</v>
      </c>
      <c r="B506" s="11">
        <v>44285.666002025464</v>
      </c>
      <c r="C506" s="10" t="s">
        <v>239</v>
      </c>
      <c r="D506" s="10" t="s">
        <v>240</v>
      </c>
      <c r="E506" s="10" t="s">
        <v>991</v>
      </c>
      <c r="F506" s="10" t="s">
        <v>1945</v>
      </c>
      <c r="G506" s="10" t="s">
        <v>1946</v>
      </c>
      <c r="H506" s="16">
        <v>44289.60416666667</v>
      </c>
      <c r="I506" s="16">
        <v>44289.64583333333</v>
      </c>
      <c r="J506" s="10" t="s">
        <v>43</v>
      </c>
      <c r="K506" s="10" t="s">
        <v>34</v>
      </c>
      <c r="N506" s="10" t="s">
        <v>35</v>
      </c>
      <c r="V506" s="9"/>
      <c r="W506" s="13" t="s">
        <v>78</v>
      </c>
      <c r="X506" s="10" t="s">
        <v>37</v>
      </c>
      <c r="Y506" s="10" t="s">
        <v>0</v>
      </c>
    </row>
    <row r="507">
      <c r="A507" s="10" t="s">
        <v>1947</v>
      </c>
      <c r="B507" s="11">
        <v>44285.66463425926</v>
      </c>
      <c r="C507" s="10" t="s">
        <v>239</v>
      </c>
      <c r="D507" s="10" t="s">
        <v>240</v>
      </c>
      <c r="E507" s="10" t="s">
        <v>1948</v>
      </c>
      <c r="F507" s="10" t="s">
        <v>1949</v>
      </c>
      <c r="G507" s="10" t="s">
        <v>1950</v>
      </c>
      <c r="H507" s="16">
        <v>44289.6875</v>
      </c>
      <c r="I507" s="16">
        <v>44289.72916666667</v>
      </c>
      <c r="J507" s="10" t="s">
        <v>43</v>
      </c>
      <c r="K507" s="10" t="s">
        <v>34</v>
      </c>
      <c r="N507" s="10" t="s">
        <v>35</v>
      </c>
      <c r="V507" s="9"/>
      <c r="W507" s="13" t="s">
        <v>78</v>
      </c>
      <c r="X507" s="10" t="s">
        <v>37</v>
      </c>
      <c r="Y507" s="10" t="s">
        <v>0</v>
      </c>
    </row>
    <row r="508">
      <c r="A508" s="10" t="s">
        <v>1951</v>
      </c>
      <c r="B508" s="11">
        <v>44291.64632706018</v>
      </c>
      <c r="C508" s="10" t="s">
        <v>539</v>
      </c>
      <c r="D508" s="10" t="s">
        <v>540</v>
      </c>
      <c r="E508" s="10" t="s">
        <v>1715</v>
      </c>
      <c r="F508" s="10" t="s">
        <v>1952</v>
      </c>
      <c r="G508" s="10" t="s">
        <v>1953</v>
      </c>
      <c r="H508" s="17">
        <v>44292.70833333333</v>
      </c>
      <c r="I508" s="17">
        <v>44292.83333333333</v>
      </c>
      <c r="J508" s="10" t="s">
        <v>73</v>
      </c>
      <c r="K508" s="10" t="s">
        <v>34</v>
      </c>
      <c r="N508" s="10" t="s">
        <v>35</v>
      </c>
      <c r="V508" s="9"/>
      <c r="W508" s="13" t="s">
        <v>78</v>
      </c>
      <c r="X508" s="10" t="s">
        <v>37</v>
      </c>
      <c r="Y508" s="10" t="s">
        <v>0</v>
      </c>
    </row>
    <row r="509">
      <c r="A509" s="10" t="s">
        <v>1954</v>
      </c>
      <c r="B509" s="11">
        <v>44276.67894182871</v>
      </c>
      <c r="C509" s="10" t="s">
        <v>239</v>
      </c>
      <c r="D509" s="10" t="s">
        <v>240</v>
      </c>
      <c r="E509" s="10" t="s">
        <v>241</v>
      </c>
      <c r="F509" s="10" t="s">
        <v>1955</v>
      </c>
      <c r="G509" s="10" t="s">
        <v>1956</v>
      </c>
      <c r="H509" s="24">
        <v>44289.729166666664</v>
      </c>
      <c r="I509" s="24">
        <v>44289.770833333336</v>
      </c>
      <c r="J509" s="10" t="s">
        <v>43</v>
      </c>
      <c r="K509" s="10" t="s">
        <v>34</v>
      </c>
      <c r="N509" s="10" t="s">
        <v>35</v>
      </c>
      <c r="V509" s="9"/>
      <c r="W509" s="13" t="s">
        <v>78</v>
      </c>
      <c r="X509" s="10" t="s">
        <v>37</v>
      </c>
      <c r="Y509" s="10" t="s">
        <v>0</v>
      </c>
    </row>
    <row r="510">
      <c r="A510" s="10" t="s">
        <v>1957</v>
      </c>
      <c r="B510" s="11">
        <v>44286.73181627315</v>
      </c>
      <c r="C510" s="10" t="s">
        <v>28</v>
      </c>
      <c r="D510" s="10" t="s">
        <v>29</v>
      </c>
      <c r="E510" s="10" t="s">
        <v>63</v>
      </c>
      <c r="F510" s="10" t="s">
        <v>1958</v>
      </c>
      <c r="G510" s="10" t="s">
        <v>1959</v>
      </c>
      <c r="H510" s="24">
        <v>44291.10416666667</v>
      </c>
      <c r="I510" s="24">
        <v>44291.1875</v>
      </c>
      <c r="J510" s="10" t="s">
        <v>43</v>
      </c>
      <c r="K510" s="10" t="s">
        <v>34</v>
      </c>
      <c r="N510" s="10" t="s">
        <v>35</v>
      </c>
      <c r="V510" s="9"/>
      <c r="W510" s="13" t="s">
        <v>78</v>
      </c>
      <c r="X510" s="10" t="s">
        <v>37</v>
      </c>
      <c r="Y510" s="10" t="s">
        <v>0</v>
      </c>
    </row>
    <row r="511">
      <c r="A511" s="10" t="s">
        <v>1960</v>
      </c>
      <c r="B511" s="11">
        <v>44282.81572829861</v>
      </c>
      <c r="C511" s="10" t="s">
        <v>727</v>
      </c>
      <c r="D511" s="10" t="s">
        <v>728</v>
      </c>
      <c r="E511" s="10" t="s">
        <v>1961</v>
      </c>
      <c r="F511" s="10" t="s">
        <v>1962</v>
      </c>
      <c r="G511" s="10" t="s">
        <v>1963</v>
      </c>
      <c r="H511" s="24">
        <v>44291.375</v>
      </c>
      <c r="I511" s="24">
        <v>44295.79166666667</v>
      </c>
      <c r="J511" s="10" t="s">
        <v>43</v>
      </c>
      <c r="K511" s="10" t="s">
        <v>34</v>
      </c>
      <c r="N511" s="10" t="s">
        <v>296</v>
      </c>
      <c r="O511" s="18" t="s">
        <v>1964</v>
      </c>
      <c r="P511" s="10" t="s">
        <v>35</v>
      </c>
      <c r="R511" s="10" t="s">
        <v>296</v>
      </c>
      <c r="S511" s="10">
        <v>2.0</v>
      </c>
      <c r="T511" s="10" t="s">
        <v>296</v>
      </c>
      <c r="U511" s="10">
        <v>2.0</v>
      </c>
      <c r="V511" s="27"/>
      <c r="W511" s="13" t="s">
        <v>78</v>
      </c>
      <c r="X511" s="10" t="s">
        <v>37</v>
      </c>
      <c r="Y511" s="10" t="s">
        <v>0</v>
      </c>
    </row>
    <row r="512">
      <c r="A512" s="10" t="s">
        <v>1965</v>
      </c>
      <c r="B512" s="11">
        <v>44286.73426790509</v>
      </c>
      <c r="C512" s="10" t="s">
        <v>28</v>
      </c>
      <c r="D512" s="10" t="s">
        <v>29</v>
      </c>
      <c r="E512" s="10" t="s">
        <v>63</v>
      </c>
      <c r="F512" s="10" t="s">
        <v>1966</v>
      </c>
      <c r="G512" s="10" t="s">
        <v>1967</v>
      </c>
      <c r="H512" s="17">
        <v>44293.39583333333</v>
      </c>
      <c r="I512" s="17">
        <v>44293.4375</v>
      </c>
      <c r="J512" s="10" t="s">
        <v>51</v>
      </c>
      <c r="K512" s="10" t="s">
        <v>34</v>
      </c>
      <c r="N512" s="10" t="s">
        <v>35</v>
      </c>
      <c r="V512" s="9"/>
      <c r="W512" s="13" t="s">
        <v>78</v>
      </c>
      <c r="X512" s="10" t="s">
        <v>37</v>
      </c>
      <c r="Y512" s="10" t="s">
        <v>0</v>
      </c>
    </row>
    <row r="513">
      <c r="A513" s="10" t="s">
        <v>1968</v>
      </c>
      <c r="B513" s="11">
        <v>44295.448261087964</v>
      </c>
      <c r="C513" s="10" t="s">
        <v>491</v>
      </c>
      <c r="D513" s="10" t="s">
        <v>492</v>
      </c>
      <c r="E513" s="10" t="s">
        <v>853</v>
      </c>
      <c r="F513" s="10" t="s">
        <v>1969</v>
      </c>
      <c r="G513" s="10" t="s">
        <v>1970</v>
      </c>
      <c r="H513" s="17">
        <v>44293.5</v>
      </c>
      <c r="I513" s="17">
        <v>44293.5</v>
      </c>
      <c r="J513" s="10" t="s">
        <v>73</v>
      </c>
      <c r="K513" s="10" t="s">
        <v>34</v>
      </c>
      <c r="N513" s="10" t="s">
        <v>35</v>
      </c>
      <c r="V513" s="9"/>
      <c r="W513" s="13" t="s">
        <v>78</v>
      </c>
      <c r="X513" s="13" t="s">
        <v>37</v>
      </c>
      <c r="Y513" s="13" t="s">
        <v>0</v>
      </c>
    </row>
    <row r="514">
      <c r="A514" s="10" t="s">
        <v>1971</v>
      </c>
      <c r="B514" s="11">
        <v>44288.71615238426</v>
      </c>
      <c r="C514" s="10" t="s">
        <v>694</v>
      </c>
      <c r="D514" s="10" t="s">
        <v>695</v>
      </c>
      <c r="E514" s="10" t="s">
        <v>696</v>
      </c>
      <c r="F514" s="10" t="s">
        <v>1972</v>
      </c>
      <c r="G514" s="10" t="s">
        <v>1973</v>
      </c>
      <c r="H514" s="24">
        <v>44291.64583333333</v>
      </c>
      <c r="I514" s="24">
        <v>44291.6875</v>
      </c>
      <c r="J514" s="10" t="s">
        <v>43</v>
      </c>
      <c r="K514" s="10" t="s">
        <v>34</v>
      </c>
      <c r="N514" s="10" t="s">
        <v>35</v>
      </c>
      <c r="V514" s="9"/>
      <c r="W514" s="13" t="s">
        <v>78</v>
      </c>
      <c r="X514" s="10" t="s">
        <v>37</v>
      </c>
      <c r="Y514" s="10" t="s">
        <v>0</v>
      </c>
    </row>
    <row r="515">
      <c r="A515" s="10" t="s">
        <v>1974</v>
      </c>
      <c r="B515" s="11">
        <v>44289.784174479166</v>
      </c>
      <c r="C515" s="10" t="s">
        <v>239</v>
      </c>
      <c r="D515" s="10" t="s">
        <v>240</v>
      </c>
      <c r="E515" s="10" t="s">
        <v>1975</v>
      </c>
      <c r="F515" s="10" t="s">
        <v>1976</v>
      </c>
      <c r="G515" s="10" t="s">
        <v>1977</v>
      </c>
      <c r="H515" s="17">
        <v>44293.6875</v>
      </c>
      <c r="I515" s="17">
        <v>44293.72916666667</v>
      </c>
      <c r="J515" s="10" t="s">
        <v>128</v>
      </c>
      <c r="K515" s="10" t="s">
        <v>34</v>
      </c>
      <c r="N515" s="10" t="s">
        <v>35</v>
      </c>
      <c r="V515" s="9"/>
      <c r="W515" s="13" t="s">
        <v>78</v>
      </c>
      <c r="X515" s="10" t="s">
        <v>37</v>
      </c>
      <c r="Y515" s="10" t="s">
        <v>0</v>
      </c>
    </row>
    <row r="516">
      <c r="A516" s="10" t="s">
        <v>1978</v>
      </c>
      <c r="B516" s="11">
        <v>44286.73880340278</v>
      </c>
      <c r="C516" s="10" t="s">
        <v>28</v>
      </c>
      <c r="D516" s="10" t="s">
        <v>29</v>
      </c>
      <c r="E516" s="10" t="s">
        <v>63</v>
      </c>
      <c r="F516" s="10" t="s">
        <v>1979</v>
      </c>
      <c r="G516" s="10" t="s">
        <v>1980</v>
      </c>
      <c r="H516" s="17">
        <v>44294.35416666667</v>
      </c>
      <c r="I516" s="17">
        <v>44316.49930555555</v>
      </c>
      <c r="J516" s="10" t="s">
        <v>51</v>
      </c>
      <c r="K516" s="10" t="s">
        <v>34</v>
      </c>
      <c r="N516" s="10" t="s">
        <v>35</v>
      </c>
      <c r="V516" s="9"/>
      <c r="W516" s="13" t="s">
        <v>78</v>
      </c>
      <c r="X516" s="10" t="s">
        <v>37</v>
      </c>
      <c r="Y516" s="10" t="s">
        <v>0</v>
      </c>
    </row>
    <row r="517">
      <c r="A517" s="10" t="s">
        <v>1981</v>
      </c>
      <c r="B517" s="11">
        <v>44286.73292594907</v>
      </c>
      <c r="C517" s="10" t="s">
        <v>28</v>
      </c>
      <c r="D517" s="10" t="s">
        <v>29</v>
      </c>
      <c r="E517" s="10" t="s">
        <v>63</v>
      </c>
      <c r="F517" s="10" t="s">
        <v>1982</v>
      </c>
      <c r="G517" s="10" t="s">
        <v>1983</v>
      </c>
      <c r="H517" s="24">
        <v>44292.1875</v>
      </c>
      <c r="I517" s="24">
        <v>44292.27083333333</v>
      </c>
      <c r="J517" s="10" t="s">
        <v>43</v>
      </c>
      <c r="K517" s="10" t="s">
        <v>34</v>
      </c>
      <c r="N517" s="10" t="s">
        <v>35</v>
      </c>
      <c r="V517" s="9"/>
      <c r="W517" s="13" t="s">
        <v>78</v>
      </c>
      <c r="X517" s="10" t="s">
        <v>37</v>
      </c>
      <c r="Y517" s="10" t="s">
        <v>0</v>
      </c>
    </row>
    <row r="518">
      <c r="A518" s="10" t="s">
        <v>1984</v>
      </c>
      <c r="B518" s="11">
        <v>44290.89621888888</v>
      </c>
      <c r="C518" s="10" t="s">
        <v>975</v>
      </c>
      <c r="D518" s="10" t="s">
        <v>976</v>
      </c>
      <c r="E518" s="10" t="s">
        <v>1985</v>
      </c>
      <c r="F518" s="10" t="s">
        <v>1986</v>
      </c>
      <c r="G518" s="10" t="s">
        <v>1987</v>
      </c>
      <c r="H518" s="24">
        <v>44292.60416666667</v>
      </c>
      <c r="I518" s="24">
        <v>44292.64583333333</v>
      </c>
      <c r="J518" s="10" t="s">
        <v>43</v>
      </c>
      <c r="K518" s="10" t="s">
        <v>34</v>
      </c>
      <c r="N518" s="10" t="s">
        <v>296</v>
      </c>
      <c r="O518" s="18" t="s">
        <v>1988</v>
      </c>
      <c r="P518" s="10" t="s">
        <v>296</v>
      </c>
      <c r="Q518" s="10">
        <v>2.0</v>
      </c>
      <c r="R518" s="10" t="s">
        <v>35</v>
      </c>
      <c r="T518" s="10" t="s">
        <v>35</v>
      </c>
      <c r="V518" s="9"/>
      <c r="W518" s="13" t="s">
        <v>78</v>
      </c>
      <c r="X518" s="10" t="s">
        <v>37</v>
      </c>
      <c r="Y518" s="10" t="s">
        <v>0</v>
      </c>
    </row>
    <row r="519">
      <c r="A519" s="10" t="s">
        <v>1989</v>
      </c>
      <c r="B519" s="11">
        <v>44288.67408857639</v>
      </c>
      <c r="C519" s="10" t="s">
        <v>694</v>
      </c>
      <c r="D519" s="10" t="s">
        <v>695</v>
      </c>
      <c r="E519" s="10" t="s">
        <v>696</v>
      </c>
      <c r="F519" s="10" t="s">
        <v>1990</v>
      </c>
      <c r="G519" s="10" t="s">
        <v>1991</v>
      </c>
      <c r="H519" s="24">
        <v>44292.6875</v>
      </c>
      <c r="I519" s="24">
        <v>44292.72916666667</v>
      </c>
      <c r="J519" s="10" t="s">
        <v>43</v>
      </c>
      <c r="K519" s="10" t="s">
        <v>34</v>
      </c>
      <c r="N519" s="10" t="s">
        <v>35</v>
      </c>
      <c r="V519" s="9"/>
      <c r="W519" s="13" t="s">
        <v>78</v>
      </c>
      <c r="X519" s="10" t="s">
        <v>37</v>
      </c>
      <c r="Y519" s="10" t="s">
        <v>0</v>
      </c>
    </row>
    <row r="520">
      <c r="A520" s="10" t="s">
        <v>1992</v>
      </c>
      <c r="B520" s="11">
        <v>44288.42488917824</v>
      </c>
      <c r="C520" s="10" t="s">
        <v>671</v>
      </c>
      <c r="D520" s="10" t="s">
        <v>672</v>
      </c>
      <c r="E520" s="10" t="s">
        <v>1993</v>
      </c>
      <c r="F520" s="10" t="s">
        <v>1994</v>
      </c>
      <c r="G520" s="10" t="s">
        <v>1995</v>
      </c>
      <c r="H520" s="17">
        <v>44294.6875</v>
      </c>
      <c r="I520" s="17">
        <v>44294.72916666667</v>
      </c>
      <c r="J520" s="10" t="s">
        <v>128</v>
      </c>
      <c r="K520" s="10" t="s">
        <v>34</v>
      </c>
      <c r="N520" s="10" t="s">
        <v>35</v>
      </c>
      <c r="V520" s="9"/>
      <c r="W520" s="13" t="s">
        <v>78</v>
      </c>
      <c r="X520" s="10" t="s">
        <v>37</v>
      </c>
      <c r="Y520" s="10" t="s">
        <v>0</v>
      </c>
    </row>
    <row r="521">
      <c r="A521" s="10" t="s">
        <v>1996</v>
      </c>
      <c r="B521" s="11">
        <v>44275.79142678241</v>
      </c>
      <c r="C521" s="10" t="s">
        <v>181</v>
      </c>
      <c r="D521" s="10" t="s">
        <v>69</v>
      </c>
      <c r="E521" s="10" t="s">
        <v>1997</v>
      </c>
      <c r="F521" s="10" t="s">
        <v>1998</v>
      </c>
      <c r="G521" s="10" t="s">
        <v>1999</v>
      </c>
      <c r="H521" s="24">
        <v>44292.79166666667</v>
      </c>
      <c r="I521" s="24">
        <v>44292.875</v>
      </c>
      <c r="J521" s="10" t="s">
        <v>43</v>
      </c>
      <c r="K521" s="10" t="s">
        <v>34</v>
      </c>
      <c r="N521" s="10" t="s">
        <v>296</v>
      </c>
      <c r="O521" s="18" t="s">
        <v>2000</v>
      </c>
      <c r="P521" s="10" t="s">
        <v>35</v>
      </c>
      <c r="R521" s="10" t="s">
        <v>35</v>
      </c>
      <c r="T521" s="10" t="s">
        <v>296</v>
      </c>
      <c r="U521" s="10">
        <v>1.0</v>
      </c>
      <c r="V521" s="27"/>
      <c r="W521" s="13" t="s">
        <v>78</v>
      </c>
      <c r="X521" s="10" t="s">
        <v>37</v>
      </c>
      <c r="Y521" s="10" t="s">
        <v>0</v>
      </c>
    </row>
    <row r="522">
      <c r="A522" s="10" t="s">
        <v>2001</v>
      </c>
      <c r="B522" s="11">
        <v>44294.76892030092</v>
      </c>
      <c r="C522" s="10" t="s">
        <v>1035</v>
      </c>
      <c r="D522" s="10" t="s">
        <v>1036</v>
      </c>
      <c r="E522" s="10" t="s">
        <v>2002</v>
      </c>
      <c r="F522" s="10" t="s">
        <v>2003</v>
      </c>
      <c r="G522" s="10" t="s">
        <v>2004</v>
      </c>
      <c r="H522" s="17">
        <v>44294.77083333333</v>
      </c>
      <c r="I522" s="17">
        <v>44294.8125</v>
      </c>
      <c r="J522" s="10" t="s">
        <v>128</v>
      </c>
      <c r="K522" s="10" t="s">
        <v>34</v>
      </c>
      <c r="N522" s="10" t="s">
        <v>35</v>
      </c>
      <c r="V522" s="9"/>
      <c r="W522" s="13" t="s">
        <v>78</v>
      </c>
      <c r="X522" s="13" t="s">
        <v>37</v>
      </c>
      <c r="Y522" s="13" t="s">
        <v>0</v>
      </c>
    </row>
    <row r="523">
      <c r="A523" s="10" t="s">
        <v>2005</v>
      </c>
      <c r="B523" s="11">
        <v>44286.39907206019</v>
      </c>
      <c r="C523" s="10" t="s">
        <v>491</v>
      </c>
      <c r="D523" s="10" t="s">
        <v>492</v>
      </c>
      <c r="E523" s="10" t="s">
        <v>657</v>
      </c>
      <c r="F523" s="10" t="s">
        <v>2006</v>
      </c>
      <c r="G523" s="10" t="s">
        <v>2007</v>
      </c>
      <c r="H523" s="17">
        <v>44294.79166666667</v>
      </c>
      <c r="I523" s="17">
        <v>44294.84375</v>
      </c>
      <c r="J523" s="10" t="s">
        <v>128</v>
      </c>
      <c r="K523" s="10" t="s">
        <v>34</v>
      </c>
      <c r="N523" s="10" t="s">
        <v>35</v>
      </c>
      <c r="V523" s="9"/>
      <c r="W523" s="13" t="s">
        <v>78</v>
      </c>
      <c r="X523" s="10" t="s">
        <v>37</v>
      </c>
      <c r="Y523" s="10" t="s">
        <v>0</v>
      </c>
    </row>
    <row r="524">
      <c r="A524" s="10" t="s">
        <v>2008</v>
      </c>
      <c r="B524" s="11">
        <v>44295.45123644676</v>
      </c>
      <c r="C524" s="10" t="s">
        <v>491</v>
      </c>
      <c r="D524" s="10" t="s">
        <v>492</v>
      </c>
      <c r="E524" s="10" t="s">
        <v>853</v>
      </c>
      <c r="F524" s="10" t="s">
        <v>2009</v>
      </c>
      <c r="G524" s="10" t="s">
        <v>2010</v>
      </c>
      <c r="H524" s="17">
        <v>44294.79166666667</v>
      </c>
      <c r="I524" s="17">
        <v>44294.79166666667</v>
      </c>
      <c r="J524" s="10" t="s">
        <v>73</v>
      </c>
      <c r="K524" s="10" t="s">
        <v>34</v>
      </c>
      <c r="N524" s="10" t="s">
        <v>35</v>
      </c>
      <c r="V524" s="9"/>
      <c r="W524" s="13" t="s">
        <v>78</v>
      </c>
      <c r="X524" s="13" t="s">
        <v>37</v>
      </c>
      <c r="Y524" s="13" t="s">
        <v>0</v>
      </c>
    </row>
    <row r="525">
      <c r="A525" s="10" t="s">
        <v>2011</v>
      </c>
      <c r="B525" s="11">
        <v>44293.40412695602</v>
      </c>
      <c r="C525" s="10" t="s">
        <v>1405</v>
      </c>
      <c r="D525" s="10" t="s">
        <v>1406</v>
      </c>
      <c r="E525" s="10" t="s">
        <v>2012</v>
      </c>
      <c r="F525" s="10" t="s">
        <v>2013</v>
      </c>
      <c r="G525" s="10" t="s">
        <v>2014</v>
      </c>
      <c r="H525" s="17">
        <v>44294.85416666667</v>
      </c>
      <c r="I525" s="17">
        <v>44294.89583333333</v>
      </c>
      <c r="J525" s="10" t="s">
        <v>128</v>
      </c>
      <c r="K525" s="10" t="s">
        <v>34</v>
      </c>
      <c r="N525" s="10" t="s">
        <v>35</v>
      </c>
      <c r="V525" s="9"/>
      <c r="W525" s="13" t="s">
        <v>78</v>
      </c>
      <c r="X525" s="10" t="s">
        <v>37</v>
      </c>
      <c r="Y525" s="10" t="s">
        <v>0</v>
      </c>
    </row>
    <row r="526">
      <c r="A526" s="10" t="s">
        <v>2015</v>
      </c>
      <c r="B526" s="11">
        <v>44291.40182153935</v>
      </c>
      <c r="C526" s="10" t="s">
        <v>539</v>
      </c>
      <c r="D526" s="10" t="s">
        <v>540</v>
      </c>
      <c r="E526" s="10" t="s">
        <v>541</v>
      </c>
      <c r="F526" s="10" t="s">
        <v>2016</v>
      </c>
      <c r="G526" s="10" t="s">
        <v>2017</v>
      </c>
      <c r="H526" s="24">
        <v>44293.29166666667</v>
      </c>
      <c r="I526" s="24">
        <v>44315.83333333333</v>
      </c>
      <c r="J526" s="10" t="s">
        <v>43</v>
      </c>
      <c r="K526" s="10" t="s">
        <v>34</v>
      </c>
      <c r="N526" s="10" t="s">
        <v>35</v>
      </c>
      <c r="V526" s="9"/>
      <c r="W526" s="13" t="s">
        <v>78</v>
      </c>
      <c r="X526" s="10" t="s">
        <v>37</v>
      </c>
      <c r="Y526" s="10" t="s">
        <v>0</v>
      </c>
    </row>
    <row r="527">
      <c r="A527" s="10" t="s">
        <v>2018</v>
      </c>
      <c r="B527" s="11">
        <v>44294.77137126157</v>
      </c>
      <c r="C527" s="10" t="s">
        <v>1035</v>
      </c>
      <c r="D527" s="10" t="s">
        <v>1036</v>
      </c>
      <c r="E527" s="10" t="s">
        <v>2002</v>
      </c>
      <c r="F527" s="10" t="s">
        <v>2019</v>
      </c>
      <c r="G527" s="10" t="s">
        <v>2020</v>
      </c>
      <c r="H527" s="17">
        <v>44295.39583333333</v>
      </c>
      <c r="I527" s="17">
        <v>44295.39583333333</v>
      </c>
      <c r="J527" s="10" t="s">
        <v>128</v>
      </c>
      <c r="K527" s="10" t="s">
        <v>34</v>
      </c>
      <c r="N527" s="10" t="s">
        <v>35</v>
      </c>
      <c r="V527" s="9"/>
      <c r="W527" s="13" t="s">
        <v>78</v>
      </c>
      <c r="X527" s="13" t="s">
        <v>37</v>
      </c>
      <c r="Y527" s="13" t="s">
        <v>0</v>
      </c>
    </row>
    <row r="528">
      <c r="A528" s="10" t="s">
        <v>2021</v>
      </c>
      <c r="B528" s="11">
        <v>44275.79373695602</v>
      </c>
      <c r="C528" s="10" t="s">
        <v>181</v>
      </c>
      <c r="D528" s="10" t="s">
        <v>69</v>
      </c>
      <c r="E528" s="10" t="s">
        <v>1924</v>
      </c>
      <c r="F528" s="10" t="s">
        <v>2022</v>
      </c>
      <c r="G528" s="10" t="s">
        <v>2023</v>
      </c>
      <c r="H528" s="17">
        <v>44295.41666666667</v>
      </c>
      <c r="I528" s="17">
        <v>44295.5</v>
      </c>
      <c r="J528" s="10" t="s">
        <v>128</v>
      </c>
      <c r="K528" s="10" t="s">
        <v>34</v>
      </c>
      <c r="N528" s="10" t="s">
        <v>35</v>
      </c>
      <c r="V528" s="9"/>
      <c r="W528" s="13" t="s">
        <v>78</v>
      </c>
      <c r="X528" s="10" t="s">
        <v>37</v>
      </c>
      <c r="Y528" s="10" t="s">
        <v>0</v>
      </c>
    </row>
    <row r="529">
      <c r="A529" s="10" t="s">
        <v>2024</v>
      </c>
      <c r="B529" s="11">
        <v>44288.66900037037</v>
      </c>
      <c r="C529" s="10" t="s">
        <v>694</v>
      </c>
      <c r="D529" s="10" t="s">
        <v>695</v>
      </c>
      <c r="E529" s="10" t="s">
        <v>696</v>
      </c>
      <c r="F529" s="10" t="s">
        <v>697</v>
      </c>
      <c r="G529" s="10" t="s">
        <v>698</v>
      </c>
      <c r="H529" s="17">
        <v>44295.52083333333</v>
      </c>
      <c r="I529" s="17">
        <v>44295.5625</v>
      </c>
      <c r="J529" s="10" t="s">
        <v>128</v>
      </c>
      <c r="K529" s="10" t="s">
        <v>34</v>
      </c>
      <c r="N529" s="10" t="s">
        <v>35</v>
      </c>
      <c r="V529" s="9"/>
      <c r="W529" s="13" t="s">
        <v>78</v>
      </c>
      <c r="X529" s="10" t="s">
        <v>37</v>
      </c>
      <c r="Y529" s="10" t="s">
        <v>0</v>
      </c>
    </row>
    <row r="530">
      <c r="A530" s="10" t="s">
        <v>2025</v>
      </c>
      <c r="B530" s="11">
        <v>44291.60691519676</v>
      </c>
      <c r="C530" s="10" t="s">
        <v>671</v>
      </c>
      <c r="D530" s="10" t="s">
        <v>672</v>
      </c>
      <c r="E530" s="10" t="s">
        <v>1140</v>
      </c>
      <c r="F530" s="10" t="s">
        <v>2026</v>
      </c>
      <c r="G530" s="10" t="s">
        <v>1618</v>
      </c>
      <c r="H530" s="17">
        <v>44295.5625</v>
      </c>
      <c r="I530" s="17">
        <v>44295.60416666667</v>
      </c>
      <c r="J530" s="10" t="s">
        <v>128</v>
      </c>
      <c r="K530" s="10" t="s">
        <v>34</v>
      </c>
      <c r="N530" s="10" t="s">
        <v>35</v>
      </c>
      <c r="V530" s="9"/>
      <c r="W530" s="13" t="s">
        <v>78</v>
      </c>
      <c r="X530" s="10" t="s">
        <v>37</v>
      </c>
      <c r="Y530" s="10" t="s">
        <v>0</v>
      </c>
    </row>
    <row r="531">
      <c r="A531" s="10" t="s">
        <v>2027</v>
      </c>
      <c r="B531" s="11">
        <v>44256.49077611111</v>
      </c>
      <c r="C531" s="10" t="s">
        <v>137</v>
      </c>
      <c r="D531" s="10" t="s">
        <v>138</v>
      </c>
      <c r="E531" s="10" t="s">
        <v>1376</v>
      </c>
      <c r="F531" s="10" t="s">
        <v>921</v>
      </c>
      <c r="G531" s="10" t="s">
        <v>701</v>
      </c>
      <c r="H531" s="17">
        <v>44295.58333333333</v>
      </c>
      <c r="I531" s="17">
        <v>44295.66666666667</v>
      </c>
      <c r="J531" s="10" t="s">
        <v>128</v>
      </c>
      <c r="K531" s="10" t="s">
        <v>34</v>
      </c>
      <c r="N531" s="10" t="s">
        <v>35</v>
      </c>
      <c r="V531" s="9"/>
      <c r="W531" s="13" t="s">
        <v>78</v>
      </c>
      <c r="X531" s="10" t="s">
        <v>37</v>
      </c>
      <c r="Y531" s="10" t="s">
        <v>0</v>
      </c>
    </row>
    <row r="532">
      <c r="A532" s="10" t="s">
        <v>2028</v>
      </c>
      <c r="B532" s="11">
        <v>44291.40221219907</v>
      </c>
      <c r="C532" s="10" t="s">
        <v>539</v>
      </c>
      <c r="D532" s="10" t="s">
        <v>540</v>
      </c>
      <c r="E532" s="10" t="s">
        <v>541</v>
      </c>
      <c r="F532" s="10" t="s">
        <v>2016</v>
      </c>
      <c r="G532" s="10" t="s">
        <v>2017</v>
      </c>
      <c r="H532" s="24">
        <v>44293.29166666667</v>
      </c>
      <c r="I532" s="24">
        <v>44315.83333333333</v>
      </c>
      <c r="J532" s="10" t="s">
        <v>43</v>
      </c>
      <c r="K532" s="10" t="s">
        <v>34</v>
      </c>
      <c r="N532" s="10" t="s">
        <v>35</v>
      </c>
      <c r="V532" s="9"/>
      <c r="W532" s="13" t="s">
        <v>78</v>
      </c>
      <c r="X532" s="10" t="s">
        <v>37</v>
      </c>
      <c r="Y532" s="10" t="s">
        <v>0</v>
      </c>
    </row>
    <row r="533">
      <c r="A533" s="10" t="s">
        <v>2029</v>
      </c>
      <c r="B533" s="11">
        <v>44288.678514479165</v>
      </c>
      <c r="C533" s="10" t="s">
        <v>694</v>
      </c>
      <c r="D533" s="10" t="s">
        <v>695</v>
      </c>
      <c r="E533" s="10" t="s">
        <v>696</v>
      </c>
      <c r="F533" s="10" t="s">
        <v>2030</v>
      </c>
      <c r="G533" s="10" t="s">
        <v>2031</v>
      </c>
      <c r="H533" s="24">
        <v>44293.64583333333</v>
      </c>
      <c r="I533" s="24">
        <v>44293.72916666667</v>
      </c>
      <c r="J533" s="10" t="s">
        <v>43</v>
      </c>
      <c r="K533" s="10" t="s">
        <v>34</v>
      </c>
      <c r="N533" s="10" t="s">
        <v>35</v>
      </c>
      <c r="V533" s="9"/>
      <c r="W533" s="13" t="s">
        <v>78</v>
      </c>
      <c r="X533" s="10" t="s">
        <v>37</v>
      </c>
      <c r="Y533" s="10" t="s">
        <v>0</v>
      </c>
    </row>
    <row r="534">
      <c r="A534" s="10" t="s">
        <v>2032</v>
      </c>
      <c r="B534" s="11">
        <v>44286.74024233797</v>
      </c>
      <c r="C534" s="10" t="s">
        <v>28</v>
      </c>
      <c r="D534" s="10" t="s">
        <v>29</v>
      </c>
      <c r="E534" s="10" t="s">
        <v>63</v>
      </c>
      <c r="F534" s="10" t="s">
        <v>2033</v>
      </c>
      <c r="G534" s="10" t="s">
        <v>2034</v>
      </c>
      <c r="H534" s="24">
        <v>44294.35416666667</v>
      </c>
      <c r="I534" s="24">
        <v>44296.49930555555</v>
      </c>
      <c r="J534" s="10" t="s">
        <v>43</v>
      </c>
      <c r="K534" s="10" t="s">
        <v>34</v>
      </c>
      <c r="N534" s="10" t="s">
        <v>35</v>
      </c>
      <c r="V534" s="9"/>
      <c r="W534" s="13" t="s">
        <v>78</v>
      </c>
      <c r="X534" s="10" t="s">
        <v>37</v>
      </c>
      <c r="Y534" s="10" t="s">
        <v>0</v>
      </c>
    </row>
    <row r="535">
      <c r="A535" s="10" t="s">
        <v>2035</v>
      </c>
      <c r="B535" s="11">
        <v>44291.845056412036</v>
      </c>
      <c r="C535" s="10" t="s">
        <v>96</v>
      </c>
      <c r="D535" s="10" t="s">
        <v>97</v>
      </c>
      <c r="E535" s="10" t="s">
        <v>2036</v>
      </c>
      <c r="F535" s="10" t="s">
        <v>2037</v>
      </c>
      <c r="G535" s="10" t="s">
        <v>2038</v>
      </c>
      <c r="H535" s="16">
        <v>44294.4375</v>
      </c>
      <c r="I535" s="16">
        <v>44294.5</v>
      </c>
      <c r="J535" s="10" t="s">
        <v>43</v>
      </c>
      <c r="K535" s="10" t="s">
        <v>34</v>
      </c>
      <c r="N535" s="10" t="s">
        <v>296</v>
      </c>
      <c r="O535" s="18" t="s">
        <v>2039</v>
      </c>
      <c r="P535" s="10" t="s">
        <v>296</v>
      </c>
      <c r="Q535" s="10">
        <v>1.0</v>
      </c>
      <c r="R535" s="10" t="s">
        <v>35</v>
      </c>
      <c r="T535" s="10" t="s">
        <v>35</v>
      </c>
      <c r="V535" s="9"/>
      <c r="W535" s="13" t="s">
        <v>78</v>
      </c>
      <c r="X535" s="10" t="s">
        <v>37</v>
      </c>
      <c r="Y535" s="10" t="s">
        <v>0</v>
      </c>
    </row>
    <row r="536">
      <c r="A536" s="10" t="s">
        <v>2040</v>
      </c>
      <c r="B536" s="11">
        <v>44289.78295030093</v>
      </c>
      <c r="C536" s="10" t="s">
        <v>239</v>
      </c>
      <c r="D536" s="10" t="s">
        <v>240</v>
      </c>
      <c r="E536" s="10" t="s">
        <v>2041</v>
      </c>
      <c r="F536" s="10" t="s">
        <v>2042</v>
      </c>
      <c r="G536" s="10" t="s">
        <v>2043</v>
      </c>
      <c r="H536" s="17">
        <v>44295.66666666667</v>
      </c>
      <c r="I536" s="17">
        <v>44295.72916666667</v>
      </c>
      <c r="J536" s="10" t="s">
        <v>33</v>
      </c>
      <c r="K536" s="10" t="s">
        <v>34</v>
      </c>
      <c r="N536" s="10" t="s">
        <v>35</v>
      </c>
      <c r="V536" s="9"/>
      <c r="W536" s="13" t="s">
        <v>78</v>
      </c>
      <c r="X536" s="10" t="s">
        <v>37</v>
      </c>
      <c r="Y536" s="10" t="s">
        <v>0</v>
      </c>
    </row>
    <row r="537">
      <c r="A537" s="10" t="s">
        <v>2044</v>
      </c>
      <c r="B537" s="11">
        <v>44281.70360633102</v>
      </c>
      <c r="C537" s="10" t="s">
        <v>381</v>
      </c>
      <c r="D537" s="10" t="s">
        <v>382</v>
      </c>
      <c r="E537" s="10" t="s">
        <v>2045</v>
      </c>
      <c r="F537" s="10" t="s">
        <v>2046</v>
      </c>
      <c r="G537" s="10" t="s">
        <v>2047</v>
      </c>
      <c r="H537" s="17">
        <v>44295.6875</v>
      </c>
      <c r="I537" s="17">
        <v>44351.72916666667</v>
      </c>
      <c r="J537" s="10" t="s">
        <v>128</v>
      </c>
      <c r="K537" s="10" t="s">
        <v>34</v>
      </c>
      <c r="N537" s="10" t="s">
        <v>35</v>
      </c>
      <c r="V537" s="9"/>
      <c r="W537" s="13" t="s">
        <v>78</v>
      </c>
      <c r="X537" s="10" t="s">
        <v>37</v>
      </c>
      <c r="Y537" s="10" t="s">
        <v>0</v>
      </c>
    </row>
    <row r="538">
      <c r="A538" s="10" t="s">
        <v>2048</v>
      </c>
      <c r="B538" s="11">
        <v>44281.70502340278</v>
      </c>
      <c r="C538" s="10" t="s">
        <v>381</v>
      </c>
      <c r="D538" s="10" t="s">
        <v>382</v>
      </c>
      <c r="E538" s="10" t="s">
        <v>2045</v>
      </c>
      <c r="F538" s="10" t="s">
        <v>2049</v>
      </c>
      <c r="G538" s="10" t="s">
        <v>2050</v>
      </c>
      <c r="H538" s="17">
        <v>44295.6875</v>
      </c>
      <c r="I538" s="17">
        <v>44295.72916666667</v>
      </c>
      <c r="J538" s="10" t="s">
        <v>128</v>
      </c>
      <c r="K538" s="10" t="s">
        <v>34</v>
      </c>
      <c r="N538" s="10" t="s">
        <v>35</v>
      </c>
      <c r="V538" s="9"/>
      <c r="W538" s="13" t="s">
        <v>78</v>
      </c>
      <c r="X538" s="10" t="s">
        <v>37</v>
      </c>
      <c r="Y538" s="10" t="s">
        <v>0</v>
      </c>
    </row>
    <row r="539">
      <c r="A539" s="10" t="s">
        <v>2051</v>
      </c>
      <c r="B539" s="11">
        <v>44288.40663378472</v>
      </c>
      <c r="C539" s="10" t="s">
        <v>671</v>
      </c>
      <c r="D539" s="10" t="s">
        <v>672</v>
      </c>
      <c r="E539" s="10" t="s">
        <v>1140</v>
      </c>
      <c r="F539" s="10" t="s">
        <v>2052</v>
      </c>
      <c r="G539" s="10" t="s">
        <v>2053</v>
      </c>
      <c r="H539" s="17">
        <v>44295.6875</v>
      </c>
      <c r="I539" s="17">
        <v>44295.72916666667</v>
      </c>
      <c r="J539" s="10" t="s">
        <v>128</v>
      </c>
      <c r="K539" s="10" t="s">
        <v>34</v>
      </c>
      <c r="N539" s="10" t="s">
        <v>35</v>
      </c>
      <c r="V539" s="9"/>
      <c r="W539" s="13" t="s">
        <v>78</v>
      </c>
      <c r="X539" s="10" t="s">
        <v>37</v>
      </c>
      <c r="Y539" s="10" t="s">
        <v>0</v>
      </c>
    </row>
    <row r="540">
      <c r="A540" s="10" t="s">
        <v>2054</v>
      </c>
      <c r="B540" s="11">
        <v>44288.40966489584</v>
      </c>
      <c r="C540" s="10" t="s">
        <v>671</v>
      </c>
      <c r="D540" s="10" t="s">
        <v>672</v>
      </c>
      <c r="E540" s="10" t="s">
        <v>2055</v>
      </c>
      <c r="F540" s="10" t="s">
        <v>2056</v>
      </c>
      <c r="G540" s="10" t="s">
        <v>2057</v>
      </c>
      <c r="H540" s="17">
        <v>44295.6875</v>
      </c>
      <c r="I540" s="17">
        <v>44295.72916666667</v>
      </c>
      <c r="J540" s="10" t="s">
        <v>128</v>
      </c>
      <c r="K540" s="10" t="s">
        <v>34</v>
      </c>
      <c r="N540" s="10" t="s">
        <v>35</v>
      </c>
      <c r="V540" s="9"/>
      <c r="W540" s="13" t="s">
        <v>78</v>
      </c>
      <c r="X540" s="10" t="s">
        <v>37</v>
      </c>
      <c r="Y540" s="10" t="s">
        <v>0</v>
      </c>
    </row>
    <row r="541">
      <c r="A541" s="10" t="s">
        <v>2058</v>
      </c>
      <c r="B541" s="11">
        <v>44291.76674666667</v>
      </c>
      <c r="C541" s="10" t="s">
        <v>1583</v>
      </c>
      <c r="D541" s="10" t="s">
        <v>505</v>
      </c>
      <c r="E541" s="10" t="s">
        <v>2059</v>
      </c>
      <c r="F541" s="10" t="s">
        <v>2060</v>
      </c>
      <c r="G541" s="10" t="s">
        <v>2061</v>
      </c>
      <c r="H541" s="17">
        <v>44295.70833333333</v>
      </c>
      <c r="I541" s="17">
        <v>44295.79166666667</v>
      </c>
      <c r="J541" s="10" t="s">
        <v>128</v>
      </c>
      <c r="K541" s="10" t="s">
        <v>34</v>
      </c>
      <c r="N541" s="10" t="s">
        <v>35</v>
      </c>
      <c r="V541" s="9"/>
      <c r="W541" s="13" t="s">
        <v>78</v>
      </c>
      <c r="X541" s="10" t="s">
        <v>37</v>
      </c>
      <c r="Y541" s="10" t="s">
        <v>0</v>
      </c>
    </row>
    <row r="542">
      <c r="A542" s="10" t="s">
        <v>2062</v>
      </c>
      <c r="B542" s="11">
        <v>44286.74336168982</v>
      </c>
      <c r="C542" s="10" t="s">
        <v>28</v>
      </c>
      <c r="D542" s="10" t="s">
        <v>29</v>
      </c>
      <c r="E542" s="10" t="s">
        <v>63</v>
      </c>
      <c r="F542" s="10" t="s">
        <v>2063</v>
      </c>
      <c r="G542" s="10" t="s">
        <v>2064</v>
      </c>
      <c r="H542" s="24">
        <v>44294.6875</v>
      </c>
      <c r="I542" s="24">
        <v>44294.77083333333</v>
      </c>
      <c r="J542" s="10" t="s">
        <v>43</v>
      </c>
      <c r="K542" s="10" t="s">
        <v>34</v>
      </c>
      <c r="N542" s="10" t="s">
        <v>35</v>
      </c>
      <c r="V542" s="9"/>
      <c r="W542" s="13" t="s">
        <v>78</v>
      </c>
      <c r="X542" s="10" t="s">
        <v>37</v>
      </c>
      <c r="Y542" s="10" t="s">
        <v>0</v>
      </c>
    </row>
    <row r="543">
      <c r="A543" s="10" t="s">
        <v>2065</v>
      </c>
      <c r="B543" s="11">
        <v>44291.40538512732</v>
      </c>
      <c r="C543" s="10" t="s">
        <v>539</v>
      </c>
      <c r="D543" s="10" t="s">
        <v>540</v>
      </c>
      <c r="E543" s="10" t="s">
        <v>2066</v>
      </c>
      <c r="F543" s="10" t="s">
        <v>2067</v>
      </c>
      <c r="G543" s="10" t="s">
        <v>2068</v>
      </c>
      <c r="H543" s="17">
        <v>44295.77083333333</v>
      </c>
      <c r="I543" s="17">
        <v>44295.8125</v>
      </c>
      <c r="J543" s="10" t="s">
        <v>128</v>
      </c>
      <c r="K543" s="10" t="s">
        <v>34</v>
      </c>
      <c r="N543" s="10" t="s">
        <v>35</v>
      </c>
      <c r="V543" s="9"/>
      <c r="W543" s="13" t="s">
        <v>78</v>
      </c>
      <c r="X543" s="10" t="s">
        <v>37</v>
      </c>
      <c r="Y543" s="10" t="s">
        <v>0</v>
      </c>
    </row>
    <row r="544">
      <c r="A544" s="10" t="s">
        <v>2069</v>
      </c>
      <c r="B544" s="11">
        <v>44291.584595057866</v>
      </c>
      <c r="C544" s="10" t="s">
        <v>239</v>
      </c>
      <c r="D544" s="10" t="s">
        <v>240</v>
      </c>
      <c r="E544" s="10" t="s">
        <v>1948</v>
      </c>
      <c r="F544" s="10" t="s">
        <v>2070</v>
      </c>
      <c r="G544" s="10" t="s">
        <v>2071</v>
      </c>
      <c r="H544" s="17">
        <v>44295.77083333333</v>
      </c>
      <c r="I544" s="17">
        <v>44295.83333333333</v>
      </c>
      <c r="J544" s="10" t="s">
        <v>33</v>
      </c>
      <c r="K544" s="10" t="s">
        <v>34</v>
      </c>
      <c r="N544" s="10" t="s">
        <v>35</v>
      </c>
      <c r="V544" s="9"/>
      <c r="W544" s="13" t="s">
        <v>78</v>
      </c>
      <c r="X544" s="10" t="s">
        <v>37</v>
      </c>
      <c r="Y544" s="10" t="s">
        <v>0</v>
      </c>
    </row>
    <row r="545">
      <c r="A545" s="10" t="s">
        <v>2072</v>
      </c>
      <c r="B545" s="11">
        <v>44293.75881886574</v>
      </c>
      <c r="C545" s="10" t="s">
        <v>1405</v>
      </c>
      <c r="D545" s="10" t="s">
        <v>1406</v>
      </c>
      <c r="E545" s="10" t="s">
        <v>2073</v>
      </c>
      <c r="F545" s="10" t="s">
        <v>2074</v>
      </c>
      <c r="G545" s="10" t="s">
        <v>2075</v>
      </c>
      <c r="H545" s="17">
        <v>44295.77083333333</v>
      </c>
      <c r="I545" s="17">
        <v>44295.8125</v>
      </c>
      <c r="J545" s="10" t="s">
        <v>128</v>
      </c>
      <c r="K545" s="10" t="s">
        <v>34</v>
      </c>
      <c r="N545" s="10" t="s">
        <v>35</v>
      </c>
      <c r="V545" s="9"/>
      <c r="W545" s="13" t="s">
        <v>78</v>
      </c>
      <c r="X545" s="10" t="s">
        <v>37</v>
      </c>
      <c r="Y545" s="10" t="s">
        <v>0</v>
      </c>
    </row>
    <row r="546">
      <c r="A546" s="10" t="s">
        <v>2076</v>
      </c>
      <c r="B546" s="11">
        <v>44294.86335678241</v>
      </c>
      <c r="C546" s="10" t="s">
        <v>1516</v>
      </c>
      <c r="D546" s="10" t="s">
        <v>611</v>
      </c>
      <c r="E546" s="10" t="s">
        <v>2077</v>
      </c>
      <c r="F546" s="10" t="s">
        <v>2078</v>
      </c>
      <c r="G546" s="10" t="s">
        <v>2079</v>
      </c>
      <c r="H546" s="17">
        <v>44296.0</v>
      </c>
      <c r="I546" s="17">
        <v>44359.99930555555</v>
      </c>
      <c r="J546" s="10" t="s">
        <v>128</v>
      </c>
      <c r="K546" s="10" t="s">
        <v>34</v>
      </c>
      <c r="N546" s="10" t="s">
        <v>35</v>
      </c>
      <c r="V546" s="9"/>
      <c r="W546" s="13" t="s">
        <v>78</v>
      </c>
      <c r="X546" s="10" t="s">
        <v>37</v>
      </c>
      <c r="Y546" s="10" t="s">
        <v>0</v>
      </c>
    </row>
    <row r="547">
      <c r="A547" s="10" t="s">
        <v>2080</v>
      </c>
      <c r="B547" s="11">
        <v>44294.974007013894</v>
      </c>
      <c r="C547" s="10" t="s">
        <v>610</v>
      </c>
      <c r="D547" s="10" t="s">
        <v>611</v>
      </c>
      <c r="E547" s="10" t="s">
        <v>2081</v>
      </c>
      <c r="F547" s="10" t="s">
        <v>2082</v>
      </c>
      <c r="G547" s="10" t="s">
        <v>2083</v>
      </c>
      <c r="H547" s="17">
        <v>44296.0</v>
      </c>
      <c r="I547" s="17">
        <v>44359.99930555555</v>
      </c>
      <c r="J547" s="10" t="s">
        <v>128</v>
      </c>
      <c r="K547" s="10" t="s">
        <v>34</v>
      </c>
      <c r="N547" s="10" t="s">
        <v>35</v>
      </c>
      <c r="V547" s="9"/>
      <c r="W547" s="13" t="s">
        <v>78</v>
      </c>
      <c r="X547" s="10" t="s">
        <v>37</v>
      </c>
      <c r="Y547" s="10" t="s">
        <v>0</v>
      </c>
    </row>
    <row r="548">
      <c r="A548" s="10" t="s">
        <v>2084</v>
      </c>
      <c r="B548" s="11">
        <v>44278.427581805554</v>
      </c>
      <c r="C548" s="10" t="s">
        <v>150</v>
      </c>
      <c r="D548" s="10" t="s">
        <v>151</v>
      </c>
      <c r="E548" s="10" t="s">
        <v>152</v>
      </c>
      <c r="F548" s="10" t="s">
        <v>2085</v>
      </c>
      <c r="G548" s="10" t="s">
        <v>2086</v>
      </c>
      <c r="H548" s="28">
        <v>44296.41666666667</v>
      </c>
      <c r="I548" s="28">
        <v>44296.5</v>
      </c>
      <c r="J548" s="10" t="s">
        <v>60</v>
      </c>
      <c r="K548" s="10" t="s">
        <v>61</v>
      </c>
      <c r="N548" s="10" t="s">
        <v>35</v>
      </c>
      <c r="V548" s="9"/>
      <c r="W548" s="13" t="s">
        <v>78</v>
      </c>
      <c r="X548" s="10" t="s">
        <v>37</v>
      </c>
      <c r="Y548" s="10" t="s">
        <v>0</v>
      </c>
    </row>
    <row r="549">
      <c r="A549" s="10" t="s">
        <v>2087</v>
      </c>
      <c r="B549" s="11">
        <v>44291.3585671412</v>
      </c>
      <c r="C549" s="10" t="s">
        <v>150</v>
      </c>
      <c r="D549" s="10" t="s">
        <v>151</v>
      </c>
      <c r="E549" s="10" t="s">
        <v>152</v>
      </c>
      <c r="F549" s="10" t="s">
        <v>2088</v>
      </c>
      <c r="G549" s="10" t="s">
        <v>2089</v>
      </c>
      <c r="H549" s="17">
        <v>44296.41666666667</v>
      </c>
      <c r="I549" s="17">
        <v>44296.5</v>
      </c>
      <c r="J549" s="10" t="s">
        <v>128</v>
      </c>
      <c r="K549" s="10" t="s">
        <v>61</v>
      </c>
      <c r="N549" s="10" t="s">
        <v>35</v>
      </c>
      <c r="V549" s="9"/>
      <c r="W549" s="13" t="s">
        <v>78</v>
      </c>
      <c r="X549" s="10" t="s">
        <v>37</v>
      </c>
      <c r="Y549" s="10" t="s">
        <v>0</v>
      </c>
    </row>
    <row r="550">
      <c r="A550" s="10" t="s">
        <v>2090</v>
      </c>
      <c r="B550" s="11">
        <v>44288.68328868056</v>
      </c>
      <c r="C550" s="10" t="s">
        <v>694</v>
      </c>
      <c r="D550" s="10" t="s">
        <v>695</v>
      </c>
      <c r="E550" s="10" t="s">
        <v>696</v>
      </c>
      <c r="F550" s="10" t="s">
        <v>2091</v>
      </c>
      <c r="G550" s="10" t="s">
        <v>2092</v>
      </c>
      <c r="H550" s="24">
        <v>44294.6875</v>
      </c>
      <c r="I550" s="24">
        <v>44294.77083333333</v>
      </c>
      <c r="J550" s="10" t="s">
        <v>43</v>
      </c>
      <c r="K550" s="10" t="s">
        <v>34</v>
      </c>
      <c r="N550" s="10" t="s">
        <v>35</v>
      </c>
      <c r="V550" s="9"/>
      <c r="W550" s="13" t="s">
        <v>78</v>
      </c>
      <c r="X550" s="10" t="s">
        <v>37</v>
      </c>
      <c r="Y550" s="10" t="s">
        <v>0</v>
      </c>
    </row>
    <row r="551">
      <c r="A551" s="10" t="s">
        <v>2093</v>
      </c>
      <c r="B551" s="11">
        <v>44286.74540817129</v>
      </c>
      <c r="C551" s="10" t="s">
        <v>28</v>
      </c>
      <c r="D551" s="10" t="s">
        <v>29</v>
      </c>
      <c r="E551" s="10" t="s">
        <v>63</v>
      </c>
      <c r="F551" s="10" t="s">
        <v>2094</v>
      </c>
      <c r="G551" s="10" t="s">
        <v>2095</v>
      </c>
      <c r="H551" s="24">
        <v>44295.375</v>
      </c>
      <c r="I551" s="24">
        <v>44295.47916666667</v>
      </c>
      <c r="J551" s="10" t="s">
        <v>43</v>
      </c>
      <c r="K551" s="10" t="s">
        <v>34</v>
      </c>
      <c r="N551" s="10" t="s">
        <v>35</v>
      </c>
      <c r="V551" s="9"/>
      <c r="W551" s="13" t="s">
        <v>78</v>
      </c>
      <c r="X551" s="10" t="s">
        <v>37</v>
      </c>
      <c r="Y551" s="10" t="s">
        <v>0</v>
      </c>
    </row>
    <row r="552">
      <c r="A552" s="10" t="s">
        <v>2096</v>
      </c>
      <c r="B552" s="11">
        <v>44293.40254787037</v>
      </c>
      <c r="C552" s="10" t="s">
        <v>1405</v>
      </c>
      <c r="D552" s="10" t="s">
        <v>1406</v>
      </c>
      <c r="E552" s="10" t="s">
        <v>2012</v>
      </c>
      <c r="F552" s="10" t="s">
        <v>2097</v>
      </c>
      <c r="G552" s="10" t="s">
        <v>2098</v>
      </c>
      <c r="H552" s="17">
        <v>44296.5625</v>
      </c>
      <c r="I552" s="17">
        <v>44296.60416666667</v>
      </c>
      <c r="J552" s="10" t="s">
        <v>128</v>
      </c>
      <c r="K552" s="10" t="s">
        <v>34</v>
      </c>
      <c r="N552" s="10" t="s">
        <v>35</v>
      </c>
      <c r="V552" s="9"/>
      <c r="W552" s="13" t="s">
        <v>78</v>
      </c>
      <c r="X552" s="10" t="s">
        <v>37</v>
      </c>
      <c r="Y552" s="10" t="s">
        <v>0</v>
      </c>
    </row>
    <row r="553">
      <c r="A553" s="10" t="s">
        <v>2099</v>
      </c>
      <c r="B553" s="11">
        <v>44288.525699907404</v>
      </c>
      <c r="C553" s="10" t="s">
        <v>181</v>
      </c>
      <c r="D553" s="10" t="s">
        <v>69</v>
      </c>
      <c r="E553" s="10" t="s">
        <v>2100</v>
      </c>
      <c r="F553" s="10" t="s">
        <v>2101</v>
      </c>
      <c r="G553" s="10" t="s">
        <v>2102</v>
      </c>
      <c r="H553" s="24">
        <v>44295.58333333333</v>
      </c>
      <c r="I553" s="24">
        <v>44295.66666666667</v>
      </c>
      <c r="J553" s="10" t="s">
        <v>43</v>
      </c>
      <c r="K553" s="10" t="s">
        <v>34</v>
      </c>
      <c r="N553" s="10" t="s">
        <v>296</v>
      </c>
      <c r="O553" s="18" t="s">
        <v>2103</v>
      </c>
      <c r="P553" s="10" t="s">
        <v>35</v>
      </c>
      <c r="R553" s="10" t="s">
        <v>296</v>
      </c>
      <c r="S553" s="10">
        <v>1.0</v>
      </c>
      <c r="T553" s="10" t="s">
        <v>35</v>
      </c>
      <c r="V553" s="9"/>
      <c r="W553" s="13" t="s">
        <v>78</v>
      </c>
      <c r="X553" s="10" t="s">
        <v>37</v>
      </c>
      <c r="Y553" s="10" t="s">
        <v>0</v>
      </c>
    </row>
    <row r="554">
      <c r="A554" s="10" t="s">
        <v>2104</v>
      </c>
      <c r="B554" s="11">
        <v>44291.76859335648</v>
      </c>
      <c r="C554" s="10" t="s">
        <v>1583</v>
      </c>
      <c r="D554" s="10" t="s">
        <v>505</v>
      </c>
      <c r="E554" s="10" t="s">
        <v>2105</v>
      </c>
      <c r="F554" s="10" t="s">
        <v>2106</v>
      </c>
      <c r="G554" s="10" t="s">
        <v>2107</v>
      </c>
      <c r="H554" s="17">
        <v>44296.75</v>
      </c>
      <c r="I554" s="17">
        <v>44296.83333333333</v>
      </c>
      <c r="J554" s="10" t="s">
        <v>128</v>
      </c>
      <c r="K554" s="10" t="s">
        <v>34</v>
      </c>
      <c r="N554" s="10" t="s">
        <v>35</v>
      </c>
      <c r="V554" s="9"/>
      <c r="W554" s="13" t="s">
        <v>78</v>
      </c>
      <c r="X554" s="10" t="s">
        <v>37</v>
      </c>
      <c r="Y554" s="10" t="s">
        <v>0</v>
      </c>
    </row>
    <row r="555">
      <c r="A555" s="10" t="s">
        <v>2108</v>
      </c>
      <c r="B555" s="11">
        <v>44297.55106755787</v>
      </c>
      <c r="C555" s="10" t="s">
        <v>491</v>
      </c>
      <c r="D555" s="10" t="s">
        <v>492</v>
      </c>
      <c r="E555" s="10" t="s">
        <v>853</v>
      </c>
      <c r="F555" s="10" t="s">
        <v>2109</v>
      </c>
      <c r="G555" s="10" t="s">
        <v>2110</v>
      </c>
      <c r="H555" s="17">
        <v>44297.5</v>
      </c>
      <c r="I555" s="17">
        <v>44297.5</v>
      </c>
      <c r="J555" s="10" t="s">
        <v>73</v>
      </c>
      <c r="K555" s="10" t="s">
        <v>34</v>
      </c>
      <c r="N555" s="10" t="s">
        <v>35</v>
      </c>
      <c r="V555" s="9"/>
      <c r="W555" s="13" t="s">
        <v>78</v>
      </c>
      <c r="X555" s="10" t="s">
        <v>37</v>
      </c>
      <c r="Y555" s="10" t="s">
        <v>0</v>
      </c>
    </row>
    <row r="556">
      <c r="A556" s="10" t="s">
        <v>2111</v>
      </c>
      <c r="B556" s="11">
        <v>44298.940762847225</v>
      </c>
      <c r="C556" s="10" t="s">
        <v>491</v>
      </c>
      <c r="D556" s="10" t="s">
        <v>492</v>
      </c>
      <c r="E556" s="10" t="s">
        <v>853</v>
      </c>
      <c r="F556" s="10" t="s">
        <v>2112</v>
      </c>
      <c r="G556" s="10" t="s">
        <v>2113</v>
      </c>
      <c r="H556" s="17">
        <v>44297.79166666667</v>
      </c>
      <c r="I556" s="17">
        <v>44297.79166666667</v>
      </c>
      <c r="J556" s="10" t="s">
        <v>73</v>
      </c>
      <c r="K556" s="10" t="s">
        <v>34</v>
      </c>
      <c r="N556" s="10" t="s">
        <v>35</v>
      </c>
      <c r="V556" s="9"/>
      <c r="W556" s="13" t="s">
        <v>78</v>
      </c>
      <c r="X556" s="10" t="s">
        <v>37</v>
      </c>
      <c r="Y556" s="10" t="s">
        <v>0</v>
      </c>
    </row>
    <row r="557">
      <c r="A557" s="10" t="s">
        <v>2114</v>
      </c>
      <c r="B557" s="11">
        <v>44291.45524203704</v>
      </c>
      <c r="C557" s="10" t="s">
        <v>610</v>
      </c>
      <c r="D557" s="10" t="s">
        <v>611</v>
      </c>
      <c r="E557" s="10" t="s">
        <v>2115</v>
      </c>
      <c r="F557" s="10" t="s">
        <v>2116</v>
      </c>
      <c r="G557" s="10" t="s">
        <v>2117</v>
      </c>
      <c r="H557" s="17">
        <v>44298.0</v>
      </c>
      <c r="I557" s="17">
        <v>44302.99930555555</v>
      </c>
      <c r="J557" s="10" t="s">
        <v>128</v>
      </c>
      <c r="K557" s="10" t="s">
        <v>34</v>
      </c>
      <c r="N557" s="10" t="s">
        <v>35</v>
      </c>
      <c r="V557" s="9"/>
      <c r="W557" s="13" t="s">
        <v>78</v>
      </c>
      <c r="X557" s="10" t="s">
        <v>37</v>
      </c>
      <c r="Y557" s="10" t="s">
        <v>0</v>
      </c>
    </row>
    <row r="558">
      <c r="A558" s="10" t="s">
        <v>2118</v>
      </c>
      <c r="B558" s="11">
        <v>44291.89003833334</v>
      </c>
      <c r="C558" s="10" t="s">
        <v>80</v>
      </c>
      <c r="D558" s="10" t="s">
        <v>81</v>
      </c>
      <c r="E558" s="10" t="s">
        <v>2119</v>
      </c>
      <c r="F558" s="10" t="s">
        <v>2120</v>
      </c>
      <c r="G558" s="10" t="s">
        <v>2121</v>
      </c>
      <c r="H558" s="17">
        <v>44298.33333333333</v>
      </c>
      <c r="I558" s="17">
        <v>44298.375</v>
      </c>
      <c r="J558" s="10" t="s">
        <v>73</v>
      </c>
      <c r="K558" s="10" t="s">
        <v>34</v>
      </c>
      <c r="N558" s="10" t="s">
        <v>35</v>
      </c>
      <c r="V558" s="9"/>
      <c r="W558" s="13" t="s">
        <v>78</v>
      </c>
      <c r="X558" s="10" t="s">
        <v>37</v>
      </c>
      <c r="Y558" s="10" t="s">
        <v>0</v>
      </c>
    </row>
    <row r="559">
      <c r="A559" s="10" t="s">
        <v>2122</v>
      </c>
      <c r="B559" s="11">
        <v>44291.891856689814</v>
      </c>
      <c r="C559" s="10" t="s">
        <v>80</v>
      </c>
      <c r="D559" s="10" t="s">
        <v>81</v>
      </c>
      <c r="E559" s="10" t="s">
        <v>2119</v>
      </c>
      <c r="F559" s="10" t="s">
        <v>1169</v>
      </c>
      <c r="G559" s="10" t="s">
        <v>2123</v>
      </c>
      <c r="H559" s="17">
        <v>44298.33333333333</v>
      </c>
      <c r="I559" s="17">
        <v>44298.375</v>
      </c>
      <c r="J559" s="10" t="s">
        <v>73</v>
      </c>
      <c r="K559" s="10" t="s">
        <v>34</v>
      </c>
      <c r="N559" s="10" t="s">
        <v>35</v>
      </c>
      <c r="V559" s="9"/>
      <c r="W559" s="13" t="s">
        <v>78</v>
      </c>
      <c r="X559" s="10" t="s">
        <v>37</v>
      </c>
      <c r="Y559" s="10" t="s">
        <v>0</v>
      </c>
    </row>
    <row r="560">
      <c r="A560" s="10" t="s">
        <v>2124</v>
      </c>
      <c r="B560" s="11">
        <v>44288.40838929398</v>
      </c>
      <c r="C560" s="10" t="s">
        <v>671</v>
      </c>
      <c r="D560" s="10" t="s">
        <v>672</v>
      </c>
      <c r="E560" s="10" t="s">
        <v>928</v>
      </c>
      <c r="F560" s="10" t="s">
        <v>2125</v>
      </c>
      <c r="G560" s="10" t="s">
        <v>2126</v>
      </c>
      <c r="H560" s="24">
        <v>44295.60416666667</v>
      </c>
      <c r="I560" s="24">
        <v>44295.6875</v>
      </c>
      <c r="J560" s="10" t="s">
        <v>43</v>
      </c>
      <c r="K560" s="10" t="s">
        <v>34</v>
      </c>
      <c r="N560" s="10" t="s">
        <v>35</v>
      </c>
      <c r="V560" s="9"/>
      <c r="W560" s="13" t="s">
        <v>78</v>
      </c>
      <c r="X560" s="10" t="s">
        <v>37</v>
      </c>
      <c r="Y560" s="10" t="s">
        <v>0</v>
      </c>
    </row>
    <row r="561">
      <c r="A561" s="10" t="s">
        <v>2127</v>
      </c>
      <c r="B561" s="11">
        <v>44291.9758271412</v>
      </c>
      <c r="C561" s="10" t="s">
        <v>694</v>
      </c>
      <c r="D561" s="10" t="s">
        <v>695</v>
      </c>
      <c r="E561" s="10" t="s">
        <v>696</v>
      </c>
      <c r="F561" s="10" t="s">
        <v>2128</v>
      </c>
      <c r="G561" s="10" t="s">
        <v>2129</v>
      </c>
      <c r="H561" s="16">
        <v>44295.60416666667</v>
      </c>
      <c r="I561" s="16">
        <v>44295.6875</v>
      </c>
      <c r="J561" s="10" t="s">
        <v>43</v>
      </c>
      <c r="K561" s="10" t="s">
        <v>34</v>
      </c>
      <c r="N561" s="10" t="s">
        <v>35</v>
      </c>
      <c r="V561" s="9"/>
      <c r="W561" s="13" t="s">
        <v>78</v>
      </c>
      <c r="X561" s="10" t="s">
        <v>37</v>
      </c>
      <c r="Y561" s="10" t="s">
        <v>0</v>
      </c>
    </row>
    <row r="562">
      <c r="A562" s="10" t="s">
        <v>2130</v>
      </c>
      <c r="B562" s="11">
        <v>44293.83538107639</v>
      </c>
      <c r="C562" s="10" t="s">
        <v>160</v>
      </c>
      <c r="D562" s="10" t="s">
        <v>161</v>
      </c>
      <c r="E562" s="10" t="s">
        <v>947</v>
      </c>
      <c r="F562" s="10" t="s">
        <v>2131</v>
      </c>
      <c r="G562" s="10" t="s">
        <v>2132</v>
      </c>
      <c r="H562" s="16">
        <v>44295.61111111111</v>
      </c>
      <c r="I562" s="16">
        <v>44295.694444444445</v>
      </c>
      <c r="J562" s="10" t="s">
        <v>43</v>
      </c>
      <c r="K562" s="10" t="s">
        <v>34</v>
      </c>
      <c r="N562" s="10" t="s">
        <v>296</v>
      </c>
      <c r="O562" s="18" t="s">
        <v>2133</v>
      </c>
      <c r="P562" s="10" t="s">
        <v>296</v>
      </c>
      <c r="Q562" s="10">
        <v>1.0</v>
      </c>
      <c r="R562" s="10" t="s">
        <v>35</v>
      </c>
      <c r="T562" s="10" t="s">
        <v>35</v>
      </c>
      <c r="V562" s="9"/>
      <c r="W562" s="13" t="s">
        <v>78</v>
      </c>
      <c r="X562" s="10" t="s">
        <v>37</v>
      </c>
      <c r="Y562" s="10" t="s">
        <v>0</v>
      </c>
    </row>
    <row r="563">
      <c r="A563" s="10" t="s">
        <v>2134</v>
      </c>
      <c r="B563" s="11">
        <v>44294.43746282408</v>
      </c>
      <c r="C563" s="10" t="s">
        <v>209</v>
      </c>
      <c r="D563" s="10" t="s">
        <v>210</v>
      </c>
      <c r="E563" s="10" t="s">
        <v>2135</v>
      </c>
      <c r="F563" s="10" t="s">
        <v>2136</v>
      </c>
      <c r="G563" s="10" t="s">
        <v>2137</v>
      </c>
      <c r="H563" s="17">
        <v>44298.60416666667</v>
      </c>
      <c r="I563" s="17">
        <v>44311.61111111111</v>
      </c>
      <c r="J563" s="10" t="s">
        <v>51</v>
      </c>
      <c r="K563" s="10" t="s">
        <v>34</v>
      </c>
      <c r="N563" s="10" t="s">
        <v>35</v>
      </c>
      <c r="V563" s="9"/>
      <c r="W563" s="13" t="s">
        <v>78</v>
      </c>
      <c r="X563" s="10" t="s">
        <v>37</v>
      </c>
      <c r="Y563" s="10" t="s">
        <v>0</v>
      </c>
    </row>
    <row r="564">
      <c r="A564" s="10" t="s">
        <v>2138</v>
      </c>
      <c r="B564" s="11">
        <v>44292.88378984954</v>
      </c>
      <c r="C564" s="10" t="s">
        <v>2139</v>
      </c>
      <c r="D564" s="10" t="s">
        <v>444</v>
      </c>
      <c r="E564" s="10" t="s">
        <v>2140</v>
      </c>
      <c r="F564" s="10" t="s">
        <v>2141</v>
      </c>
      <c r="G564" s="10" t="s">
        <v>2142</v>
      </c>
      <c r="H564" s="29">
        <v>44295.72916666667</v>
      </c>
      <c r="I564" s="29">
        <v>44295.83333333333</v>
      </c>
      <c r="J564" s="10" t="s">
        <v>43</v>
      </c>
      <c r="K564" s="10" t="s">
        <v>34</v>
      </c>
      <c r="N564" s="10" t="s">
        <v>35</v>
      </c>
      <c r="V564" s="9"/>
      <c r="W564" s="13" t="s">
        <v>78</v>
      </c>
      <c r="X564" s="10" t="s">
        <v>37</v>
      </c>
      <c r="Y564" s="10" t="s">
        <v>0</v>
      </c>
    </row>
    <row r="565">
      <c r="A565" s="10" t="s">
        <v>2143</v>
      </c>
      <c r="B565" s="11">
        <v>44268.91311681713</v>
      </c>
      <c r="C565" s="10" t="s">
        <v>727</v>
      </c>
      <c r="D565" s="10" t="s">
        <v>728</v>
      </c>
      <c r="E565" s="10" t="s">
        <v>2144</v>
      </c>
      <c r="F565" s="10" t="s">
        <v>2145</v>
      </c>
      <c r="G565" s="10" t="s">
        <v>2146</v>
      </c>
      <c r="H565" s="17">
        <v>44299.52083333333</v>
      </c>
      <c r="I565" s="17">
        <v>44299.5625</v>
      </c>
      <c r="J565" s="10" t="s">
        <v>128</v>
      </c>
      <c r="K565" s="10" t="s">
        <v>34</v>
      </c>
      <c r="N565" s="10" t="s">
        <v>35</v>
      </c>
      <c r="V565" s="9"/>
      <c r="W565" s="13" t="s">
        <v>78</v>
      </c>
      <c r="X565" s="10" t="s">
        <v>37</v>
      </c>
      <c r="Y565" s="10" t="s">
        <v>0</v>
      </c>
    </row>
    <row r="566">
      <c r="A566" s="10" t="s">
        <v>2147</v>
      </c>
      <c r="B566" s="11">
        <v>44298.79550619213</v>
      </c>
      <c r="C566" s="10" t="s">
        <v>186</v>
      </c>
      <c r="D566" s="10" t="s">
        <v>187</v>
      </c>
      <c r="E566" s="10" t="s">
        <v>188</v>
      </c>
      <c r="F566" s="10" t="s">
        <v>2148</v>
      </c>
      <c r="G566" s="26" t="s">
        <v>2149</v>
      </c>
      <c r="H566" s="17">
        <v>44301.39583333333</v>
      </c>
      <c r="I566" s="17">
        <v>44301.47916666667</v>
      </c>
      <c r="J566" s="10" t="s">
        <v>128</v>
      </c>
      <c r="K566" s="10" t="s">
        <v>34</v>
      </c>
      <c r="N566" s="10" t="s">
        <v>296</v>
      </c>
      <c r="O566" s="18" t="s">
        <v>2150</v>
      </c>
      <c r="P566" s="10" t="s">
        <v>35</v>
      </c>
      <c r="R566" s="10" t="s">
        <v>296</v>
      </c>
      <c r="S566" s="10">
        <v>1.0</v>
      </c>
      <c r="T566" s="10" t="s">
        <v>35</v>
      </c>
      <c r="V566" s="9"/>
      <c r="W566" s="13" t="s">
        <v>78</v>
      </c>
      <c r="X566" s="10" t="s">
        <v>37</v>
      </c>
      <c r="Y566" s="10" t="s">
        <v>0</v>
      </c>
    </row>
    <row r="567">
      <c r="A567" s="10" t="s">
        <v>2151</v>
      </c>
      <c r="B567" s="11">
        <v>44286.74757908565</v>
      </c>
      <c r="C567" s="10" t="s">
        <v>28</v>
      </c>
      <c r="D567" s="10" t="s">
        <v>29</v>
      </c>
      <c r="E567" s="10" t="s">
        <v>63</v>
      </c>
      <c r="F567" s="10" t="s">
        <v>2152</v>
      </c>
      <c r="G567" s="10" t="s">
        <v>2153</v>
      </c>
      <c r="H567" s="24">
        <v>44296.4375</v>
      </c>
      <c r="I567" s="24">
        <v>44296.52083333333</v>
      </c>
      <c r="J567" s="10" t="s">
        <v>43</v>
      </c>
      <c r="K567" s="10" t="s">
        <v>34</v>
      </c>
      <c r="N567" s="10" t="s">
        <v>35</v>
      </c>
      <c r="V567" s="9"/>
      <c r="W567" s="13" t="s">
        <v>78</v>
      </c>
      <c r="X567" s="10" t="s">
        <v>37</v>
      </c>
      <c r="Y567" s="10" t="s">
        <v>0</v>
      </c>
    </row>
    <row r="568">
      <c r="A568" s="10" t="s">
        <v>2154</v>
      </c>
      <c r="B568" s="11">
        <v>44291.65277461805</v>
      </c>
      <c r="C568" s="10" t="s">
        <v>671</v>
      </c>
      <c r="D568" s="10" t="s">
        <v>672</v>
      </c>
      <c r="E568" s="10" t="s">
        <v>1565</v>
      </c>
      <c r="F568" s="10" t="s">
        <v>2155</v>
      </c>
      <c r="G568" s="10" t="s">
        <v>2156</v>
      </c>
      <c r="H568" s="17">
        <v>44301.60416666667</v>
      </c>
      <c r="I568" s="17">
        <v>44301.64583333333</v>
      </c>
      <c r="J568" s="10" t="s">
        <v>128</v>
      </c>
      <c r="K568" s="10" t="s">
        <v>34</v>
      </c>
      <c r="N568" s="10" t="s">
        <v>35</v>
      </c>
      <c r="V568" s="9"/>
      <c r="W568" s="13" t="s">
        <v>78</v>
      </c>
      <c r="X568" s="10" t="s">
        <v>37</v>
      </c>
      <c r="Y568" s="10" t="s">
        <v>0</v>
      </c>
    </row>
    <row r="569">
      <c r="A569" s="10" t="s">
        <v>2157</v>
      </c>
      <c r="B569" s="11">
        <v>44294.46421361111</v>
      </c>
      <c r="C569" s="10" t="s">
        <v>186</v>
      </c>
      <c r="D569" s="10" t="s">
        <v>187</v>
      </c>
      <c r="E569" s="10" t="s">
        <v>188</v>
      </c>
      <c r="F569" s="10" t="s">
        <v>2158</v>
      </c>
      <c r="G569" s="10" t="s">
        <v>2159</v>
      </c>
      <c r="H569" s="24">
        <v>44301.60416666667</v>
      </c>
      <c r="I569" s="24">
        <v>44301.6875</v>
      </c>
      <c r="J569" s="10" t="s">
        <v>128</v>
      </c>
      <c r="K569" s="10" t="s">
        <v>34</v>
      </c>
      <c r="N569" s="10" t="s">
        <v>35</v>
      </c>
      <c r="V569" s="9"/>
      <c r="W569" s="13" t="s">
        <v>78</v>
      </c>
      <c r="X569" s="10" t="s">
        <v>37</v>
      </c>
      <c r="Y569" s="10" t="s">
        <v>0</v>
      </c>
    </row>
    <row r="570">
      <c r="A570" s="10" t="s">
        <v>2160</v>
      </c>
      <c r="B570" s="11">
        <v>44298.51214619213</v>
      </c>
      <c r="C570" s="10" t="s">
        <v>137</v>
      </c>
      <c r="D570" s="10" t="s">
        <v>138</v>
      </c>
      <c r="E570" s="10" t="s">
        <v>1376</v>
      </c>
      <c r="F570" s="10" t="s">
        <v>2161</v>
      </c>
      <c r="G570" s="10" t="s">
        <v>2162</v>
      </c>
      <c r="H570" s="17">
        <v>44301.66666666667</v>
      </c>
      <c r="I570" s="17">
        <v>44301.75</v>
      </c>
      <c r="J570" s="10" t="s">
        <v>128</v>
      </c>
      <c r="K570" s="10" t="s">
        <v>34</v>
      </c>
      <c r="N570" s="10" t="s">
        <v>35</v>
      </c>
      <c r="V570" s="9"/>
      <c r="W570" s="13" t="s">
        <v>78</v>
      </c>
      <c r="X570" s="10" t="s">
        <v>37</v>
      </c>
      <c r="Y570" s="10" t="s">
        <v>0</v>
      </c>
    </row>
    <row r="571">
      <c r="A571" s="10" t="s">
        <v>2163</v>
      </c>
      <c r="B571" s="11">
        <v>44294.77497695602</v>
      </c>
      <c r="C571" s="10" t="s">
        <v>516</v>
      </c>
      <c r="D571" s="10" t="s">
        <v>511</v>
      </c>
      <c r="E571" s="10" t="s">
        <v>2164</v>
      </c>
      <c r="F571" s="10" t="s">
        <v>2165</v>
      </c>
      <c r="G571" s="10" t="s">
        <v>2166</v>
      </c>
      <c r="H571" s="16">
        <v>44296.4375</v>
      </c>
      <c r="I571" s="16">
        <v>44296.52083333333</v>
      </c>
      <c r="J571" s="10" t="s">
        <v>43</v>
      </c>
      <c r="K571" s="10" t="s">
        <v>34</v>
      </c>
      <c r="N571" s="10" t="s">
        <v>35</v>
      </c>
      <c r="V571" s="9"/>
      <c r="W571" s="13" t="s">
        <v>78</v>
      </c>
      <c r="X571" s="13" t="s">
        <v>37</v>
      </c>
      <c r="Y571" s="13" t="s">
        <v>0</v>
      </c>
    </row>
    <row r="572">
      <c r="A572" s="10" t="s">
        <v>2167</v>
      </c>
      <c r="B572" s="11">
        <v>44289.78140881944</v>
      </c>
      <c r="C572" s="10" t="s">
        <v>239</v>
      </c>
      <c r="D572" s="10" t="s">
        <v>240</v>
      </c>
      <c r="E572" s="10" t="s">
        <v>2041</v>
      </c>
      <c r="F572" s="10" t="s">
        <v>2168</v>
      </c>
      <c r="G572" s="10" t="s">
        <v>2169</v>
      </c>
      <c r="H572" s="24">
        <v>44296.66666666667</v>
      </c>
      <c r="I572" s="24">
        <v>44296.70833333333</v>
      </c>
      <c r="J572" s="10" t="s">
        <v>43</v>
      </c>
      <c r="K572" s="10" t="s">
        <v>34</v>
      </c>
      <c r="N572" s="10" t="s">
        <v>35</v>
      </c>
      <c r="V572" s="9"/>
      <c r="W572" s="13" t="s">
        <v>78</v>
      </c>
      <c r="X572" s="10" t="s">
        <v>37</v>
      </c>
      <c r="Y572" s="10" t="s">
        <v>0</v>
      </c>
    </row>
    <row r="573">
      <c r="A573" s="10" t="s">
        <v>2170</v>
      </c>
      <c r="B573" s="11">
        <v>44299.57558172454</v>
      </c>
      <c r="C573" s="10" t="s">
        <v>539</v>
      </c>
      <c r="D573" s="10" t="s">
        <v>540</v>
      </c>
      <c r="E573" s="10" t="s">
        <v>1715</v>
      </c>
      <c r="F573" s="10" t="s">
        <v>2171</v>
      </c>
      <c r="G573" s="10" t="s">
        <v>2172</v>
      </c>
      <c r="H573" s="17">
        <v>44301.72916666667</v>
      </c>
      <c r="I573" s="17">
        <v>44301.83333333333</v>
      </c>
      <c r="J573" s="10" t="s">
        <v>73</v>
      </c>
      <c r="K573" s="10" t="s">
        <v>34</v>
      </c>
      <c r="N573" s="10" t="s">
        <v>35</v>
      </c>
      <c r="V573" s="9"/>
      <c r="W573" s="13" t="s">
        <v>78</v>
      </c>
      <c r="X573" s="10" t="s">
        <v>37</v>
      </c>
      <c r="Y573" s="10" t="s">
        <v>0</v>
      </c>
    </row>
    <row r="574">
      <c r="A574" s="10" t="s">
        <v>2173</v>
      </c>
      <c r="B574" s="11">
        <v>44299.56076234954</v>
      </c>
      <c r="C574" s="10" t="s">
        <v>1583</v>
      </c>
      <c r="D574" s="10" t="s">
        <v>505</v>
      </c>
      <c r="E574" s="10" t="s">
        <v>2174</v>
      </c>
      <c r="F574" s="10" t="s">
        <v>2175</v>
      </c>
      <c r="G574" s="10" t="s">
        <v>2176</v>
      </c>
      <c r="H574" s="17">
        <v>44301.79166666667</v>
      </c>
      <c r="I574" s="17">
        <v>44331.79166666667</v>
      </c>
      <c r="J574" s="10" t="s">
        <v>33</v>
      </c>
      <c r="K574" s="10" t="s">
        <v>34</v>
      </c>
      <c r="N574" s="10" t="s">
        <v>296</v>
      </c>
      <c r="O574" s="18" t="s">
        <v>2177</v>
      </c>
      <c r="P574" s="10" t="s">
        <v>296</v>
      </c>
      <c r="Q574" s="10">
        <v>1.0</v>
      </c>
      <c r="R574" s="10" t="s">
        <v>35</v>
      </c>
      <c r="T574" s="10" t="s">
        <v>35</v>
      </c>
      <c r="V574" s="9"/>
      <c r="W574" s="13" t="s">
        <v>78</v>
      </c>
      <c r="X574" s="10" t="s">
        <v>37</v>
      </c>
      <c r="Y574" s="10" t="s">
        <v>0</v>
      </c>
    </row>
    <row r="575">
      <c r="A575" s="10" t="s">
        <v>2178</v>
      </c>
      <c r="B575" s="11">
        <v>44288.68334979167</v>
      </c>
      <c r="C575" s="10" t="s">
        <v>347</v>
      </c>
      <c r="D575" s="10" t="s">
        <v>348</v>
      </c>
      <c r="E575" s="10" t="s">
        <v>349</v>
      </c>
      <c r="F575" s="10" t="s">
        <v>2179</v>
      </c>
      <c r="G575" s="10" t="s">
        <v>2180</v>
      </c>
      <c r="H575" s="24">
        <v>44298.45833333333</v>
      </c>
      <c r="I575" s="24">
        <v>44298.5</v>
      </c>
      <c r="J575" s="10" t="s">
        <v>43</v>
      </c>
      <c r="K575" s="10" t="s">
        <v>34</v>
      </c>
      <c r="N575" s="10" t="s">
        <v>296</v>
      </c>
      <c r="O575" s="18" t="s">
        <v>2181</v>
      </c>
      <c r="P575" s="10" t="s">
        <v>296</v>
      </c>
      <c r="Q575" s="10">
        <v>1.0</v>
      </c>
      <c r="R575" s="10" t="s">
        <v>35</v>
      </c>
      <c r="T575" s="10" t="s">
        <v>35</v>
      </c>
      <c r="V575" s="9"/>
      <c r="W575" s="13" t="s">
        <v>78</v>
      </c>
      <c r="X575" s="10" t="s">
        <v>37</v>
      </c>
      <c r="Y575" s="10" t="s">
        <v>0</v>
      </c>
    </row>
    <row r="576">
      <c r="A576" s="10" t="s">
        <v>2182</v>
      </c>
      <c r="B576" s="11">
        <v>44295.507123773146</v>
      </c>
      <c r="C576" s="10" t="s">
        <v>209</v>
      </c>
      <c r="D576" s="10" t="s">
        <v>210</v>
      </c>
      <c r="E576" s="10" t="s">
        <v>261</v>
      </c>
      <c r="F576" s="10" t="s">
        <v>2183</v>
      </c>
      <c r="G576" s="10" t="s">
        <v>2184</v>
      </c>
      <c r="H576" s="17">
        <v>44302.47916666667</v>
      </c>
      <c r="I576" s="17">
        <v>44302.52083333333</v>
      </c>
      <c r="J576" s="10" t="s">
        <v>33</v>
      </c>
      <c r="K576" s="10" t="s">
        <v>34</v>
      </c>
      <c r="N576" s="10" t="s">
        <v>35</v>
      </c>
      <c r="V576" s="9"/>
      <c r="W576" s="13" t="s">
        <v>78</v>
      </c>
      <c r="X576" s="13" t="s">
        <v>37</v>
      </c>
      <c r="Y576" s="13" t="s">
        <v>0</v>
      </c>
    </row>
    <row r="577">
      <c r="A577" s="10" t="s">
        <v>2185</v>
      </c>
      <c r="B577" s="11">
        <v>44302.50541893519</v>
      </c>
      <c r="C577" s="10" t="s">
        <v>694</v>
      </c>
      <c r="D577" s="10" t="s">
        <v>695</v>
      </c>
      <c r="E577" s="10" t="s">
        <v>696</v>
      </c>
      <c r="F577" s="10" t="s">
        <v>2186</v>
      </c>
      <c r="G577" s="10" t="s">
        <v>698</v>
      </c>
      <c r="H577" s="17">
        <v>44302.52083333333</v>
      </c>
      <c r="I577" s="17">
        <v>44302.5625</v>
      </c>
      <c r="J577" s="10" t="s">
        <v>128</v>
      </c>
      <c r="K577" s="10" t="s">
        <v>34</v>
      </c>
      <c r="N577" s="10" t="s">
        <v>35</v>
      </c>
      <c r="V577" s="9"/>
      <c r="W577" s="13" t="s">
        <v>78</v>
      </c>
      <c r="X577" s="10" t="s">
        <v>37</v>
      </c>
      <c r="Y577" s="10" t="s">
        <v>0</v>
      </c>
    </row>
    <row r="578">
      <c r="A578" s="10" t="s">
        <v>2187</v>
      </c>
      <c r="B578" s="11">
        <v>44298.60637340278</v>
      </c>
      <c r="C578" s="10" t="s">
        <v>975</v>
      </c>
      <c r="D578" s="10" t="s">
        <v>976</v>
      </c>
      <c r="E578" s="10" t="s">
        <v>976</v>
      </c>
      <c r="F578" s="10" t="s">
        <v>2188</v>
      </c>
      <c r="G578" s="10" t="s">
        <v>2189</v>
      </c>
      <c r="H578" s="17">
        <v>44302.5625</v>
      </c>
      <c r="I578" s="17">
        <v>44302.60416666667</v>
      </c>
      <c r="J578" s="10" t="s">
        <v>128</v>
      </c>
      <c r="K578" s="10" t="s">
        <v>34</v>
      </c>
      <c r="N578" s="10" t="s">
        <v>35</v>
      </c>
      <c r="V578" s="9"/>
      <c r="W578" s="13" t="s">
        <v>78</v>
      </c>
      <c r="X578" s="10" t="s">
        <v>37</v>
      </c>
      <c r="Y578" s="10" t="s">
        <v>0</v>
      </c>
    </row>
    <row r="579">
      <c r="A579" s="10" t="s">
        <v>2190</v>
      </c>
      <c r="B579" s="11">
        <v>44256.49469127315</v>
      </c>
      <c r="C579" s="10" t="s">
        <v>137</v>
      </c>
      <c r="D579" s="10" t="s">
        <v>138</v>
      </c>
      <c r="E579" s="10" t="s">
        <v>1376</v>
      </c>
      <c r="F579" s="10" t="s">
        <v>921</v>
      </c>
      <c r="G579" s="10" t="s">
        <v>2191</v>
      </c>
      <c r="H579" s="17">
        <v>44302.58333333333</v>
      </c>
      <c r="I579" s="17">
        <v>44302.66666666667</v>
      </c>
      <c r="J579" s="10" t="s">
        <v>128</v>
      </c>
      <c r="K579" s="10" t="s">
        <v>34</v>
      </c>
      <c r="N579" s="10" t="s">
        <v>35</v>
      </c>
      <c r="V579" s="9"/>
      <c r="W579" s="13" t="s">
        <v>78</v>
      </c>
      <c r="X579" s="10" t="s">
        <v>37</v>
      </c>
      <c r="Y579" s="10" t="s">
        <v>0</v>
      </c>
    </row>
    <row r="580">
      <c r="A580" s="10" t="s">
        <v>2192</v>
      </c>
      <c r="B580" s="11">
        <v>44295.5111484375</v>
      </c>
      <c r="C580" s="10" t="s">
        <v>671</v>
      </c>
      <c r="D580" s="10" t="s">
        <v>672</v>
      </c>
      <c r="E580" s="10" t="s">
        <v>2193</v>
      </c>
      <c r="F580" s="10" t="s">
        <v>2194</v>
      </c>
      <c r="G580" s="10" t="s">
        <v>2195</v>
      </c>
      <c r="H580" s="17">
        <v>44302.60416666667</v>
      </c>
      <c r="I580" s="17">
        <v>44302.6875</v>
      </c>
      <c r="J580" s="10" t="s">
        <v>128</v>
      </c>
      <c r="K580" s="10" t="s">
        <v>34</v>
      </c>
      <c r="N580" s="10" t="s">
        <v>296</v>
      </c>
      <c r="O580" s="18" t="s">
        <v>2196</v>
      </c>
      <c r="P580" s="10" t="s">
        <v>35</v>
      </c>
      <c r="R580" s="10" t="s">
        <v>296</v>
      </c>
      <c r="S580" s="10">
        <v>1.0</v>
      </c>
      <c r="T580" s="10" t="s">
        <v>35</v>
      </c>
      <c r="V580" s="9"/>
      <c r="W580" s="13" t="s">
        <v>78</v>
      </c>
      <c r="X580" s="13" t="s">
        <v>37</v>
      </c>
      <c r="Y580" s="13" t="s">
        <v>0</v>
      </c>
    </row>
    <row r="581">
      <c r="A581" s="10" t="s">
        <v>2197</v>
      </c>
      <c r="B581" s="11">
        <v>44291.70617587963</v>
      </c>
      <c r="C581" s="10" t="s">
        <v>1271</v>
      </c>
      <c r="D581" s="10" t="s">
        <v>976</v>
      </c>
      <c r="E581" s="10" t="s">
        <v>2198</v>
      </c>
      <c r="F581" s="10" t="s">
        <v>2199</v>
      </c>
      <c r="G581" s="10" t="s">
        <v>2200</v>
      </c>
      <c r="H581" s="24">
        <v>44298.45833333333</v>
      </c>
      <c r="I581" s="24">
        <v>44298.54166666667</v>
      </c>
      <c r="J581" s="10" t="s">
        <v>43</v>
      </c>
      <c r="K581" s="10" t="s">
        <v>34</v>
      </c>
      <c r="N581" s="10" t="s">
        <v>296</v>
      </c>
      <c r="O581" s="18" t="s">
        <v>2201</v>
      </c>
      <c r="P581" s="10" t="s">
        <v>296</v>
      </c>
      <c r="Q581" s="10">
        <v>1.0</v>
      </c>
      <c r="R581" s="10" t="s">
        <v>35</v>
      </c>
      <c r="T581" s="10" t="s">
        <v>35</v>
      </c>
      <c r="V581" s="9"/>
      <c r="W581" s="13" t="s">
        <v>78</v>
      </c>
      <c r="X581" s="10" t="s">
        <v>37</v>
      </c>
      <c r="Y581" s="10" t="s">
        <v>0</v>
      </c>
    </row>
    <row r="582">
      <c r="A582" s="10" t="s">
        <v>2202</v>
      </c>
      <c r="B582" s="11">
        <v>44291.70771646991</v>
      </c>
      <c r="C582" s="10" t="s">
        <v>975</v>
      </c>
      <c r="D582" s="10" t="s">
        <v>976</v>
      </c>
      <c r="E582" s="10" t="s">
        <v>2198</v>
      </c>
      <c r="F582" s="10" t="s">
        <v>2199</v>
      </c>
      <c r="G582" s="10" t="s">
        <v>2203</v>
      </c>
      <c r="H582" s="24">
        <v>44298.45833333333</v>
      </c>
      <c r="I582" s="24">
        <v>44298.54166666667</v>
      </c>
      <c r="J582" s="10" t="s">
        <v>43</v>
      </c>
      <c r="K582" s="10" t="s">
        <v>34</v>
      </c>
      <c r="N582" s="10" t="s">
        <v>296</v>
      </c>
      <c r="O582" s="18" t="s">
        <v>2204</v>
      </c>
      <c r="P582" s="10" t="s">
        <v>296</v>
      </c>
      <c r="Q582" s="10">
        <v>1.0</v>
      </c>
      <c r="R582" s="10" t="s">
        <v>35</v>
      </c>
      <c r="T582" s="10" t="s">
        <v>35</v>
      </c>
      <c r="V582" s="9"/>
      <c r="W582" s="13" t="s">
        <v>78</v>
      </c>
      <c r="X582" s="10" t="s">
        <v>37</v>
      </c>
      <c r="Y582" s="10" t="s">
        <v>0</v>
      </c>
    </row>
    <row r="583">
      <c r="A583" s="10" t="s">
        <v>2205</v>
      </c>
      <c r="B583" s="11">
        <v>44295.73268730324</v>
      </c>
      <c r="C583" s="10" t="s">
        <v>381</v>
      </c>
      <c r="D583" s="10" t="s">
        <v>382</v>
      </c>
      <c r="E583" s="10" t="s">
        <v>2045</v>
      </c>
      <c r="F583" s="10" t="s">
        <v>2206</v>
      </c>
      <c r="G583" s="10" t="s">
        <v>2207</v>
      </c>
      <c r="H583" s="17">
        <v>44302.6875</v>
      </c>
      <c r="I583" s="17">
        <v>44302.72916666667</v>
      </c>
      <c r="J583" s="10" t="s">
        <v>128</v>
      </c>
      <c r="K583" s="10" t="s">
        <v>34</v>
      </c>
      <c r="N583" s="10" t="s">
        <v>35</v>
      </c>
      <c r="V583" s="9"/>
      <c r="W583" s="13" t="s">
        <v>78</v>
      </c>
      <c r="X583" s="10" t="s">
        <v>37</v>
      </c>
      <c r="Y583" s="10" t="s">
        <v>0</v>
      </c>
    </row>
    <row r="584">
      <c r="A584" s="10" t="s">
        <v>2208</v>
      </c>
      <c r="B584" s="11">
        <v>44298.81963254629</v>
      </c>
      <c r="C584" s="10" t="s">
        <v>539</v>
      </c>
      <c r="D584" s="10" t="s">
        <v>540</v>
      </c>
      <c r="E584" s="10" t="s">
        <v>541</v>
      </c>
      <c r="F584" s="10" t="s">
        <v>1719</v>
      </c>
      <c r="G584" s="10" t="s">
        <v>2209</v>
      </c>
      <c r="H584" s="17">
        <v>44302.6875</v>
      </c>
      <c r="I584" s="17">
        <v>44302.72916666667</v>
      </c>
      <c r="J584" s="10" t="s">
        <v>128</v>
      </c>
      <c r="K584" s="10" t="s">
        <v>34</v>
      </c>
      <c r="N584" s="10" t="s">
        <v>35</v>
      </c>
      <c r="V584" s="9"/>
      <c r="W584" s="13" t="s">
        <v>78</v>
      </c>
      <c r="X584" s="10" t="s">
        <v>37</v>
      </c>
      <c r="Y584" s="10" t="s">
        <v>0</v>
      </c>
    </row>
    <row r="585">
      <c r="A585" s="10" t="s">
        <v>2210</v>
      </c>
      <c r="B585" s="11">
        <v>44293.52598605324</v>
      </c>
      <c r="C585" s="10" t="s">
        <v>491</v>
      </c>
      <c r="D585" s="10" t="s">
        <v>492</v>
      </c>
      <c r="E585" s="10" t="s">
        <v>657</v>
      </c>
      <c r="F585" s="10" t="s">
        <v>2211</v>
      </c>
      <c r="G585" s="10" t="s">
        <v>2212</v>
      </c>
      <c r="H585" s="24">
        <v>44298.75</v>
      </c>
      <c r="I585" s="24">
        <v>44298.83333333333</v>
      </c>
      <c r="J585" s="10" t="s">
        <v>43</v>
      </c>
      <c r="K585" s="10" t="s">
        <v>34</v>
      </c>
      <c r="N585" s="10" t="s">
        <v>35</v>
      </c>
      <c r="V585" s="9"/>
      <c r="W585" s="13" t="s">
        <v>78</v>
      </c>
      <c r="X585" s="10" t="s">
        <v>37</v>
      </c>
      <c r="Y585" s="10" t="s">
        <v>0</v>
      </c>
    </row>
    <row r="586">
      <c r="A586" s="10" t="s">
        <v>2213</v>
      </c>
      <c r="B586" s="11">
        <v>44295.56975550926</v>
      </c>
      <c r="C586" s="10" t="s">
        <v>209</v>
      </c>
      <c r="D586" s="10" t="s">
        <v>210</v>
      </c>
      <c r="E586" s="10" t="s">
        <v>261</v>
      </c>
      <c r="F586" s="10" t="s">
        <v>1431</v>
      </c>
      <c r="G586" s="10" t="s">
        <v>2214</v>
      </c>
      <c r="H586" s="17">
        <v>44302.77083333333</v>
      </c>
      <c r="I586" s="17">
        <v>44302.8125</v>
      </c>
      <c r="J586" s="10" t="s">
        <v>33</v>
      </c>
      <c r="K586" s="10" t="s">
        <v>34</v>
      </c>
      <c r="N586" s="10" t="s">
        <v>35</v>
      </c>
      <c r="V586" s="9"/>
      <c r="W586" s="13" t="s">
        <v>78</v>
      </c>
      <c r="X586" s="10" t="s">
        <v>37</v>
      </c>
      <c r="Y586" s="10" t="s">
        <v>0</v>
      </c>
    </row>
    <row r="587">
      <c r="A587" s="10" t="s">
        <v>2215</v>
      </c>
      <c r="B587" s="11">
        <v>44298.485480069445</v>
      </c>
      <c r="C587" s="10" t="s">
        <v>1405</v>
      </c>
      <c r="D587" s="10" t="s">
        <v>1406</v>
      </c>
      <c r="E587" s="10" t="s">
        <v>2216</v>
      </c>
      <c r="F587" s="10" t="s">
        <v>2074</v>
      </c>
      <c r="G587" s="10" t="s">
        <v>2217</v>
      </c>
      <c r="H587" s="17">
        <v>44302.77083333333</v>
      </c>
      <c r="I587" s="17">
        <v>44302.8125</v>
      </c>
      <c r="J587" s="10" t="s">
        <v>128</v>
      </c>
      <c r="K587" s="10" t="s">
        <v>34</v>
      </c>
      <c r="N587" s="10" t="s">
        <v>35</v>
      </c>
      <c r="V587" s="9"/>
      <c r="W587" s="13" t="s">
        <v>78</v>
      </c>
      <c r="X587" s="10" t="s">
        <v>37</v>
      </c>
      <c r="Y587" s="10" t="s">
        <v>0</v>
      </c>
    </row>
    <row r="588">
      <c r="A588" s="10" t="s">
        <v>2218</v>
      </c>
      <c r="B588" s="11">
        <v>44298.820737118054</v>
      </c>
      <c r="C588" s="10" t="s">
        <v>539</v>
      </c>
      <c r="D588" s="10" t="s">
        <v>540</v>
      </c>
      <c r="E588" s="10" t="s">
        <v>2219</v>
      </c>
      <c r="F588" s="10" t="s">
        <v>2220</v>
      </c>
      <c r="G588" s="10" t="s">
        <v>2221</v>
      </c>
      <c r="H588" s="17">
        <v>44302.77083333333</v>
      </c>
      <c r="I588" s="17">
        <v>44302.8125</v>
      </c>
      <c r="J588" s="10" t="s">
        <v>128</v>
      </c>
      <c r="K588" s="10" t="s">
        <v>34</v>
      </c>
      <c r="N588" s="10" t="s">
        <v>35</v>
      </c>
      <c r="V588" s="9"/>
      <c r="W588" s="13" t="s">
        <v>78</v>
      </c>
      <c r="X588" s="10" t="s">
        <v>37</v>
      </c>
      <c r="Y588" s="10" t="s">
        <v>0</v>
      </c>
    </row>
    <row r="589">
      <c r="A589" s="10" t="s">
        <v>2222</v>
      </c>
      <c r="B589" s="11">
        <v>44299.512493437505</v>
      </c>
      <c r="C589" s="10" t="s">
        <v>1583</v>
      </c>
      <c r="D589" s="10" t="s">
        <v>505</v>
      </c>
      <c r="E589" s="10" t="s">
        <v>2223</v>
      </c>
      <c r="F589" s="10" t="s">
        <v>2224</v>
      </c>
      <c r="G589" s="10" t="s">
        <v>2225</v>
      </c>
      <c r="H589" s="17">
        <v>44302.79166666667</v>
      </c>
      <c r="I589" s="17">
        <v>44302.83333333333</v>
      </c>
      <c r="J589" s="10" t="s">
        <v>128</v>
      </c>
      <c r="K589" s="10" t="s">
        <v>34</v>
      </c>
      <c r="N589" s="10" t="s">
        <v>35</v>
      </c>
      <c r="V589" s="9"/>
      <c r="W589" s="13" t="s">
        <v>78</v>
      </c>
      <c r="X589" s="10" t="s">
        <v>37</v>
      </c>
      <c r="Y589" s="10" t="s">
        <v>0</v>
      </c>
    </row>
    <row r="590">
      <c r="A590" s="10" t="s">
        <v>2226</v>
      </c>
      <c r="B590" s="11">
        <v>44272.56358076389</v>
      </c>
      <c r="C590" s="10" t="s">
        <v>181</v>
      </c>
      <c r="D590" s="10" t="s">
        <v>69</v>
      </c>
      <c r="E590" s="10" t="s">
        <v>2227</v>
      </c>
      <c r="F590" s="10" t="s">
        <v>2228</v>
      </c>
      <c r="G590" s="10" t="s">
        <v>2229</v>
      </c>
      <c r="H590" s="16">
        <v>44303.29166666667</v>
      </c>
      <c r="I590" s="16">
        <v>44304.95833333333</v>
      </c>
      <c r="J590" s="10" t="s">
        <v>128</v>
      </c>
      <c r="K590" s="10" t="s">
        <v>34</v>
      </c>
      <c r="N590" s="10" t="s">
        <v>35</v>
      </c>
      <c r="V590" s="9"/>
      <c r="W590" s="13" t="s">
        <v>78</v>
      </c>
      <c r="X590" s="10" t="s">
        <v>37</v>
      </c>
      <c r="Y590" s="10" t="s">
        <v>0</v>
      </c>
    </row>
    <row r="591">
      <c r="A591" s="10" t="s">
        <v>2230</v>
      </c>
      <c r="B591" s="11">
        <v>44369.026974629625</v>
      </c>
      <c r="C591" s="10" t="s">
        <v>102</v>
      </c>
      <c r="D591" s="10" t="s">
        <v>103</v>
      </c>
      <c r="E591" s="10" t="s">
        <v>2231</v>
      </c>
      <c r="F591" s="10" t="s">
        <v>2232</v>
      </c>
      <c r="G591" s="10" t="s">
        <v>2233</v>
      </c>
      <c r="H591" s="16">
        <v>44300.44791666667</v>
      </c>
      <c r="I591" s="16">
        <v>44300.53125</v>
      </c>
      <c r="J591" s="10" t="s">
        <v>43</v>
      </c>
      <c r="K591" s="10" t="s">
        <v>34</v>
      </c>
      <c r="N591" s="10" t="s">
        <v>296</v>
      </c>
      <c r="O591" s="18" t="s">
        <v>2234</v>
      </c>
      <c r="P591" s="10" t="s">
        <v>296</v>
      </c>
      <c r="Q591" s="10">
        <v>1.0</v>
      </c>
      <c r="R591" s="10" t="s">
        <v>296</v>
      </c>
      <c r="S591" s="10">
        <v>3.0</v>
      </c>
      <c r="T591" s="10" t="s">
        <v>35</v>
      </c>
      <c r="V591" s="9"/>
      <c r="W591" s="13" t="s">
        <v>78</v>
      </c>
      <c r="X591" s="10" t="s">
        <v>37</v>
      </c>
      <c r="Y591" s="10" t="s">
        <v>0</v>
      </c>
    </row>
    <row r="592">
      <c r="A592" s="10" t="s">
        <v>2235</v>
      </c>
      <c r="B592" s="11">
        <v>44278.42853634259</v>
      </c>
      <c r="C592" s="10" t="s">
        <v>150</v>
      </c>
      <c r="D592" s="10" t="s">
        <v>151</v>
      </c>
      <c r="E592" s="10" t="s">
        <v>152</v>
      </c>
      <c r="F592" s="10" t="s">
        <v>2085</v>
      </c>
      <c r="G592" s="10" t="s">
        <v>2236</v>
      </c>
      <c r="H592" s="16">
        <v>44303.41666666667</v>
      </c>
      <c r="I592" s="16">
        <v>44303.5</v>
      </c>
      <c r="J592" s="10" t="s">
        <v>60</v>
      </c>
      <c r="K592" s="10" t="s">
        <v>61</v>
      </c>
      <c r="N592" s="10" t="s">
        <v>35</v>
      </c>
      <c r="V592" s="9"/>
      <c r="W592" s="13" t="s">
        <v>78</v>
      </c>
      <c r="X592" s="10" t="s">
        <v>37</v>
      </c>
      <c r="Y592" s="10" t="s">
        <v>0</v>
      </c>
    </row>
    <row r="593">
      <c r="A593" s="10" t="s">
        <v>2237</v>
      </c>
      <c r="B593" s="11">
        <v>44288.64774716435</v>
      </c>
      <c r="C593" s="10" t="s">
        <v>186</v>
      </c>
      <c r="D593" s="21" t="s">
        <v>187</v>
      </c>
      <c r="E593" s="21" t="s">
        <v>188</v>
      </c>
      <c r="F593" s="21" t="s">
        <v>2238</v>
      </c>
      <c r="G593" s="21" t="s">
        <v>2239</v>
      </c>
      <c r="H593" s="24">
        <v>44301.60416666667</v>
      </c>
      <c r="I593" s="24">
        <v>44345.6875</v>
      </c>
      <c r="J593" s="21" t="s">
        <v>236</v>
      </c>
      <c r="K593" s="10" t="s">
        <v>34</v>
      </c>
      <c r="N593" s="10" t="s">
        <v>296</v>
      </c>
      <c r="O593" s="18" t="s">
        <v>2240</v>
      </c>
      <c r="P593" s="10" t="s">
        <v>35</v>
      </c>
      <c r="R593" s="10" t="s">
        <v>296</v>
      </c>
      <c r="S593" s="10">
        <v>15.0</v>
      </c>
      <c r="T593" s="10" t="s">
        <v>296</v>
      </c>
      <c r="U593" s="10">
        <v>5.0</v>
      </c>
      <c r="V593" s="27"/>
      <c r="W593" s="13" t="s">
        <v>78</v>
      </c>
      <c r="X593" s="10" t="s">
        <v>37</v>
      </c>
      <c r="Y593" s="10" t="s">
        <v>0</v>
      </c>
    </row>
    <row r="594">
      <c r="A594" s="10" t="s">
        <v>2241</v>
      </c>
      <c r="B594" s="11">
        <v>44293.82454931713</v>
      </c>
      <c r="C594" s="10" t="s">
        <v>160</v>
      </c>
      <c r="D594" s="10" t="s">
        <v>161</v>
      </c>
      <c r="E594" s="10" t="s">
        <v>947</v>
      </c>
      <c r="F594" s="10" t="s">
        <v>2242</v>
      </c>
      <c r="G594" s="10" t="s">
        <v>2243</v>
      </c>
      <c r="H594" s="24">
        <v>44301.6875</v>
      </c>
      <c r="I594" s="24">
        <v>44301.77083333333</v>
      </c>
      <c r="J594" s="10" t="s">
        <v>43</v>
      </c>
      <c r="K594" s="10" t="s">
        <v>34</v>
      </c>
      <c r="N594" s="10" t="s">
        <v>296</v>
      </c>
      <c r="O594" s="18" t="s">
        <v>2244</v>
      </c>
      <c r="P594" s="10" t="s">
        <v>35</v>
      </c>
      <c r="R594" s="10" t="s">
        <v>35</v>
      </c>
      <c r="T594" s="10" t="s">
        <v>296</v>
      </c>
      <c r="U594" s="10">
        <v>1.0</v>
      </c>
      <c r="V594" s="27"/>
      <c r="W594" s="13" t="s">
        <v>78</v>
      </c>
      <c r="X594" s="10" t="s">
        <v>37</v>
      </c>
      <c r="Y594" s="10" t="s">
        <v>0</v>
      </c>
    </row>
    <row r="595">
      <c r="A595" s="10" t="s">
        <v>2245</v>
      </c>
      <c r="B595" s="11">
        <v>44298.48199157407</v>
      </c>
      <c r="C595" s="10" t="s">
        <v>1405</v>
      </c>
      <c r="D595" s="10" t="s">
        <v>1406</v>
      </c>
      <c r="E595" s="10" t="s">
        <v>2246</v>
      </c>
      <c r="F595" s="10" t="s">
        <v>2247</v>
      </c>
      <c r="G595" s="10" t="s">
        <v>2248</v>
      </c>
      <c r="H595" s="17">
        <v>44303.5625</v>
      </c>
      <c r="I595" s="17">
        <v>44303.60416666667</v>
      </c>
      <c r="J595" s="10" t="s">
        <v>128</v>
      </c>
      <c r="K595" s="10" t="s">
        <v>34</v>
      </c>
      <c r="N595" s="10" t="s">
        <v>35</v>
      </c>
      <c r="V595" s="9"/>
      <c r="W595" s="13" t="s">
        <v>78</v>
      </c>
      <c r="X595" s="10" t="s">
        <v>37</v>
      </c>
      <c r="Y595" s="10" t="s">
        <v>0</v>
      </c>
    </row>
    <row r="596">
      <c r="A596" s="10" t="s">
        <v>2249</v>
      </c>
      <c r="B596" s="11">
        <v>44294.46175072917</v>
      </c>
      <c r="C596" s="10" t="s">
        <v>186</v>
      </c>
      <c r="D596" s="10" t="s">
        <v>187</v>
      </c>
      <c r="E596" s="10" t="s">
        <v>2250</v>
      </c>
      <c r="F596" s="10" t="s">
        <v>2251</v>
      </c>
      <c r="G596" s="10" t="s">
        <v>2252</v>
      </c>
      <c r="H596" s="17">
        <v>44303.60416666667</v>
      </c>
      <c r="I596" s="17">
        <v>44303.6875</v>
      </c>
      <c r="J596" s="10" t="s">
        <v>51</v>
      </c>
      <c r="K596" s="10" t="s">
        <v>34</v>
      </c>
      <c r="N596" s="10" t="s">
        <v>35</v>
      </c>
      <c r="V596" s="9"/>
      <c r="W596" s="13" t="s">
        <v>78</v>
      </c>
      <c r="X596" s="13" t="s">
        <v>37</v>
      </c>
      <c r="Y596" s="13" t="s">
        <v>0</v>
      </c>
    </row>
    <row r="597">
      <c r="A597" s="10" t="s">
        <v>2253</v>
      </c>
      <c r="B597" s="11">
        <v>44295.82803079861</v>
      </c>
      <c r="C597" s="10" t="s">
        <v>209</v>
      </c>
      <c r="D597" s="10" t="s">
        <v>210</v>
      </c>
      <c r="E597" s="10" t="s">
        <v>261</v>
      </c>
      <c r="F597" s="10" t="s">
        <v>2254</v>
      </c>
      <c r="G597" s="10" t="s">
        <v>2255</v>
      </c>
      <c r="H597" s="17">
        <v>44303.60416666667</v>
      </c>
      <c r="I597" s="17">
        <v>44303.64583333333</v>
      </c>
      <c r="J597" s="10" t="s">
        <v>128</v>
      </c>
      <c r="K597" s="10" t="s">
        <v>34</v>
      </c>
      <c r="N597" s="10" t="s">
        <v>35</v>
      </c>
      <c r="V597" s="9"/>
      <c r="W597" s="13" t="s">
        <v>78</v>
      </c>
      <c r="X597" s="10" t="s">
        <v>37</v>
      </c>
      <c r="Y597" s="10" t="s">
        <v>0</v>
      </c>
    </row>
    <row r="598">
      <c r="A598" s="10" t="s">
        <v>2256</v>
      </c>
      <c r="B598" s="11">
        <v>44294.61121863426</v>
      </c>
      <c r="C598" s="10" t="s">
        <v>239</v>
      </c>
      <c r="D598" s="10" t="s">
        <v>240</v>
      </c>
      <c r="E598" s="10" t="s">
        <v>1928</v>
      </c>
      <c r="F598" s="10" t="s">
        <v>2257</v>
      </c>
      <c r="G598" s="10" t="s">
        <v>2243</v>
      </c>
      <c r="H598" s="24">
        <v>44301.6875</v>
      </c>
      <c r="I598" s="24">
        <v>44301.72916666667</v>
      </c>
      <c r="J598" s="10" t="s">
        <v>43</v>
      </c>
      <c r="K598" s="10" t="s">
        <v>34</v>
      </c>
      <c r="N598" s="10" t="s">
        <v>296</v>
      </c>
      <c r="O598" s="18" t="s">
        <v>2258</v>
      </c>
      <c r="P598" s="10" t="s">
        <v>35</v>
      </c>
      <c r="R598" s="10" t="s">
        <v>35</v>
      </c>
      <c r="T598" s="10" t="s">
        <v>296</v>
      </c>
      <c r="U598" s="10">
        <v>1.0</v>
      </c>
      <c r="V598" s="27"/>
      <c r="W598" s="13" t="s">
        <v>78</v>
      </c>
      <c r="X598" s="13" t="s">
        <v>37</v>
      </c>
      <c r="Y598" s="13" t="s">
        <v>0</v>
      </c>
    </row>
    <row r="599">
      <c r="A599" s="10" t="s">
        <v>2259</v>
      </c>
      <c r="B599" s="11">
        <v>44263.69756208333</v>
      </c>
      <c r="C599" s="10" t="s">
        <v>336</v>
      </c>
      <c r="D599" s="10" t="s">
        <v>337</v>
      </c>
      <c r="E599" s="10" t="s">
        <v>1892</v>
      </c>
      <c r="F599" s="10" t="s">
        <v>2260</v>
      </c>
      <c r="G599" s="10" t="s">
        <v>1683</v>
      </c>
      <c r="H599" s="17">
        <v>44303.66666666667</v>
      </c>
      <c r="I599" s="17">
        <v>44303.72916666667</v>
      </c>
      <c r="J599" s="10" t="s">
        <v>128</v>
      </c>
      <c r="K599" s="10" t="s">
        <v>34</v>
      </c>
      <c r="N599" s="10" t="s">
        <v>35</v>
      </c>
      <c r="V599" s="9"/>
      <c r="W599" s="13" t="s">
        <v>78</v>
      </c>
      <c r="X599" s="10" t="s">
        <v>37</v>
      </c>
      <c r="Y599" s="10" t="s">
        <v>0</v>
      </c>
    </row>
    <row r="600">
      <c r="A600" s="10" t="s">
        <v>2261</v>
      </c>
      <c r="B600" s="11">
        <v>44302.34463313657</v>
      </c>
      <c r="C600" s="10" t="s">
        <v>247</v>
      </c>
      <c r="D600" s="10" t="s">
        <v>248</v>
      </c>
      <c r="E600" s="10" t="s">
        <v>2262</v>
      </c>
      <c r="F600" s="10" t="s">
        <v>2263</v>
      </c>
      <c r="G600" s="10" t="s">
        <v>2264</v>
      </c>
      <c r="H600" s="17">
        <v>44303.6875</v>
      </c>
      <c r="I600" s="17">
        <v>44303.77083333333</v>
      </c>
      <c r="J600" s="10" t="s">
        <v>33</v>
      </c>
      <c r="K600" s="10" t="s">
        <v>34</v>
      </c>
      <c r="N600" s="10" t="s">
        <v>35</v>
      </c>
      <c r="V600" s="9"/>
      <c r="W600" s="13" t="s">
        <v>78</v>
      </c>
      <c r="X600" s="10" t="s">
        <v>37</v>
      </c>
      <c r="Y600" s="10" t="s">
        <v>0</v>
      </c>
    </row>
    <row r="601">
      <c r="A601" s="10" t="s">
        <v>2265</v>
      </c>
      <c r="B601" s="11">
        <v>44299.56686737269</v>
      </c>
      <c r="C601" s="10" t="s">
        <v>539</v>
      </c>
      <c r="D601" s="10" t="s">
        <v>540</v>
      </c>
      <c r="E601" s="10" t="s">
        <v>2266</v>
      </c>
      <c r="F601" s="10" t="s">
        <v>2267</v>
      </c>
      <c r="G601" s="10" t="s">
        <v>2268</v>
      </c>
      <c r="H601" s="17">
        <v>44303.72916666667</v>
      </c>
      <c r="I601" s="17">
        <v>44303.83333333333</v>
      </c>
      <c r="J601" s="10" t="s">
        <v>73</v>
      </c>
      <c r="K601" s="10" t="s">
        <v>34</v>
      </c>
      <c r="N601" s="10" t="s">
        <v>35</v>
      </c>
      <c r="V601" s="9"/>
      <c r="W601" s="13" t="s">
        <v>78</v>
      </c>
      <c r="X601" s="10" t="s">
        <v>37</v>
      </c>
      <c r="Y601" s="10" t="s">
        <v>0</v>
      </c>
    </row>
    <row r="602">
      <c r="A602" s="10" t="s">
        <v>2269</v>
      </c>
      <c r="B602" s="11">
        <v>44302.43045388889</v>
      </c>
      <c r="C602" s="10" t="s">
        <v>418</v>
      </c>
      <c r="D602" s="10" t="s">
        <v>419</v>
      </c>
      <c r="E602" s="10" t="s">
        <v>2270</v>
      </c>
      <c r="F602" s="10" t="s">
        <v>2271</v>
      </c>
      <c r="G602" s="10" t="s">
        <v>2272</v>
      </c>
      <c r="H602" s="16">
        <v>44302.14583333333</v>
      </c>
      <c r="I602" s="16">
        <v>44302.20833333333</v>
      </c>
      <c r="J602" s="10" t="s">
        <v>43</v>
      </c>
      <c r="K602" s="10" t="s">
        <v>34</v>
      </c>
      <c r="N602" s="10" t="s">
        <v>296</v>
      </c>
      <c r="O602" s="18" t="s">
        <v>2273</v>
      </c>
      <c r="P602" s="10" t="s">
        <v>296</v>
      </c>
      <c r="Q602" s="10">
        <v>1.0</v>
      </c>
      <c r="R602" s="10" t="s">
        <v>35</v>
      </c>
      <c r="T602" s="10" t="s">
        <v>35</v>
      </c>
      <c r="V602" s="9"/>
      <c r="W602" s="13" t="s">
        <v>78</v>
      </c>
      <c r="X602" s="10" t="s">
        <v>37</v>
      </c>
      <c r="Y602" s="10" t="s">
        <v>0</v>
      </c>
    </row>
    <row r="603">
      <c r="A603" s="10" t="s">
        <v>2274</v>
      </c>
      <c r="B603" s="11">
        <v>44300.42371268518</v>
      </c>
      <c r="C603" s="10" t="s">
        <v>320</v>
      </c>
      <c r="D603" s="10" t="s">
        <v>321</v>
      </c>
      <c r="E603" s="10" t="s">
        <v>555</v>
      </c>
      <c r="F603" s="10" t="s">
        <v>2275</v>
      </c>
      <c r="G603" s="10" t="s">
        <v>2276</v>
      </c>
      <c r="H603" s="17">
        <v>44305.25</v>
      </c>
      <c r="I603" s="17">
        <v>44309.75</v>
      </c>
      <c r="J603" s="10" t="s">
        <v>73</v>
      </c>
      <c r="K603" s="10" t="s">
        <v>34</v>
      </c>
      <c r="N603" s="10" t="s">
        <v>35</v>
      </c>
      <c r="V603" s="9"/>
      <c r="W603" s="13" t="s">
        <v>78</v>
      </c>
      <c r="X603" s="10" t="s">
        <v>37</v>
      </c>
      <c r="Y603" s="10" t="s">
        <v>0</v>
      </c>
    </row>
    <row r="604">
      <c r="A604" s="10" t="s">
        <v>2277</v>
      </c>
      <c r="B604" s="11">
        <v>44293.73961766204</v>
      </c>
      <c r="C604" s="10" t="s">
        <v>239</v>
      </c>
      <c r="D604" s="10" t="s">
        <v>240</v>
      </c>
      <c r="E604" s="10" t="s">
        <v>2278</v>
      </c>
      <c r="F604" s="10" t="s">
        <v>2279</v>
      </c>
      <c r="G604" s="10" t="s">
        <v>2280</v>
      </c>
      <c r="H604" s="17">
        <v>44305.33333333333</v>
      </c>
      <c r="I604" s="17">
        <v>44309.83333333333</v>
      </c>
      <c r="J604" s="10" t="s">
        <v>51</v>
      </c>
      <c r="K604" s="10" t="s">
        <v>34</v>
      </c>
      <c r="N604" s="10" t="s">
        <v>35</v>
      </c>
      <c r="V604" s="9"/>
      <c r="W604" s="13" t="s">
        <v>78</v>
      </c>
      <c r="X604" s="10" t="s">
        <v>37</v>
      </c>
      <c r="Y604" s="10" t="s">
        <v>0</v>
      </c>
    </row>
    <row r="605">
      <c r="A605" s="10" t="s">
        <v>2281</v>
      </c>
      <c r="B605" s="11">
        <v>44295.79146540509</v>
      </c>
      <c r="C605" s="10" t="s">
        <v>209</v>
      </c>
      <c r="D605" s="10" t="s">
        <v>210</v>
      </c>
      <c r="E605" s="10" t="s">
        <v>261</v>
      </c>
      <c r="F605" s="10" t="s">
        <v>2282</v>
      </c>
      <c r="G605" s="10" t="s">
        <v>2283</v>
      </c>
      <c r="H605" s="17">
        <v>44305.5625</v>
      </c>
      <c r="I605" s="17">
        <v>44305.60416666667</v>
      </c>
      <c r="J605" s="10" t="s">
        <v>33</v>
      </c>
      <c r="K605" s="10" t="s">
        <v>34</v>
      </c>
      <c r="N605" s="10" t="s">
        <v>35</v>
      </c>
      <c r="V605" s="9"/>
      <c r="W605" s="13" t="s">
        <v>78</v>
      </c>
      <c r="X605" s="10" t="s">
        <v>37</v>
      </c>
      <c r="Y605" s="10" t="s">
        <v>0</v>
      </c>
    </row>
    <row r="606">
      <c r="A606" s="10" t="s">
        <v>2284</v>
      </c>
      <c r="B606" s="11">
        <v>44285.9246844213</v>
      </c>
      <c r="C606" s="10" t="s">
        <v>387</v>
      </c>
      <c r="D606" s="10" t="s">
        <v>388</v>
      </c>
      <c r="E606" s="10" t="s">
        <v>2285</v>
      </c>
      <c r="F606" s="30" t="s">
        <v>2286</v>
      </c>
      <c r="G606" s="31" t="s">
        <v>2287</v>
      </c>
      <c r="H606" s="24">
        <v>44305.625</v>
      </c>
      <c r="I606" s="24">
        <v>44305.75</v>
      </c>
      <c r="J606" s="10" t="s">
        <v>73</v>
      </c>
      <c r="K606" s="10" t="s">
        <v>34</v>
      </c>
      <c r="N606" s="10" t="s">
        <v>35</v>
      </c>
      <c r="V606" s="9"/>
      <c r="W606" s="13" t="s">
        <v>78</v>
      </c>
      <c r="X606" s="10" t="s">
        <v>37</v>
      </c>
      <c r="Y606" s="10" t="s">
        <v>0</v>
      </c>
    </row>
    <row r="607">
      <c r="A607" s="10" t="s">
        <v>2288</v>
      </c>
      <c r="B607" s="11">
        <v>44268.93651153935</v>
      </c>
      <c r="C607" s="10" t="s">
        <v>727</v>
      </c>
      <c r="D607" s="10" t="s">
        <v>728</v>
      </c>
      <c r="E607" s="10" t="s">
        <v>2289</v>
      </c>
      <c r="F607" s="10" t="s">
        <v>2290</v>
      </c>
      <c r="G607" s="10" t="s">
        <v>2291</v>
      </c>
      <c r="H607" s="17">
        <v>44305.64583333333</v>
      </c>
      <c r="I607" s="17">
        <v>44305.72916666667</v>
      </c>
      <c r="J607" s="10" t="s">
        <v>128</v>
      </c>
      <c r="K607" s="10" t="s">
        <v>34</v>
      </c>
      <c r="N607" s="10" t="s">
        <v>35</v>
      </c>
      <c r="V607" s="9"/>
      <c r="W607" s="13" t="s">
        <v>78</v>
      </c>
      <c r="X607" s="10" t="s">
        <v>37</v>
      </c>
      <c r="Y607" s="10" t="s">
        <v>0</v>
      </c>
    </row>
    <row r="608">
      <c r="A608" s="10" t="s">
        <v>2292</v>
      </c>
      <c r="B608" s="11">
        <v>44293.83973921296</v>
      </c>
      <c r="C608" s="10" t="s">
        <v>160</v>
      </c>
      <c r="D608" s="10" t="s">
        <v>161</v>
      </c>
      <c r="E608" s="10" t="s">
        <v>947</v>
      </c>
      <c r="F608" s="10" t="s">
        <v>2293</v>
      </c>
      <c r="G608" s="10" t="s">
        <v>2294</v>
      </c>
      <c r="H608" s="24">
        <v>44302.64583333333</v>
      </c>
      <c r="I608" s="24">
        <v>44302.70833333333</v>
      </c>
      <c r="J608" s="10" t="s">
        <v>43</v>
      </c>
      <c r="K608" s="10" t="s">
        <v>34</v>
      </c>
      <c r="N608" s="10" t="s">
        <v>296</v>
      </c>
      <c r="O608" s="18" t="s">
        <v>2295</v>
      </c>
      <c r="P608" s="10" t="s">
        <v>296</v>
      </c>
      <c r="Q608" s="10">
        <v>1.0</v>
      </c>
      <c r="R608" s="10" t="s">
        <v>35</v>
      </c>
      <c r="T608" s="10" t="s">
        <v>35</v>
      </c>
      <c r="V608" s="9"/>
      <c r="W608" s="13" t="s">
        <v>78</v>
      </c>
      <c r="X608" s="10" t="s">
        <v>37</v>
      </c>
      <c r="Y608" s="10" t="s">
        <v>0</v>
      </c>
    </row>
    <row r="609">
      <c r="A609" s="10" t="s">
        <v>2296</v>
      </c>
      <c r="B609" s="11">
        <v>44300.717075625</v>
      </c>
      <c r="C609" s="10" t="s">
        <v>269</v>
      </c>
      <c r="D609" s="10" t="s">
        <v>168</v>
      </c>
      <c r="E609" s="10" t="s">
        <v>2297</v>
      </c>
      <c r="F609" s="10" t="s">
        <v>2298</v>
      </c>
      <c r="G609" s="10" t="s">
        <v>2299</v>
      </c>
      <c r="H609" s="16">
        <v>44302.64583333333</v>
      </c>
      <c r="I609" s="16">
        <v>44302.6875</v>
      </c>
      <c r="J609" s="10" t="s">
        <v>43</v>
      </c>
      <c r="K609" s="10" t="s">
        <v>34</v>
      </c>
      <c r="N609" s="10" t="s">
        <v>296</v>
      </c>
      <c r="O609" s="18" t="s">
        <v>2300</v>
      </c>
      <c r="P609" s="10" t="s">
        <v>296</v>
      </c>
      <c r="Q609" s="10">
        <v>2.0</v>
      </c>
      <c r="R609" s="10" t="s">
        <v>35</v>
      </c>
      <c r="T609" s="10" t="s">
        <v>35</v>
      </c>
      <c r="V609" s="9"/>
      <c r="W609" s="13" t="s">
        <v>78</v>
      </c>
      <c r="X609" s="10" t="s">
        <v>37</v>
      </c>
      <c r="Y609" s="10" t="s">
        <v>0</v>
      </c>
    </row>
    <row r="610">
      <c r="A610" s="10" t="s">
        <v>2301</v>
      </c>
      <c r="B610" s="11">
        <v>44299.56507806713</v>
      </c>
      <c r="C610" s="10" t="s">
        <v>539</v>
      </c>
      <c r="D610" s="10" t="s">
        <v>540</v>
      </c>
      <c r="E610" s="10" t="s">
        <v>2266</v>
      </c>
      <c r="F610" s="10" t="s">
        <v>2302</v>
      </c>
      <c r="G610" s="10" t="s">
        <v>2303</v>
      </c>
      <c r="H610" s="16">
        <v>44302.6875</v>
      </c>
      <c r="I610" s="16">
        <v>44302.72916666667</v>
      </c>
      <c r="J610" s="10" t="s">
        <v>43</v>
      </c>
      <c r="K610" s="10" t="s">
        <v>34</v>
      </c>
      <c r="N610" s="10" t="s">
        <v>296</v>
      </c>
      <c r="O610" s="18" t="s">
        <v>2304</v>
      </c>
      <c r="P610" s="10" t="s">
        <v>35</v>
      </c>
      <c r="R610" s="10" t="s">
        <v>296</v>
      </c>
      <c r="S610" s="10">
        <v>1.0</v>
      </c>
      <c r="T610" s="10" t="s">
        <v>35</v>
      </c>
      <c r="V610" s="9"/>
      <c r="W610" s="13" t="s">
        <v>78</v>
      </c>
      <c r="X610" s="10" t="s">
        <v>37</v>
      </c>
      <c r="Y610" s="10" t="s">
        <v>0</v>
      </c>
    </row>
    <row r="611">
      <c r="A611" s="10" t="s">
        <v>2305</v>
      </c>
      <c r="B611" s="11">
        <v>44291.49485221065</v>
      </c>
      <c r="C611" s="10" t="s">
        <v>181</v>
      </c>
      <c r="D611" s="10" t="s">
        <v>69</v>
      </c>
      <c r="E611" s="10" t="s">
        <v>2306</v>
      </c>
      <c r="F611" s="10" t="s">
        <v>2307</v>
      </c>
      <c r="G611" s="10" t="s">
        <v>2308</v>
      </c>
      <c r="H611" s="24">
        <v>44303.375</v>
      </c>
      <c r="I611" s="24">
        <v>44303.5</v>
      </c>
      <c r="J611" s="10" t="s">
        <v>43</v>
      </c>
      <c r="K611" s="10" t="s">
        <v>34</v>
      </c>
      <c r="N611" s="10" t="s">
        <v>296</v>
      </c>
      <c r="O611" s="18" t="s">
        <v>2309</v>
      </c>
      <c r="P611" s="10" t="s">
        <v>35</v>
      </c>
      <c r="R611" s="10" t="s">
        <v>35</v>
      </c>
      <c r="T611" s="10" t="s">
        <v>296</v>
      </c>
      <c r="U611" s="10">
        <v>1.0</v>
      </c>
      <c r="V611" s="27"/>
      <c r="W611" s="13" t="s">
        <v>78</v>
      </c>
      <c r="X611" s="10" t="s">
        <v>37</v>
      </c>
      <c r="Y611" s="10" t="s">
        <v>0</v>
      </c>
    </row>
    <row r="612">
      <c r="A612" s="10" t="s">
        <v>2310</v>
      </c>
      <c r="B612" s="11">
        <v>44301.44018532407</v>
      </c>
      <c r="C612" s="10" t="s">
        <v>219</v>
      </c>
      <c r="D612" s="10" t="s">
        <v>220</v>
      </c>
      <c r="E612" s="10" t="s">
        <v>2311</v>
      </c>
      <c r="F612" s="10" t="s">
        <v>2312</v>
      </c>
      <c r="G612" s="10" t="s">
        <v>2313</v>
      </c>
      <c r="H612" s="24">
        <v>44303.41666666667</v>
      </c>
      <c r="I612" s="24">
        <v>44303.45833333333</v>
      </c>
      <c r="J612" s="10" t="s">
        <v>43</v>
      </c>
      <c r="K612" s="10" t="s">
        <v>34</v>
      </c>
      <c r="N612" s="10" t="s">
        <v>35</v>
      </c>
      <c r="V612" s="9"/>
      <c r="W612" s="13" t="s">
        <v>78</v>
      </c>
      <c r="X612" s="10" t="s">
        <v>37</v>
      </c>
      <c r="Y612" s="10" t="s">
        <v>0</v>
      </c>
    </row>
    <row r="613">
      <c r="A613" s="10" t="s">
        <v>2314</v>
      </c>
      <c r="B613" s="11">
        <v>44293.336962430556</v>
      </c>
      <c r="C613" s="10" t="s">
        <v>181</v>
      </c>
      <c r="D613" s="10" t="s">
        <v>69</v>
      </c>
      <c r="E613" s="10" t="s">
        <v>860</v>
      </c>
      <c r="F613" s="10" t="s">
        <v>2315</v>
      </c>
      <c r="G613" s="10" t="s">
        <v>2316</v>
      </c>
      <c r="H613" s="17">
        <v>44306.375</v>
      </c>
      <c r="I613" s="17">
        <v>44318.95833333333</v>
      </c>
      <c r="J613" s="10" t="s">
        <v>73</v>
      </c>
      <c r="K613" s="10" t="s">
        <v>34</v>
      </c>
      <c r="N613" s="10" t="s">
        <v>35</v>
      </c>
      <c r="V613" s="9"/>
      <c r="W613" s="13" t="s">
        <v>78</v>
      </c>
      <c r="X613" s="10" t="s">
        <v>37</v>
      </c>
      <c r="Y613" s="10" t="s">
        <v>0</v>
      </c>
    </row>
    <row r="614">
      <c r="A614" s="10" t="s">
        <v>2317</v>
      </c>
      <c r="B614" s="11">
        <v>44293.338119594904</v>
      </c>
      <c r="C614" s="10" t="s">
        <v>181</v>
      </c>
      <c r="D614" s="10" t="s">
        <v>69</v>
      </c>
      <c r="E614" s="10" t="s">
        <v>860</v>
      </c>
      <c r="F614" s="10" t="s">
        <v>2318</v>
      </c>
      <c r="G614" s="10" t="s">
        <v>2319</v>
      </c>
      <c r="H614" s="17">
        <v>44306.375</v>
      </c>
      <c r="I614" s="17">
        <v>44306.95833333333</v>
      </c>
      <c r="J614" s="10" t="s">
        <v>73</v>
      </c>
      <c r="K614" s="10" t="s">
        <v>34</v>
      </c>
      <c r="N614" s="10" t="s">
        <v>35</v>
      </c>
      <c r="V614" s="9"/>
      <c r="W614" s="13" t="s">
        <v>78</v>
      </c>
      <c r="X614" s="10" t="s">
        <v>37</v>
      </c>
      <c r="Y614" s="10" t="s">
        <v>0</v>
      </c>
    </row>
    <row r="615">
      <c r="A615" s="10" t="s">
        <v>2320</v>
      </c>
      <c r="B615" s="11">
        <v>44285.940505590275</v>
      </c>
      <c r="C615" s="10" t="s">
        <v>387</v>
      </c>
      <c r="D615" s="10" t="s">
        <v>388</v>
      </c>
      <c r="E615" s="10" t="s">
        <v>2285</v>
      </c>
      <c r="F615" s="30" t="s">
        <v>2286</v>
      </c>
      <c r="G615" s="10" t="s">
        <v>2321</v>
      </c>
      <c r="H615" s="17">
        <v>44306.625</v>
      </c>
      <c r="I615" s="17">
        <v>44306.64583333333</v>
      </c>
      <c r="J615" s="10" t="s">
        <v>73</v>
      </c>
      <c r="K615" s="10" t="s">
        <v>34</v>
      </c>
      <c r="N615" s="10" t="s">
        <v>35</v>
      </c>
      <c r="V615" s="9"/>
      <c r="W615" s="13" t="s">
        <v>78</v>
      </c>
      <c r="X615" s="10" t="s">
        <v>37</v>
      </c>
      <c r="Y615" s="10" t="s">
        <v>0</v>
      </c>
    </row>
    <row r="616">
      <c r="A616" s="10" t="s">
        <v>2322</v>
      </c>
      <c r="B616" s="11">
        <v>44286.75664734954</v>
      </c>
      <c r="C616" s="10" t="s">
        <v>28</v>
      </c>
      <c r="D616" s="10" t="s">
        <v>29</v>
      </c>
      <c r="E616" s="10" t="s">
        <v>2323</v>
      </c>
      <c r="F616" s="10" t="s">
        <v>2324</v>
      </c>
      <c r="G616" s="10" t="s">
        <v>2325</v>
      </c>
      <c r="H616" s="24">
        <v>44303.4375</v>
      </c>
      <c r="I616" s="24">
        <v>44303.52083333333</v>
      </c>
      <c r="J616" s="10" t="s">
        <v>43</v>
      </c>
      <c r="K616" s="10" t="s">
        <v>34</v>
      </c>
      <c r="N616" s="10" t="s">
        <v>35</v>
      </c>
      <c r="V616" s="9"/>
      <c r="W616" s="13" t="s">
        <v>78</v>
      </c>
      <c r="X616" s="10" t="s">
        <v>37</v>
      </c>
      <c r="Y616" s="10" t="s">
        <v>0</v>
      </c>
    </row>
    <row r="617">
      <c r="A617" s="10" t="s">
        <v>2326</v>
      </c>
      <c r="B617" s="11">
        <v>44291.50747444444</v>
      </c>
      <c r="C617" s="10" t="s">
        <v>181</v>
      </c>
      <c r="D617" s="10" t="s">
        <v>69</v>
      </c>
      <c r="E617" s="10" t="s">
        <v>2327</v>
      </c>
      <c r="F617" s="10" t="s">
        <v>2328</v>
      </c>
      <c r="G617" s="10" t="s">
        <v>2329</v>
      </c>
      <c r="H617" s="17">
        <v>44306.77083333333</v>
      </c>
      <c r="I617" s="17">
        <v>44306.8125</v>
      </c>
      <c r="J617" s="10" t="s">
        <v>128</v>
      </c>
      <c r="K617" s="10" t="s">
        <v>34</v>
      </c>
      <c r="N617" s="10" t="s">
        <v>35</v>
      </c>
      <c r="V617" s="9"/>
      <c r="W617" s="13" t="s">
        <v>78</v>
      </c>
      <c r="X617" s="10" t="s">
        <v>37</v>
      </c>
      <c r="Y617" s="10" t="s">
        <v>0</v>
      </c>
    </row>
    <row r="618">
      <c r="A618" s="10" t="s">
        <v>2330</v>
      </c>
      <c r="B618" s="11">
        <v>44285.944226458334</v>
      </c>
      <c r="C618" s="10" t="s">
        <v>387</v>
      </c>
      <c r="D618" s="10" t="s">
        <v>388</v>
      </c>
      <c r="E618" s="10" t="s">
        <v>2285</v>
      </c>
      <c r="F618" s="30" t="s">
        <v>2331</v>
      </c>
      <c r="G618" s="10" t="s">
        <v>2332</v>
      </c>
      <c r="H618" s="17">
        <v>44307.625</v>
      </c>
      <c r="I618" s="17">
        <v>44307.64583333333</v>
      </c>
      <c r="J618" s="10" t="s">
        <v>73</v>
      </c>
      <c r="K618" s="10" t="s">
        <v>34</v>
      </c>
      <c r="N618" s="10" t="s">
        <v>35</v>
      </c>
      <c r="V618" s="9"/>
      <c r="W618" s="13" t="s">
        <v>78</v>
      </c>
      <c r="X618" s="10" t="s">
        <v>37</v>
      </c>
      <c r="Y618" s="10" t="s">
        <v>0</v>
      </c>
    </row>
    <row r="619">
      <c r="A619" s="10" t="s">
        <v>2333</v>
      </c>
      <c r="B619" s="11">
        <v>44285.94583819444</v>
      </c>
      <c r="C619" s="10" t="s">
        <v>387</v>
      </c>
      <c r="D619" s="10" t="s">
        <v>388</v>
      </c>
      <c r="E619" s="10" t="s">
        <v>2285</v>
      </c>
      <c r="F619" s="30" t="s">
        <v>2334</v>
      </c>
      <c r="G619" s="10" t="s">
        <v>2335</v>
      </c>
      <c r="H619" s="24">
        <v>44307.66666666667</v>
      </c>
      <c r="I619" s="24">
        <v>44307.70833333333</v>
      </c>
      <c r="J619" s="10" t="s">
        <v>73</v>
      </c>
      <c r="K619" s="10" t="s">
        <v>34</v>
      </c>
      <c r="N619" s="10" t="s">
        <v>35</v>
      </c>
      <c r="V619" s="9"/>
      <c r="W619" s="13" t="s">
        <v>78</v>
      </c>
      <c r="X619" s="10" t="s">
        <v>37</v>
      </c>
      <c r="Y619" s="10" t="s">
        <v>0</v>
      </c>
    </row>
    <row r="620">
      <c r="A620" s="10" t="s">
        <v>2336</v>
      </c>
      <c r="B620" s="11">
        <v>44292.545819039355</v>
      </c>
      <c r="C620" s="10" t="s">
        <v>2337</v>
      </c>
      <c r="D620" s="10" t="s">
        <v>511</v>
      </c>
      <c r="E620" s="10" t="s">
        <v>2338</v>
      </c>
      <c r="F620" s="10" t="s">
        <v>2339</v>
      </c>
      <c r="G620" s="10" t="s">
        <v>2340</v>
      </c>
      <c r="H620" s="24">
        <v>44303.64583333333</v>
      </c>
      <c r="I620" s="24">
        <v>44303.6875</v>
      </c>
      <c r="J620" s="10" t="s">
        <v>43</v>
      </c>
      <c r="K620" s="10" t="s">
        <v>34</v>
      </c>
      <c r="N620" s="10" t="s">
        <v>35</v>
      </c>
      <c r="V620" s="9"/>
      <c r="W620" s="13" t="s">
        <v>78</v>
      </c>
      <c r="X620" s="10" t="s">
        <v>37</v>
      </c>
      <c r="Y620" s="10" t="s">
        <v>0</v>
      </c>
    </row>
    <row r="621">
      <c r="A621" s="10" t="s">
        <v>2341</v>
      </c>
      <c r="B621" s="11">
        <v>44308.51017434028</v>
      </c>
      <c r="C621" s="10" t="s">
        <v>239</v>
      </c>
      <c r="D621" s="10" t="s">
        <v>240</v>
      </c>
      <c r="E621" s="10" t="s">
        <v>1975</v>
      </c>
      <c r="F621" s="10" t="s">
        <v>2342</v>
      </c>
      <c r="G621" s="10" t="s">
        <v>2343</v>
      </c>
      <c r="H621" s="16">
        <v>44303.64583333333</v>
      </c>
      <c r="I621" s="16">
        <v>44304.6875</v>
      </c>
      <c r="J621" s="10" t="s">
        <v>43</v>
      </c>
      <c r="K621" s="10" t="s">
        <v>34</v>
      </c>
      <c r="N621" s="10" t="s">
        <v>35</v>
      </c>
      <c r="V621" s="9"/>
      <c r="W621" s="13" t="s">
        <v>78</v>
      </c>
      <c r="X621" s="10" t="s">
        <v>37</v>
      </c>
      <c r="Y621" s="10" t="s">
        <v>0</v>
      </c>
    </row>
    <row r="622">
      <c r="A622" s="10" t="s">
        <v>2344</v>
      </c>
      <c r="B622" s="11">
        <v>44300.597452002316</v>
      </c>
      <c r="C622" s="10" t="s">
        <v>80</v>
      </c>
      <c r="D622" s="10" t="s">
        <v>81</v>
      </c>
      <c r="E622" s="10" t="s">
        <v>2345</v>
      </c>
      <c r="F622" s="10" t="s">
        <v>2120</v>
      </c>
      <c r="G622" s="10" t="s">
        <v>2121</v>
      </c>
      <c r="H622" s="17">
        <v>44308.33333333333</v>
      </c>
      <c r="I622" s="17">
        <v>44308.375</v>
      </c>
      <c r="J622" s="10" t="s">
        <v>73</v>
      </c>
      <c r="K622" s="10" t="s">
        <v>34</v>
      </c>
      <c r="N622" s="10" t="s">
        <v>35</v>
      </c>
      <c r="V622" s="9"/>
      <c r="W622" s="13" t="s">
        <v>78</v>
      </c>
      <c r="X622" s="10" t="s">
        <v>37</v>
      </c>
      <c r="Y622" s="10" t="s">
        <v>0</v>
      </c>
    </row>
    <row r="623">
      <c r="A623" s="10" t="s">
        <v>2346</v>
      </c>
      <c r="B623" s="11">
        <v>44294.49990109954</v>
      </c>
      <c r="C623" s="10" t="s">
        <v>181</v>
      </c>
      <c r="D623" s="10" t="s">
        <v>69</v>
      </c>
      <c r="E623" s="10" t="s">
        <v>860</v>
      </c>
      <c r="F623" s="10" t="s">
        <v>2347</v>
      </c>
      <c r="G623" s="10" t="s">
        <v>2348</v>
      </c>
      <c r="H623" s="17">
        <v>44308.375</v>
      </c>
      <c r="I623" s="17">
        <v>44308.95833333333</v>
      </c>
      <c r="J623" s="10" t="s">
        <v>73</v>
      </c>
      <c r="K623" s="10" t="s">
        <v>34</v>
      </c>
      <c r="N623" s="10" t="s">
        <v>35</v>
      </c>
      <c r="V623" s="9"/>
      <c r="W623" s="13" t="s">
        <v>78</v>
      </c>
      <c r="X623" s="13" t="s">
        <v>37</v>
      </c>
      <c r="Y623" s="13" t="s">
        <v>0</v>
      </c>
    </row>
    <row r="624">
      <c r="A624" s="10" t="s">
        <v>2349</v>
      </c>
      <c r="B624" s="11">
        <v>44299.67441422454</v>
      </c>
      <c r="C624" s="10" t="s">
        <v>2350</v>
      </c>
      <c r="D624" s="10" t="s">
        <v>2351</v>
      </c>
      <c r="E624" s="10" t="s">
        <v>2352</v>
      </c>
      <c r="F624" s="10" t="s">
        <v>2353</v>
      </c>
      <c r="G624" s="10" t="s">
        <v>2354</v>
      </c>
      <c r="H624" s="24">
        <v>44305.22916666667</v>
      </c>
      <c r="I624" s="24">
        <v>44309.20833333333</v>
      </c>
      <c r="J624" s="10" t="s">
        <v>43</v>
      </c>
      <c r="K624" s="10" t="s">
        <v>34</v>
      </c>
      <c r="N624" s="10" t="s">
        <v>296</v>
      </c>
      <c r="O624" s="18" t="s">
        <v>2355</v>
      </c>
      <c r="P624" s="10" t="s">
        <v>296</v>
      </c>
      <c r="Q624" s="10">
        <v>5.0</v>
      </c>
      <c r="R624" s="10" t="s">
        <v>296</v>
      </c>
      <c r="S624" s="10">
        <v>6.0</v>
      </c>
      <c r="T624" s="10" t="s">
        <v>35</v>
      </c>
      <c r="V624" s="9"/>
      <c r="W624" s="13" t="s">
        <v>78</v>
      </c>
      <c r="X624" s="10" t="s">
        <v>37</v>
      </c>
      <c r="Y624" s="10" t="s">
        <v>0</v>
      </c>
    </row>
    <row r="625">
      <c r="A625" s="10" t="s">
        <v>2356</v>
      </c>
      <c r="B625" s="11">
        <v>44403.62003438658</v>
      </c>
      <c r="C625" s="10" t="s">
        <v>46</v>
      </c>
      <c r="D625" s="10" t="s">
        <v>47</v>
      </c>
      <c r="E625" s="10" t="s">
        <v>2357</v>
      </c>
      <c r="F625" s="10" t="s">
        <v>2358</v>
      </c>
      <c r="G625" s="10" t="s">
        <v>2359</v>
      </c>
      <c r="H625" s="11">
        <v>44305.33333333333</v>
      </c>
      <c r="I625" s="11">
        <v>44377.75</v>
      </c>
      <c r="J625" s="10" t="s">
        <v>43</v>
      </c>
      <c r="K625" s="10" t="s">
        <v>34</v>
      </c>
      <c r="N625" s="10" t="s">
        <v>35</v>
      </c>
      <c r="V625" s="9"/>
      <c r="W625" s="13" t="s">
        <v>78</v>
      </c>
      <c r="X625" s="10" t="s">
        <v>2360</v>
      </c>
      <c r="Y625" s="10" t="s">
        <v>0</v>
      </c>
    </row>
    <row r="626">
      <c r="A626" s="10" t="s">
        <v>2361</v>
      </c>
      <c r="B626" s="11">
        <v>44299.59094401621</v>
      </c>
      <c r="C626" s="10" t="s">
        <v>539</v>
      </c>
      <c r="D626" s="10" t="s">
        <v>540</v>
      </c>
      <c r="E626" s="10" t="s">
        <v>1715</v>
      </c>
      <c r="F626" s="10" t="s">
        <v>2362</v>
      </c>
      <c r="G626" s="10" t="s">
        <v>2363</v>
      </c>
      <c r="H626" s="17">
        <v>44308.72916666667</v>
      </c>
      <c r="I626" s="17">
        <v>44308.83333333333</v>
      </c>
      <c r="J626" s="10" t="s">
        <v>73</v>
      </c>
      <c r="K626" s="10" t="s">
        <v>34</v>
      </c>
      <c r="N626" s="10" t="s">
        <v>35</v>
      </c>
      <c r="V626" s="9"/>
      <c r="W626" s="13" t="s">
        <v>78</v>
      </c>
      <c r="X626" s="10" t="s">
        <v>37</v>
      </c>
      <c r="Y626" s="10" t="s">
        <v>0</v>
      </c>
    </row>
    <row r="627">
      <c r="A627" s="10" t="s">
        <v>2364</v>
      </c>
      <c r="B627" s="11">
        <v>44300.601619918976</v>
      </c>
      <c r="C627" s="10" t="s">
        <v>80</v>
      </c>
      <c r="D627" s="10" t="s">
        <v>81</v>
      </c>
      <c r="E627" s="10" t="s">
        <v>2365</v>
      </c>
      <c r="F627" s="10" t="s">
        <v>2366</v>
      </c>
      <c r="G627" s="10" t="s">
        <v>2367</v>
      </c>
      <c r="H627" s="17">
        <v>44308.75</v>
      </c>
      <c r="I627" s="17">
        <v>44308.79166666667</v>
      </c>
      <c r="J627" s="10" t="s">
        <v>73</v>
      </c>
      <c r="K627" s="10" t="s">
        <v>34</v>
      </c>
      <c r="N627" s="10" t="s">
        <v>35</v>
      </c>
      <c r="V627" s="9"/>
      <c r="W627" s="13" t="s">
        <v>78</v>
      </c>
      <c r="X627" s="10" t="s">
        <v>37</v>
      </c>
      <c r="Y627" s="10" t="s">
        <v>0</v>
      </c>
    </row>
    <row r="628">
      <c r="A628" s="10" t="s">
        <v>2368</v>
      </c>
      <c r="B628" s="11">
        <v>44301.43671819444</v>
      </c>
      <c r="C628" s="10" t="s">
        <v>491</v>
      </c>
      <c r="D628" s="10" t="s">
        <v>492</v>
      </c>
      <c r="E628" s="10" t="s">
        <v>657</v>
      </c>
      <c r="F628" s="10" t="s">
        <v>2369</v>
      </c>
      <c r="G628" s="10" t="s">
        <v>2370</v>
      </c>
      <c r="H628" s="17">
        <v>44308.79166666667</v>
      </c>
      <c r="I628" s="17">
        <v>44308.85416666667</v>
      </c>
      <c r="J628" s="10" t="s">
        <v>128</v>
      </c>
      <c r="K628" s="10" t="s">
        <v>34</v>
      </c>
      <c r="N628" s="10" t="s">
        <v>35</v>
      </c>
      <c r="V628" s="9"/>
      <c r="W628" s="13" t="s">
        <v>78</v>
      </c>
      <c r="X628" s="10" t="s">
        <v>37</v>
      </c>
      <c r="Y628" s="10" t="s">
        <v>0</v>
      </c>
    </row>
    <row r="629">
      <c r="A629" s="10" t="s">
        <v>2371</v>
      </c>
      <c r="B629" s="11">
        <v>44292.40239962963</v>
      </c>
      <c r="C629" s="10" t="s">
        <v>150</v>
      </c>
      <c r="D629" s="10" t="s">
        <v>151</v>
      </c>
      <c r="E629" s="10" t="s">
        <v>152</v>
      </c>
      <c r="F629" s="10" t="s">
        <v>2372</v>
      </c>
      <c r="G629" s="10" t="s">
        <v>2373</v>
      </c>
      <c r="H629" s="24">
        <v>44305.70833333333</v>
      </c>
      <c r="I629" s="24">
        <v>44305.75</v>
      </c>
      <c r="J629" s="10" t="s">
        <v>43</v>
      </c>
      <c r="K629" s="10" t="s">
        <v>34</v>
      </c>
      <c r="N629" s="10" t="s">
        <v>296</v>
      </c>
      <c r="O629" s="18" t="s">
        <v>2374</v>
      </c>
      <c r="P629" s="10" t="s">
        <v>296</v>
      </c>
      <c r="Q629" s="10">
        <v>1.0</v>
      </c>
      <c r="R629" s="10" t="s">
        <v>35</v>
      </c>
      <c r="T629" s="10" t="s">
        <v>35</v>
      </c>
      <c r="V629" s="9"/>
      <c r="W629" s="13" t="s">
        <v>78</v>
      </c>
      <c r="X629" s="10" t="s">
        <v>37</v>
      </c>
      <c r="Y629" s="10" t="s">
        <v>0</v>
      </c>
    </row>
    <row r="630">
      <c r="A630" s="10" t="s">
        <v>2375</v>
      </c>
      <c r="B630" s="11">
        <v>44295.50743702546</v>
      </c>
      <c r="C630" s="10" t="s">
        <v>209</v>
      </c>
      <c r="D630" s="10" t="s">
        <v>210</v>
      </c>
      <c r="E630" s="10" t="s">
        <v>261</v>
      </c>
      <c r="F630" s="10" t="s">
        <v>2183</v>
      </c>
      <c r="G630" s="10" t="s">
        <v>2376</v>
      </c>
      <c r="H630" s="17">
        <v>44309.47916666667</v>
      </c>
      <c r="I630" s="17">
        <v>44309.52083333333</v>
      </c>
      <c r="J630" s="10" t="s">
        <v>33</v>
      </c>
      <c r="K630" s="10" t="s">
        <v>34</v>
      </c>
      <c r="N630" s="10" t="s">
        <v>35</v>
      </c>
      <c r="V630" s="9"/>
      <c r="W630" s="13" t="s">
        <v>78</v>
      </c>
      <c r="X630" s="13" t="s">
        <v>37</v>
      </c>
      <c r="Y630" s="13" t="s">
        <v>0</v>
      </c>
    </row>
    <row r="631">
      <c r="A631" s="10" t="s">
        <v>2377</v>
      </c>
      <c r="B631" s="11">
        <v>44291.3443815625</v>
      </c>
      <c r="C631" s="10" t="s">
        <v>137</v>
      </c>
      <c r="D631" s="10" t="s">
        <v>138</v>
      </c>
      <c r="E631" s="10" t="s">
        <v>139</v>
      </c>
      <c r="F631" s="10" t="s">
        <v>482</v>
      </c>
      <c r="G631" s="10" t="s">
        <v>2378</v>
      </c>
      <c r="H631" s="17">
        <v>44309.58333333333</v>
      </c>
      <c r="I631" s="17">
        <v>44309.66666666667</v>
      </c>
      <c r="J631" s="10" t="s">
        <v>128</v>
      </c>
      <c r="K631" s="10" t="s">
        <v>34</v>
      </c>
      <c r="N631" s="10" t="s">
        <v>35</v>
      </c>
      <c r="V631" s="9"/>
      <c r="W631" s="13" t="s">
        <v>78</v>
      </c>
      <c r="X631" s="10" t="s">
        <v>37</v>
      </c>
      <c r="Y631" s="10" t="s">
        <v>0</v>
      </c>
    </row>
    <row r="632">
      <c r="A632" s="10" t="s">
        <v>2379</v>
      </c>
      <c r="B632" s="11">
        <v>44298.77272652778</v>
      </c>
      <c r="C632" s="10" t="s">
        <v>150</v>
      </c>
      <c r="D632" s="10" t="s">
        <v>151</v>
      </c>
      <c r="E632" s="10" t="s">
        <v>152</v>
      </c>
      <c r="F632" s="10" t="s">
        <v>2380</v>
      </c>
      <c r="G632" s="10" t="s">
        <v>2381</v>
      </c>
      <c r="H632" s="24">
        <v>44305.72916666667</v>
      </c>
      <c r="I632" s="24">
        <v>44309.70833333333</v>
      </c>
      <c r="J632" s="10" t="s">
        <v>43</v>
      </c>
      <c r="K632" s="10" t="s">
        <v>34</v>
      </c>
      <c r="N632" s="10" t="s">
        <v>35</v>
      </c>
      <c r="V632" s="9"/>
      <c r="W632" s="13" t="s">
        <v>78</v>
      </c>
      <c r="X632" s="10" t="s">
        <v>37</v>
      </c>
      <c r="Y632" s="10" t="s">
        <v>0</v>
      </c>
    </row>
    <row r="633">
      <c r="A633" s="10" t="s">
        <v>2382</v>
      </c>
      <c r="B633" s="11">
        <v>44285.948301076394</v>
      </c>
      <c r="C633" s="10" t="s">
        <v>387</v>
      </c>
      <c r="D633" s="10" t="s">
        <v>388</v>
      </c>
      <c r="E633" s="10" t="s">
        <v>2285</v>
      </c>
      <c r="F633" s="30" t="s">
        <v>2286</v>
      </c>
      <c r="G633" s="10" t="s">
        <v>2383</v>
      </c>
      <c r="H633" s="24">
        <v>44309.625</v>
      </c>
      <c r="I633" s="24">
        <v>44309.6875</v>
      </c>
      <c r="J633" s="10" t="s">
        <v>73</v>
      </c>
      <c r="K633" s="10" t="s">
        <v>34</v>
      </c>
      <c r="N633" s="10" t="s">
        <v>35</v>
      </c>
      <c r="V633" s="9"/>
      <c r="W633" s="13" t="s">
        <v>78</v>
      </c>
      <c r="X633" s="10" t="s">
        <v>37</v>
      </c>
      <c r="Y633" s="10" t="s">
        <v>0</v>
      </c>
    </row>
    <row r="634">
      <c r="A634" s="10" t="s">
        <v>2384</v>
      </c>
      <c r="B634" s="11">
        <v>44298.80172383101</v>
      </c>
      <c r="C634" s="10" t="s">
        <v>150</v>
      </c>
      <c r="D634" s="10" t="s">
        <v>151</v>
      </c>
      <c r="E634" s="10" t="s">
        <v>152</v>
      </c>
      <c r="F634" s="10" t="s">
        <v>2385</v>
      </c>
      <c r="G634" s="10" t="s">
        <v>2386</v>
      </c>
      <c r="H634" s="24">
        <v>44305.72916666667</v>
      </c>
      <c r="I634" s="24">
        <v>44305.77083333333</v>
      </c>
      <c r="J634" s="10" t="s">
        <v>43</v>
      </c>
      <c r="K634" s="10" t="s">
        <v>34</v>
      </c>
      <c r="N634" s="10" t="s">
        <v>296</v>
      </c>
      <c r="O634" s="18" t="s">
        <v>2387</v>
      </c>
      <c r="P634" s="10" t="s">
        <v>296</v>
      </c>
      <c r="Q634" s="10">
        <v>2.0</v>
      </c>
      <c r="R634" s="10" t="s">
        <v>35</v>
      </c>
      <c r="T634" s="10" t="s">
        <v>35</v>
      </c>
      <c r="V634" s="9"/>
      <c r="W634" s="13" t="s">
        <v>78</v>
      </c>
      <c r="X634" s="10" t="s">
        <v>37</v>
      </c>
      <c r="Y634" s="10" t="s">
        <v>0</v>
      </c>
    </row>
    <row r="635">
      <c r="A635" s="10" t="s">
        <v>2388</v>
      </c>
      <c r="B635" s="11">
        <v>44285.93544832176</v>
      </c>
      <c r="C635" s="10" t="s">
        <v>387</v>
      </c>
      <c r="D635" s="10" t="s">
        <v>388</v>
      </c>
      <c r="E635" s="10" t="s">
        <v>2285</v>
      </c>
      <c r="F635" s="30" t="s">
        <v>2286</v>
      </c>
      <c r="G635" s="10" t="s">
        <v>2389</v>
      </c>
      <c r="H635" s="24">
        <v>44305.79166666667</v>
      </c>
      <c r="I635" s="24">
        <v>44305.875</v>
      </c>
      <c r="J635" s="10" t="s">
        <v>43</v>
      </c>
      <c r="K635" s="10" t="s">
        <v>34</v>
      </c>
      <c r="N635" s="10" t="s">
        <v>296</v>
      </c>
      <c r="O635" s="18" t="s">
        <v>2390</v>
      </c>
      <c r="P635" s="10" t="s">
        <v>296</v>
      </c>
      <c r="Q635" s="10">
        <v>1.0</v>
      </c>
      <c r="R635" s="10" t="s">
        <v>35</v>
      </c>
      <c r="T635" s="10" t="s">
        <v>35</v>
      </c>
      <c r="V635" s="9"/>
      <c r="W635" s="13" t="s">
        <v>78</v>
      </c>
      <c r="X635" s="10" t="s">
        <v>37</v>
      </c>
      <c r="Y635" s="10" t="s">
        <v>0</v>
      </c>
    </row>
    <row r="636">
      <c r="A636" s="10" t="s">
        <v>2391</v>
      </c>
      <c r="B636" s="11">
        <v>44291.6697255787</v>
      </c>
      <c r="C636" s="10" t="s">
        <v>671</v>
      </c>
      <c r="D636" s="10" t="s">
        <v>672</v>
      </c>
      <c r="E636" s="10" t="s">
        <v>2392</v>
      </c>
      <c r="F636" s="10" t="s">
        <v>2393</v>
      </c>
      <c r="G636" s="10" t="s">
        <v>2394</v>
      </c>
      <c r="H636" s="24">
        <v>44305.8125</v>
      </c>
      <c r="I636" s="24">
        <v>44309.89583333333</v>
      </c>
      <c r="J636" s="10" t="s">
        <v>43</v>
      </c>
      <c r="K636" s="10" t="s">
        <v>34</v>
      </c>
      <c r="N636" s="10" t="s">
        <v>35</v>
      </c>
      <c r="V636" s="9"/>
      <c r="W636" s="13" t="s">
        <v>78</v>
      </c>
      <c r="X636" s="10" t="s">
        <v>37</v>
      </c>
      <c r="Y636" s="10" t="s">
        <v>0</v>
      </c>
    </row>
    <row r="637">
      <c r="A637" s="10" t="s">
        <v>2395</v>
      </c>
      <c r="B637" s="11">
        <v>44305.508228645835</v>
      </c>
      <c r="C637" s="10" t="s">
        <v>694</v>
      </c>
      <c r="D637" s="10" t="s">
        <v>695</v>
      </c>
      <c r="E637" s="10" t="s">
        <v>696</v>
      </c>
      <c r="F637" s="10" t="s">
        <v>2396</v>
      </c>
      <c r="G637" s="10" t="s">
        <v>2397</v>
      </c>
      <c r="H637" s="16">
        <v>44306.35416666667</v>
      </c>
      <c r="I637" s="16">
        <v>44311.6875</v>
      </c>
      <c r="J637" s="10" t="s">
        <v>43</v>
      </c>
      <c r="K637" s="10" t="s">
        <v>34</v>
      </c>
      <c r="N637" s="10" t="s">
        <v>35</v>
      </c>
      <c r="V637" s="9"/>
      <c r="W637" s="13" t="s">
        <v>78</v>
      </c>
      <c r="X637" s="10" t="s">
        <v>37</v>
      </c>
      <c r="Y637" s="10" t="s">
        <v>0</v>
      </c>
    </row>
    <row r="638">
      <c r="A638" s="10" t="s">
        <v>2398</v>
      </c>
      <c r="B638" s="11">
        <v>44295.571708414354</v>
      </c>
      <c r="C638" s="10" t="s">
        <v>209</v>
      </c>
      <c r="D638" s="10" t="s">
        <v>210</v>
      </c>
      <c r="E638" s="10" t="s">
        <v>261</v>
      </c>
      <c r="F638" s="10" t="s">
        <v>1431</v>
      </c>
      <c r="G638" s="10" t="s">
        <v>2399</v>
      </c>
      <c r="H638" s="17">
        <v>44309.77083333333</v>
      </c>
      <c r="I638" s="17">
        <v>44309.8125</v>
      </c>
      <c r="J638" s="10" t="s">
        <v>33</v>
      </c>
      <c r="K638" s="10" t="s">
        <v>34</v>
      </c>
      <c r="N638" s="10" t="s">
        <v>35</v>
      </c>
      <c r="V638" s="9"/>
      <c r="W638" s="13" t="s">
        <v>78</v>
      </c>
      <c r="X638" s="10" t="s">
        <v>37</v>
      </c>
      <c r="Y638" s="10" t="s">
        <v>0</v>
      </c>
    </row>
    <row r="639">
      <c r="A639" s="10" t="s">
        <v>2400</v>
      </c>
      <c r="B639" s="11">
        <v>44273.55505465278</v>
      </c>
      <c r="C639" s="10" t="s">
        <v>150</v>
      </c>
      <c r="D639" s="10" t="s">
        <v>151</v>
      </c>
      <c r="E639" s="10" t="s">
        <v>152</v>
      </c>
      <c r="F639" s="10" t="s">
        <v>2401</v>
      </c>
      <c r="G639" s="10" t="s">
        <v>2402</v>
      </c>
      <c r="H639" s="17">
        <v>44310.375</v>
      </c>
      <c r="I639" s="17">
        <v>44310.45833333333</v>
      </c>
      <c r="J639" s="10" t="s">
        <v>60</v>
      </c>
      <c r="K639" s="10" t="s">
        <v>61</v>
      </c>
      <c r="N639" s="10" t="s">
        <v>35</v>
      </c>
      <c r="V639" s="9"/>
      <c r="W639" s="13" t="s">
        <v>78</v>
      </c>
      <c r="X639" s="10" t="s">
        <v>37</v>
      </c>
      <c r="Y639" s="10" t="s">
        <v>0</v>
      </c>
    </row>
    <row r="640">
      <c r="A640" s="10" t="s">
        <v>2403</v>
      </c>
      <c r="B640" s="11">
        <v>44296.58331688658</v>
      </c>
      <c r="C640" s="10" t="s">
        <v>181</v>
      </c>
      <c r="D640" s="10" t="s">
        <v>69</v>
      </c>
      <c r="E640" s="10" t="s">
        <v>860</v>
      </c>
      <c r="F640" s="10" t="s">
        <v>2404</v>
      </c>
      <c r="G640" s="10" t="s">
        <v>2405</v>
      </c>
      <c r="H640" s="17">
        <v>44310.375</v>
      </c>
      <c r="I640" s="17">
        <v>44310.95833333333</v>
      </c>
      <c r="J640" s="10" t="s">
        <v>73</v>
      </c>
      <c r="K640" s="10" t="s">
        <v>34</v>
      </c>
      <c r="N640" s="10" t="s">
        <v>35</v>
      </c>
      <c r="V640" s="9"/>
      <c r="W640" s="13" t="s">
        <v>78</v>
      </c>
      <c r="X640" s="10" t="s">
        <v>37</v>
      </c>
      <c r="Y640" s="10" t="s">
        <v>0</v>
      </c>
    </row>
    <row r="641">
      <c r="A641" s="10" t="s">
        <v>2406</v>
      </c>
      <c r="B641" s="11">
        <v>44298.83146938657</v>
      </c>
      <c r="C641" s="10" t="s">
        <v>150</v>
      </c>
      <c r="D641" s="10" t="s">
        <v>151</v>
      </c>
      <c r="E641" s="10" t="s">
        <v>152</v>
      </c>
      <c r="F641" s="10" t="s">
        <v>2407</v>
      </c>
      <c r="G641" s="10" t="s">
        <v>2408</v>
      </c>
      <c r="H641" s="17">
        <v>44310.41666666667</v>
      </c>
      <c r="I641" s="17">
        <v>44310.5</v>
      </c>
      <c r="J641" s="10" t="s">
        <v>128</v>
      </c>
      <c r="K641" s="10" t="s">
        <v>34</v>
      </c>
      <c r="N641" s="10" t="s">
        <v>35</v>
      </c>
      <c r="V641" s="9"/>
      <c r="W641" s="13" t="s">
        <v>78</v>
      </c>
      <c r="X641" s="10" t="s">
        <v>37</v>
      </c>
      <c r="Y641" s="10" t="s">
        <v>0</v>
      </c>
    </row>
    <row r="642">
      <c r="A642" s="10" t="s">
        <v>2409</v>
      </c>
      <c r="B642" s="11">
        <v>44295.82839311342</v>
      </c>
      <c r="C642" s="10" t="s">
        <v>209</v>
      </c>
      <c r="D642" s="10" t="s">
        <v>210</v>
      </c>
      <c r="E642" s="10" t="s">
        <v>261</v>
      </c>
      <c r="F642" s="10" t="s">
        <v>2254</v>
      </c>
      <c r="G642" s="10" t="s">
        <v>2410</v>
      </c>
      <c r="H642" s="17">
        <v>44310.60416666667</v>
      </c>
      <c r="I642" s="17">
        <v>44310.64583333333</v>
      </c>
      <c r="J642" s="10" t="s">
        <v>128</v>
      </c>
      <c r="K642" s="10" t="s">
        <v>34</v>
      </c>
      <c r="N642" s="10" t="s">
        <v>35</v>
      </c>
      <c r="V642" s="9"/>
      <c r="W642" s="13" t="s">
        <v>78</v>
      </c>
      <c r="X642" s="10" t="s">
        <v>37</v>
      </c>
      <c r="Y642" s="10" t="s">
        <v>0</v>
      </c>
    </row>
    <row r="643">
      <c r="A643" s="10" t="s">
        <v>2411</v>
      </c>
      <c r="B643" s="11">
        <v>44298.818499409725</v>
      </c>
      <c r="C643" s="10" t="s">
        <v>150</v>
      </c>
      <c r="D643" s="10" t="s">
        <v>151</v>
      </c>
      <c r="E643" s="10" t="s">
        <v>152</v>
      </c>
      <c r="F643" s="10" t="s">
        <v>2412</v>
      </c>
      <c r="G643" s="10" t="s">
        <v>2413</v>
      </c>
      <c r="H643" s="24">
        <v>44306.70833333333</v>
      </c>
      <c r="I643" s="24">
        <v>44306.75</v>
      </c>
      <c r="J643" s="10" t="s">
        <v>43</v>
      </c>
      <c r="K643" s="10" t="s">
        <v>34</v>
      </c>
      <c r="N643" s="10" t="s">
        <v>296</v>
      </c>
      <c r="O643" s="18" t="s">
        <v>2414</v>
      </c>
      <c r="P643" s="10" t="s">
        <v>296</v>
      </c>
      <c r="Q643" s="10">
        <v>2.0</v>
      </c>
      <c r="R643" s="10" t="s">
        <v>35</v>
      </c>
      <c r="T643" s="10" t="s">
        <v>35</v>
      </c>
      <c r="V643" s="9"/>
      <c r="W643" s="13" t="s">
        <v>78</v>
      </c>
      <c r="X643" s="10" t="s">
        <v>37</v>
      </c>
      <c r="Y643" s="10" t="s">
        <v>0</v>
      </c>
    </row>
    <row r="644">
      <c r="A644" s="10" t="s">
        <v>2415</v>
      </c>
      <c r="B644" s="11">
        <v>44299.59231574074</v>
      </c>
      <c r="C644" s="10" t="s">
        <v>539</v>
      </c>
      <c r="D644" s="10" t="s">
        <v>540</v>
      </c>
      <c r="E644" s="10" t="s">
        <v>1715</v>
      </c>
      <c r="F644" s="10" t="s">
        <v>2416</v>
      </c>
      <c r="G644" s="10" t="s">
        <v>2417</v>
      </c>
      <c r="H644" s="17">
        <v>44310.72916666667</v>
      </c>
      <c r="I644" s="17">
        <v>44310.77083333333</v>
      </c>
      <c r="J644" s="10" t="s">
        <v>73</v>
      </c>
      <c r="K644" s="10" t="s">
        <v>34</v>
      </c>
      <c r="N644" s="10" t="s">
        <v>35</v>
      </c>
      <c r="V644" s="9"/>
      <c r="W644" s="13" t="s">
        <v>78</v>
      </c>
      <c r="X644" s="10" t="s">
        <v>37</v>
      </c>
      <c r="Y644" s="10" t="s">
        <v>0</v>
      </c>
    </row>
    <row r="645">
      <c r="A645" s="10" t="s">
        <v>2418</v>
      </c>
      <c r="B645" s="11">
        <v>44299.61041003472</v>
      </c>
      <c r="C645" s="10" t="s">
        <v>539</v>
      </c>
      <c r="D645" s="10" t="s">
        <v>540</v>
      </c>
      <c r="E645" s="10" t="s">
        <v>1715</v>
      </c>
      <c r="F645" s="10" t="s">
        <v>2419</v>
      </c>
      <c r="G645" s="10" t="s">
        <v>2420</v>
      </c>
      <c r="H645" s="17">
        <v>44311.72916666667</v>
      </c>
      <c r="I645" s="17">
        <v>44311.83333333333</v>
      </c>
      <c r="J645" s="10" t="s">
        <v>73</v>
      </c>
      <c r="K645" s="10" t="s">
        <v>34</v>
      </c>
      <c r="N645" s="10" t="s">
        <v>35</v>
      </c>
      <c r="V645" s="9"/>
      <c r="W645" s="13" t="s">
        <v>78</v>
      </c>
      <c r="X645" s="10" t="s">
        <v>37</v>
      </c>
      <c r="Y645" s="10" t="s">
        <v>0</v>
      </c>
    </row>
    <row r="646">
      <c r="A646" s="10" t="s">
        <v>2421</v>
      </c>
      <c r="B646" s="11">
        <v>44295.79187696759</v>
      </c>
      <c r="C646" s="10" t="s">
        <v>209</v>
      </c>
      <c r="D646" s="10" t="s">
        <v>210</v>
      </c>
      <c r="E646" s="10" t="s">
        <v>261</v>
      </c>
      <c r="F646" s="10" t="s">
        <v>2282</v>
      </c>
      <c r="G646" s="10" t="s">
        <v>2283</v>
      </c>
      <c r="H646" s="17">
        <v>44312.5625</v>
      </c>
      <c r="I646" s="17">
        <v>44312.60416666667</v>
      </c>
      <c r="J646" s="10" t="s">
        <v>33</v>
      </c>
      <c r="K646" s="10" t="s">
        <v>34</v>
      </c>
      <c r="N646" s="10" t="s">
        <v>35</v>
      </c>
      <c r="V646" s="9"/>
      <c r="W646" s="13" t="s">
        <v>78</v>
      </c>
      <c r="X646" s="10" t="s">
        <v>37</v>
      </c>
      <c r="Y646" s="10" t="s">
        <v>0</v>
      </c>
    </row>
    <row r="647">
      <c r="A647" s="10" t="s">
        <v>2422</v>
      </c>
      <c r="B647" s="11">
        <v>44296.71738041667</v>
      </c>
      <c r="C647" s="10" t="s">
        <v>181</v>
      </c>
      <c r="D647" s="10" t="s">
        <v>69</v>
      </c>
      <c r="E647" s="10" t="s">
        <v>860</v>
      </c>
      <c r="F647" s="10" t="s">
        <v>2423</v>
      </c>
      <c r="G647" s="10" t="s">
        <v>2424</v>
      </c>
      <c r="H647" s="17">
        <v>44313.375</v>
      </c>
      <c r="I647" s="17">
        <v>44313.95833333333</v>
      </c>
      <c r="J647" s="10" t="s">
        <v>73</v>
      </c>
      <c r="K647" s="10" t="s">
        <v>34</v>
      </c>
      <c r="N647" s="10" t="s">
        <v>35</v>
      </c>
      <c r="V647" s="9"/>
      <c r="W647" s="13" t="s">
        <v>78</v>
      </c>
      <c r="X647" s="10" t="s">
        <v>37</v>
      </c>
      <c r="Y647" s="10" t="s">
        <v>0</v>
      </c>
    </row>
    <row r="648">
      <c r="A648" s="10" t="s">
        <v>2425</v>
      </c>
      <c r="B648" s="11">
        <v>44305.433408310186</v>
      </c>
      <c r="C648" s="10" t="s">
        <v>539</v>
      </c>
      <c r="D648" s="10" t="s">
        <v>540</v>
      </c>
      <c r="E648" s="10" t="s">
        <v>541</v>
      </c>
      <c r="F648" s="10" t="s">
        <v>2426</v>
      </c>
      <c r="G648" s="10" t="s">
        <v>2427</v>
      </c>
      <c r="H648" s="16">
        <v>44307.29166666667</v>
      </c>
      <c r="I648" s="16">
        <v>44315.83333333333</v>
      </c>
      <c r="J648" s="10" t="s">
        <v>43</v>
      </c>
      <c r="K648" s="10" t="s">
        <v>34</v>
      </c>
      <c r="N648" s="10" t="s">
        <v>296</v>
      </c>
      <c r="O648" s="18" t="s">
        <v>2428</v>
      </c>
      <c r="P648" s="10" t="s">
        <v>296</v>
      </c>
      <c r="Q648" s="10">
        <v>4.0</v>
      </c>
      <c r="R648" s="10" t="s">
        <v>296</v>
      </c>
      <c r="S648" s="10">
        <v>1.0</v>
      </c>
      <c r="T648" s="10" t="s">
        <v>296</v>
      </c>
      <c r="U648" s="10">
        <v>2.0</v>
      </c>
      <c r="V648" s="27"/>
      <c r="W648" s="13" t="s">
        <v>78</v>
      </c>
      <c r="X648" s="10" t="s">
        <v>37</v>
      </c>
      <c r="Y648" s="10" t="s">
        <v>0</v>
      </c>
    </row>
    <row r="649">
      <c r="A649" s="10" t="s">
        <v>2429</v>
      </c>
      <c r="B649" s="11">
        <v>44295.507835717595</v>
      </c>
      <c r="C649" s="10" t="s">
        <v>209</v>
      </c>
      <c r="D649" s="10" t="s">
        <v>210</v>
      </c>
      <c r="E649" s="10" t="s">
        <v>261</v>
      </c>
      <c r="F649" s="10" t="s">
        <v>2183</v>
      </c>
      <c r="G649" s="10" t="s">
        <v>2376</v>
      </c>
      <c r="H649" s="17">
        <v>44316.47916666667</v>
      </c>
      <c r="I649" s="17">
        <v>44316.52083333333</v>
      </c>
      <c r="J649" s="10" t="s">
        <v>33</v>
      </c>
      <c r="K649" s="10" t="s">
        <v>34</v>
      </c>
      <c r="N649" s="10" t="s">
        <v>35</v>
      </c>
      <c r="V649" s="9"/>
      <c r="W649" s="13" t="s">
        <v>78</v>
      </c>
      <c r="X649" s="13" t="s">
        <v>37</v>
      </c>
      <c r="Y649" s="13" t="s">
        <v>0</v>
      </c>
    </row>
    <row r="650">
      <c r="A650" s="10" t="s">
        <v>2430</v>
      </c>
      <c r="B650" s="11">
        <v>44291.34539314815</v>
      </c>
      <c r="C650" s="10" t="s">
        <v>137</v>
      </c>
      <c r="D650" s="10" t="s">
        <v>138</v>
      </c>
      <c r="E650" s="10" t="s">
        <v>139</v>
      </c>
      <c r="F650" s="10" t="s">
        <v>482</v>
      </c>
      <c r="G650" s="10" t="s">
        <v>2431</v>
      </c>
      <c r="H650" s="17">
        <v>44316.58333333333</v>
      </c>
      <c r="I650" s="17">
        <v>44316.66666666667</v>
      </c>
      <c r="J650" s="10" t="s">
        <v>128</v>
      </c>
      <c r="K650" s="10" t="s">
        <v>34</v>
      </c>
      <c r="N650" s="10" t="s">
        <v>35</v>
      </c>
      <c r="V650" s="9"/>
      <c r="W650" s="13" t="s">
        <v>78</v>
      </c>
      <c r="X650" s="10" t="s">
        <v>37</v>
      </c>
      <c r="Y650" s="10" t="s">
        <v>0</v>
      </c>
    </row>
    <row r="651">
      <c r="A651" s="10" t="s">
        <v>2432</v>
      </c>
      <c r="B651" s="11">
        <v>44289.78214744213</v>
      </c>
      <c r="C651" s="10" t="s">
        <v>239</v>
      </c>
      <c r="D651" s="10" t="s">
        <v>240</v>
      </c>
      <c r="E651" s="10" t="s">
        <v>2041</v>
      </c>
      <c r="F651" s="10" t="s">
        <v>2433</v>
      </c>
      <c r="G651" s="10" t="s">
        <v>2434</v>
      </c>
      <c r="H651" s="17">
        <v>44316.72916666667</v>
      </c>
      <c r="I651" s="17">
        <v>44316.77083333333</v>
      </c>
      <c r="J651" s="10" t="s">
        <v>128</v>
      </c>
      <c r="K651" s="10" t="s">
        <v>34</v>
      </c>
      <c r="N651" s="10" t="s">
        <v>35</v>
      </c>
      <c r="V651" s="9"/>
      <c r="W651" s="13" t="s">
        <v>78</v>
      </c>
      <c r="X651" s="10" t="s">
        <v>37</v>
      </c>
      <c r="Y651" s="10" t="s">
        <v>0</v>
      </c>
    </row>
    <row r="652">
      <c r="A652" s="10" t="s">
        <v>2435</v>
      </c>
      <c r="B652" s="11">
        <v>44295.57443857639</v>
      </c>
      <c r="C652" s="10" t="s">
        <v>209</v>
      </c>
      <c r="D652" s="10" t="s">
        <v>210</v>
      </c>
      <c r="E652" s="10" t="s">
        <v>261</v>
      </c>
      <c r="F652" s="10" t="s">
        <v>1431</v>
      </c>
      <c r="G652" s="10" t="s">
        <v>2436</v>
      </c>
      <c r="H652" s="17">
        <v>44316.77083333333</v>
      </c>
      <c r="I652" s="17">
        <v>44316.8125</v>
      </c>
      <c r="J652" s="10" t="s">
        <v>128</v>
      </c>
      <c r="K652" s="10" t="s">
        <v>34</v>
      </c>
      <c r="N652" s="10" t="s">
        <v>35</v>
      </c>
      <c r="V652" s="9"/>
      <c r="W652" s="13" t="s">
        <v>78</v>
      </c>
      <c r="X652" s="10" t="s">
        <v>37</v>
      </c>
      <c r="Y652" s="10" t="s">
        <v>0</v>
      </c>
    </row>
    <row r="653">
      <c r="A653" s="10" t="s">
        <v>2437</v>
      </c>
      <c r="B653" s="11">
        <v>44298.82306899306</v>
      </c>
      <c r="C653" s="10" t="s">
        <v>150</v>
      </c>
      <c r="D653" s="10" t="s">
        <v>151</v>
      </c>
      <c r="E653" s="10" t="s">
        <v>2438</v>
      </c>
      <c r="F653" s="10" t="s">
        <v>2439</v>
      </c>
      <c r="G653" s="10" t="s">
        <v>2440</v>
      </c>
      <c r="H653" s="24">
        <v>44307.70833333333</v>
      </c>
      <c r="I653" s="24">
        <v>44307.75</v>
      </c>
      <c r="J653" s="10" t="s">
        <v>43</v>
      </c>
      <c r="K653" s="10" t="s">
        <v>34</v>
      </c>
      <c r="N653" s="10" t="s">
        <v>296</v>
      </c>
      <c r="O653" s="18" t="s">
        <v>2441</v>
      </c>
      <c r="P653" s="10" t="s">
        <v>296</v>
      </c>
      <c r="Q653" s="10">
        <v>1.0</v>
      </c>
      <c r="R653" s="10" t="s">
        <v>35</v>
      </c>
      <c r="T653" s="10" t="s">
        <v>35</v>
      </c>
      <c r="V653" s="9"/>
      <c r="W653" s="13" t="s">
        <v>78</v>
      </c>
      <c r="X653" s="10" t="s">
        <v>37</v>
      </c>
      <c r="Y653" s="10" t="s">
        <v>0</v>
      </c>
    </row>
    <row r="654">
      <c r="A654" s="10" t="s">
        <v>2442</v>
      </c>
      <c r="B654" s="11">
        <v>44296.71814215278</v>
      </c>
      <c r="C654" s="10" t="s">
        <v>181</v>
      </c>
      <c r="D654" s="10" t="s">
        <v>69</v>
      </c>
      <c r="E654" s="10" t="s">
        <v>860</v>
      </c>
      <c r="F654" s="10" t="s">
        <v>2443</v>
      </c>
      <c r="G654" s="10" t="s">
        <v>2444</v>
      </c>
      <c r="H654" s="17">
        <v>44317.375</v>
      </c>
      <c r="I654" s="17">
        <v>44317.95833333333</v>
      </c>
      <c r="J654" s="10" t="s">
        <v>73</v>
      </c>
      <c r="K654" s="10" t="s">
        <v>34</v>
      </c>
      <c r="N654" s="10" t="s">
        <v>35</v>
      </c>
      <c r="V654" s="9"/>
      <c r="W654" s="13" t="s">
        <v>78</v>
      </c>
      <c r="X654" s="10" t="s">
        <v>37</v>
      </c>
      <c r="Y654" s="10" t="s">
        <v>0</v>
      </c>
    </row>
    <row r="655">
      <c r="A655" s="10" t="s">
        <v>2445</v>
      </c>
      <c r="B655" s="11">
        <v>44295.828935150465</v>
      </c>
      <c r="C655" s="10" t="s">
        <v>209</v>
      </c>
      <c r="D655" s="10" t="s">
        <v>210</v>
      </c>
      <c r="E655" s="10" t="s">
        <v>261</v>
      </c>
      <c r="F655" s="10" t="s">
        <v>2254</v>
      </c>
      <c r="G655" s="10" t="s">
        <v>2410</v>
      </c>
      <c r="H655" s="17">
        <v>44317.60416666667</v>
      </c>
      <c r="I655" s="17">
        <v>44317.64583333333</v>
      </c>
      <c r="J655" s="10" t="s">
        <v>128</v>
      </c>
      <c r="K655" s="10" t="s">
        <v>34</v>
      </c>
      <c r="N655" s="10" t="s">
        <v>35</v>
      </c>
      <c r="V655" s="9"/>
      <c r="W655" s="13" t="s">
        <v>78</v>
      </c>
      <c r="X655" s="10" t="s">
        <v>37</v>
      </c>
      <c r="Y655" s="10" t="s">
        <v>0</v>
      </c>
    </row>
    <row r="656">
      <c r="A656" s="10" t="s">
        <v>2446</v>
      </c>
      <c r="B656" s="11">
        <v>44263.69912670139</v>
      </c>
      <c r="C656" s="10" t="s">
        <v>336</v>
      </c>
      <c r="D656" s="10" t="s">
        <v>337</v>
      </c>
      <c r="E656" s="10" t="s">
        <v>1892</v>
      </c>
      <c r="F656" s="10" t="s">
        <v>1893</v>
      </c>
      <c r="G656" s="10" t="s">
        <v>1894</v>
      </c>
      <c r="H656" s="17">
        <v>44317.66666666667</v>
      </c>
      <c r="I656" s="17">
        <v>44317.72916666667</v>
      </c>
      <c r="J656" s="10" t="s">
        <v>128</v>
      </c>
      <c r="K656" s="10" t="s">
        <v>34</v>
      </c>
      <c r="N656" s="10" t="s">
        <v>35</v>
      </c>
      <c r="V656" s="9"/>
      <c r="W656" s="13" t="s">
        <v>78</v>
      </c>
      <c r="X656" s="10" t="s">
        <v>37</v>
      </c>
      <c r="Y656" s="10" t="s">
        <v>0</v>
      </c>
    </row>
    <row r="657">
      <c r="A657" s="10" t="s">
        <v>2447</v>
      </c>
      <c r="B657" s="11">
        <v>44295.79243086805</v>
      </c>
      <c r="C657" s="10" t="s">
        <v>209</v>
      </c>
      <c r="D657" s="10" t="s">
        <v>210</v>
      </c>
      <c r="E657" s="10" t="s">
        <v>261</v>
      </c>
      <c r="F657" s="10" t="s">
        <v>2282</v>
      </c>
      <c r="G657" s="10" t="s">
        <v>2283</v>
      </c>
      <c r="H657" s="17">
        <v>44319.5625</v>
      </c>
      <c r="I657" s="17">
        <v>44319.60416666667</v>
      </c>
      <c r="J657" s="10" t="s">
        <v>33</v>
      </c>
      <c r="K657" s="10" t="s">
        <v>34</v>
      </c>
      <c r="N657" s="10" t="s">
        <v>35</v>
      </c>
      <c r="V657" s="9"/>
      <c r="W657" s="13" t="s">
        <v>78</v>
      </c>
      <c r="X657" s="10" t="s">
        <v>37</v>
      </c>
      <c r="Y657" s="10" t="s">
        <v>0</v>
      </c>
    </row>
    <row r="658">
      <c r="A658" s="10" t="s">
        <v>2448</v>
      </c>
      <c r="B658" s="11">
        <v>44291.50620481481</v>
      </c>
      <c r="C658" s="10" t="s">
        <v>181</v>
      </c>
      <c r="D658" s="10" t="s">
        <v>69</v>
      </c>
      <c r="E658" s="10" t="s">
        <v>2327</v>
      </c>
      <c r="F658" s="10" t="s">
        <v>2449</v>
      </c>
      <c r="G658" s="10" t="s">
        <v>2449</v>
      </c>
      <c r="H658" s="17">
        <v>44320.77083333333</v>
      </c>
      <c r="I658" s="17">
        <v>44320.8125</v>
      </c>
      <c r="J658" s="10" t="s">
        <v>128</v>
      </c>
      <c r="K658" s="10" t="s">
        <v>34</v>
      </c>
      <c r="N658" s="10" t="s">
        <v>35</v>
      </c>
      <c r="V658" s="9"/>
      <c r="W658" s="13" t="s">
        <v>78</v>
      </c>
      <c r="X658" s="10" t="s">
        <v>37</v>
      </c>
      <c r="Y658" s="10" t="s">
        <v>0</v>
      </c>
    </row>
    <row r="659">
      <c r="A659" s="10" t="s">
        <v>2450</v>
      </c>
      <c r="B659" s="11">
        <v>44295.50817688658</v>
      </c>
      <c r="C659" s="10" t="s">
        <v>209</v>
      </c>
      <c r="D659" s="10" t="s">
        <v>210</v>
      </c>
      <c r="E659" s="10" t="s">
        <v>261</v>
      </c>
      <c r="F659" s="10" t="s">
        <v>2183</v>
      </c>
      <c r="G659" s="10" t="s">
        <v>2451</v>
      </c>
      <c r="H659" s="17">
        <v>44323.47916666667</v>
      </c>
      <c r="I659" s="17">
        <v>44323.52083333333</v>
      </c>
      <c r="J659" s="10" t="s">
        <v>33</v>
      </c>
      <c r="K659" s="10" t="s">
        <v>34</v>
      </c>
      <c r="N659" s="10" t="s">
        <v>35</v>
      </c>
      <c r="V659" s="9"/>
      <c r="W659" s="13" t="s">
        <v>78</v>
      </c>
      <c r="X659" s="13" t="s">
        <v>37</v>
      </c>
      <c r="Y659" s="13" t="s">
        <v>0</v>
      </c>
    </row>
    <row r="660">
      <c r="A660" s="10" t="s">
        <v>2452</v>
      </c>
      <c r="B660" s="11">
        <v>44291.3466740625</v>
      </c>
      <c r="C660" s="10" t="s">
        <v>137</v>
      </c>
      <c r="D660" s="10" t="s">
        <v>138</v>
      </c>
      <c r="E660" s="10" t="s">
        <v>225</v>
      </c>
      <c r="F660" s="10" t="s">
        <v>2453</v>
      </c>
      <c r="G660" s="10" t="s">
        <v>2454</v>
      </c>
      <c r="H660" s="17">
        <v>44323.58333333333</v>
      </c>
      <c r="I660" s="17">
        <v>44323.66666666667</v>
      </c>
      <c r="J660" s="10" t="s">
        <v>128</v>
      </c>
      <c r="K660" s="10" t="s">
        <v>34</v>
      </c>
      <c r="N660" s="10" t="s">
        <v>35</v>
      </c>
      <c r="V660" s="9"/>
      <c r="W660" s="13" t="s">
        <v>78</v>
      </c>
      <c r="X660" s="10" t="s">
        <v>37</v>
      </c>
      <c r="Y660" s="10" t="s">
        <v>0</v>
      </c>
    </row>
    <row r="661">
      <c r="A661" s="10" t="s">
        <v>2455</v>
      </c>
      <c r="B661" s="11">
        <v>44295.57627671296</v>
      </c>
      <c r="C661" s="10" t="s">
        <v>209</v>
      </c>
      <c r="D661" s="10" t="s">
        <v>210</v>
      </c>
      <c r="E661" s="10" t="s">
        <v>261</v>
      </c>
      <c r="F661" s="10" t="s">
        <v>1431</v>
      </c>
      <c r="G661" s="10" t="s">
        <v>2456</v>
      </c>
      <c r="H661" s="17">
        <v>44323.77083333333</v>
      </c>
      <c r="I661" s="17">
        <v>44323.8125</v>
      </c>
      <c r="J661" s="10" t="s">
        <v>33</v>
      </c>
      <c r="K661" s="10" t="s">
        <v>34</v>
      </c>
      <c r="N661" s="10" t="s">
        <v>35</v>
      </c>
      <c r="V661" s="9"/>
      <c r="W661" s="13" t="s">
        <v>78</v>
      </c>
      <c r="X661" s="10" t="s">
        <v>37</v>
      </c>
      <c r="Y661" s="10" t="s">
        <v>0</v>
      </c>
    </row>
    <row r="662">
      <c r="A662" s="10" t="s">
        <v>2457</v>
      </c>
      <c r="B662" s="11">
        <v>44295.83069615741</v>
      </c>
      <c r="C662" s="10" t="s">
        <v>209</v>
      </c>
      <c r="D662" s="10" t="s">
        <v>210</v>
      </c>
      <c r="E662" s="10" t="s">
        <v>261</v>
      </c>
      <c r="F662" s="10" t="s">
        <v>2254</v>
      </c>
      <c r="G662" s="10" t="s">
        <v>2458</v>
      </c>
      <c r="H662" s="17">
        <v>44324.60416666667</v>
      </c>
      <c r="I662" s="17">
        <v>44324.64583333333</v>
      </c>
      <c r="J662" s="10" t="s">
        <v>33</v>
      </c>
      <c r="K662" s="10" t="s">
        <v>34</v>
      </c>
      <c r="N662" s="10" t="s">
        <v>35</v>
      </c>
      <c r="V662" s="9"/>
      <c r="W662" s="13" t="s">
        <v>78</v>
      </c>
      <c r="X662" s="10" t="s">
        <v>37</v>
      </c>
      <c r="Y662" s="10" t="s">
        <v>0</v>
      </c>
    </row>
    <row r="663">
      <c r="A663" s="10" t="s">
        <v>2459</v>
      </c>
      <c r="B663" s="11">
        <v>44295.79723599537</v>
      </c>
      <c r="C663" s="10" t="s">
        <v>209</v>
      </c>
      <c r="D663" s="10" t="s">
        <v>210</v>
      </c>
      <c r="E663" s="10" t="s">
        <v>261</v>
      </c>
      <c r="F663" s="10" t="s">
        <v>2282</v>
      </c>
      <c r="G663" s="10" t="s">
        <v>2460</v>
      </c>
      <c r="H663" s="17">
        <v>44326.5625</v>
      </c>
      <c r="I663" s="17">
        <v>44326.60416666667</v>
      </c>
      <c r="J663" s="10" t="s">
        <v>33</v>
      </c>
      <c r="K663" s="10" t="s">
        <v>34</v>
      </c>
      <c r="N663" s="10" t="s">
        <v>35</v>
      </c>
      <c r="V663" s="9"/>
      <c r="W663" s="13" t="s">
        <v>78</v>
      </c>
      <c r="X663" s="10" t="s">
        <v>37</v>
      </c>
      <c r="Y663" s="10" t="s">
        <v>0</v>
      </c>
    </row>
    <row r="664">
      <c r="A664" s="10" t="s">
        <v>2461</v>
      </c>
      <c r="B664" s="11">
        <v>44295.508663773144</v>
      </c>
      <c r="C664" s="10" t="s">
        <v>209</v>
      </c>
      <c r="D664" s="10" t="s">
        <v>210</v>
      </c>
      <c r="E664" s="10" t="s">
        <v>261</v>
      </c>
      <c r="F664" s="10" t="s">
        <v>2183</v>
      </c>
      <c r="G664" s="10" t="s">
        <v>2462</v>
      </c>
      <c r="H664" s="17">
        <v>44330.47916666667</v>
      </c>
      <c r="I664" s="17">
        <v>44330.52083333333</v>
      </c>
      <c r="J664" s="10" t="s">
        <v>33</v>
      </c>
      <c r="K664" s="10" t="s">
        <v>34</v>
      </c>
      <c r="N664" s="10" t="s">
        <v>35</v>
      </c>
      <c r="V664" s="9"/>
      <c r="W664" s="13" t="s">
        <v>78</v>
      </c>
      <c r="X664" s="13" t="s">
        <v>37</v>
      </c>
      <c r="Y664" s="13" t="s">
        <v>0</v>
      </c>
    </row>
    <row r="665">
      <c r="A665" s="10" t="s">
        <v>2463</v>
      </c>
      <c r="B665" s="11">
        <v>44291.3480446412</v>
      </c>
      <c r="C665" s="10" t="s">
        <v>137</v>
      </c>
      <c r="D665" s="10" t="s">
        <v>138</v>
      </c>
      <c r="E665" s="10" t="s">
        <v>139</v>
      </c>
      <c r="F665" s="10" t="s">
        <v>482</v>
      </c>
      <c r="G665" s="10" t="s">
        <v>2464</v>
      </c>
      <c r="H665" s="17">
        <v>44330.58333333333</v>
      </c>
      <c r="I665" s="17">
        <v>44330.66666666667</v>
      </c>
      <c r="J665" s="10" t="s">
        <v>128</v>
      </c>
      <c r="K665" s="10" t="s">
        <v>34</v>
      </c>
      <c r="N665" s="10" t="s">
        <v>35</v>
      </c>
      <c r="V665" s="9"/>
      <c r="W665" s="13" t="s">
        <v>78</v>
      </c>
      <c r="X665" s="10" t="s">
        <v>37</v>
      </c>
      <c r="Y665" s="10" t="s">
        <v>0</v>
      </c>
    </row>
    <row r="666">
      <c r="A666" s="10" t="s">
        <v>2465</v>
      </c>
      <c r="B666" s="11">
        <v>44295.57707429398</v>
      </c>
      <c r="C666" s="10" t="s">
        <v>209</v>
      </c>
      <c r="D666" s="10" t="s">
        <v>210</v>
      </c>
      <c r="E666" s="10" t="s">
        <v>261</v>
      </c>
      <c r="F666" s="10" t="s">
        <v>1431</v>
      </c>
      <c r="G666" s="10" t="s">
        <v>2466</v>
      </c>
      <c r="H666" s="17">
        <v>44330.77083333333</v>
      </c>
      <c r="I666" s="17">
        <v>44330.8125</v>
      </c>
      <c r="J666" s="10" t="s">
        <v>33</v>
      </c>
      <c r="K666" s="10" t="s">
        <v>34</v>
      </c>
      <c r="N666" s="10" t="s">
        <v>35</v>
      </c>
      <c r="V666" s="9"/>
      <c r="W666" s="13" t="s">
        <v>78</v>
      </c>
      <c r="X666" s="10" t="s">
        <v>37</v>
      </c>
      <c r="Y666" s="10" t="s">
        <v>0</v>
      </c>
    </row>
    <row r="667">
      <c r="A667" s="10" t="s">
        <v>2467</v>
      </c>
      <c r="B667" s="11">
        <v>44306.70468908564</v>
      </c>
      <c r="C667" s="10" t="s">
        <v>219</v>
      </c>
      <c r="D667" s="10" t="s">
        <v>220</v>
      </c>
      <c r="E667" s="10" t="s">
        <v>465</v>
      </c>
      <c r="F667" s="10" t="s">
        <v>2468</v>
      </c>
      <c r="G667" s="10" t="s">
        <v>2469</v>
      </c>
      <c r="H667" s="16">
        <v>44308.10416666667</v>
      </c>
      <c r="I667" s="16">
        <v>44308.14583333333</v>
      </c>
      <c r="J667" s="10" t="s">
        <v>43</v>
      </c>
      <c r="K667" s="10" t="s">
        <v>34</v>
      </c>
      <c r="N667" s="10" t="s">
        <v>35</v>
      </c>
      <c r="V667" s="9"/>
      <c r="W667" s="13" t="s">
        <v>78</v>
      </c>
      <c r="X667" s="10" t="s">
        <v>37</v>
      </c>
      <c r="Y667" s="10" t="s">
        <v>0</v>
      </c>
    </row>
    <row r="668">
      <c r="A668" s="10" t="s">
        <v>2470</v>
      </c>
      <c r="B668" s="11">
        <v>44295.833699386574</v>
      </c>
      <c r="C668" s="10" t="s">
        <v>209</v>
      </c>
      <c r="D668" s="10" t="s">
        <v>210</v>
      </c>
      <c r="E668" s="10" t="s">
        <v>261</v>
      </c>
      <c r="F668" s="10" t="s">
        <v>2254</v>
      </c>
      <c r="G668" s="10" t="s">
        <v>2471</v>
      </c>
      <c r="H668" s="17">
        <v>44331.60416666667</v>
      </c>
      <c r="I668" s="17">
        <v>44331.64583333333</v>
      </c>
      <c r="J668" s="10" t="s">
        <v>33</v>
      </c>
      <c r="K668" s="10" t="s">
        <v>34</v>
      </c>
      <c r="N668" s="10" t="s">
        <v>35</v>
      </c>
      <c r="V668" s="9"/>
      <c r="W668" s="13" t="s">
        <v>78</v>
      </c>
      <c r="X668" s="10" t="s">
        <v>37</v>
      </c>
      <c r="Y668" s="10" t="s">
        <v>0</v>
      </c>
    </row>
    <row r="669">
      <c r="A669" s="10" t="s">
        <v>2472</v>
      </c>
      <c r="B669" s="11">
        <v>44295.79707956019</v>
      </c>
      <c r="C669" s="10" t="s">
        <v>209</v>
      </c>
      <c r="D669" s="10" t="s">
        <v>210</v>
      </c>
      <c r="E669" s="10" t="s">
        <v>261</v>
      </c>
      <c r="F669" s="10" t="s">
        <v>2282</v>
      </c>
      <c r="G669" s="10" t="s">
        <v>2473</v>
      </c>
      <c r="H669" s="17">
        <v>44333.5625</v>
      </c>
      <c r="I669" s="17">
        <v>44333.60416666667</v>
      </c>
      <c r="J669" s="10" t="s">
        <v>33</v>
      </c>
      <c r="K669" s="10" t="s">
        <v>34</v>
      </c>
      <c r="N669" s="10" t="s">
        <v>35</v>
      </c>
      <c r="V669" s="9"/>
      <c r="W669" s="13" t="s">
        <v>78</v>
      </c>
      <c r="X669" s="10" t="s">
        <v>37</v>
      </c>
      <c r="Y669" s="10" t="s">
        <v>0</v>
      </c>
    </row>
    <row r="670">
      <c r="A670" s="10" t="s">
        <v>2474</v>
      </c>
      <c r="B670" s="11">
        <v>44291.35205822917</v>
      </c>
      <c r="C670" s="10" t="s">
        <v>137</v>
      </c>
      <c r="D670" s="10" t="s">
        <v>138</v>
      </c>
      <c r="E670" s="10" t="s">
        <v>139</v>
      </c>
      <c r="F670" s="10" t="s">
        <v>482</v>
      </c>
      <c r="G670" s="10" t="s">
        <v>2475</v>
      </c>
      <c r="H670" s="17">
        <v>44337.58333333333</v>
      </c>
      <c r="I670" s="17">
        <v>44337.66666666667</v>
      </c>
      <c r="J670" s="10" t="s">
        <v>128</v>
      </c>
      <c r="K670" s="10" t="s">
        <v>34</v>
      </c>
      <c r="N670" s="10" t="s">
        <v>35</v>
      </c>
      <c r="V670" s="9"/>
      <c r="W670" s="13" t="s">
        <v>78</v>
      </c>
      <c r="X670" s="10" t="s">
        <v>37</v>
      </c>
      <c r="Y670" s="10" t="s">
        <v>0</v>
      </c>
    </row>
    <row r="671">
      <c r="A671" s="10" t="s">
        <v>2476</v>
      </c>
      <c r="B671" s="11">
        <v>44291.35298600694</v>
      </c>
      <c r="C671" s="10" t="s">
        <v>137</v>
      </c>
      <c r="D671" s="10" t="s">
        <v>138</v>
      </c>
      <c r="E671" s="10" t="s">
        <v>139</v>
      </c>
      <c r="F671" s="10" t="s">
        <v>2477</v>
      </c>
      <c r="G671" s="10" t="s">
        <v>2478</v>
      </c>
      <c r="H671" s="17">
        <v>44344.58333333333</v>
      </c>
      <c r="I671" s="17">
        <v>44344.66666666667</v>
      </c>
      <c r="J671" s="10" t="s">
        <v>128</v>
      </c>
      <c r="K671" s="10" t="s">
        <v>34</v>
      </c>
      <c r="N671" s="10" t="s">
        <v>35</v>
      </c>
      <c r="V671" s="9"/>
      <c r="W671" s="13" t="s">
        <v>78</v>
      </c>
      <c r="X671" s="10" t="s">
        <v>37</v>
      </c>
      <c r="Y671" s="10" t="s">
        <v>0</v>
      </c>
    </row>
    <row r="672">
      <c r="A672" s="10" t="s">
        <v>2479</v>
      </c>
      <c r="B672" s="11">
        <v>44306.70667212963</v>
      </c>
      <c r="C672" s="10" t="s">
        <v>219</v>
      </c>
      <c r="D672" s="10" t="s">
        <v>220</v>
      </c>
      <c r="E672" s="10" t="s">
        <v>465</v>
      </c>
      <c r="F672" s="10" t="s">
        <v>2480</v>
      </c>
      <c r="G672" s="10" t="s">
        <v>2481</v>
      </c>
      <c r="H672" s="16">
        <v>44308.14583333333</v>
      </c>
      <c r="I672" s="16">
        <v>44308.1875</v>
      </c>
      <c r="J672" s="10" t="s">
        <v>43</v>
      </c>
      <c r="K672" s="10" t="s">
        <v>34</v>
      </c>
      <c r="N672" s="10" t="s">
        <v>35</v>
      </c>
      <c r="V672" s="9"/>
      <c r="W672" s="13" t="s">
        <v>78</v>
      </c>
      <c r="X672" s="10" t="s">
        <v>37</v>
      </c>
      <c r="Y672" s="10" t="s">
        <v>0</v>
      </c>
    </row>
    <row r="673">
      <c r="A673" s="10" t="s">
        <v>2482</v>
      </c>
      <c r="B673" s="11">
        <v>44302.664774351855</v>
      </c>
      <c r="C673" s="10" t="s">
        <v>516</v>
      </c>
      <c r="D673" s="10" t="s">
        <v>511</v>
      </c>
      <c r="E673" s="10" t="s">
        <v>2483</v>
      </c>
      <c r="F673" s="10" t="s">
        <v>2484</v>
      </c>
      <c r="G673" s="10" t="s">
        <v>2485</v>
      </c>
      <c r="H673" s="17">
        <v>44303.4375</v>
      </c>
      <c r="I673" s="17">
        <v>44303.52083333333</v>
      </c>
      <c r="J673" s="10" t="s">
        <v>128</v>
      </c>
      <c r="K673" s="10" t="s">
        <v>34</v>
      </c>
      <c r="N673" s="10" t="s">
        <v>35</v>
      </c>
      <c r="V673" s="9"/>
      <c r="W673" s="13" t="s">
        <v>78</v>
      </c>
      <c r="X673" s="10" t="s">
        <v>37</v>
      </c>
      <c r="Y673" s="10" t="s">
        <v>0</v>
      </c>
    </row>
    <row r="674">
      <c r="A674" s="10" t="s">
        <v>2486</v>
      </c>
      <c r="B674" s="11">
        <v>44293.472844247684</v>
      </c>
      <c r="C674" s="10" t="s">
        <v>80</v>
      </c>
      <c r="D674" s="10" t="s">
        <v>81</v>
      </c>
      <c r="E674" s="10" t="s">
        <v>2487</v>
      </c>
      <c r="F674" s="10" t="s">
        <v>2488</v>
      </c>
      <c r="G674" s="10" t="s">
        <v>2489</v>
      </c>
      <c r="H674" s="24">
        <v>44308.22916666667</v>
      </c>
      <c r="I674" s="24">
        <v>44308.27083333333</v>
      </c>
      <c r="J674" s="10" t="s">
        <v>43</v>
      </c>
      <c r="K674" s="10" t="s">
        <v>34</v>
      </c>
      <c r="N674" s="10" t="s">
        <v>296</v>
      </c>
      <c r="O674" s="18" t="s">
        <v>2490</v>
      </c>
      <c r="P674" s="10" t="s">
        <v>296</v>
      </c>
      <c r="Q674" s="10">
        <v>1.0</v>
      </c>
      <c r="R674" s="10" t="s">
        <v>35</v>
      </c>
      <c r="T674" s="10" t="s">
        <v>35</v>
      </c>
      <c r="V674" s="9"/>
      <c r="W674" s="13" t="s">
        <v>78</v>
      </c>
      <c r="X674" s="10" t="s">
        <v>37</v>
      </c>
      <c r="Y674" s="10" t="s">
        <v>0</v>
      </c>
    </row>
    <row r="675">
      <c r="A675" s="10" t="s">
        <v>2491</v>
      </c>
      <c r="B675" s="11">
        <v>44303.00550813657</v>
      </c>
      <c r="C675" s="10" t="s">
        <v>28</v>
      </c>
      <c r="D675" s="10" t="s">
        <v>29</v>
      </c>
      <c r="E675" s="10" t="s">
        <v>63</v>
      </c>
      <c r="F675" s="10" t="s">
        <v>2492</v>
      </c>
      <c r="G675" s="10" t="s">
        <v>2493</v>
      </c>
      <c r="H675" s="17">
        <v>44310.4375</v>
      </c>
      <c r="I675" s="17">
        <v>44310.52083333333</v>
      </c>
      <c r="J675" s="10" t="s">
        <v>128</v>
      </c>
      <c r="K675" s="10" t="s">
        <v>34</v>
      </c>
      <c r="N675" s="10" t="s">
        <v>35</v>
      </c>
      <c r="V675" s="9"/>
      <c r="W675" s="13" t="s">
        <v>78</v>
      </c>
      <c r="X675" s="10" t="s">
        <v>37</v>
      </c>
      <c r="Y675" s="10" t="s">
        <v>0</v>
      </c>
    </row>
    <row r="676">
      <c r="A676" s="10" t="s">
        <v>2494</v>
      </c>
      <c r="B676" s="11">
        <v>44304.030289918985</v>
      </c>
      <c r="C676" s="10" t="s">
        <v>167</v>
      </c>
      <c r="D676" s="10" t="s">
        <v>168</v>
      </c>
      <c r="E676" s="10" t="s">
        <v>2495</v>
      </c>
      <c r="F676" s="10" t="s">
        <v>2496</v>
      </c>
      <c r="G676" s="10" t="s">
        <v>2497</v>
      </c>
      <c r="H676" s="17">
        <v>44298.6875</v>
      </c>
      <c r="I676" s="17">
        <v>44298.72916666667</v>
      </c>
      <c r="J676" s="10" t="s">
        <v>128</v>
      </c>
      <c r="K676" s="10" t="s">
        <v>34</v>
      </c>
      <c r="N676" s="10" t="s">
        <v>35</v>
      </c>
      <c r="V676" s="9"/>
      <c r="W676" s="13" t="s">
        <v>78</v>
      </c>
      <c r="X676" s="10" t="s">
        <v>37</v>
      </c>
      <c r="Y676" s="10" t="s">
        <v>0</v>
      </c>
    </row>
    <row r="677">
      <c r="A677" s="10" t="s">
        <v>2498</v>
      </c>
      <c r="B677" s="11">
        <v>44302.6695382176</v>
      </c>
      <c r="C677" s="10" t="s">
        <v>137</v>
      </c>
      <c r="D677" s="10" t="s">
        <v>138</v>
      </c>
      <c r="E677" s="10" t="s">
        <v>1093</v>
      </c>
      <c r="F677" s="10" t="s">
        <v>2499</v>
      </c>
      <c r="G677" s="10" t="s">
        <v>2500</v>
      </c>
      <c r="H677" s="24">
        <v>44308.60416666667</v>
      </c>
      <c r="I677" s="24">
        <v>44308.72916666667</v>
      </c>
      <c r="J677" s="10" t="s">
        <v>43</v>
      </c>
      <c r="K677" s="10" t="s">
        <v>34</v>
      </c>
      <c r="N677" s="10" t="s">
        <v>296</v>
      </c>
      <c r="O677" s="18" t="s">
        <v>2501</v>
      </c>
      <c r="P677" s="10" t="s">
        <v>296</v>
      </c>
      <c r="Q677" s="10">
        <v>1.0</v>
      </c>
      <c r="R677" s="10" t="s">
        <v>35</v>
      </c>
      <c r="T677" s="10" t="s">
        <v>35</v>
      </c>
      <c r="V677" s="9"/>
      <c r="W677" s="13" t="s">
        <v>78</v>
      </c>
      <c r="X677" s="10" t="s">
        <v>37</v>
      </c>
      <c r="Y677" s="10" t="s">
        <v>0</v>
      </c>
    </row>
    <row r="678">
      <c r="A678" s="10" t="s">
        <v>2502</v>
      </c>
      <c r="B678" s="11">
        <v>44305.380242604166</v>
      </c>
      <c r="C678" s="10" t="s">
        <v>1405</v>
      </c>
      <c r="D678" s="10" t="s">
        <v>1406</v>
      </c>
      <c r="E678" s="10" t="s">
        <v>2503</v>
      </c>
      <c r="F678" s="10" t="s">
        <v>2097</v>
      </c>
      <c r="G678" s="10" t="s">
        <v>2504</v>
      </c>
      <c r="H678" s="17">
        <v>44310.5625</v>
      </c>
      <c r="I678" s="17">
        <v>44310.60416666667</v>
      </c>
      <c r="J678" s="10" t="s">
        <v>128</v>
      </c>
      <c r="K678" s="10" t="s">
        <v>34</v>
      </c>
      <c r="N678" s="10" t="s">
        <v>35</v>
      </c>
      <c r="V678" s="9"/>
      <c r="W678" s="13" t="s">
        <v>78</v>
      </c>
      <c r="X678" s="10" t="s">
        <v>37</v>
      </c>
      <c r="Y678" s="10" t="s">
        <v>0</v>
      </c>
    </row>
    <row r="679">
      <c r="A679" s="10" t="s">
        <v>2505</v>
      </c>
      <c r="B679" s="11">
        <v>44326.79531391204</v>
      </c>
      <c r="C679" s="10" t="s">
        <v>46</v>
      </c>
      <c r="D679" s="10" t="s">
        <v>47</v>
      </c>
      <c r="E679" s="10" t="s">
        <v>233</v>
      </c>
      <c r="F679" s="10" t="s">
        <v>2506</v>
      </c>
      <c r="G679" s="10" t="s">
        <v>2507</v>
      </c>
      <c r="H679" s="16">
        <v>44308.66666666667</v>
      </c>
      <c r="I679" s="16">
        <v>44308.70833333333</v>
      </c>
      <c r="J679" s="10" t="s">
        <v>43</v>
      </c>
      <c r="K679" s="10" t="s">
        <v>34</v>
      </c>
      <c r="N679" s="10" t="s">
        <v>35</v>
      </c>
      <c r="V679" s="9"/>
      <c r="W679" s="13" t="s">
        <v>78</v>
      </c>
      <c r="X679" s="10" t="s">
        <v>237</v>
      </c>
      <c r="Y679" s="10" t="s">
        <v>0</v>
      </c>
    </row>
    <row r="680">
      <c r="A680" s="10" t="s">
        <v>2508</v>
      </c>
      <c r="B680" s="11">
        <v>44301.47694450231</v>
      </c>
      <c r="C680" s="10" t="s">
        <v>160</v>
      </c>
      <c r="D680" s="10" t="s">
        <v>161</v>
      </c>
      <c r="E680" s="10" t="s">
        <v>947</v>
      </c>
      <c r="F680" s="10" t="s">
        <v>2509</v>
      </c>
      <c r="G680" s="10" t="s">
        <v>2510</v>
      </c>
      <c r="H680" s="24">
        <v>44308.6875</v>
      </c>
      <c r="I680" s="24">
        <v>44308.77083333333</v>
      </c>
      <c r="J680" s="10" t="s">
        <v>43</v>
      </c>
      <c r="K680" s="10" t="s">
        <v>34</v>
      </c>
      <c r="N680" s="10" t="s">
        <v>296</v>
      </c>
      <c r="O680" s="18" t="s">
        <v>2511</v>
      </c>
      <c r="P680" s="10" t="s">
        <v>35</v>
      </c>
      <c r="R680" s="10" t="s">
        <v>35</v>
      </c>
      <c r="T680" s="10" t="s">
        <v>296</v>
      </c>
      <c r="U680" s="10">
        <v>1.0</v>
      </c>
      <c r="V680" s="27"/>
      <c r="W680" s="13" t="s">
        <v>78</v>
      </c>
      <c r="X680" s="10" t="s">
        <v>37</v>
      </c>
      <c r="Y680" s="10" t="s">
        <v>0</v>
      </c>
    </row>
    <row r="681">
      <c r="A681" s="10" t="s">
        <v>2512</v>
      </c>
      <c r="B681" s="11">
        <v>44298.827033622685</v>
      </c>
      <c r="C681" s="10" t="s">
        <v>150</v>
      </c>
      <c r="D681" s="10" t="s">
        <v>151</v>
      </c>
      <c r="E681" s="10" t="s">
        <v>152</v>
      </c>
      <c r="F681" s="10" t="s">
        <v>2513</v>
      </c>
      <c r="G681" s="10" t="s">
        <v>2514</v>
      </c>
      <c r="H681" s="24">
        <v>44308.72916666667</v>
      </c>
      <c r="I681" s="24">
        <v>44308.77083333333</v>
      </c>
      <c r="J681" s="10" t="s">
        <v>43</v>
      </c>
      <c r="K681" s="10" t="s">
        <v>34</v>
      </c>
      <c r="N681" s="10" t="s">
        <v>296</v>
      </c>
      <c r="O681" s="18" t="s">
        <v>2515</v>
      </c>
      <c r="P681" s="10" t="s">
        <v>296</v>
      </c>
      <c r="Q681" s="10">
        <v>1.0</v>
      </c>
      <c r="R681" s="10" t="s">
        <v>35</v>
      </c>
      <c r="T681" s="10" t="s">
        <v>35</v>
      </c>
      <c r="V681" s="9"/>
      <c r="W681" s="13" t="s">
        <v>78</v>
      </c>
      <c r="X681" s="10" t="s">
        <v>37</v>
      </c>
      <c r="Y681" s="10" t="s">
        <v>0</v>
      </c>
    </row>
    <row r="682">
      <c r="A682" s="10" t="s">
        <v>2516</v>
      </c>
      <c r="B682" s="11">
        <v>44305.56783509259</v>
      </c>
      <c r="C682" s="10" t="s">
        <v>80</v>
      </c>
      <c r="D682" s="10" t="s">
        <v>81</v>
      </c>
      <c r="E682" s="10" t="s">
        <v>2517</v>
      </c>
      <c r="F682" s="10" t="s">
        <v>2518</v>
      </c>
      <c r="G682" s="10" t="s">
        <v>2519</v>
      </c>
      <c r="H682" s="17">
        <v>44305.75</v>
      </c>
      <c r="I682" s="17">
        <v>44311.5</v>
      </c>
      <c r="J682" s="10" t="s">
        <v>51</v>
      </c>
      <c r="K682" s="10" t="s">
        <v>34</v>
      </c>
      <c r="N682" s="10" t="s">
        <v>35</v>
      </c>
      <c r="V682" s="9"/>
      <c r="W682" s="13" t="s">
        <v>78</v>
      </c>
      <c r="X682" s="10" t="s">
        <v>37</v>
      </c>
      <c r="Y682" s="10" t="s">
        <v>0</v>
      </c>
    </row>
    <row r="683">
      <c r="A683" s="10" t="s">
        <v>2520</v>
      </c>
      <c r="B683" s="11">
        <v>44305.567875266206</v>
      </c>
      <c r="C683" s="10" t="s">
        <v>80</v>
      </c>
      <c r="D683" s="10" t="s">
        <v>81</v>
      </c>
      <c r="E683" s="10" t="s">
        <v>2517</v>
      </c>
      <c r="F683" s="10" t="s">
        <v>2518</v>
      </c>
      <c r="G683" s="10" t="s">
        <v>2519</v>
      </c>
      <c r="H683" s="17">
        <v>44305.75</v>
      </c>
      <c r="I683" s="17">
        <v>44311.5</v>
      </c>
      <c r="J683" s="10" t="s">
        <v>51</v>
      </c>
      <c r="K683" s="10" t="s">
        <v>34</v>
      </c>
      <c r="N683" s="10" t="s">
        <v>35</v>
      </c>
      <c r="V683" s="9"/>
      <c r="W683" s="13" t="s">
        <v>78</v>
      </c>
      <c r="X683" s="10" t="s">
        <v>37</v>
      </c>
      <c r="Y683" s="10" t="s">
        <v>0</v>
      </c>
    </row>
    <row r="684">
      <c r="A684" s="10" t="s">
        <v>2521</v>
      </c>
      <c r="B684" s="11">
        <v>44297.60299423611</v>
      </c>
      <c r="C684" s="10" t="s">
        <v>347</v>
      </c>
      <c r="D684" s="10" t="s">
        <v>348</v>
      </c>
      <c r="E684" s="10" t="s">
        <v>349</v>
      </c>
      <c r="F684" s="10" t="s">
        <v>2522</v>
      </c>
      <c r="G684" s="10" t="s">
        <v>2523</v>
      </c>
      <c r="H684" s="24">
        <v>44309.10416666667</v>
      </c>
      <c r="I684" s="24">
        <v>44309.14583333333</v>
      </c>
      <c r="J684" s="10" t="s">
        <v>43</v>
      </c>
      <c r="K684" s="10" t="s">
        <v>34</v>
      </c>
      <c r="N684" s="10" t="s">
        <v>296</v>
      </c>
      <c r="O684" s="18" t="s">
        <v>2524</v>
      </c>
      <c r="P684" s="10" t="s">
        <v>296</v>
      </c>
      <c r="Q684" s="10">
        <v>1.0</v>
      </c>
      <c r="R684" s="10" t="s">
        <v>35</v>
      </c>
      <c r="T684" s="10" t="s">
        <v>35</v>
      </c>
      <c r="V684" s="9"/>
      <c r="W684" s="13" t="s">
        <v>78</v>
      </c>
      <c r="X684" s="10" t="s">
        <v>37</v>
      </c>
      <c r="Y684" s="10" t="s">
        <v>0</v>
      </c>
    </row>
    <row r="685">
      <c r="A685" s="10" t="s">
        <v>2525</v>
      </c>
      <c r="B685" s="11">
        <v>44308.95497341435</v>
      </c>
      <c r="C685" s="10" t="s">
        <v>80</v>
      </c>
      <c r="D685" s="10" t="s">
        <v>81</v>
      </c>
      <c r="E685" s="10" t="s">
        <v>2526</v>
      </c>
      <c r="F685" s="10" t="s">
        <v>2527</v>
      </c>
      <c r="G685" s="10" t="s">
        <v>2528</v>
      </c>
      <c r="H685" s="16">
        <v>44309.10416666667</v>
      </c>
      <c r="I685" s="16">
        <v>44309.14583333333</v>
      </c>
      <c r="J685" s="10" t="s">
        <v>43</v>
      </c>
      <c r="K685" s="10" t="s">
        <v>34</v>
      </c>
      <c r="N685" s="10" t="s">
        <v>35</v>
      </c>
      <c r="V685" s="9"/>
      <c r="W685" s="13" t="s">
        <v>78</v>
      </c>
      <c r="X685" s="10" t="s">
        <v>37</v>
      </c>
      <c r="Y685" s="10" t="s">
        <v>0</v>
      </c>
    </row>
    <row r="686">
      <c r="A686" s="10" t="s">
        <v>2529</v>
      </c>
      <c r="B686" s="11">
        <v>44305.71102416667</v>
      </c>
      <c r="C686" s="10" t="s">
        <v>186</v>
      </c>
      <c r="D686" s="10" t="s">
        <v>187</v>
      </c>
      <c r="E686" s="10" t="s">
        <v>343</v>
      </c>
      <c r="F686" s="10" t="s">
        <v>2530</v>
      </c>
      <c r="G686" s="10" t="s">
        <v>2531</v>
      </c>
      <c r="H686" s="17">
        <v>44307.41666666667</v>
      </c>
      <c r="I686" s="17">
        <v>44307.52083333333</v>
      </c>
      <c r="J686" s="10" t="s">
        <v>128</v>
      </c>
      <c r="K686" s="10" t="s">
        <v>34</v>
      </c>
      <c r="N686" s="10" t="s">
        <v>35</v>
      </c>
      <c r="V686" s="9"/>
      <c r="W686" s="13" t="s">
        <v>78</v>
      </c>
      <c r="X686" s="10" t="s">
        <v>37</v>
      </c>
      <c r="Y686" s="10" t="s">
        <v>0</v>
      </c>
    </row>
    <row r="687">
      <c r="A687" s="10" t="s">
        <v>2532</v>
      </c>
      <c r="B687" s="11">
        <v>44305.722940057865</v>
      </c>
      <c r="C687" s="10" t="s">
        <v>186</v>
      </c>
      <c r="D687" s="10" t="s">
        <v>187</v>
      </c>
      <c r="E687" s="10" t="s">
        <v>343</v>
      </c>
      <c r="F687" s="10" t="s">
        <v>2533</v>
      </c>
      <c r="G687" s="10" t="s">
        <v>2534</v>
      </c>
      <c r="H687" s="17">
        <v>44307.41666666667</v>
      </c>
      <c r="I687" s="17">
        <v>44309.75</v>
      </c>
      <c r="J687" s="10" t="s">
        <v>128</v>
      </c>
      <c r="K687" s="10" t="s">
        <v>34</v>
      </c>
      <c r="N687" s="10" t="s">
        <v>296</v>
      </c>
      <c r="O687" s="18" t="s">
        <v>2535</v>
      </c>
      <c r="P687" s="10" t="s">
        <v>296</v>
      </c>
      <c r="Q687" s="10">
        <v>2.0</v>
      </c>
      <c r="R687" s="10" t="s">
        <v>296</v>
      </c>
      <c r="S687" s="10">
        <v>6.0</v>
      </c>
      <c r="T687" s="10" t="s">
        <v>35</v>
      </c>
      <c r="V687" s="9"/>
      <c r="W687" s="13" t="s">
        <v>78</v>
      </c>
      <c r="X687" s="10" t="s">
        <v>37</v>
      </c>
      <c r="Y687" s="10" t="s">
        <v>0</v>
      </c>
    </row>
    <row r="688">
      <c r="A688" s="10" t="s">
        <v>2536</v>
      </c>
      <c r="B688" s="11">
        <v>44305.72491045139</v>
      </c>
      <c r="C688" s="10" t="s">
        <v>186</v>
      </c>
      <c r="D688" s="10" t="s">
        <v>187</v>
      </c>
      <c r="E688" s="10" t="s">
        <v>343</v>
      </c>
      <c r="F688" s="10" t="s">
        <v>2537</v>
      </c>
      <c r="G688" s="26" t="s">
        <v>2538</v>
      </c>
      <c r="H688" s="16">
        <v>44309.64583333333</v>
      </c>
      <c r="I688" s="16">
        <v>44309.72916666667</v>
      </c>
      <c r="J688" s="10" t="s">
        <v>128</v>
      </c>
      <c r="K688" s="10" t="s">
        <v>34</v>
      </c>
      <c r="N688" s="10" t="s">
        <v>35</v>
      </c>
      <c r="V688" s="9"/>
      <c r="W688" s="13" t="s">
        <v>78</v>
      </c>
      <c r="X688" s="10" t="s">
        <v>37</v>
      </c>
      <c r="Y688" s="10" t="s">
        <v>0</v>
      </c>
    </row>
    <row r="689">
      <c r="A689" s="10" t="s">
        <v>2539</v>
      </c>
      <c r="B689" s="11">
        <v>44305.4402375</v>
      </c>
      <c r="C689" s="10" t="s">
        <v>539</v>
      </c>
      <c r="D689" s="10" t="s">
        <v>540</v>
      </c>
      <c r="E689" s="10" t="s">
        <v>2219</v>
      </c>
      <c r="F689" s="10" t="s">
        <v>2540</v>
      </c>
      <c r="G689" s="10" t="s">
        <v>2541</v>
      </c>
      <c r="H689" s="16">
        <v>44309.4375</v>
      </c>
      <c r="I689" s="16">
        <v>44309.47916666667</v>
      </c>
      <c r="J689" s="10" t="s">
        <v>43</v>
      </c>
      <c r="K689" s="10" t="s">
        <v>34</v>
      </c>
      <c r="N689" s="10" t="s">
        <v>296</v>
      </c>
      <c r="O689" s="18" t="s">
        <v>2542</v>
      </c>
      <c r="P689" s="10" t="s">
        <v>296</v>
      </c>
      <c r="Q689" s="10">
        <v>1.0</v>
      </c>
      <c r="R689" s="10" t="s">
        <v>35</v>
      </c>
      <c r="T689" s="10" t="s">
        <v>35</v>
      </c>
      <c r="V689" s="9"/>
      <c r="W689" s="13" t="s">
        <v>78</v>
      </c>
      <c r="X689" s="10" t="s">
        <v>37</v>
      </c>
      <c r="Y689" s="10" t="s">
        <v>0</v>
      </c>
    </row>
    <row r="690">
      <c r="A690" s="10" t="s">
        <v>2543</v>
      </c>
      <c r="B690" s="11">
        <v>44305.79984883102</v>
      </c>
      <c r="C690" s="10" t="s">
        <v>374</v>
      </c>
      <c r="D690" s="10" t="s">
        <v>375</v>
      </c>
      <c r="E690" s="10" t="s">
        <v>2544</v>
      </c>
      <c r="F690" s="10" t="s">
        <v>2545</v>
      </c>
      <c r="G690" s="10" t="s">
        <v>2546</v>
      </c>
      <c r="H690" s="17">
        <v>44312.60416666667</v>
      </c>
      <c r="I690" s="17">
        <v>44312.64583333333</v>
      </c>
      <c r="J690" s="10" t="s">
        <v>33</v>
      </c>
      <c r="K690" s="10" t="s">
        <v>34</v>
      </c>
      <c r="N690" s="10" t="s">
        <v>35</v>
      </c>
      <c r="V690" s="9"/>
      <c r="W690" s="13" t="s">
        <v>78</v>
      </c>
      <c r="X690" s="10" t="s">
        <v>37</v>
      </c>
      <c r="Y690" s="10" t="s">
        <v>0</v>
      </c>
    </row>
    <row r="691">
      <c r="A691" s="10" t="s">
        <v>2547</v>
      </c>
      <c r="B691" s="11">
        <v>44305.81026616898</v>
      </c>
      <c r="C691" s="10" t="s">
        <v>374</v>
      </c>
      <c r="D691" s="10" t="s">
        <v>375</v>
      </c>
      <c r="E691" s="10" t="s">
        <v>1552</v>
      </c>
      <c r="F691" s="10" t="s">
        <v>2548</v>
      </c>
      <c r="G691" s="10" t="s">
        <v>2549</v>
      </c>
      <c r="H691" s="17">
        <v>44312.29166666667</v>
      </c>
      <c r="I691" s="17">
        <v>44312.64583333333</v>
      </c>
      <c r="J691" s="10" t="s">
        <v>51</v>
      </c>
      <c r="K691" s="10" t="s">
        <v>34</v>
      </c>
      <c r="N691" s="10" t="s">
        <v>35</v>
      </c>
      <c r="V691" s="9"/>
      <c r="W691" s="13" t="s">
        <v>78</v>
      </c>
      <c r="X691" s="10" t="s">
        <v>37</v>
      </c>
      <c r="Y691" s="10" t="s">
        <v>0</v>
      </c>
    </row>
    <row r="692">
      <c r="A692" s="10" t="s">
        <v>2550</v>
      </c>
      <c r="B692" s="11">
        <v>44305.83291686342</v>
      </c>
      <c r="C692" s="10" t="s">
        <v>80</v>
      </c>
      <c r="D692" s="10" t="s">
        <v>81</v>
      </c>
      <c r="E692" s="10" t="s">
        <v>2365</v>
      </c>
      <c r="F692" s="10" t="s">
        <v>2366</v>
      </c>
      <c r="G692" s="10" t="s">
        <v>2551</v>
      </c>
      <c r="H692" s="17">
        <v>44312.33333333333</v>
      </c>
      <c r="I692" s="17">
        <v>44312.375</v>
      </c>
      <c r="J692" s="10" t="s">
        <v>73</v>
      </c>
      <c r="K692" s="10" t="s">
        <v>34</v>
      </c>
      <c r="N692" s="10" t="s">
        <v>35</v>
      </c>
      <c r="V692" s="9"/>
      <c r="W692" s="13" t="s">
        <v>78</v>
      </c>
      <c r="X692" s="10" t="s">
        <v>37</v>
      </c>
      <c r="Y692" s="10" t="s">
        <v>0</v>
      </c>
    </row>
    <row r="693">
      <c r="A693" s="10" t="s">
        <v>2552</v>
      </c>
      <c r="B693" s="11">
        <v>44305.836435474535</v>
      </c>
      <c r="C693" s="10" t="s">
        <v>209</v>
      </c>
      <c r="D693" s="10" t="s">
        <v>210</v>
      </c>
      <c r="E693" s="10" t="s">
        <v>261</v>
      </c>
      <c r="F693" s="10" t="s">
        <v>2553</v>
      </c>
      <c r="G693" s="10" t="s">
        <v>2554</v>
      </c>
      <c r="H693" s="17">
        <v>44317.60416666667</v>
      </c>
      <c r="I693" s="17">
        <v>44317.6875</v>
      </c>
      <c r="J693" s="10" t="s">
        <v>128</v>
      </c>
      <c r="K693" s="10" t="s">
        <v>34</v>
      </c>
      <c r="N693" s="10" t="s">
        <v>35</v>
      </c>
      <c r="V693" s="9"/>
      <c r="W693" s="13" t="s">
        <v>78</v>
      </c>
      <c r="X693" s="10" t="s">
        <v>37</v>
      </c>
      <c r="Y693" s="10" t="s">
        <v>0</v>
      </c>
    </row>
    <row r="694">
      <c r="A694" s="10" t="s">
        <v>2555</v>
      </c>
      <c r="B694" s="11">
        <v>44306.34445672454</v>
      </c>
      <c r="C694" s="10" t="s">
        <v>516</v>
      </c>
      <c r="D694" s="10" t="s">
        <v>511</v>
      </c>
      <c r="E694" s="10" t="s">
        <v>1909</v>
      </c>
      <c r="F694" s="10" t="s">
        <v>2556</v>
      </c>
      <c r="G694" s="10" t="s">
        <v>2557</v>
      </c>
      <c r="H694" s="17">
        <v>44305.4375</v>
      </c>
      <c r="I694" s="17">
        <v>44309.4375</v>
      </c>
      <c r="J694" s="10" t="s">
        <v>51</v>
      </c>
      <c r="K694" s="10" t="s">
        <v>34</v>
      </c>
      <c r="N694" s="10" t="s">
        <v>35</v>
      </c>
      <c r="V694" s="9"/>
      <c r="W694" s="13" t="s">
        <v>78</v>
      </c>
      <c r="X694" s="10" t="s">
        <v>37</v>
      </c>
      <c r="Y694" s="10" t="s">
        <v>0</v>
      </c>
    </row>
    <row r="695">
      <c r="A695" s="10" t="s">
        <v>2558</v>
      </c>
      <c r="B695" s="11">
        <v>44306.45785331019</v>
      </c>
      <c r="C695" s="10" t="s">
        <v>387</v>
      </c>
      <c r="D695" s="10" t="s">
        <v>388</v>
      </c>
      <c r="E695" s="10" t="s">
        <v>1256</v>
      </c>
      <c r="F695" s="10" t="s">
        <v>2559</v>
      </c>
      <c r="G695" s="10" t="s">
        <v>2560</v>
      </c>
      <c r="H695" s="17">
        <v>44308.625</v>
      </c>
      <c r="I695" s="17">
        <v>44308.64583333333</v>
      </c>
      <c r="J695" s="10" t="s">
        <v>73</v>
      </c>
      <c r="K695" s="10" t="s">
        <v>34</v>
      </c>
      <c r="N695" s="10" t="s">
        <v>35</v>
      </c>
      <c r="V695" s="9"/>
      <c r="W695" s="13" t="s">
        <v>78</v>
      </c>
      <c r="X695" s="10" t="s">
        <v>37</v>
      </c>
      <c r="Y695" s="10" t="s">
        <v>0</v>
      </c>
    </row>
    <row r="696">
      <c r="A696" s="10" t="s">
        <v>2561</v>
      </c>
      <c r="B696" s="11">
        <v>44306.698507685185</v>
      </c>
      <c r="C696" s="10" t="s">
        <v>610</v>
      </c>
      <c r="D696" s="10" t="s">
        <v>611</v>
      </c>
      <c r="E696" s="10" t="s">
        <v>2562</v>
      </c>
      <c r="F696" s="10" t="s">
        <v>2563</v>
      </c>
      <c r="G696" s="10" t="s">
        <v>2564</v>
      </c>
      <c r="H696" s="17">
        <v>44310.45833333333</v>
      </c>
      <c r="I696" s="17">
        <v>44310.99930555555</v>
      </c>
      <c r="J696" s="10" t="s">
        <v>128</v>
      </c>
      <c r="K696" s="10" t="s">
        <v>34</v>
      </c>
      <c r="N696" s="10" t="s">
        <v>35</v>
      </c>
      <c r="V696" s="9"/>
      <c r="W696" s="13" t="s">
        <v>78</v>
      </c>
      <c r="X696" s="10" t="s">
        <v>37</v>
      </c>
      <c r="Y696" s="10" t="s">
        <v>0</v>
      </c>
    </row>
    <row r="697">
      <c r="A697" s="10" t="s">
        <v>2565</v>
      </c>
      <c r="B697" s="11">
        <v>44293.51245239584</v>
      </c>
      <c r="C697" s="10" t="s">
        <v>209</v>
      </c>
      <c r="D697" s="10" t="s">
        <v>210</v>
      </c>
      <c r="E697" s="10" t="s">
        <v>261</v>
      </c>
      <c r="F697" s="10" t="s">
        <v>2566</v>
      </c>
      <c r="G697" s="10" t="s">
        <v>2567</v>
      </c>
      <c r="H697" s="24">
        <v>44309.60416666667</v>
      </c>
      <c r="I697" s="24">
        <v>44309.6875</v>
      </c>
      <c r="J697" s="10" t="s">
        <v>43</v>
      </c>
      <c r="K697" s="10" t="s">
        <v>34</v>
      </c>
      <c r="N697" s="10" t="s">
        <v>296</v>
      </c>
      <c r="O697" s="18" t="s">
        <v>2568</v>
      </c>
      <c r="P697" s="10" t="s">
        <v>296</v>
      </c>
      <c r="Q697" s="10">
        <v>2.0</v>
      </c>
      <c r="R697" s="10" t="s">
        <v>35</v>
      </c>
      <c r="T697" s="10" t="s">
        <v>35</v>
      </c>
      <c r="V697" s="9"/>
      <c r="W697" s="13" t="s">
        <v>78</v>
      </c>
      <c r="X697" s="10" t="s">
        <v>37</v>
      </c>
      <c r="Y697" s="10" t="s">
        <v>0</v>
      </c>
    </row>
    <row r="698">
      <c r="A698" s="10" t="s">
        <v>2569</v>
      </c>
      <c r="B698" s="11">
        <v>44305.778975821755</v>
      </c>
      <c r="C698" s="10" t="s">
        <v>28</v>
      </c>
      <c r="D698" s="10" t="s">
        <v>29</v>
      </c>
      <c r="E698" s="10" t="s">
        <v>63</v>
      </c>
      <c r="F698" s="10" t="s">
        <v>2570</v>
      </c>
      <c r="G698" s="10" t="s">
        <v>2571</v>
      </c>
      <c r="H698" s="16">
        <v>44309.60416666667</v>
      </c>
      <c r="I698" s="16">
        <v>44309.64583333333</v>
      </c>
      <c r="J698" s="10" t="s">
        <v>43</v>
      </c>
      <c r="K698" s="10" t="s">
        <v>34</v>
      </c>
      <c r="N698" s="10" t="s">
        <v>35</v>
      </c>
      <c r="V698" s="9"/>
      <c r="W698" s="13" t="s">
        <v>78</v>
      </c>
      <c r="X698" s="10" t="s">
        <v>37</v>
      </c>
      <c r="Y698" s="10" t="s">
        <v>0</v>
      </c>
    </row>
    <row r="699">
      <c r="A699" s="10" t="s">
        <v>2572</v>
      </c>
      <c r="B699" s="11">
        <v>44306.709957604166</v>
      </c>
      <c r="C699" s="10" t="s">
        <v>671</v>
      </c>
      <c r="D699" s="10" t="s">
        <v>672</v>
      </c>
      <c r="E699" s="10" t="s">
        <v>2573</v>
      </c>
      <c r="F699" s="10" t="s">
        <v>2574</v>
      </c>
      <c r="G699" s="10" t="s">
        <v>2575</v>
      </c>
      <c r="H699" s="17">
        <v>44315.60416666667</v>
      </c>
      <c r="I699" s="17">
        <v>44315.64583333333</v>
      </c>
      <c r="J699" s="10" t="s">
        <v>128</v>
      </c>
      <c r="K699" s="10" t="s">
        <v>34</v>
      </c>
      <c r="N699" s="10" t="s">
        <v>35</v>
      </c>
      <c r="V699" s="9"/>
      <c r="W699" s="13" t="s">
        <v>78</v>
      </c>
      <c r="X699" s="10" t="s">
        <v>37</v>
      </c>
      <c r="Y699" s="10" t="s">
        <v>0</v>
      </c>
    </row>
    <row r="700">
      <c r="A700" s="10" t="s">
        <v>2576</v>
      </c>
      <c r="B700" s="11">
        <v>44306.74935337963</v>
      </c>
      <c r="C700" s="10" t="s">
        <v>671</v>
      </c>
      <c r="D700" s="10" t="s">
        <v>672</v>
      </c>
      <c r="E700" s="10" t="s">
        <v>2577</v>
      </c>
      <c r="F700" s="10" t="s">
        <v>2578</v>
      </c>
      <c r="G700" s="10" t="s">
        <v>2579</v>
      </c>
      <c r="H700" s="17">
        <v>44309.6875</v>
      </c>
      <c r="I700" s="17">
        <v>44309.77083333333</v>
      </c>
      <c r="J700" s="10" t="s">
        <v>128</v>
      </c>
      <c r="K700" s="10" t="s">
        <v>34</v>
      </c>
      <c r="N700" s="10" t="s">
        <v>35</v>
      </c>
      <c r="V700" s="9"/>
      <c r="W700" s="13" t="s">
        <v>78</v>
      </c>
      <c r="X700" s="10" t="s">
        <v>37</v>
      </c>
      <c r="Y700" s="10" t="s">
        <v>0</v>
      </c>
    </row>
    <row r="701">
      <c r="A701" s="10" t="s">
        <v>2580</v>
      </c>
      <c r="B701" s="11">
        <v>44307.42811179398</v>
      </c>
      <c r="C701" s="10" t="s">
        <v>559</v>
      </c>
      <c r="D701" s="10" t="s">
        <v>560</v>
      </c>
      <c r="E701" s="10" t="s">
        <v>2581</v>
      </c>
      <c r="F701" s="10" t="s">
        <v>2582</v>
      </c>
      <c r="G701" s="10" t="s">
        <v>2583</v>
      </c>
      <c r="H701" s="17">
        <v>44308.0</v>
      </c>
      <c r="I701" s="17">
        <v>44315.99930555555</v>
      </c>
      <c r="J701" s="10" t="s">
        <v>33</v>
      </c>
      <c r="K701" s="10" t="s">
        <v>34</v>
      </c>
      <c r="N701" s="10" t="s">
        <v>296</v>
      </c>
      <c r="O701" s="18" t="s">
        <v>2584</v>
      </c>
      <c r="P701" s="10" t="s">
        <v>296</v>
      </c>
      <c r="Q701" s="10">
        <v>4.0</v>
      </c>
      <c r="R701" s="10" t="s">
        <v>296</v>
      </c>
      <c r="S701" s="10">
        <v>1.0</v>
      </c>
      <c r="T701" s="10" t="s">
        <v>296</v>
      </c>
      <c r="U701" s="10">
        <v>2.0</v>
      </c>
      <c r="V701" s="27"/>
      <c r="W701" s="13" t="s">
        <v>78</v>
      </c>
      <c r="X701" s="10" t="s">
        <v>37</v>
      </c>
      <c r="Y701" s="10" t="s">
        <v>0</v>
      </c>
    </row>
    <row r="702">
      <c r="A702" s="10" t="s">
        <v>2585</v>
      </c>
      <c r="B702" s="11">
        <v>44307.43210913194</v>
      </c>
      <c r="C702" s="10" t="s">
        <v>559</v>
      </c>
      <c r="D702" s="10" t="s">
        <v>560</v>
      </c>
      <c r="E702" s="10" t="s">
        <v>2581</v>
      </c>
      <c r="F702" s="10" t="s">
        <v>2586</v>
      </c>
      <c r="G702" s="10" t="s">
        <v>2587</v>
      </c>
      <c r="H702" s="17">
        <v>44310.41666666667</v>
      </c>
      <c r="I702" s="17">
        <v>44310.45833333333</v>
      </c>
      <c r="J702" s="10" t="s">
        <v>33</v>
      </c>
      <c r="K702" s="10" t="s">
        <v>34</v>
      </c>
      <c r="N702" s="10" t="s">
        <v>296</v>
      </c>
      <c r="O702" s="18" t="s">
        <v>2588</v>
      </c>
      <c r="P702" s="10" t="s">
        <v>296</v>
      </c>
      <c r="Q702" s="10">
        <v>4.0</v>
      </c>
      <c r="R702" s="10" t="s">
        <v>296</v>
      </c>
      <c r="S702" s="10">
        <v>1.0</v>
      </c>
      <c r="T702" s="10" t="s">
        <v>296</v>
      </c>
      <c r="U702" s="10">
        <v>2.0</v>
      </c>
      <c r="V702" s="27"/>
      <c r="W702" s="13" t="s">
        <v>78</v>
      </c>
      <c r="X702" s="10" t="s">
        <v>37</v>
      </c>
      <c r="Y702" s="10" t="s">
        <v>0</v>
      </c>
    </row>
    <row r="703">
      <c r="A703" s="10" t="s">
        <v>2589</v>
      </c>
      <c r="B703" s="11">
        <v>44307.43288482639</v>
      </c>
      <c r="C703" s="10" t="s">
        <v>2590</v>
      </c>
      <c r="D703" s="10" t="s">
        <v>2591</v>
      </c>
      <c r="E703" s="10" t="s">
        <v>2592</v>
      </c>
      <c r="F703" s="10" t="s">
        <v>2593</v>
      </c>
      <c r="G703" s="10" t="s">
        <v>2594</v>
      </c>
      <c r="H703" s="17">
        <v>44309.4375</v>
      </c>
      <c r="I703" s="17">
        <v>44309.47916666667</v>
      </c>
      <c r="J703" s="10" t="s">
        <v>128</v>
      </c>
      <c r="K703" s="10" t="s">
        <v>34</v>
      </c>
      <c r="N703" s="10" t="s">
        <v>35</v>
      </c>
      <c r="V703" s="9"/>
      <c r="W703" s="13" t="s">
        <v>78</v>
      </c>
      <c r="X703" s="10" t="s">
        <v>37</v>
      </c>
      <c r="Y703" s="10" t="s">
        <v>0</v>
      </c>
    </row>
    <row r="704">
      <c r="A704" s="10" t="s">
        <v>2595</v>
      </c>
      <c r="B704" s="11">
        <v>44307.43386135416</v>
      </c>
      <c r="C704" s="10" t="s">
        <v>2596</v>
      </c>
      <c r="D704" s="10" t="s">
        <v>560</v>
      </c>
      <c r="E704" s="10" t="s">
        <v>2581</v>
      </c>
      <c r="F704" s="10" t="s">
        <v>2586</v>
      </c>
      <c r="G704" s="10" t="s">
        <v>2587</v>
      </c>
      <c r="H704" s="17">
        <v>44310.41666666667</v>
      </c>
      <c r="I704" s="17">
        <v>44310.45833333333</v>
      </c>
      <c r="J704" s="10" t="s">
        <v>33</v>
      </c>
      <c r="K704" s="10" t="s">
        <v>34</v>
      </c>
      <c r="N704" s="10" t="s">
        <v>296</v>
      </c>
      <c r="O704" s="18" t="s">
        <v>2597</v>
      </c>
      <c r="P704" s="10" t="s">
        <v>296</v>
      </c>
      <c r="Q704" s="10">
        <v>4.0</v>
      </c>
      <c r="R704" s="10" t="s">
        <v>296</v>
      </c>
      <c r="S704" s="10">
        <v>1.0</v>
      </c>
      <c r="T704" s="10" t="s">
        <v>296</v>
      </c>
      <c r="U704" s="10">
        <v>2.0</v>
      </c>
      <c r="V704" s="27"/>
      <c r="W704" s="13" t="s">
        <v>78</v>
      </c>
      <c r="X704" s="10" t="s">
        <v>37</v>
      </c>
      <c r="Y704" s="10" t="s">
        <v>0</v>
      </c>
    </row>
    <row r="705">
      <c r="A705" s="10" t="s">
        <v>2598</v>
      </c>
      <c r="B705" s="11">
        <v>44307.43458030093</v>
      </c>
      <c r="C705" s="10" t="s">
        <v>2590</v>
      </c>
      <c r="D705" s="10" t="s">
        <v>2591</v>
      </c>
      <c r="E705" s="10" t="s">
        <v>2599</v>
      </c>
      <c r="F705" s="10" t="s">
        <v>2600</v>
      </c>
      <c r="G705" s="10" t="s">
        <v>2594</v>
      </c>
      <c r="H705" s="17">
        <v>44312.5625</v>
      </c>
      <c r="I705" s="17">
        <v>44312.60416666667</v>
      </c>
      <c r="J705" s="10" t="s">
        <v>128</v>
      </c>
      <c r="K705" s="10" t="s">
        <v>34</v>
      </c>
      <c r="N705" s="10" t="s">
        <v>35</v>
      </c>
      <c r="V705" s="9"/>
      <c r="W705" s="13" t="s">
        <v>78</v>
      </c>
      <c r="X705" s="10" t="s">
        <v>37</v>
      </c>
      <c r="Y705" s="10" t="s">
        <v>0</v>
      </c>
    </row>
    <row r="706">
      <c r="A706" s="10" t="s">
        <v>2601</v>
      </c>
      <c r="B706" s="11">
        <v>44307.436051006945</v>
      </c>
      <c r="C706" s="10" t="s">
        <v>2596</v>
      </c>
      <c r="D706" s="10" t="s">
        <v>560</v>
      </c>
      <c r="E706" s="10" t="s">
        <v>2602</v>
      </c>
      <c r="F706" s="10" t="s">
        <v>2603</v>
      </c>
      <c r="G706" s="10" t="s">
        <v>2604</v>
      </c>
      <c r="H706" s="17">
        <v>44308.0</v>
      </c>
      <c r="I706" s="17">
        <v>44315.99930555555</v>
      </c>
      <c r="J706" s="10" t="s">
        <v>33</v>
      </c>
      <c r="K706" s="10" t="s">
        <v>34</v>
      </c>
      <c r="N706" s="10" t="s">
        <v>296</v>
      </c>
      <c r="O706" s="18" t="s">
        <v>2605</v>
      </c>
      <c r="P706" s="10" t="s">
        <v>296</v>
      </c>
      <c r="Q706" s="10">
        <v>4.0</v>
      </c>
      <c r="R706" s="10" t="s">
        <v>296</v>
      </c>
      <c r="S706" s="10">
        <v>1.0</v>
      </c>
      <c r="T706" s="10" t="s">
        <v>296</v>
      </c>
      <c r="U706" s="10">
        <v>2.0</v>
      </c>
      <c r="V706" s="27"/>
      <c r="W706" s="13" t="s">
        <v>78</v>
      </c>
      <c r="X706" s="10" t="s">
        <v>37</v>
      </c>
      <c r="Y706" s="10" t="s">
        <v>0</v>
      </c>
    </row>
    <row r="707">
      <c r="A707" s="10" t="s">
        <v>2606</v>
      </c>
      <c r="B707" s="11">
        <v>44307.64786907408</v>
      </c>
      <c r="C707" s="10" t="s">
        <v>247</v>
      </c>
      <c r="D707" s="10" t="s">
        <v>248</v>
      </c>
      <c r="E707" s="10" t="s">
        <v>2607</v>
      </c>
      <c r="F707" s="10" t="s">
        <v>2608</v>
      </c>
      <c r="G707" s="10" t="s">
        <v>2587</v>
      </c>
      <c r="H707" s="17">
        <v>44315.4375</v>
      </c>
      <c r="I707" s="17">
        <v>44315.47916666667</v>
      </c>
      <c r="J707" s="10" t="s">
        <v>33</v>
      </c>
      <c r="K707" s="10" t="s">
        <v>34</v>
      </c>
      <c r="N707" s="10" t="s">
        <v>296</v>
      </c>
      <c r="O707" s="18" t="s">
        <v>2609</v>
      </c>
      <c r="P707" s="10" t="s">
        <v>296</v>
      </c>
      <c r="Q707" s="10">
        <v>1.0</v>
      </c>
      <c r="R707" s="10" t="s">
        <v>35</v>
      </c>
      <c r="T707" s="10" t="s">
        <v>35</v>
      </c>
      <c r="V707" s="9"/>
      <c r="W707" s="13" t="s">
        <v>78</v>
      </c>
      <c r="X707" s="10" t="s">
        <v>37</v>
      </c>
      <c r="Y707" s="10" t="s">
        <v>0</v>
      </c>
    </row>
    <row r="708">
      <c r="A708" s="10" t="s">
        <v>2610</v>
      </c>
      <c r="B708" s="11">
        <v>44292.382159201385</v>
      </c>
      <c r="C708" s="10" t="s">
        <v>150</v>
      </c>
      <c r="D708" s="10" t="s">
        <v>151</v>
      </c>
      <c r="E708" s="10" t="s">
        <v>152</v>
      </c>
      <c r="F708" s="10" t="s">
        <v>2611</v>
      </c>
      <c r="G708" s="10" t="s">
        <v>2612</v>
      </c>
      <c r="H708" s="24">
        <v>44309.64583333333</v>
      </c>
      <c r="I708" s="24">
        <v>44309.6875</v>
      </c>
      <c r="J708" s="10" t="s">
        <v>43</v>
      </c>
      <c r="K708" s="10" t="s">
        <v>34</v>
      </c>
      <c r="N708" s="10" t="s">
        <v>296</v>
      </c>
      <c r="O708" s="18" t="s">
        <v>2613</v>
      </c>
      <c r="P708" s="10" t="s">
        <v>35</v>
      </c>
      <c r="R708" s="10" t="s">
        <v>296</v>
      </c>
      <c r="S708" s="10">
        <v>1.0</v>
      </c>
      <c r="T708" s="10" t="s">
        <v>35</v>
      </c>
      <c r="V708" s="9"/>
      <c r="W708" s="13" t="s">
        <v>78</v>
      </c>
      <c r="X708" s="10" t="s">
        <v>37</v>
      </c>
      <c r="Y708" s="10" t="s">
        <v>0</v>
      </c>
    </row>
    <row r="709">
      <c r="A709" s="10" t="s">
        <v>2614</v>
      </c>
      <c r="B709" s="11">
        <v>44307.67521083333</v>
      </c>
      <c r="C709" s="10" t="s">
        <v>516</v>
      </c>
      <c r="D709" s="10" t="s">
        <v>511</v>
      </c>
      <c r="E709" s="10" t="s">
        <v>2615</v>
      </c>
      <c r="F709" s="10" t="s">
        <v>2616</v>
      </c>
      <c r="G709" s="10" t="s">
        <v>2617</v>
      </c>
      <c r="H709" s="17">
        <v>44308.0</v>
      </c>
      <c r="I709" s="17">
        <v>44308.5</v>
      </c>
      <c r="J709" s="10" t="s">
        <v>51</v>
      </c>
      <c r="K709" s="10" t="s">
        <v>34</v>
      </c>
      <c r="N709" s="10" t="s">
        <v>35</v>
      </c>
      <c r="V709" s="9"/>
      <c r="W709" s="13" t="s">
        <v>78</v>
      </c>
      <c r="X709" s="10" t="s">
        <v>37</v>
      </c>
      <c r="Y709" s="10" t="s">
        <v>0</v>
      </c>
    </row>
    <row r="710">
      <c r="A710" s="10" t="s">
        <v>2618</v>
      </c>
      <c r="B710" s="11">
        <v>44307.7402584375</v>
      </c>
      <c r="C710" s="10" t="s">
        <v>374</v>
      </c>
      <c r="D710" s="10" t="s">
        <v>375</v>
      </c>
      <c r="E710" s="10" t="s">
        <v>1420</v>
      </c>
      <c r="F710" s="10" t="s">
        <v>2619</v>
      </c>
      <c r="G710" s="10" t="s">
        <v>2620</v>
      </c>
      <c r="H710" s="17">
        <v>44313.375</v>
      </c>
      <c r="I710" s="17">
        <v>44314.66666666667</v>
      </c>
      <c r="J710" s="10" t="s">
        <v>51</v>
      </c>
      <c r="K710" s="10" t="s">
        <v>34</v>
      </c>
      <c r="N710" s="10" t="s">
        <v>35</v>
      </c>
      <c r="V710" s="9"/>
      <c r="W710" s="13" t="s">
        <v>78</v>
      </c>
      <c r="X710" s="10" t="s">
        <v>37</v>
      </c>
      <c r="Y710" s="10" t="s">
        <v>0</v>
      </c>
    </row>
    <row r="711">
      <c r="A711" s="10" t="s">
        <v>2621</v>
      </c>
      <c r="B711" s="11">
        <v>44307.917321319444</v>
      </c>
      <c r="C711" s="10" t="s">
        <v>1035</v>
      </c>
      <c r="D711" s="10" t="s">
        <v>1036</v>
      </c>
      <c r="E711" s="10" t="s">
        <v>2622</v>
      </c>
      <c r="F711" s="10" t="s">
        <v>2623</v>
      </c>
      <c r="G711" s="10" t="s">
        <v>2624</v>
      </c>
      <c r="H711" s="17">
        <v>44309.39583333333</v>
      </c>
      <c r="I711" s="17">
        <v>44309.4375</v>
      </c>
      <c r="J711" s="10" t="s">
        <v>128</v>
      </c>
      <c r="K711" s="10" t="s">
        <v>34</v>
      </c>
      <c r="N711" s="10" t="s">
        <v>35</v>
      </c>
      <c r="V711" s="9"/>
      <c r="W711" s="13" t="s">
        <v>78</v>
      </c>
      <c r="X711" s="10" t="s">
        <v>37</v>
      </c>
      <c r="Y711" s="10" t="s">
        <v>0</v>
      </c>
    </row>
    <row r="712">
      <c r="A712" s="10" t="s">
        <v>2625</v>
      </c>
      <c r="B712" s="11">
        <v>44307.921579166665</v>
      </c>
      <c r="C712" s="10" t="s">
        <v>1035</v>
      </c>
      <c r="D712" s="10" t="s">
        <v>1036</v>
      </c>
      <c r="E712" s="10" t="s">
        <v>2626</v>
      </c>
      <c r="F712" s="10" t="s">
        <v>2627</v>
      </c>
      <c r="G712" s="10" t="s">
        <v>2628</v>
      </c>
      <c r="H712" s="17">
        <v>44311.41666666667</v>
      </c>
      <c r="I712" s="17">
        <v>44311.45833333333</v>
      </c>
      <c r="J712" s="10" t="s">
        <v>128</v>
      </c>
      <c r="K712" s="10" t="s">
        <v>34</v>
      </c>
      <c r="N712" s="10" t="s">
        <v>35</v>
      </c>
      <c r="V712" s="9"/>
      <c r="W712" s="13" t="s">
        <v>78</v>
      </c>
      <c r="X712" s="10" t="s">
        <v>37</v>
      </c>
      <c r="Y712" s="10" t="s">
        <v>0</v>
      </c>
    </row>
    <row r="713">
      <c r="A713" s="10" t="s">
        <v>2629</v>
      </c>
      <c r="B713" s="11">
        <v>44307.92587623843</v>
      </c>
      <c r="C713" s="10" t="s">
        <v>1035</v>
      </c>
      <c r="D713" s="10" t="s">
        <v>1036</v>
      </c>
      <c r="E713" s="10" t="s">
        <v>2630</v>
      </c>
      <c r="F713" s="10" t="s">
        <v>2631</v>
      </c>
      <c r="G713" s="10" t="s">
        <v>2632</v>
      </c>
      <c r="H713" s="17">
        <v>44308.77083333333</v>
      </c>
      <c r="I713" s="17">
        <v>44308.8125</v>
      </c>
      <c r="J713" s="10" t="s">
        <v>128</v>
      </c>
      <c r="K713" s="10" t="s">
        <v>34</v>
      </c>
      <c r="N713" s="10" t="s">
        <v>35</v>
      </c>
      <c r="V713" s="9"/>
      <c r="W713" s="13" t="s">
        <v>78</v>
      </c>
      <c r="X713" s="10" t="s">
        <v>37</v>
      </c>
      <c r="Y713" s="10" t="s">
        <v>0</v>
      </c>
    </row>
    <row r="714">
      <c r="A714" s="10" t="s">
        <v>2633</v>
      </c>
      <c r="B714" s="11">
        <v>44308.507417395835</v>
      </c>
      <c r="C714" s="10" t="s">
        <v>239</v>
      </c>
      <c r="D714" s="10" t="s">
        <v>240</v>
      </c>
      <c r="E714" s="10" t="s">
        <v>2634</v>
      </c>
      <c r="F714" s="10" t="s">
        <v>2635</v>
      </c>
      <c r="G714" s="10" t="s">
        <v>2636</v>
      </c>
      <c r="H714" s="17">
        <v>44309.60416666667</v>
      </c>
      <c r="I714" s="17">
        <v>44309.6875</v>
      </c>
      <c r="J714" s="10" t="s">
        <v>128</v>
      </c>
      <c r="K714" s="10" t="s">
        <v>34</v>
      </c>
      <c r="N714" s="10" t="s">
        <v>35</v>
      </c>
      <c r="V714" s="9"/>
      <c r="W714" s="13" t="s">
        <v>78</v>
      </c>
      <c r="X714" s="10" t="s">
        <v>37</v>
      </c>
      <c r="Y714" s="10" t="s">
        <v>0</v>
      </c>
    </row>
    <row r="715">
      <c r="A715" s="10" t="s">
        <v>2637</v>
      </c>
      <c r="B715" s="11">
        <v>44298.82963143519</v>
      </c>
      <c r="C715" s="10" t="s">
        <v>150</v>
      </c>
      <c r="D715" s="10" t="s">
        <v>151</v>
      </c>
      <c r="E715" s="10" t="s">
        <v>152</v>
      </c>
      <c r="F715" s="10" t="s">
        <v>2638</v>
      </c>
      <c r="G715" s="10" t="s">
        <v>2639</v>
      </c>
      <c r="H715" s="24">
        <v>44309.66666666667</v>
      </c>
      <c r="I715" s="24">
        <v>44309.70833333333</v>
      </c>
      <c r="J715" s="10" t="s">
        <v>43</v>
      </c>
      <c r="K715" s="10" t="s">
        <v>34</v>
      </c>
      <c r="N715" s="10" t="s">
        <v>35</v>
      </c>
      <c r="V715" s="9"/>
      <c r="W715" s="13" t="s">
        <v>78</v>
      </c>
      <c r="X715" s="10" t="s">
        <v>37</v>
      </c>
      <c r="Y715" s="10" t="s">
        <v>0</v>
      </c>
    </row>
    <row r="716">
      <c r="A716" s="10" t="s">
        <v>2640</v>
      </c>
      <c r="B716" s="11">
        <v>44308.54223273148</v>
      </c>
      <c r="C716" s="10" t="s">
        <v>239</v>
      </c>
      <c r="D716" s="10" t="s">
        <v>240</v>
      </c>
      <c r="E716" s="10" t="s">
        <v>2041</v>
      </c>
      <c r="F716" s="10" t="s">
        <v>2641</v>
      </c>
      <c r="G716" s="10" t="s">
        <v>2642</v>
      </c>
      <c r="H716" s="17">
        <v>44316.66666666667</v>
      </c>
      <c r="I716" s="17">
        <v>44316.70833333333</v>
      </c>
      <c r="J716" s="10" t="s">
        <v>128</v>
      </c>
      <c r="K716" s="10" t="s">
        <v>34</v>
      </c>
      <c r="N716" s="10" t="s">
        <v>35</v>
      </c>
      <c r="V716" s="9"/>
      <c r="W716" s="13" t="s">
        <v>78</v>
      </c>
      <c r="X716" s="10" t="s">
        <v>37</v>
      </c>
      <c r="Y716" s="10" t="s">
        <v>0</v>
      </c>
    </row>
    <row r="717">
      <c r="A717" s="10" t="s">
        <v>2643</v>
      </c>
      <c r="B717" s="11">
        <v>44305.57707508102</v>
      </c>
      <c r="C717" s="10" t="s">
        <v>694</v>
      </c>
      <c r="D717" s="10" t="s">
        <v>695</v>
      </c>
      <c r="E717" s="10" t="s">
        <v>696</v>
      </c>
      <c r="F717" s="10" t="s">
        <v>2644</v>
      </c>
      <c r="G717" s="10" t="s">
        <v>2645</v>
      </c>
      <c r="H717" s="16">
        <v>44309.66666666667</v>
      </c>
      <c r="I717" s="16">
        <v>44309.70833333333</v>
      </c>
      <c r="J717" s="10" t="s">
        <v>43</v>
      </c>
      <c r="K717" s="10" t="s">
        <v>34</v>
      </c>
      <c r="N717" s="10" t="s">
        <v>35</v>
      </c>
      <c r="V717" s="9"/>
      <c r="W717" s="13" t="s">
        <v>78</v>
      </c>
      <c r="X717" s="10" t="s">
        <v>37</v>
      </c>
      <c r="Y717" s="10" t="s">
        <v>0</v>
      </c>
    </row>
    <row r="718">
      <c r="A718" s="10" t="s">
        <v>2646</v>
      </c>
      <c r="B718" s="11">
        <v>44292.72605510417</v>
      </c>
      <c r="C718" s="10" t="s">
        <v>381</v>
      </c>
      <c r="D718" s="10" t="s">
        <v>382</v>
      </c>
      <c r="E718" s="10" t="s">
        <v>2045</v>
      </c>
      <c r="F718" s="10" t="s">
        <v>2647</v>
      </c>
      <c r="G718" s="10" t="s">
        <v>2648</v>
      </c>
      <c r="H718" s="24">
        <v>44309.6875</v>
      </c>
      <c r="I718" s="24">
        <v>44309.72916666667</v>
      </c>
      <c r="J718" s="10" t="s">
        <v>43</v>
      </c>
      <c r="K718" s="10" t="s">
        <v>34</v>
      </c>
      <c r="N718" s="10" t="s">
        <v>296</v>
      </c>
      <c r="O718" s="18" t="s">
        <v>2649</v>
      </c>
      <c r="P718" s="10" t="s">
        <v>296</v>
      </c>
      <c r="Q718" s="10">
        <v>1.0</v>
      </c>
      <c r="R718" s="10" t="s">
        <v>35</v>
      </c>
      <c r="T718" s="10" t="s">
        <v>35</v>
      </c>
      <c r="V718" s="9"/>
      <c r="W718" s="13" t="s">
        <v>78</v>
      </c>
      <c r="X718" s="10" t="s">
        <v>37</v>
      </c>
      <c r="Y718" s="10" t="s">
        <v>0</v>
      </c>
    </row>
    <row r="719">
      <c r="A719" s="10" t="s">
        <v>2650</v>
      </c>
      <c r="B719" s="11">
        <v>44299.58797399305</v>
      </c>
      <c r="C719" s="10" t="s">
        <v>539</v>
      </c>
      <c r="D719" s="10" t="s">
        <v>540</v>
      </c>
      <c r="E719" s="10" t="s">
        <v>2266</v>
      </c>
      <c r="F719" s="10" t="s">
        <v>2651</v>
      </c>
      <c r="G719" s="10" t="s">
        <v>2652</v>
      </c>
      <c r="H719" s="24">
        <v>44309.6875</v>
      </c>
      <c r="I719" s="24">
        <v>44309.72916666667</v>
      </c>
      <c r="J719" s="10" t="s">
        <v>43</v>
      </c>
      <c r="K719" s="10" t="s">
        <v>34</v>
      </c>
      <c r="N719" s="10" t="s">
        <v>296</v>
      </c>
      <c r="O719" s="18" t="s">
        <v>2653</v>
      </c>
      <c r="P719" s="10" t="s">
        <v>35</v>
      </c>
      <c r="R719" s="10" t="s">
        <v>296</v>
      </c>
      <c r="S719" s="10">
        <v>1.0</v>
      </c>
      <c r="T719" s="10" t="s">
        <v>35</v>
      </c>
      <c r="V719" s="9"/>
      <c r="W719" s="13" t="s">
        <v>78</v>
      </c>
      <c r="X719" s="10" t="s">
        <v>37</v>
      </c>
      <c r="Y719" s="10" t="s">
        <v>0</v>
      </c>
    </row>
    <row r="720">
      <c r="A720" s="10" t="s">
        <v>2654</v>
      </c>
      <c r="B720" s="11">
        <v>44308.93899357639</v>
      </c>
      <c r="C720" s="10" t="s">
        <v>381</v>
      </c>
      <c r="D720" s="10" t="s">
        <v>382</v>
      </c>
      <c r="E720" s="10" t="s">
        <v>1487</v>
      </c>
      <c r="F720" s="10" t="s">
        <v>2655</v>
      </c>
      <c r="G720" s="10" t="s">
        <v>2656</v>
      </c>
      <c r="H720" s="17">
        <v>44323.6875</v>
      </c>
      <c r="I720" s="17">
        <v>44323.729166666664</v>
      </c>
      <c r="J720" s="10" t="s">
        <v>128</v>
      </c>
      <c r="K720" s="10" t="s">
        <v>34</v>
      </c>
      <c r="N720" s="10" t="s">
        <v>35</v>
      </c>
      <c r="V720" s="9"/>
      <c r="W720" s="13" t="s">
        <v>78</v>
      </c>
      <c r="X720" s="10" t="s">
        <v>37</v>
      </c>
      <c r="Y720" s="10" t="s">
        <v>0</v>
      </c>
    </row>
    <row r="721">
      <c r="A721" s="10" t="s">
        <v>2657</v>
      </c>
      <c r="B721" s="11">
        <v>44308.764418125</v>
      </c>
      <c r="C721" s="10" t="s">
        <v>2658</v>
      </c>
      <c r="D721" s="10" t="s">
        <v>97</v>
      </c>
      <c r="E721" s="10" t="s">
        <v>98</v>
      </c>
      <c r="F721" s="10" t="s">
        <v>2659</v>
      </c>
      <c r="G721" s="10" t="s">
        <v>2660</v>
      </c>
      <c r="H721" s="16">
        <v>44309.6875</v>
      </c>
      <c r="I721" s="16">
        <v>44309.75</v>
      </c>
      <c r="J721" s="10" t="s">
        <v>43</v>
      </c>
      <c r="K721" s="10" t="s">
        <v>34</v>
      </c>
      <c r="N721" s="10" t="s">
        <v>296</v>
      </c>
      <c r="O721" s="18" t="s">
        <v>2661</v>
      </c>
      <c r="P721" s="10" t="s">
        <v>296</v>
      </c>
      <c r="Q721" s="10">
        <v>2.0</v>
      </c>
      <c r="R721" s="10" t="s">
        <v>35</v>
      </c>
      <c r="T721" s="10" t="s">
        <v>35</v>
      </c>
      <c r="V721" s="9"/>
      <c r="W721" s="13" t="s">
        <v>78</v>
      </c>
      <c r="X721" s="10" t="s">
        <v>37</v>
      </c>
      <c r="Y721" s="10" t="s">
        <v>0</v>
      </c>
    </row>
    <row r="722">
      <c r="A722" s="10" t="s">
        <v>2662</v>
      </c>
      <c r="B722" s="11">
        <v>44309.35295731481</v>
      </c>
      <c r="C722" s="10" t="s">
        <v>610</v>
      </c>
      <c r="D722" s="10" t="s">
        <v>611</v>
      </c>
      <c r="E722" s="10" t="s">
        <v>612</v>
      </c>
      <c r="F722" s="10" t="s">
        <v>2663</v>
      </c>
      <c r="G722" s="10" t="s">
        <v>2664</v>
      </c>
      <c r="H722" s="17">
        <v>44310.64583333333</v>
      </c>
      <c r="I722" s="17">
        <v>44310.6875</v>
      </c>
      <c r="J722" s="10" t="s">
        <v>128</v>
      </c>
      <c r="K722" s="10" t="s">
        <v>34</v>
      </c>
      <c r="N722" s="10" t="s">
        <v>35</v>
      </c>
      <c r="V722" s="9"/>
      <c r="W722" s="13" t="s">
        <v>78</v>
      </c>
      <c r="X722" s="10" t="s">
        <v>37</v>
      </c>
      <c r="Y722" s="10" t="s">
        <v>0</v>
      </c>
    </row>
    <row r="723">
      <c r="A723" s="10" t="s">
        <v>2665</v>
      </c>
      <c r="B723" s="11">
        <v>44309.44247489583</v>
      </c>
      <c r="C723" s="10" t="s">
        <v>96</v>
      </c>
      <c r="D723" s="10" t="s">
        <v>97</v>
      </c>
      <c r="E723" s="10" t="s">
        <v>2666</v>
      </c>
      <c r="F723" s="10" t="s">
        <v>2667</v>
      </c>
      <c r="G723" s="10" t="s">
        <v>2668</v>
      </c>
      <c r="H723" s="16">
        <v>44309.6875</v>
      </c>
      <c r="I723" s="16">
        <v>44309.75</v>
      </c>
      <c r="J723" s="10" t="s">
        <v>43</v>
      </c>
      <c r="K723" s="10" t="s">
        <v>34</v>
      </c>
      <c r="N723" s="10" t="s">
        <v>296</v>
      </c>
      <c r="O723" s="18" t="s">
        <v>2669</v>
      </c>
      <c r="P723" s="10" t="s">
        <v>296</v>
      </c>
      <c r="Q723" s="10">
        <v>2.0</v>
      </c>
      <c r="R723" s="10" t="s">
        <v>35</v>
      </c>
      <c r="T723" s="10" t="s">
        <v>35</v>
      </c>
      <c r="V723" s="9"/>
      <c r="W723" s="13" t="s">
        <v>78</v>
      </c>
      <c r="X723" s="10" t="s">
        <v>37</v>
      </c>
      <c r="Y723" s="10" t="s">
        <v>0</v>
      </c>
    </row>
    <row r="724">
      <c r="A724" s="10" t="s">
        <v>2670</v>
      </c>
      <c r="B724" s="11">
        <v>44305.70844850694</v>
      </c>
      <c r="C724" s="10" t="s">
        <v>2671</v>
      </c>
      <c r="D724" s="10" t="s">
        <v>444</v>
      </c>
      <c r="E724" s="10" t="s">
        <v>2672</v>
      </c>
      <c r="F724" s="10" t="s">
        <v>2673</v>
      </c>
      <c r="G724" s="10" t="s">
        <v>2674</v>
      </c>
      <c r="H724" s="16">
        <v>44309.72916666667</v>
      </c>
      <c r="I724" s="16">
        <v>44309.8125</v>
      </c>
      <c r="J724" s="10" t="s">
        <v>43</v>
      </c>
      <c r="K724" s="10" t="s">
        <v>34</v>
      </c>
      <c r="N724" s="10" t="s">
        <v>35</v>
      </c>
      <c r="V724" s="9"/>
      <c r="W724" s="13" t="s">
        <v>78</v>
      </c>
      <c r="X724" s="10" t="s">
        <v>37</v>
      </c>
      <c r="Y724" s="10" t="s">
        <v>0</v>
      </c>
    </row>
    <row r="725">
      <c r="A725" s="10" t="s">
        <v>2675</v>
      </c>
      <c r="B725" s="11">
        <v>44309.55632832176</v>
      </c>
      <c r="C725" s="10" t="s">
        <v>80</v>
      </c>
      <c r="D725" s="10" t="s">
        <v>81</v>
      </c>
      <c r="E725" s="10" t="s">
        <v>2676</v>
      </c>
      <c r="F725" s="10" t="s">
        <v>2677</v>
      </c>
      <c r="G725" s="10" t="s">
        <v>2678</v>
      </c>
      <c r="H725" s="16">
        <v>44310.375</v>
      </c>
      <c r="I725" s="16">
        <v>44310.41666666667</v>
      </c>
      <c r="J725" s="10" t="s">
        <v>43</v>
      </c>
      <c r="K725" s="10" t="s">
        <v>34</v>
      </c>
      <c r="N725" s="10" t="s">
        <v>296</v>
      </c>
      <c r="O725" s="18" t="s">
        <v>2679</v>
      </c>
      <c r="P725" s="10" t="s">
        <v>296</v>
      </c>
      <c r="Q725" s="10">
        <v>1.0</v>
      </c>
      <c r="R725" s="10" t="s">
        <v>35</v>
      </c>
      <c r="T725" s="10" t="s">
        <v>296</v>
      </c>
      <c r="U725" s="10">
        <v>1.0</v>
      </c>
      <c r="V725" s="27"/>
      <c r="W725" s="13" t="s">
        <v>78</v>
      </c>
      <c r="X725" s="10" t="s">
        <v>37</v>
      </c>
      <c r="Y725" s="10" t="s">
        <v>0</v>
      </c>
    </row>
    <row r="726">
      <c r="A726" s="10" t="s">
        <v>2680</v>
      </c>
      <c r="B726" s="11">
        <v>44304.81230333333</v>
      </c>
      <c r="C726" s="10" t="s">
        <v>516</v>
      </c>
      <c r="D726" s="10" t="s">
        <v>511</v>
      </c>
      <c r="E726" s="10" t="s">
        <v>1909</v>
      </c>
      <c r="F726" s="10" t="s">
        <v>2681</v>
      </c>
      <c r="G726" s="10" t="s">
        <v>2682</v>
      </c>
      <c r="H726" s="16">
        <v>44310.4375</v>
      </c>
      <c r="I726" s="16">
        <v>44310.52083333333</v>
      </c>
      <c r="J726" s="10" t="s">
        <v>43</v>
      </c>
      <c r="K726" s="10" t="s">
        <v>34</v>
      </c>
      <c r="N726" s="10" t="s">
        <v>35</v>
      </c>
      <c r="V726" s="9"/>
      <c r="W726" s="13" t="s">
        <v>78</v>
      </c>
      <c r="X726" s="10" t="s">
        <v>37</v>
      </c>
      <c r="Y726" s="10" t="s">
        <v>0</v>
      </c>
    </row>
    <row r="727">
      <c r="A727" s="10" t="s">
        <v>2683</v>
      </c>
      <c r="B727" s="11">
        <v>44309.69769945602</v>
      </c>
      <c r="C727" s="10" t="s">
        <v>694</v>
      </c>
      <c r="D727" s="10" t="s">
        <v>695</v>
      </c>
      <c r="E727" s="10" t="s">
        <v>696</v>
      </c>
      <c r="F727" s="10" t="s">
        <v>2684</v>
      </c>
      <c r="G727" s="10" t="s">
        <v>2685</v>
      </c>
      <c r="H727" s="17">
        <v>44310.54166666667</v>
      </c>
      <c r="I727" s="17">
        <v>44310.58333333333</v>
      </c>
      <c r="J727" s="10" t="s">
        <v>73</v>
      </c>
      <c r="K727" s="10" t="s">
        <v>34</v>
      </c>
      <c r="N727" s="10" t="s">
        <v>35</v>
      </c>
      <c r="V727" s="9"/>
      <c r="W727" s="13" t="s">
        <v>78</v>
      </c>
      <c r="X727" s="10" t="s">
        <v>37</v>
      </c>
      <c r="Y727" s="10" t="s">
        <v>0</v>
      </c>
    </row>
    <row r="728">
      <c r="A728" s="10" t="s">
        <v>2686</v>
      </c>
      <c r="B728" s="11">
        <v>44326.796519421296</v>
      </c>
      <c r="C728" s="10" t="s">
        <v>46</v>
      </c>
      <c r="D728" s="10" t="s">
        <v>47</v>
      </c>
      <c r="E728" s="10" t="s">
        <v>233</v>
      </c>
      <c r="F728" s="10" t="s">
        <v>2687</v>
      </c>
      <c r="G728" s="10" t="s">
        <v>2688</v>
      </c>
      <c r="H728" s="16">
        <v>44310.66666666667</v>
      </c>
      <c r="I728" s="16">
        <v>44310.70833333333</v>
      </c>
      <c r="J728" s="10" t="s">
        <v>43</v>
      </c>
      <c r="K728" s="10" t="s">
        <v>34</v>
      </c>
      <c r="N728" s="10" t="s">
        <v>35</v>
      </c>
      <c r="V728" s="9"/>
      <c r="W728" s="13" t="s">
        <v>78</v>
      </c>
      <c r="X728" s="10" t="s">
        <v>237</v>
      </c>
      <c r="Y728" s="10" t="s">
        <v>0</v>
      </c>
    </row>
    <row r="729">
      <c r="A729" s="10" t="s">
        <v>2689</v>
      </c>
      <c r="B729" s="11">
        <v>44299.60038554398</v>
      </c>
      <c r="C729" s="10" t="s">
        <v>539</v>
      </c>
      <c r="D729" s="10" t="s">
        <v>540</v>
      </c>
      <c r="E729" s="10" t="s">
        <v>2266</v>
      </c>
      <c r="F729" s="10" t="s">
        <v>2690</v>
      </c>
      <c r="G729" s="10" t="s">
        <v>2691</v>
      </c>
      <c r="H729" s="24">
        <v>44310.6875</v>
      </c>
      <c r="I729" s="24">
        <v>44310.72916666667</v>
      </c>
      <c r="J729" s="10" t="s">
        <v>43</v>
      </c>
      <c r="K729" s="10" t="s">
        <v>34</v>
      </c>
      <c r="N729" s="10" t="s">
        <v>296</v>
      </c>
      <c r="O729" s="18" t="s">
        <v>2692</v>
      </c>
      <c r="P729" s="10" t="s">
        <v>296</v>
      </c>
      <c r="Q729" s="10">
        <v>1.0</v>
      </c>
      <c r="R729" s="10" t="s">
        <v>35</v>
      </c>
      <c r="T729" s="10" t="s">
        <v>35</v>
      </c>
      <c r="V729" s="9"/>
      <c r="W729" s="13" t="s">
        <v>78</v>
      </c>
      <c r="X729" s="10" t="s">
        <v>37</v>
      </c>
      <c r="Y729" s="10" t="s">
        <v>0</v>
      </c>
    </row>
    <row r="730">
      <c r="A730" s="10" t="s">
        <v>2693</v>
      </c>
      <c r="B730" s="11">
        <v>44312.27718563657</v>
      </c>
      <c r="C730" s="10" t="s">
        <v>80</v>
      </c>
      <c r="D730" s="10" t="s">
        <v>81</v>
      </c>
      <c r="E730" s="10" t="s">
        <v>2694</v>
      </c>
      <c r="F730" s="10" t="s">
        <v>2695</v>
      </c>
      <c r="G730" s="10" t="s">
        <v>2696</v>
      </c>
      <c r="H730" s="16">
        <v>44312.1875</v>
      </c>
      <c r="I730" s="16">
        <v>44312.22916666667</v>
      </c>
      <c r="J730" s="10" t="s">
        <v>43</v>
      </c>
      <c r="K730" s="10" t="s">
        <v>34</v>
      </c>
      <c r="N730" s="10" t="s">
        <v>296</v>
      </c>
      <c r="O730" s="18" t="s">
        <v>2697</v>
      </c>
      <c r="P730" s="10" t="s">
        <v>296</v>
      </c>
      <c r="Q730" s="10">
        <v>1.0</v>
      </c>
      <c r="R730" s="10" t="s">
        <v>35</v>
      </c>
      <c r="T730" s="10" t="s">
        <v>35</v>
      </c>
      <c r="V730" s="9"/>
      <c r="W730" s="13" t="s">
        <v>78</v>
      </c>
      <c r="X730" s="10" t="s">
        <v>37</v>
      </c>
      <c r="Y730" s="10" t="s">
        <v>0</v>
      </c>
    </row>
    <row r="731">
      <c r="A731" s="10" t="s">
        <v>2698</v>
      </c>
      <c r="B731" s="11">
        <v>44309.84537789352</v>
      </c>
      <c r="C731" s="10" t="s">
        <v>491</v>
      </c>
      <c r="D731" s="10" t="s">
        <v>492</v>
      </c>
      <c r="E731" s="10" t="s">
        <v>2699</v>
      </c>
      <c r="F731" s="10" t="s">
        <v>2700</v>
      </c>
      <c r="G731" s="10" t="s">
        <v>2701</v>
      </c>
      <c r="H731" s="17">
        <v>44316.79166666667</v>
      </c>
      <c r="I731" s="17">
        <v>44316.85416666667</v>
      </c>
      <c r="J731" s="10" t="s">
        <v>128</v>
      </c>
      <c r="K731" s="10" t="s">
        <v>34</v>
      </c>
      <c r="N731" s="10" t="s">
        <v>35</v>
      </c>
      <c r="V731" s="9"/>
      <c r="W731" s="13" t="s">
        <v>78</v>
      </c>
      <c r="X731" s="10" t="s">
        <v>37</v>
      </c>
      <c r="Y731" s="10" t="s">
        <v>0</v>
      </c>
    </row>
    <row r="732">
      <c r="A732" s="10" t="s">
        <v>2702</v>
      </c>
      <c r="B732" s="11">
        <v>44309.78606528935</v>
      </c>
      <c r="C732" s="10" t="s">
        <v>28</v>
      </c>
      <c r="D732" s="10" t="s">
        <v>29</v>
      </c>
      <c r="E732" s="10" t="s">
        <v>63</v>
      </c>
      <c r="F732" s="10" t="s">
        <v>2703</v>
      </c>
      <c r="G732" s="10" t="s">
        <v>2704</v>
      </c>
      <c r="H732" s="24">
        <v>44313.6875</v>
      </c>
      <c r="I732" s="24">
        <v>44313.77083333333</v>
      </c>
      <c r="J732" s="10" t="s">
        <v>43</v>
      </c>
      <c r="K732" s="10" t="s">
        <v>34</v>
      </c>
      <c r="N732" s="10" t="s">
        <v>35</v>
      </c>
      <c r="V732" s="9"/>
      <c r="W732" s="13" t="s">
        <v>78</v>
      </c>
      <c r="X732" s="10" t="s">
        <v>37</v>
      </c>
      <c r="Y732" s="10" t="s">
        <v>0</v>
      </c>
    </row>
    <row r="733">
      <c r="A733" s="10" t="s">
        <v>2705</v>
      </c>
      <c r="B733" s="11">
        <v>44311.46707462963</v>
      </c>
      <c r="C733" s="10" t="s">
        <v>137</v>
      </c>
      <c r="D733" s="10" t="s">
        <v>138</v>
      </c>
      <c r="E733" s="10" t="s">
        <v>1376</v>
      </c>
      <c r="F733" s="10" t="s">
        <v>2706</v>
      </c>
      <c r="G733" s="10" t="s">
        <v>2707</v>
      </c>
      <c r="H733" s="17">
        <v>44317.5625</v>
      </c>
      <c r="I733" s="17">
        <v>44317.64583333333</v>
      </c>
      <c r="J733" s="10" t="s">
        <v>128</v>
      </c>
      <c r="K733" s="10" t="s">
        <v>34</v>
      </c>
      <c r="N733" s="10" t="s">
        <v>35</v>
      </c>
      <c r="V733" s="9"/>
      <c r="W733" s="13" t="s">
        <v>78</v>
      </c>
      <c r="X733" s="10" t="s">
        <v>37</v>
      </c>
      <c r="Y733" s="10" t="s">
        <v>0</v>
      </c>
    </row>
    <row r="734">
      <c r="A734" s="10" t="s">
        <v>2708</v>
      </c>
      <c r="B734" s="11">
        <v>44309.73632413194</v>
      </c>
      <c r="C734" s="10" t="s">
        <v>418</v>
      </c>
      <c r="D734" s="10" t="s">
        <v>419</v>
      </c>
      <c r="E734" s="10" t="s">
        <v>2709</v>
      </c>
      <c r="F734" s="10" t="s">
        <v>2710</v>
      </c>
      <c r="G734" s="10" t="s">
        <v>2711</v>
      </c>
      <c r="H734" s="24">
        <v>44314.22916666667</v>
      </c>
      <c r="I734" s="24">
        <v>44314.29166666667</v>
      </c>
      <c r="J734" s="10" t="s">
        <v>43</v>
      </c>
      <c r="K734" s="10" t="s">
        <v>34</v>
      </c>
      <c r="N734" s="10" t="s">
        <v>296</v>
      </c>
      <c r="O734" s="18" t="s">
        <v>2712</v>
      </c>
      <c r="P734" s="10" t="s">
        <v>296</v>
      </c>
      <c r="Q734" s="10">
        <v>1.0</v>
      </c>
      <c r="R734" s="10" t="s">
        <v>35</v>
      </c>
      <c r="T734" s="10" t="s">
        <v>35</v>
      </c>
      <c r="V734" s="9"/>
      <c r="W734" s="13" t="s">
        <v>78</v>
      </c>
      <c r="X734" s="10" t="s">
        <v>37</v>
      </c>
      <c r="Y734" s="10" t="s">
        <v>0</v>
      </c>
    </row>
    <row r="735">
      <c r="A735" s="10" t="s">
        <v>2713</v>
      </c>
      <c r="B735" s="11">
        <v>44311.6298822338</v>
      </c>
      <c r="C735" s="10" t="s">
        <v>1583</v>
      </c>
      <c r="D735" s="10" t="s">
        <v>505</v>
      </c>
      <c r="E735" s="10" t="s">
        <v>2105</v>
      </c>
      <c r="F735" s="10" t="s">
        <v>2714</v>
      </c>
      <c r="G735" s="10" t="s">
        <v>2715</v>
      </c>
      <c r="H735" s="17">
        <v>44316.70833333333</v>
      </c>
      <c r="I735" s="17">
        <v>44316.79166666667</v>
      </c>
      <c r="J735" s="10" t="s">
        <v>128</v>
      </c>
      <c r="K735" s="10" t="s">
        <v>34</v>
      </c>
      <c r="N735" s="10" t="s">
        <v>35</v>
      </c>
      <c r="V735" s="9"/>
      <c r="W735" s="13" t="s">
        <v>78</v>
      </c>
      <c r="X735" s="10" t="s">
        <v>37</v>
      </c>
      <c r="Y735" s="10" t="s">
        <v>0</v>
      </c>
    </row>
    <row r="736">
      <c r="A736" s="10" t="s">
        <v>2716</v>
      </c>
      <c r="B736" s="11">
        <v>44310.78159431713</v>
      </c>
      <c r="C736" s="10" t="s">
        <v>247</v>
      </c>
      <c r="D736" s="10" t="s">
        <v>248</v>
      </c>
      <c r="E736" s="10" t="s">
        <v>2717</v>
      </c>
      <c r="F736" s="10" t="s">
        <v>2718</v>
      </c>
      <c r="G736" s="10" t="s">
        <v>2719</v>
      </c>
      <c r="H736" s="24">
        <v>44315.6875</v>
      </c>
      <c r="I736" s="24">
        <v>44315.72916666667</v>
      </c>
      <c r="J736" s="10" t="s">
        <v>43</v>
      </c>
      <c r="K736" s="10" t="s">
        <v>34</v>
      </c>
      <c r="N736" s="10" t="s">
        <v>296</v>
      </c>
      <c r="O736" s="18" t="s">
        <v>2720</v>
      </c>
      <c r="P736" s="10" t="s">
        <v>296</v>
      </c>
      <c r="Q736" s="10">
        <v>1.0</v>
      </c>
      <c r="R736" s="10" t="s">
        <v>35</v>
      </c>
      <c r="T736" s="10" t="s">
        <v>35</v>
      </c>
      <c r="V736" s="9"/>
      <c r="W736" s="13" t="s">
        <v>78</v>
      </c>
      <c r="X736" s="10" t="s">
        <v>37</v>
      </c>
      <c r="Y736" s="10" t="s">
        <v>0</v>
      </c>
    </row>
    <row r="737">
      <c r="A737" s="10" t="s">
        <v>2721</v>
      </c>
      <c r="B737" s="11">
        <v>44312.283681608795</v>
      </c>
      <c r="C737" s="10" t="s">
        <v>80</v>
      </c>
      <c r="D737" s="10" t="s">
        <v>81</v>
      </c>
      <c r="E737" s="10" t="s">
        <v>2676</v>
      </c>
      <c r="F737" s="10" t="s">
        <v>2722</v>
      </c>
      <c r="G737" s="10" t="s">
        <v>2723</v>
      </c>
      <c r="H737" s="16">
        <v>44315.6875</v>
      </c>
      <c r="I737" s="16">
        <v>44315.6875</v>
      </c>
      <c r="J737" s="10" t="s">
        <v>43</v>
      </c>
      <c r="K737" s="10" t="s">
        <v>34</v>
      </c>
      <c r="N737" s="10" t="s">
        <v>296</v>
      </c>
      <c r="O737" s="18" t="s">
        <v>2724</v>
      </c>
      <c r="P737" s="10" t="s">
        <v>296</v>
      </c>
      <c r="Q737" s="10">
        <v>1.0</v>
      </c>
      <c r="R737" s="10" t="s">
        <v>35</v>
      </c>
      <c r="T737" s="10" t="s">
        <v>35</v>
      </c>
      <c r="V737" s="9"/>
      <c r="W737" s="13" t="s">
        <v>78</v>
      </c>
      <c r="X737" s="10" t="s">
        <v>37</v>
      </c>
      <c r="Y737" s="10" t="s">
        <v>0</v>
      </c>
    </row>
    <row r="738">
      <c r="A738" s="10" t="s">
        <v>2725</v>
      </c>
      <c r="B738" s="11">
        <v>44285.91908107639</v>
      </c>
      <c r="C738" s="10" t="s">
        <v>387</v>
      </c>
      <c r="D738" s="10" t="s">
        <v>388</v>
      </c>
      <c r="E738" s="10" t="s">
        <v>2726</v>
      </c>
      <c r="F738" s="10" t="s">
        <v>2727</v>
      </c>
      <c r="G738" s="10" t="s">
        <v>2728</v>
      </c>
      <c r="H738" s="24">
        <v>44315.70833333333</v>
      </c>
      <c r="I738" s="24">
        <v>44315.79166666667</v>
      </c>
      <c r="J738" s="10" t="s">
        <v>43</v>
      </c>
      <c r="K738" s="10" t="s">
        <v>34</v>
      </c>
      <c r="N738" s="10" t="s">
        <v>35</v>
      </c>
      <c r="V738" s="9"/>
      <c r="W738" s="13" t="s">
        <v>78</v>
      </c>
      <c r="X738" s="10" t="s">
        <v>37</v>
      </c>
      <c r="Y738" s="10" t="s">
        <v>0</v>
      </c>
    </row>
    <row r="739">
      <c r="A739" s="10" t="s">
        <v>2729</v>
      </c>
      <c r="B739" s="11">
        <v>44312.49159534722</v>
      </c>
      <c r="C739" s="10" t="s">
        <v>330</v>
      </c>
      <c r="D739" s="10" t="s">
        <v>331</v>
      </c>
      <c r="E739" s="10" t="s">
        <v>2730</v>
      </c>
      <c r="F739" s="10" t="s">
        <v>2731</v>
      </c>
      <c r="G739" s="10" t="s">
        <v>2732</v>
      </c>
      <c r="H739" s="17">
        <v>44314.77083333333</v>
      </c>
      <c r="I739" s="17">
        <v>44314.85416666667</v>
      </c>
      <c r="J739" s="10" t="s">
        <v>128</v>
      </c>
      <c r="K739" s="10" t="s">
        <v>34</v>
      </c>
      <c r="N739" s="10" t="s">
        <v>35</v>
      </c>
      <c r="V739" s="9"/>
      <c r="W739" s="13" t="s">
        <v>78</v>
      </c>
      <c r="X739" s="10" t="s">
        <v>37</v>
      </c>
      <c r="Y739" s="10" t="s">
        <v>0</v>
      </c>
    </row>
    <row r="740">
      <c r="A740" s="10" t="s">
        <v>2733</v>
      </c>
      <c r="B740" s="11">
        <v>44312.49290038194</v>
      </c>
      <c r="C740" s="10" t="s">
        <v>330</v>
      </c>
      <c r="D740" s="10" t="s">
        <v>331</v>
      </c>
      <c r="E740" s="10" t="s">
        <v>2730</v>
      </c>
      <c r="F740" s="10" t="s">
        <v>2731</v>
      </c>
      <c r="G740" s="10" t="s">
        <v>2732</v>
      </c>
      <c r="H740" s="17">
        <v>44321.77083333333</v>
      </c>
      <c r="I740" s="17">
        <v>44321.85416666667</v>
      </c>
      <c r="J740" s="10" t="s">
        <v>128</v>
      </c>
      <c r="K740" s="10" t="s">
        <v>34</v>
      </c>
      <c r="N740" s="10" t="s">
        <v>35</v>
      </c>
      <c r="V740" s="9"/>
      <c r="W740" s="13" t="s">
        <v>78</v>
      </c>
      <c r="X740" s="10" t="s">
        <v>37</v>
      </c>
      <c r="Y740" s="10" t="s">
        <v>0</v>
      </c>
    </row>
    <row r="741">
      <c r="A741" s="10" t="s">
        <v>2734</v>
      </c>
      <c r="B741" s="11">
        <v>44312.49459537037</v>
      </c>
      <c r="C741" s="10" t="s">
        <v>330</v>
      </c>
      <c r="D741" s="10" t="s">
        <v>331</v>
      </c>
      <c r="E741" s="10" t="s">
        <v>2730</v>
      </c>
      <c r="F741" s="10" t="s">
        <v>2731</v>
      </c>
      <c r="G741" s="10" t="s">
        <v>2732</v>
      </c>
      <c r="H741" s="17">
        <v>44328.77083333333</v>
      </c>
      <c r="I741" s="17">
        <v>44328.85416666667</v>
      </c>
      <c r="J741" s="10" t="s">
        <v>128</v>
      </c>
      <c r="K741" s="10" t="s">
        <v>34</v>
      </c>
      <c r="N741" s="10" t="s">
        <v>35</v>
      </c>
      <c r="V741" s="9"/>
      <c r="W741" s="13" t="s">
        <v>78</v>
      </c>
      <c r="X741" s="10" t="s">
        <v>37</v>
      </c>
      <c r="Y741" s="10" t="s">
        <v>0</v>
      </c>
    </row>
    <row r="742">
      <c r="A742" s="10" t="s">
        <v>2735</v>
      </c>
      <c r="B742" s="11">
        <v>44312.49560206018</v>
      </c>
      <c r="C742" s="10" t="s">
        <v>330</v>
      </c>
      <c r="D742" s="10" t="s">
        <v>331</v>
      </c>
      <c r="E742" s="10" t="s">
        <v>2730</v>
      </c>
      <c r="F742" s="10" t="s">
        <v>2731</v>
      </c>
      <c r="G742" s="10" t="s">
        <v>2732</v>
      </c>
      <c r="H742" s="17">
        <v>44335.77083333333</v>
      </c>
      <c r="I742" s="17">
        <v>44335.85416666667</v>
      </c>
      <c r="J742" s="10" t="s">
        <v>128</v>
      </c>
      <c r="K742" s="10" t="s">
        <v>34</v>
      </c>
      <c r="N742" s="10" t="s">
        <v>35</v>
      </c>
      <c r="V742" s="9"/>
      <c r="W742" s="13" t="s">
        <v>78</v>
      </c>
      <c r="X742" s="10" t="s">
        <v>37</v>
      </c>
      <c r="Y742" s="10" t="s">
        <v>0</v>
      </c>
    </row>
    <row r="743">
      <c r="A743" s="10" t="s">
        <v>2736</v>
      </c>
      <c r="B743" s="11">
        <v>44312.49973170139</v>
      </c>
      <c r="C743" s="10" t="s">
        <v>330</v>
      </c>
      <c r="D743" s="10" t="s">
        <v>331</v>
      </c>
      <c r="E743" s="10" t="s">
        <v>2730</v>
      </c>
      <c r="F743" s="10" t="s">
        <v>2737</v>
      </c>
      <c r="G743" s="10" t="s">
        <v>2738</v>
      </c>
      <c r="H743" s="17">
        <v>44317.77083333333</v>
      </c>
      <c r="I743" s="17">
        <v>44317.85416666667</v>
      </c>
      <c r="J743" s="10" t="s">
        <v>128</v>
      </c>
      <c r="K743" s="10" t="s">
        <v>34</v>
      </c>
      <c r="N743" s="10" t="s">
        <v>35</v>
      </c>
      <c r="V743" s="9"/>
      <c r="W743" s="13" t="s">
        <v>78</v>
      </c>
      <c r="X743" s="10" t="s">
        <v>37</v>
      </c>
      <c r="Y743" s="10" t="s">
        <v>0</v>
      </c>
    </row>
    <row r="744">
      <c r="A744" s="10" t="s">
        <v>2739</v>
      </c>
      <c r="B744" s="11">
        <v>44312.50120003472</v>
      </c>
      <c r="C744" s="10" t="s">
        <v>330</v>
      </c>
      <c r="D744" s="10" t="s">
        <v>331</v>
      </c>
      <c r="E744" s="10" t="s">
        <v>2730</v>
      </c>
      <c r="F744" s="10" t="s">
        <v>2740</v>
      </c>
      <c r="G744" s="10" t="s">
        <v>2738</v>
      </c>
      <c r="H744" s="17">
        <v>44319.77083333333</v>
      </c>
      <c r="I744" s="17">
        <v>44319.85416666667</v>
      </c>
      <c r="J744" s="10" t="s">
        <v>128</v>
      </c>
      <c r="K744" s="10" t="s">
        <v>34</v>
      </c>
      <c r="N744" s="10" t="s">
        <v>35</v>
      </c>
      <c r="V744" s="9"/>
      <c r="W744" s="13" t="s">
        <v>78</v>
      </c>
      <c r="X744" s="10" t="s">
        <v>37</v>
      </c>
      <c r="Y744" s="10" t="s">
        <v>0</v>
      </c>
    </row>
    <row r="745">
      <c r="A745" s="10" t="s">
        <v>2741</v>
      </c>
      <c r="B745" s="11">
        <v>44312.50231277778</v>
      </c>
      <c r="C745" s="10" t="s">
        <v>330</v>
      </c>
      <c r="D745" s="10" t="s">
        <v>331</v>
      </c>
      <c r="E745" s="10" t="s">
        <v>2730</v>
      </c>
      <c r="F745" s="10" t="s">
        <v>2740</v>
      </c>
      <c r="G745" s="10" t="s">
        <v>2738</v>
      </c>
      <c r="H745" s="17">
        <v>44324.77083333333</v>
      </c>
      <c r="I745" s="17">
        <v>44324.85416666667</v>
      </c>
      <c r="J745" s="10" t="s">
        <v>128</v>
      </c>
      <c r="K745" s="10" t="s">
        <v>34</v>
      </c>
      <c r="N745" s="10" t="s">
        <v>35</v>
      </c>
      <c r="V745" s="9"/>
      <c r="W745" s="13" t="s">
        <v>78</v>
      </c>
      <c r="X745" s="10" t="s">
        <v>37</v>
      </c>
      <c r="Y745" s="10" t="s">
        <v>0</v>
      </c>
    </row>
    <row r="746">
      <c r="A746" s="10" t="s">
        <v>2742</v>
      </c>
      <c r="B746" s="11">
        <v>44312.503597939816</v>
      </c>
      <c r="C746" s="10" t="s">
        <v>330</v>
      </c>
      <c r="D746" s="10" t="s">
        <v>331</v>
      </c>
      <c r="E746" s="10" t="s">
        <v>2730</v>
      </c>
      <c r="F746" s="10" t="s">
        <v>2737</v>
      </c>
      <c r="G746" s="10" t="s">
        <v>2738</v>
      </c>
      <c r="H746" s="17">
        <v>44326.77083333333</v>
      </c>
      <c r="I746" s="17">
        <v>44326.85416666667</v>
      </c>
      <c r="J746" s="10" t="s">
        <v>128</v>
      </c>
      <c r="K746" s="10" t="s">
        <v>34</v>
      </c>
      <c r="N746" s="10" t="s">
        <v>35</v>
      </c>
      <c r="V746" s="9"/>
      <c r="W746" s="13" t="s">
        <v>78</v>
      </c>
      <c r="X746" s="10" t="s">
        <v>37</v>
      </c>
      <c r="Y746" s="10" t="s">
        <v>0</v>
      </c>
    </row>
    <row r="747">
      <c r="A747" s="10" t="s">
        <v>2743</v>
      </c>
      <c r="B747" s="11">
        <v>44312.504925104164</v>
      </c>
      <c r="C747" s="10" t="s">
        <v>330</v>
      </c>
      <c r="D747" s="10" t="s">
        <v>331</v>
      </c>
      <c r="E747" s="10" t="s">
        <v>2730</v>
      </c>
      <c r="F747" s="10" t="s">
        <v>2740</v>
      </c>
      <c r="G747" s="10" t="s">
        <v>2738</v>
      </c>
      <c r="H747" s="17">
        <v>44331.77083333333</v>
      </c>
      <c r="I747" s="17">
        <v>44331.85416666667</v>
      </c>
      <c r="J747" s="10" t="s">
        <v>128</v>
      </c>
      <c r="K747" s="10" t="s">
        <v>34</v>
      </c>
      <c r="N747" s="10" t="s">
        <v>35</v>
      </c>
      <c r="V747" s="9"/>
      <c r="W747" s="13" t="s">
        <v>78</v>
      </c>
      <c r="X747" s="10" t="s">
        <v>37</v>
      </c>
      <c r="Y747" s="10" t="s">
        <v>0</v>
      </c>
    </row>
    <row r="748">
      <c r="A748" s="10" t="s">
        <v>2744</v>
      </c>
      <c r="B748" s="11">
        <v>44312.50869096065</v>
      </c>
      <c r="C748" s="10" t="s">
        <v>96</v>
      </c>
      <c r="D748" s="10" t="s">
        <v>97</v>
      </c>
      <c r="E748" s="10" t="s">
        <v>2745</v>
      </c>
      <c r="F748" s="10" t="s">
        <v>2746</v>
      </c>
      <c r="G748" s="10" t="s">
        <v>2747</v>
      </c>
      <c r="H748" s="17">
        <v>44315.60416666667</v>
      </c>
      <c r="I748" s="17">
        <v>44315.66666666667</v>
      </c>
      <c r="J748" s="10" t="s">
        <v>33</v>
      </c>
      <c r="K748" s="10" t="s">
        <v>34</v>
      </c>
      <c r="N748" s="10" t="s">
        <v>296</v>
      </c>
      <c r="O748" s="18" t="s">
        <v>2748</v>
      </c>
      <c r="P748" s="10" t="s">
        <v>296</v>
      </c>
      <c r="Q748" s="10">
        <v>1.0</v>
      </c>
      <c r="R748" s="10" t="s">
        <v>35</v>
      </c>
      <c r="T748" s="10" t="s">
        <v>35</v>
      </c>
      <c r="V748" s="9"/>
      <c r="W748" s="13" t="s">
        <v>78</v>
      </c>
      <c r="X748" s="10" t="s">
        <v>37</v>
      </c>
      <c r="Y748" s="10" t="s">
        <v>0</v>
      </c>
    </row>
    <row r="749">
      <c r="A749" s="10" t="s">
        <v>2749</v>
      </c>
      <c r="B749" s="11">
        <v>44308.65887998843</v>
      </c>
      <c r="C749" s="10" t="s">
        <v>181</v>
      </c>
      <c r="D749" s="10" t="s">
        <v>69</v>
      </c>
      <c r="E749" s="10" t="s">
        <v>1229</v>
      </c>
      <c r="F749" s="10" t="s">
        <v>2750</v>
      </c>
      <c r="G749" s="10" t="s">
        <v>2751</v>
      </c>
      <c r="H749" s="24">
        <v>44315.72916666667</v>
      </c>
      <c r="I749" s="24">
        <v>44315.77083333333</v>
      </c>
      <c r="J749" s="10" t="s">
        <v>43</v>
      </c>
      <c r="K749" s="10" t="s">
        <v>34</v>
      </c>
      <c r="N749" s="10" t="s">
        <v>296</v>
      </c>
      <c r="O749" s="18" t="s">
        <v>2752</v>
      </c>
      <c r="P749" s="10" t="s">
        <v>296</v>
      </c>
      <c r="Q749" s="10">
        <v>1.0</v>
      </c>
      <c r="R749" s="10" t="s">
        <v>35</v>
      </c>
      <c r="T749" s="10" t="s">
        <v>35</v>
      </c>
      <c r="V749" s="9"/>
      <c r="W749" s="13" t="s">
        <v>78</v>
      </c>
      <c r="X749" s="10" t="s">
        <v>37</v>
      </c>
      <c r="Y749" s="10" t="s">
        <v>0</v>
      </c>
    </row>
    <row r="750">
      <c r="A750" s="10" t="s">
        <v>2753</v>
      </c>
      <c r="B750" s="11">
        <v>44313.14322758102</v>
      </c>
      <c r="C750" s="10" t="s">
        <v>137</v>
      </c>
      <c r="D750" s="10" t="s">
        <v>138</v>
      </c>
      <c r="E750" s="10" t="s">
        <v>139</v>
      </c>
      <c r="F750" s="10" t="s">
        <v>2754</v>
      </c>
      <c r="G750" s="10" t="s">
        <v>2755</v>
      </c>
      <c r="H750" s="17">
        <v>44356.77083333333</v>
      </c>
      <c r="I750" s="17">
        <v>44356.85416666667</v>
      </c>
      <c r="J750" s="10" t="s">
        <v>128</v>
      </c>
      <c r="K750" s="10" t="s">
        <v>34</v>
      </c>
      <c r="N750" s="10" t="s">
        <v>35</v>
      </c>
      <c r="V750" s="9"/>
      <c r="W750" s="13" t="s">
        <v>78</v>
      </c>
      <c r="X750" s="10" t="s">
        <v>37</v>
      </c>
      <c r="Y750" s="10" t="s">
        <v>0</v>
      </c>
    </row>
    <row r="751">
      <c r="A751" s="10" t="s">
        <v>2756</v>
      </c>
      <c r="B751" s="11">
        <v>44311.63400590278</v>
      </c>
      <c r="C751" s="10" t="s">
        <v>1583</v>
      </c>
      <c r="D751" s="10" t="s">
        <v>505</v>
      </c>
      <c r="E751" s="10" t="s">
        <v>2105</v>
      </c>
      <c r="F751" s="10" t="s">
        <v>2757</v>
      </c>
      <c r="G751" s="10" t="s">
        <v>2758</v>
      </c>
      <c r="H751" s="24">
        <v>44315.79166666667</v>
      </c>
      <c r="I751" s="24">
        <v>44315.875</v>
      </c>
      <c r="J751" s="10" t="s">
        <v>43</v>
      </c>
      <c r="K751" s="10" t="s">
        <v>34</v>
      </c>
      <c r="N751" s="10" t="s">
        <v>35</v>
      </c>
      <c r="V751" s="9"/>
      <c r="W751" s="13" t="s">
        <v>78</v>
      </c>
      <c r="X751" s="10" t="s">
        <v>37</v>
      </c>
      <c r="Y751" s="10" t="s">
        <v>0</v>
      </c>
    </row>
    <row r="752">
      <c r="A752" s="10" t="s">
        <v>2759</v>
      </c>
      <c r="B752" s="11">
        <v>44307.669899872686</v>
      </c>
      <c r="C752" s="10" t="s">
        <v>347</v>
      </c>
      <c r="D752" s="10" t="s">
        <v>348</v>
      </c>
      <c r="E752" s="10" t="s">
        <v>349</v>
      </c>
      <c r="F752" s="10" t="s">
        <v>2760</v>
      </c>
      <c r="G752" s="10" t="s">
        <v>2761</v>
      </c>
      <c r="H752" s="24">
        <v>44316.52083333333</v>
      </c>
      <c r="I752" s="24">
        <v>44316.0625</v>
      </c>
      <c r="J752" s="10" t="s">
        <v>43</v>
      </c>
      <c r="K752" s="10" t="s">
        <v>34</v>
      </c>
      <c r="N752" s="10" t="s">
        <v>296</v>
      </c>
      <c r="O752" s="18" t="s">
        <v>2762</v>
      </c>
      <c r="P752" s="10" t="s">
        <v>296</v>
      </c>
      <c r="Q752" s="10">
        <v>2.0</v>
      </c>
      <c r="R752" s="10" t="s">
        <v>35</v>
      </c>
      <c r="T752" s="10" t="s">
        <v>35</v>
      </c>
      <c r="V752" s="9"/>
      <c r="W752" s="13" t="s">
        <v>78</v>
      </c>
      <c r="X752" s="10" t="s">
        <v>37</v>
      </c>
      <c r="Y752" s="10" t="s">
        <v>0</v>
      </c>
    </row>
    <row r="753">
      <c r="A753" s="10" t="s">
        <v>2763</v>
      </c>
      <c r="B753" s="11">
        <v>44313.60801096065</v>
      </c>
      <c r="C753" s="10" t="s">
        <v>239</v>
      </c>
      <c r="D753" s="10" t="s">
        <v>240</v>
      </c>
      <c r="E753" s="10" t="s">
        <v>2764</v>
      </c>
      <c r="F753" s="10" t="s">
        <v>2765</v>
      </c>
      <c r="G753" s="10" t="s">
        <v>2766</v>
      </c>
      <c r="H753" s="17">
        <v>44317.8125</v>
      </c>
      <c r="I753" s="17">
        <v>44317.83333333333</v>
      </c>
      <c r="J753" s="10" t="s">
        <v>128</v>
      </c>
      <c r="K753" s="10" t="s">
        <v>34</v>
      </c>
      <c r="N753" s="10" t="s">
        <v>35</v>
      </c>
      <c r="V753" s="9"/>
      <c r="W753" s="13" t="s">
        <v>78</v>
      </c>
      <c r="X753" s="10" t="s">
        <v>37</v>
      </c>
      <c r="Y753" s="10" t="s">
        <v>0</v>
      </c>
    </row>
    <row r="754">
      <c r="A754" s="10" t="s">
        <v>2767</v>
      </c>
      <c r="B754" s="11">
        <v>44309.67499347222</v>
      </c>
      <c r="C754" s="10" t="s">
        <v>671</v>
      </c>
      <c r="D754" s="10" t="s">
        <v>672</v>
      </c>
      <c r="E754" s="10" t="s">
        <v>2768</v>
      </c>
      <c r="F754" s="10" t="s">
        <v>2769</v>
      </c>
      <c r="G754" s="10" t="s">
        <v>2770</v>
      </c>
      <c r="H754" s="24">
        <v>44316.60416666667</v>
      </c>
      <c r="I754" s="24">
        <v>44316.6875</v>
      </c>
      <c r="J754" s="10" t="s">
        <v>43</v>
      </c>
      <c r="K754" s="10" t="s">
        <v>34</v>
      </c>
      <c r="N754" s="10" t="s">
        <v>35</v>
      </c>
      <c r="V754" s="9"/>
      <c r="W754" s="13" t="s">
        <v>78</v>
      </c>
      <c r="X754" s="10" t="s">
        <v>37</v>
      </c>
      <c r="Y754" s="10" t="s">
        <v>0</v>
      </c>
    </row>
    <row r="755">
      <c r="A755" s="10" t="s">
        <v>2771</v>
      </c>
      <c r="B755" s="11">
        <v>44313.61652414352</v>
      </c>
      <c r="C755" s="10" t="s">
        <v>239</v>
      </c>
      <c r="D755" s="10" t="s">
        <v>240</v>
      </c>
      <c r="E755" s="10" t="s">
        <v>1975</v>
      </c>
      <c r="F755" s="10" t="s">
        <v>2772</v>
      </c>
      <c r="G755" s="10" t="s">
        <v>2773</v>
      </c>
      <c r="H755" s="17">
        <v>44315.64583333333</v>
      </c>
      <c r="I755" s="17">
        <v>44315.6875</v>
      </c>
      <c r="J755" s="10" t="s">
        <v>128</v>
      </c>
      <c r="K755" s="10" t="s">
        <v>34</v>
      </c>
      <c r="N755" s="10" t="s">
        <v>35</v>
      </c>
      <c r="V755" s="9"/>
      <c r="W755" s="13" t="s">
        <v>78</v>
      </c>
      <c r="X755" s="10" t="s">
        <v>37</v>
      </c>
      <c r="Y755" s="10" t="s">
        <v>0</v>
      </c>
    </row>
    <row r="756">
      <c r="A756" s="10" t="s">
        <v>2774</v>
      </c>
      <c r="B756" s="11">
        <v>44313.647593194444</v>
      </c>
      <c r="C756" s="10" t="s">
        <v>610</v>
      </c>
      <c r="D756" s="10" t="s">
        <v>611</v>
      </c>
      <c r="E756" s="10" t="s">
        <v>2562</v>
      </c>
      <c r="F756" s="10" t="s">
        <v>2563</v>
      </c>
      <c r="G756" s="10" t="s">
        <v>2775</v>
      </c>
      <c r="H756" s="17">
        <v>44317.0</v>
      </c>
      <c r="I756" s="17">
        <v>44317.99930555555</v>
      </c>
      <c r="J756" s="10" t="s">
        <v>128</v>
      </c>
      <c r="K756" s="10" t="s">
        <v>34</v>
      </c>
      <c r="N756" s="10" t="s">
        <v>35</v>
      </c>
      <c r="V756" s="9"/>
      <c r="W756" s="13" t="s">
        <v>78</v>
      </c>
      <c r="X756" s="10" t="s">
        <v>37</v>
      </c>
      <c r="Y756" s="10" t="s">
        <v>0</v>
      </c>
    </row>
    <row r="757">
      <c r="A757" s="10" t="s">
        <v>2776</v>
      </c>
      <c r="B757" s="11">
        <v>44313.658744444445</v>
      </c>
      <c r="C757" s="10" t="s">
        <v>80</v>
      </c>
      <c r="D757" s="10" t="s">
        <v>81</v>
      </c>
      <c r="E757" s="10" t="s">
        <v>2777</v>
      </c>
      <c r="F757" s="10" t="s">
        <v>2778</v>
      </c>
      <c r="G757" s="10" t="s">
        <v>2779</v>
      </c>
      <c r="H757" s="17">
        <v>44316.6875</v>
      </c>
      <c r="I757" s="17">
        <v>44316.72916666667</v>
      </c>
      <c r="J757" s="10" t="s">
        <v>33</v>
      </c>
      <c r="K757" s="10" t="s">
        <v>34</v>
      </c>
      <c r="N757" s="10" t="s">
        <v>296</v>
      </c>
      <c r="O757" s="18" t="s">
        <v>2780</v>
      </c>
      <c r="P757" s="10" t="s">
        <v>296</v>
      </c>
      <c r="Q757" s="10">
        <v>1.0</v>
      </c>
      <c r="R757" s="10" t="s">
        <v>35</v>
      </c>
      <c r="T757" s="10" t="s">
        <v>35</v>
      </c>
      <c r="V757" s="9"/>
      <c r="W757" s="13" t="s">
        <v>78</v>
      </c>
      <c r="X757" s="10" t="s">
        <v>37</v>
      </c>
      <c r="Y757" s="10" t="s">
        <v>0</v>
      </c>
    </row>
    <row r="758">
      <c r="A758" s="10" t="s">
        <v>2781</v>
      </c>
      <c r="B758" s="11">
        <v>44313.91274490741</v>
      </c>
      <c r="C758" s="10" t="s">
        <v>167</v>
      </c>
      <c r="D758" s="10" t="s">
        <v>168</v>
      </c>
      <c r="E758" s="10" t="s">
        <v>2782</v>
      </c>
      <c r="F758" s="10" t="s">
        <v>2783</v>
      </c>
      <c r="G758" s="10" t="s">
        <v>2784</v>
      </c>
      <c r="H758" s="17">
        <v>44316.77083333333</v>
      </c>
      <c r="I758" s="17">
        <v>44316.85416666667</v>
      </c>
      <c r="J758" s="10" t="s">
        <v>128</v>
      </c>
      <c r="K758" s="10" t="s">
        <v>34</v>
      </c>
      <c r="N758" s="10" t="s">
        <v>35</v>
      </c>
      <c r="V758" s="9"/>
      <c r="W758" s="13" t="s">
        <v>78</v>
      </c>
      <c r="X758" s="10" t="s">
        <v>37</v>
      </c>
      <c r="Y758" s="10" t="s">
        <v>0</v>
      </c>
    </row>
    <row r="759">
      <c r="A759" s="10" t="s">
        <v>2785</v>
      </c>
      <c r="B759" s="11">
        <v>44312.56817408565</v>
      </c>
      <c r="C759" s="10" t="s">
        <v>330</v>
      </c>
      <c r="D759" s="10" t="s">
        <v>331</v>
      </c>
      <c r="E759" s="10" t="s">
        <v>2786</v>
      </c>
      <c r="F759" s="10" t="s">
        <v>2787</v>
      </c>
      <c r="G759" s="10" t="s">
        <v>2788</v>
      </c>
      <c r="H759" s="16">
        <v>44316.64583333333</v>
      </c>
      <c r="I759" s="16">
        <v>44316.72916666667</v>
      </c>
      <c r="J759" s="10" t="s">
        <v>43</v>
      </c>
      <c r="K759" s="10" t="s">
        <v>34</v>
      </c>
      <c r="N759" s="10" t="s">
        <v>35</v>
      </c>
      <c r="V759" s="9"/>
      <c r="W759" s="13" t="s">
        <v>78</v>
      </c>
      <c r="X759" s="10" t="s">
        <v>37</v>
      </c>
      <c r="Y759" s="10" t="s">
        <v>0</v>
      </c>
    </row>
    <row r="760">
      <c r="A760" s="10" t="s">
        <v>2789</v>
      </c>
      <c r="B760" s="11">
        <v>44309.3770537963</v>
      </c>
      <c r="C760" s="10" t="s">
        <v>181</v>
      </c>
      <c r="D760" s="10" t="s">
        <v>69</v>
      </c>
      <c r="E760" s="10" t="s">
        <v>2790</v>
      </c>
      <c r="F760" s="10" t="s">
        <v>2791</v>
      </c>
      <c r="G760" s="10" t="s">
        <v>2792</v>
      </c>
      <c r="H760" s="24">
        <v>44316.6875</v>
      </c>
      <c r="I760" s="24">
        <v>44316.85416666667</v>
      </c>
      <c r="J760" s="10" t="s">
        <v>43</v>
      </c>
      <c r="K760" s="10" t="s">
        <v>34</v>
      </c>
      <c r="N760" s="10" t="s">
        <v>296</v>
      </c>
      <c r="O760" s="18" t="s">
        <v>2793</v>
      </c>
      <c r="P760" s="10" t="s">
        <v>296</v>
      </c>
      <c r="Q760" s="10">
        <v>1.0</v>
      </c>
      <c r="R760" s="10" t="s">
        <v>296</v>
      </c>
      <c r="S760" s="10">
        <v>1.0</v>
      </c>
      <c r="T760" s="10" t="s">
        <v>35</v>
      </c>
      <c r="V760" s="9"/>
      <c r="W760" s="13" t="s">
        <v>78</v>
      </c>
      <c r="X760" s="10" t="s">
        <v>37</v>
      </c>
      <c r="Y760" s="10" t="s">
        <v>0</v>
      </c>
    </row>
    <row r="761">
      <c r="A761" s="10" t="s">
        <v>2794</v>
      </c>
      <c r="B761" s="11">
        <v>44314.47141921296</v>
      </c>
      <c r="C761" s="10" t="s">
        <v>539</v>
      </c>
      <c r="D761" s="10" t="s">
        <v>540</v>
      </c>
      <c r="E761" s="10" t="s">
        <v>541</v>
      </c>
      <c r="F761" s="10" t="s">
        <v>2795</v>
      </c>
      <c r="G761" s="10" t="s">
        <v>2796</v>
      </c>
      <c r="H761" s="16">
        <v>44316.77083333333</v>
      </c>
      <c r="I761" s="16">
        <v>44316.8125</v>
      </c>
      <c r="J761" s="10" t="s">
        <v>43</v>
      </c>
      <c r="K761" s="10" t="s">
        <v>34</v>
      </c>
      <c r="N761" s="10" t="s">
        <v>296</v>
      </c>
      <c r="O761" s="18" t="s">
        <v>2797</v>
      </c>
      <c r="P761" s="10" t="s">
        <v>296</v>
      </c>
      <c r="Q761" s="10">
        <v>2.0</v>
      </c>
      <c r="R761" s="10" t="s">
        <v>35</v>
      </c>
      <c r="T761" s="10" t="s">
        <v>35</v>
      </c>
      <c r="V761" s="9"/>
      <c r="W761" s="13" t="s">
        <v>78</v>
      </c>
      <c r="X761" s="10" t="s">
        <v>37</v>
      </c>
      <c r="Y761" s="10" t="s">
        <v>0</v>
      </c>
    </row>
    <row r="762">
      <c r="A762" s="10" t="s">
        <v>2798</v>
      </c>
      <c r="B762" s="11">
        <v>44314.525604780094</v>
      </c>
      <c r="C762" s="10" t="s">
        <v>239</v>
      </c>
      <c r="D762" s="10" t="s">
        <v>240</v>
      </c>
      <c r="E762" s="10" t="s">
        <v>1975</v>
      </c>
      <c r="F762" s="10" t="s">
        <v>2799</v>
      </c>
      <c r="G762" s="10" t="s">
        <v>2800</v>
      </c>
      <c r="H762" s="17">
        <v>44316.77083333333</v>
      </c>
      <c r="I762" s="17">
        <v>44316.8125</v>
      </c>
      <c r="J762" s="10" t="s">
        <v>128</v>
      </c>
      <c r="K762" s="10" t="s">
        <v>34</v>
      </c>
      <c r="N762" s="10" t="s">
        <v>35</v>
      </c>
      <c r="V762" s="9"/>
      <c r="W762" s="13" t="s">
        <v>78</v>
      </c>
      <c r="X762" s="10" t="s">
        <v>37</v>
      </c>
      <c r="Y762" s="10" t="s">
        <v>0</v>
      </c>
    </row>
    <row r="763">
      <c r="A763" s="10" t="s">
        <v>2801</v>
      </c>
      <c r="B763" s="11">
        <v>44314.52662626158</v>
      </c>
      <c r="C763" s="10" t="s">
        <v>239</v>
      </c>
      <c r="D763" s="10" t="s">
        <v>240</v>
      </c>
      <c r="E763" s="10" t="s">
        <v>1975</v>
      </c>
      <c r="F763" s="10" t="s">
        <v>2802</v>
      </c>
      <c r="G763" s="10" t="s">
        <v>2803</v>
      </c>
      <c r="H763" s="17">
        <v>44316.85416666667</v>
      </c>
      <c r="I763" s="17">
        <v>44316.91666666667</v>
      </c>
      <c r="J763" s="10" t="s">
        <v>128</v>
      </c>
      <c r="K763" s="10" t="s">
        <v>34</v>
      </c>
      <c r="N763" s="10" t="s">
        <v>35</v>
      </c>
      <c r="V763" s="9"/>
      <c r="W763" s="13" t="s">
        <v>78</v>
      </c>
      <c r="X763" s="10" t="s">
        <v>37</v>
      </c>
      <c r="Y763" s="10" t="s">
        <v>0</v>
      </c>
    </row>
    <row r="764">
      <c r="A764" s="10" t="s">
        <v>2804</v>
      </c>
      <c r="B764" s="11">
        <v>44314.52965296296</v>
      </c>
      <c r="C764" s="10" t="s">
        <v>239</v>
      </c>
      <c r="D764" s="10" t="s">
        <v>240</v>
      </c>
      <c r="E764" s="10" t="s">
        <v>991</v>
      </c>
      <c r="F764" s="10" t="s">
        <v>2805</v>
      </c>
      <c r="G764" s="10" t="s">
        <v>2806</v>
      </c>
      <c r="H764" s="17">
        <v>44317.66666666667</v>
      </c>
      <c r="I764" s="17">
        <v>44317.79166666667</v>
      </c>
      <c r="J764" s="10" t="s">
        <v>128</v>
      </c>
      <c r="K764" s="10" t="s">
        <v>34</v>
      </c>
      <c r="N764" s="10" t="s">
        <v>35</v>
      </c>
      <c r="V764" s="9"/>
      <c r="W764" s="13" t="s">
        <v>78</v>
      </c>
      <c r="X764" s="10" t="s">
        <v>37</v>
      </c>
      <c r="Y764" s="10" t="s">
        <v>0</v>
      </c>
    </row>
    <row r="765">
      <c r="A765" s="10" t="s">
        <v>2807</v>
      </c>
      <c r="B765" s="11">
        <v>44314.62640770833</v>
      </c>
      <c r="C765" s="10" t="s">
        <v>137</v>
      </c>
      <c r="D765" s="10" t="s">
        <v>138</v>
      </c>
      <c r="E765" s="10" t="s">
        <v>2808</v>
      </c>
      <c r="F765" s="10" t="s">
        <v>2809</v>
      </c>
      <c r="G765" s="10" t="s">
        <v>2810</v>
      </c>
      <c r="H765" s="17">
        <v>44324.41666666667</v>
      </c>
      <c r="I765" s="17">
        <v>44324.5</v>
      </c>
      <c r="J765" s="10" t="s">
        <v>60</v>
      </c>
      <c r="K765" s="10" t="s">
        <v>34</v>
      </c>
      <c r="N765" s="10" t="s">
        <v>35</v>
      </c>
      <c r="V765" s="9"/>
      <c r="W765" s="13" t="s">
        <v>78</v>
      </c>
      <c r="X765" s="10" t="s">
        <v>37</v>
      </c>
      <c r="Y765" s="10" t="s">
        <v>0</v>
      </c>
    </row>
    <row r="766">
      <c r="A766" s="10" t="s">
        <v>2811</v>
      </c>
      <c r="B766" s="11">
        <v>44315.046815231486</v>
      </c>
      <c r="C766" s="10" t="s">
        <v>167</v>
      </c>
      <c r="D766" s="10" t="s">
        <v>168</v>
      </c>
      <c r="E766" s="10" t="s">
        <v>2782</v>
      </c>
      <c r="F766" s="10" t="s">
        <v>2812</v>
      </c>
      <c r="G766" s="10" t="s">
        <v>2813</v>
      </c>
      <c r="H766" s="17">
        <v>44319.58333333333</v>
      </c>
      <c r="I766" s="17">
        <v>44323.58333333333</v>
      </c>
      <c r="J766" s="10" t="s">
        <v>51</v>
      </c>
      <c r="K766" s="10" t="s">
        <v>34</v>
      </c>
      <c r="N766" s="10" t="s">
        <v>35</v>
      </c>
      <c r="V766" s="9"/>
      <c r="W766" s="13" t="s">
        <v>78</v>
      </c>
      <c r="X766" s="10" t="s">
        <v>37</v>
      </c>
      <c r="Y766" s="10" t="s">
        <v>0</v>
      </c>
    </row>
    <row r="767">
      <c r="A767" s="10" t="s">
        <v>2814</v>
      </c>
      <c r="B767" s="11">
        <v>44315.62479460648</v>
      </c>
      <c r="C767" s="10" t="s">
        <v>28</v>
      </c>
      <c r="D767" s="10" t="s">
        <v>29</v>
      </c>
      <c r="E767" s="10" t="s">
        <v>63</v>
      </c>
      <c r="F767" s="10" t="s">
        <v>2815</v>
      </c>
      <c r="G767" s="10" t="s">
        <v>2816</v>
      </c>
      <c r="H767" s="17">
        <v>44319.0</v>
      </c>
      <c r="I767" s="17">
        <v>44347.99930555555</v>
      </c>
      <c r="J767" s="10" t="s">
        <v>51</v>
      </c>
      <c r="K767" s="10" t="s">
        <v>34</v>
      </c>
      <c r="N767" s="10" t="s">
        <v>35</v>
      </c>
      <c r="V767" s="9"/>
      <c r="W767" s="13" t="s">
        <v>78</v>
      </c>
      <c r="X767" s="10" t="s">
        <v>37</v>
      </c>
      <c r="Y767" s="10" t="s">
        <v>0</v>
      </c>
    </row>
    <row r="768">
      <c r="A768" s="10" t="s">
        <v>2817</v>
      </c>
      <c r="B768" s="11">
        <v>44314.51478748843</v>
      </c>
      <c r="C768" s="10" t="s">
        <v>186</v>
      </c>
      <c r="D768" s="10" t="s">
        <v>187</v>
      </c>
      <c r="E768" s="10" t="s">
        <v>2818</v>
      </c>
      <c r="F768" s="10" t="s">
        <v>2819</v>
      </c>
      <c r="G768" s="10" t="s">
        <v>2820</v>
      </c>
      <c r="H768" s="16">
        <v>44317.29166666667</v>
      </c>
      <c r="I768" s="16">
        <v>44347.79166666667</v>
      </c>
      <c r="J768" s="10" t="s">
        <v>43</v>
      </c>
      <c r="K768" s="10" t="s">
        <v>34</v>
      </c>
      <c r="N768" s="10" t="s">
        <v>296</v>
      </c>
      <c r="O768" s="18" t="s">
        <v>2821</v>
      </c>
      <c r="P768" s="10" t="s">
        <v>296</v>
      </c>
      <c r="Q768" s="10">
        <v>10.0</v>
      </c>
      <c r="R768" s="10" t="s">
        <v>296</v>
      </c>
      <c r="S768" s="10">
        <v>6.0</v>
      </c>
      <c r="T768" s="10" t="s">
        <v>296</v>
      </c>
      <c r="U768" s="10">
        <v>1.0</v>
      </c>
      <c r="V768" s="27"/>
      <c r="W768" s="13" t="s">
        <v>78</v>
      </c>
      <c r="X768" s="10" t="s">
        <v>37</v>
      </c>
      <c r="Y768" s="10" t="s">
        <v>0</v>
      </c>
    </row>
    <row r="769">
      <c r="A769" s="10" t="s">
        <v>2822</v>
      </c>
      <c r="B769" s="11">
        <v>44291.49576637732</v>
      </c>
      <c r="C769" s="10" t="s">
        <v>181</v>
      </c>
      <c r="D769" s="10" t="s">
        <v>69</v>
      </c>
      <c r="E769" s="10" t="s">
        <v>2327</v>
      </c>
      <c r="F769" s="10" t="s">
        <v>2307</v>
      </c>
      <c r="G769" s="10" t="s">
        <v>2823</v>
      </c>
      <c r="H769" s="24">
        <v>44317.375</v>
      </c>
      <c r="I769" s="24">
        <v>44317.45833333333</v>
      </c>
      <c r="J769" s="10" t="s">
        <v>43</v>
      </c>
      <c r="K769" s="10" t="s">
        <v>34</v>
      </c>
      <c r="N769" s="10" t="s">
        <v>296</v>
      </c>
      <c r="O769" s="18" t="s">
        <v>2824</v>
      </c>
      <c r="P769" s="10" t="s">
        <v>35</v>
      </c>
      <c r="R769" s="10" t="s">
        <v>35</v>
      </c>
      <c r="T769" s="10" t="s">
        <v>296</v>
      </c>
      <c r="U769" s="10">
        <v>1.0</v>
      </c>
      <c r="V769" s="27"/>
      <c r="W769" s="13" t="s">
        <v>78</v>
      </c>
      <c r="X769" s="10" t="s">
        <v>37</v>
      </c>
      <c r="Y769" s="10" t="s">
        <v>0</v>
      </c>
    </row>
    <row r="770">
      <c r="A770" s="10" t="s">
        <v>2825</v>
      </c>
      <c r="B770" s="11">
        <v>44362.69815344908</v>
      </c>
      <c r="C770" s="10" t="s">
        <v>102</v>
      </c>
      <c r="D770" s="10" t="s">
        <v>103</v>
      </c>
      <c r="E770" s="10" t="s">
        <v>2826</v>
      </c>
      <c r="F770" s="10" t="s">
        <v>2827</v>
      </c>
      <c r="G770" s="10" t="s">
        <v>2828</v>
      </c>
      <c r="H770" s="16">
        <v>44317.64583333333</v>
      </c>
      <c r="I770" s="16">
        <v>44317.72916666667</v>
      </c>
      <c r="J770" s="10" t="s">
        <v>43</v>
      </c>
      <c r="K770" s="10" t="s">
        <v>34</v>
      </c>
      <c r="N770" s="10" t="s">
        <v>35</v>
      </c>
      <c r="V770" s="9"/>
      <c r="W770" s="13" t="s">
        <v>78</v>
      </c>
      <c r="X770" s="10" t="s">
        <v>37</v>
      </c>
      <c r="Y770" s="10" t="s">
        <v>0</v>
      </c>
    </row>
    <row r="771">
      <c r="A771" s="10" t="s">
        <v>2829</v>
      </c>
      <c r="B771" s="11">
        <v>44313.27721346065</v>
      </c>
      <c r="C771" s="10" t="s">
        <v>975</v>
      </c>
      <c r="D771" s="10" t="s">
        <v>976</v>
      </c>
      <c r="E771" s="10" t="s">
        <v>29</v>
      </c>
      <c r="F771" s="10" t="s">
        <v>2830</v>
      </c>
      <c r="G771" s="10" t="s">
        <v>2831</v>
      </c>
      <c r="H771" s="24">
        <v>44321.4375</v>
      </c>
      <c r="I771" s="24">
        <v>44321.52083333333</v>
      </c>
      <c r="J771" s="10" t="s">
        <v>43</v>
      </c>
      <c r="K771" s="10" t="s">
        <v>34</v>
      </c>
      <c r="N771" s="10" t="s">
        <v>35</v>
      </c>
      <c r="V771" s="9"/>
      <c r="W771" s="13" t="s">
        <v>78</v>
      </c>
      <c r="X771" s="10" t="s">
        <v>37</v>
      </c>
      <c r="Y771" s="10" t="s">
        <v>0</v>
      </c>
    </row>
    <row r="772">
      <c r="A772" s="10" t="s">
        <v>2832</v>
      </c>
      <c r="B772" s="11">
        <v>44315.6275336574</v>
      </c>
      <c r="C772" s="10" t="s">
        <v>28</v>
      </c>
      <c r="D772" s="10" t="s">
        <v>29</v>
      </c>
      <c r="E772" s="10" t="s">
        <v>63</v>
      </c>
      <c r="F772" s="10" t="s">
        <v>2833</v>
      </c>
      <c r="G772" s="10" t="s">
        <v>2834</v>
      </c>
      <c r="H772" s="24">
        <v>44321.4375</v>
      </c>
      <c r="I772" s="24">
        <v>44321.52083333333</v>
      </c>
      <c r="J772" s="10" t="s">
        <v>43</v>
      </c>
      <c r="K772" s="10" t="s">
        <v>34</v>
      </c>
      <c r="N772" s="10" t="s">
        <v>35</v>
      </c>
      <c r="V772" s="9"/>
      <c r="W772" s="13" t="s">
        <v>78</v>
      </c>
      <c r="X772" s="10" t="s">
        <v>37</v>
      </c>
      <c r="Y772" s="10" t="s">
        <v>0</v>
      </c>
    </row>
    <row r="773">
      <c r="A773" s="10" t="s">
        <v>2835</v>
      </c>
      <c r="B773" s="11">
        <v>44315.74457416667</v>
      </c>
      <c r="C773" s="10" t="s">
        <v>694</v>
      </c>
      <c r="D773" s="10" t="s">
        <v>695</v>
      </c>
      <c r="E773" s="10" t="s">
        <v>696</v>
      </c>
      <c r="F773" s="10" t="s">
        <v>2836</v>
      </c>
      <c r="G773" s="10" t="s">
        <v>2837</v>
      </c>
      <c r="H773" s="24">
        <v>44321.4375</v>
      </c>
      <c r="I773" s="24">
        <v>44321.47916666667</v>
      </c>
      <c r="J773" s="10" t="s">
        <v>43</v>
      </c>
      <c r="K773" s="10" t="s">
        <v>34</v>
      </c>
      <c r="N773" s="10" t="s">
        <v>35</v>
      </c>
      <c r="V773" s="9"/>
      <c r="W773" s="13" t="s">
        <v>78</v>
      </c>
      <c r="X773" s="10" t="s">
        <v>37</v>
      </c>
      <c r="Y773" s="10" t="s">
        <v>0</v>
      </c>
    </row>
    <row r="774">
      <c r="A774" s="10" t="s">
        <v>2838</v>
      </c>
      <c r="B774" s="11">
        <v>44315.70909267361</v>
      </c>
      <c r="C774" s="10" t="s">
        <v>160</v>
      </c>
      <c r="D774" s="10" t="s">
        <v>161</v>
      </c>
      <c r="E774" s="10" t="s">
        <v>947</v>
      </c>
      <c r="F774" s="10" t="s">
        <v>2839</v>
      </c>
      <c r="G774" s="10" t="s">
        <v>2840</v>
      </c>
      <c r="H774" s="17">
        <v>44316.625</v>
      </c>
      <c r="I774" s="17">
        <v>44316.70833333333</v>
      </c>
      <c r="J774" s="10" t="s">
        <v>128</v>
      </c>
      <c r="K774" s="10" t="s">
        <v>34</v>
      </c>
      <c r="N774" s="10" t="s">
        <v>296</v>
      </c>
      <c r="O774" s="18" t="s">
        <v>2841</v>
      </c>
      <c r="P774" s="10" t="s">
        <v>296</v>
      </c>
      <c r="Q774" s="10">
        <v>1.0</v>
      </c>
      <c r="R774" s="10" t="s">
        <v>35</v>
      </c>
      <c r="T774" s="10" t="s">
        <v>35</v>
      </c>
      <c r="V774" s="9"/>
      <c r="W774" s="13" t="s">
        <v>78</v>
      </c>
      <c r="X774" s="10" t="s">
        <v>37</v>
      </c>
      <c r="Y774" s="10" t="s">
        <v>0</v>
      </c>
    </row>
    <row r="775">
      <c r="A775" s="10" t="s">
        <v>2842</v>
      </c>
      <c r="B775" s="11">
        <v>44315.71461930555</v>
      </c>
      <c r="C775" s="10" t="s">
        <v>160</v>
      </c>
      <c r="D775" s="10" t="s">
        <v>161</v>
      </c>
      <c r="E775" s="10" t="s">
        <v>968</v>
      </c>
      <c r="F775" s="10" t="s">
        <v>2843</v>
      </c>
      <c r="G775" s="10" t="s">
        <v>2844</v>
      </c>
      <c r="H775" s="17">
        <v>44292.0</v>
      </c>
      <c r="I775" s="17">
        <v>44310.0</v>
      </c>
      <c r="J775" s="10" t="s">
        <v>51</v>
      </c>
      <c r="K775" s="10" t="s">
        <v>34</v>
      </c>
      <c r="N775" s="10" t="s">
        <v>35</v>
      </c>
      <c r="V775" s="9"/>
      <c r="W775" s="13" t="s">
        <v>78</v>
      </c>
      <c r="X775" s="10" t="s">
        <v>37</v>
      </c>
      <c r="Y775" s="10" t="s">
        <v>0</v>
      </c>
    </row>
    <row r="776">
      <c r="A776" s="10" t="s">
        <v>2845</v>
      </c>
      <c r="B776" s="11">
        <v>44309.78749436342</v>
      </c>
      <c r="C776" s="10" t="s">
        <v>28</v>
      </c>
      <c r="D776" s="10" t="s">
        <v>29</v>
      </c>
      <c r="E776" s="10" t="s">
        <v>63</v>
      </c>
      <c r="F776" s="10" t="s">
        <v>2846</v>
      </c>
      <c r="G776" s="10" t="s">
        <v>2847</v>
      </c>
      <c r="H776" s="24">
        <v>44321.72916666667</v>
      </c>
      <c r="I776" s="24">
        <v>44321.79166666667</v>
      </c>
      <c r="J776" s="10" t="s">
        <v>43</v>
      </c>
      <c r="K776" s="10" t="s">
        <v>34</v>
      </c>
      <c r="N776" s="10" t="s">
        <v>35</v>
      </c>
      <c r="V776" s="9"/>
      <c r="W776" s="13" t="s">
        <v>78</v>
      </c>
      <c r="X776" s="10" t="s">
        <v>37</v>
      </c>
      <c r="Y776" s="10" t="s">
        <v>0</v>
      </c>
    </row>
    <row r="777">
      <c r="A777" s="10" t="s">
        <v>2848</v>
      </c>
      <c r="B777" s="11">
        <v>44311.621128750005</v>
      </c>
      <c r="C777" s="10" t="s">
        <v>181</v>
      </c>
      <c r="D777" s="10" t="s">
        <v>69</v>
      </c>
      <c r="E777" s="10" t="s">
        <v>1229</v>
      </c>
      <c r="F777" s="10" t="s">
        <v>2849</v>
      </c>
      <c r="G777" s="10" t="s">
        <v>2850</v>
      </c>
      <c r="H777" s="24">
        <v>44321.72916666667</v>
      </c>
      <c r="I777" s="24">
        <v>44321.8125</v>
      </c>
      <c r="J777" s="10" t="s">
        <v>43</v>
      </c>
      <c r="K777" s="10" t="s">
        <v>34</v>
      </c>
      <c r="N777" s="10" t="s">
        <v>296</v>
      </c>
      <c r="O777" s="18" t="s">
        <v>2851</v>
      </c>
      <c r="P777" s="10" t="s">
        <v>35</v>
      </c>
      <c r="R777" s="10" t="s">
        <v>296</v>
      </c>
      <c r="S777" s="10">
        <v>1.0</v>
      </c>
      <c r="T777" s="10" t="s">
        <v>35</v>
      </c>
      <c r="V777" s="9"/>
      <c r="W777" s="13" t="s">
        <v>78</v>
      </c>
      <c r="X777" s="10" t="s">
        <v>37</v>
      </c>
      <c r="Y777" s="10" t="s">
        <v>0</v>
      </c>
    </row>
    <row r="778">
      <c r="A778" s="10" t="s">
        <v>2852</v>
      </c>
      <c r="B778" s="11">
        <v>44315.7458118287</v>
      </c>
      <c r="C778" s="10" t="s">
        <v>694</v>
      </c>
      <c r="D778" s="10" t="s">
        <v>695</v>
      </c>
      <c r="E778" s="10" t="s">
        <v>696</v>
      </c>
      <c r="F778" s="10" t="s">
        <v>697</v>
      </c>
      <c r="G778" s="10" t="s">
        <v>698</v>
      </c>
      <c r="H778" s="17">
        <v>44316.52083333333</v>
      </c>
      <c r="I778" s="17">
        <v>44316.5625</v>
      </c>
      <c r="J778" s="10" t="s">
        <v>128</v>
      </c>
      <c r="K778" s="10" t="s">
        <v>34</v>
      </c>
      <c r="N778" s="10" t="s">
        <v>35</v>
      </c>
      <c r="V778" s="9"/>
      <c r="W778" s="13" t="s">
        <v>78</v>
      </c>
      <c r="X778" s="10" t="s">
        <v>37</v>
      </c>
      <c r="Y778" s="10" t="s">
        <v>0</v>
      </c>
    </row>
    <row r="779">
      <c r="A779" s="10" t="s">
        <v>2853</v>
      </c>
      <c r="B779" s="11">
        <v>44315.82370125</v>
      </c>
      <c r="C779" s="10" t="s">
        <v>1516</v>
      </c>
      <c r="D779" s="10" t="s">
        <v>611</v>
      </c>
      <c r="E779" s="10" t="s">
        <v>612</v>
      </c>
      <c r="F779" s="10" t="s">
        <v>2854</v>
      </c>
      <c r="G779" s="10" t="s">
        <v>2855</v>
      </c>
      <c r="H779" s="17">
        <v>44321.0</v>
      </c>
      <c r="I779" s="17">
        <v>44329.99930555555</v>
      </c>
      <c r="J779" s="10" t="s">
        <v>128</v>
      </c>
      <c r="K779" s="10" t="s">
        <v>34</v>
      </c>
      <c r="N779" s="10" t="s">
        <v>35</v>
      </c>
      <c r="V779" s="9"/>
      <c r="W779" s="13" t="s">
        <v>78</v>
      </c>
      <c r="X779" s="10" t="s">
        <v>37</v>
      </c>
      <c r="Y779" s="10" t="s">
        <v>0</v>
      </c>
    </row>
    <row r="780">
      <c r="A780" s="10" t="s">
        <v>2856</v>
      </c>
      <c r="B780" s="11">
        <v>44315.82526193287</v>
      </c>
      <c r="C780" s="10" t="s">
        <v>610</v>
      </c>
      <c r="D780" s="10" t="s">
        <v>611</v>
      </c>
      <c r="E780" s="10" t="s">
        <v>612</v>
      </c>
      <c r="F780" s="10" t="s">
        <v>2854</v>
      </c>
      <c r="G780" s="10" t="s">
        <v>2857</v>
      </c>
      <c r="H780" s="17">
        <v>44321.0</v>
      </c>
      <c r="I780" s="17">
        <v>44329.99930555555</v>
      </c>
      <c r="J780" s="10" t="s">
        <v>128</v>
      </c>
      <c r="K780" s="10" t="s">
        <v>34</v>
      </c>
      <c r="N780" s="10" t="s">
        <v>35</v>
      </c>
      <c r="V780" s="9"/>
      <c r="W780" s="13" t="s">
        <v>78</v>
      </c>
      <c r="X780" s="10" t="s">
        <v>37</v>
      </c>
      <c r="Y780" s="10" t="s">
        <v>0</v>
      </c>
    </row>
    <row r="781">
      <c r="A781" s="10" t="s">
        <v>2858</v>
      </c>
      <c r="B781" s="11">
        <v>44316.54373984954</v>
      </c>
      <c r="C781" s="10" t="s">
        <v>96</v>
      </c>
      <c r="D781" s="10" t="s">
        <v>97</v>
      </c>
      <c r="E781" s="10" t="s">
        <v>2859</v>
      </c>
      <c r="F781" s="10" t="s">
        <v>2860</v>
      </c>
      <c r="G781" s="10" t="s">
        <v>2861</v>
      </c>
      <c r="H781" s="17">
        <v>44316.6875</v>
      </c>
      <c r="I781" s="17">
        <v>44316.75</v>
      </c>
      <c r="J781" s="10" t="s">
        <v>33</v>
      </c>
      <c r="K781" s="10" t="s">
        <v>34</v>
      </c>
      <c r="N781" s="10" t="s">
        <v>296</v>
      </c>
      <c r="O781" s="18" t="s">
        <v>2862</v>
      </c>
      <c r="P781" s="10" t="s">
        <v>296</v>
      </c>
      <c r="Q781" s="10">
        <v>1.0</v>
      </c>
      <c r="R781" s="10" t="s">
        <v>35</v>
      </c>
      <c r="T781" s="10" t="s">
        <v>35</v>
      </c>
      <c r="V781" s="9"/>
      <c r="W781" s="13" t="s">
        <v>78</v>
      </c>
      <c r="X781" s="10" t="s">
        <v>37</v>
      </c>
      <c r="Y781" s="10" t="s">
        <v>0</v>
      </c>
    </row>
    <row r="782">
      <c r="A782" s="10" t="s">
        <v>2863</v>
      </c>
      <c r="B782" s="11">
        <v>44316.56713376158</v>
      </c>
      <c r="C782" s="10" t="s">
        <v>2864</v>
      </c>
      <c r="D782" s="10" t="s">
        <v>321</v>
      </c>
      <c r="E782" s="10" t="s">
        <v>555</v>
      </c>
      <c r="F782" s="10" t="s">
        <v>2865</v>
      </c>
      <c r="G782" s="10" t="s">
        <v>2866</v>
      </c>
      <c r="H782" s="17">
        <v>44328.60416666667</v>
      </c>
      <c r="I782" s="17">
        <v>44328.6875</v>
      </c>
      <c r="J782" s="10" t="s">
        <v>33</v>
      </c>
      <c r="K782" s="10" t="s">
        <v>34</v>
      </c>
      <c r="N782" s="10" t="s">
        <v>35</v>
      </c>
      <c r="V782" s="9"/>
      <c r="W782" s="13" t="s">
        <v>78</v>
      </c>
      <c r="X782" s="10" t="s">
        <v>37</v>
      </c>
      <c r="Y782" s="10" t="s">
        <v>0</v>
      </c>
    </row>
    <row r="783">
      <c r="A783" s="10" t="s">
        <v>2867</v>
      </c>
      <c r="B783" s="11">
        <v>44316.57134609953</v>
      </c>
      <c r="C783" s="10" t="s">
        <v>320</v>
      </c>
      <c r="D783" s="10" t="s">
        <v>321</v>
      </c>
      <c r="E783" s="10" t="s">
        <v>555</v>
      </c>
      <c r="F783" s="10" t="s">
        <v>2865</v>
      </c>
      <c r="G783" s="10" t="s">
        <v>2868</v>
      </c>
      <c r="H783" s="17">
        <v>44328.60416666667</v>
      </c>
      <c r="I783" s="17">
        <v>44328.6875</v>
      </c>
      <c r="J783" s="10" t="s">
        <v>33</v>
      </c>
      <c r="K783" s="10" t="s">
        <v>34</v>
      </c>
      <c r="N783" s="10" t="s">
        <v>35</v>
      </c>
      <c r="V783" s="9"/>
      <c r="W783" s="13" t="s">
        <v>78</v>
      </c>
      <c r="X783" s="10" t="s">
        <v>37</v>
      </c>
      <c r="Y783" s="10" t="s">
        <v>0</v>
      </c>
    </row>
    <row r="784">
      <c r="A784" s="10" t="s">
        <v>2869</v>
      </c>
      <c r="B784" s="11">
        <v>44362.69496018518</v>
      </c>
      <c r="C784" s="10" t="s">
        <v>102</v>
      </c>
      <c r="D784" s="10" t="s">
        <v>103</v>
      </c>
      <c r="E784" s="10" t="s">
        <v>2870</v>
      </c>
      <c r="F784" s="10" t="s">
        <v>2871</v>
      </c>
      <c r="G784" s="10" t="s">
        <v>2872</v>
      </c>
      <c r="H784" s="16">
        <v>44321.77083333333</v>
      </c>
      <c r="I784" s="16">
        <v>44321.85416666667</v>
      </c>
      <c r="J784" s="10" t="s">
        <v>43</v>
      </c>
      <c r="K784" s="10" t="s">
        <v>34</v>
      </c>
      <c r="N784" s="10" t="s">
        <v>35</v>
      </c>
      <c r="V784" s="9"/>
      <c r="W784" s="13" t="s">
        <v>78</v>
      </c>
      <c r="X784" s="10" t="s">
        <v>37</v>
      </c>
      <c r="Y784" s="10" t="s">
        <v>0</v>
      </c>
    </row>
    <row r="785">
      <c r="A785" s="10" t="s">
        <v>2873</v>
      </c>
      <c r="B785" s="11">
        <v>44316.69993567129</v>
      </c>
      <c r="C785" s="10" t="s">
        <v>2874</v>
      </c>
      <c r="D785" s="10" t="s">
        <v>1036</v>
      </c>
      <c r="E785" s="10" t="s">
        <v>1579</v>
      </c>
      <c r="F785" s="10" t="s">
        <v>2875</v>
      </c>
      <c r="G785" s="10" t="s">
        <v>2876</v>
      </c>
      <c r="H785" s="17">
        <v>44323.39583333333</v>
      </c>
      <c r="I785" s="17">
        <v>44323.4375</v>
      </c>
      <c r="J785" s="10" t="s">
        <v>128</v>
      </c>
      <c r="K785" s="10" t="s">
        <v>34</v>
      </c>
      <c r="N785" s="10" t="s">
        <v>35</v>
      </c>
      <c r="V785" s="9"/>
      <c r="W785" s="13" t="s">
        <v>78</v>
      </c>
      <c r="X785" s="10" t="s">
        <v>37</v>
      </c>
      <c r="Y785" s="10" t="s">
        <v>0</v>
      </c>
    </row>
    <row r="786">
      <c r="A786" s="10" t="s">
        <v>2877</v>
      </c>
      <c r="B786" s="11">
        <v>44316.70240721064</v>
      </c>
      <c r="C786" s="10" t="s">
        <v>2874</v>
      </c>
      <c r="D786" s="10" t="s">
        <v>1036</v>
      </c>
      <c r="E786" s="10" t="s">
        <v>2878</v>
      </c>
      <c r="F786" s="10" t="s">
        <v>2879</v>
      </c>
      <c r="G786" s="10" t="s">
        <v>2880</v>
      </c>
      <c r="H786" s="17">
        <v>44322.77083333333</v>
      </c>
      <c r="I786" s="17">
        <v>44322.8125</v>
      </c>
      <c r="J786" s="10" t="s">
        <v>128</v>
      </c>
      <c r="K786" s="10" t="s">
        <v>34</v>
      </c>
      <c r="N786" s="10" t="s">
        <v>35</v>
      </c>
      <c r="V786" s="9"/>
      <c r="W786" s="13" t="s">
        <v>78</v>
      </c>
      <c r="X786" s="10" t="s">
        <v>37</v>
      </c>
      <c r="Y786" s="10" t="s">
        <v>0</v>
      </c>
    </row>
    <row r="787">
      <c r="A787" s="10" t="s">
        <v>2881</v>
      </c>
      <c r="B787" s="11">
        <v>44316.704813310185</v>
      </c>
      <c r="C787" s="10" t="s">
        <v>80</v>
      </c>
      <c r="D787" s="10" t="s">
        <v>81</v>
      </c>
      <c r="E787" s="10" t="s">
        <v>2882</v>
      </c>
      <c r="F787" s="10" t="s">
        <v>2883</v>
      </c>
      <c r="G787" s="10" t="s">
        <v>2884</v>
      </c>
      <c r="H787" s="24">
        <v>44322.41666666667</v>
      </c>
      <c r="I787" s="24">
        <v>44322.5</v>
      </c>
      <c r="J787" s="10" t="s">
        <v>43</v>
      </c>
      <c r="K787" s="10" t="s">
        <v>34</v>
      </c>
      <c r="N787" s="10" t="s">
        <v>296</v>
      </c>
      <c r="O787" s="18" t="s">
        <v>2885</v>
      </c>
      <c r="P787" s="10" t="s">
        <v>35</v>
      </c>
      <c r="R787" s="10" t="s">
        <v>296</v>
      </c>
      <c r="S787" s="10">
        <v>3.0</v>
      </c>
      <c r="T787" s="10" t="s">
        <v>35</v>
      </c>
      <c r="V787" s="9"/>
      <c r="W787" s="13" t="s">
        <v>78</v>
      </c>
      <c r="X787" s="10" t="s">
        <v>37</v>
      </c>
      <c r="Y787" s="10" t="s">
        <v>0</v>
      </c>
    </row>
    <row r="788">
      <c r="A788" s="10" t="s">
        <v>2886</v>
      </c>
      <c r="B788" s="11">
        <v>44321.76345809028</v>
      </c>
      <c r="C788" s="10" t="s">
        <v>80</v>
      </c>
      <c r="D788" s="10" t="s">
        <v>81</v>
      </c>
      <c r="E788" s="10" t="s">
        <v>2887</v>
      </c>
      <c r="F788" s="10" t="s">
        <v>2888</v>
      </c>
      <c r="G788" s="10" t="s">
        <v>2889</v>
      </c>
      <c r="H788" s="16">
        <v>44322.70833333333</v>
      </c>
      <c r="I788" s="16">
        <v>44322.79166666667</v>
      </c>
      <c r="J788" s="10" t="s">
        <v>43</v>
      </c>
      <c r="K788" s="10" t="s">
        <v>34</v>
      </c>
      <c r="N788" s="10" t="s">
        <v>296</v>
      </c>
      <c r="O788" s="18" t="s">
        <v>2890</v>
      </c>
      <c r="P788" s="10" t="s">
        <v>296</v>
      </c>
      <c r="Q788" s="10">
        <v>4.0</v>
      </c>
      <c r="R788" s="10" t="s">
        <v>35</v>
      </c>
      <c r="T788" s="10" t="s">
        <v>35</v>
      </c>
      <c r="V788" s="9"/>
      <c r="W788" s="13" t="s">
        <v>78</v>
      </c>
      <c r="X788" s="10" t="s">
        <v>37</v>
      </c>
      <c r="Y788" s="10" t="s">
        <v>0</v>
      </c>
    </row>
    <row r="789">
      <c r="A789" s="10" t="s">
        <v>2891</v>
      </c>
      <c r="B789" s="11">
        <v>44321.8343009838</v>
      </c>
      <c r="C789" s="10" t="s">
        <v>96</v>
      </c>
      <c r="D789" s="10" t="s">
        <v>97</v>
      </c>
      <c r="E789" s="10" t="s">
        <v>2892</v>
      </c>
      <c r="F789" s="10" t="s">
        <v>2893</v>
      </c>
      <c r="G789" s="10" t="s">
        <v>2889</v>
      </c>
      <c r="H789" s="16">
        <v>44322.70833333333</v>
      </c>
      <c r="I789" s="16">
        <v>44322.79166666667</v>
      </c>
      <c r="J789" s="10" t="s">
        <v>43</v>
      </c>
      <c r="K789" s="10" t="s">
        <v>34</v>
      </c>
      <c r="N789" s="10" t="s">
        <v>296</v>
      </c>
      <c r="O789" s="18" t="s">
        <v>2894</v>
      </c>
      <c r="P789" s="10" t="s">
        <v>296</v>
      </c>
      <c r="Q789" s="10">
        <v>4.0</v>
      </c>
      <c r="R789" s="10" t="s">
        <v>35</v>
      </c>
      <c r="T789" s="10" t="s">
        <v>35</v>
      </c>
      <c r="V789" s="9"/>
      <c r="W789" s="13" t="s">
        <v>78</v>
      </c>
      <c r="X789" s="10" t="s">
        <v>37</v>
      </c>
      <c r="Y789" s="10" t="s">
        <v>0</v>
      </c>
    </row>
    <row r="790">
      <c r="A790" s="10" t="s">
        <v>2895</v>
      </c>
      <c r="B790" s="11">
        <v>44317.440191319445</v>
      </c>
      <c r="C790" s="10" t="s">
        <v>491</v>
      </c>
      <c r="D790" s="10" t="s">
        <v>492</v>
      </c>
      <c r="E790" s="10" t="s">
        <v>2896</v>
      </c>
      <c r="F790" s="10" t="s">
        <v>2897</v>
      </c>
      <c r="G790" s="10" t="s">
        <v>2898</v>
      </c>
      <c r="H790" s="17">
        <v>44316.5</v>
      </c>
      <c r="I790" s="17">
        <v>44316.5</v>
      </c>
      <c r="J790" s="10" t="s">
        <v>73</v>
      </c>
      <c r="K790" s="10" t="s">
        <v>34</v>
      </c>
      <c r="N790" s="10" t="s">
        <v>35</v>
      </c>
      <c r="V790" s="9"/>
      <c r="W790" s="13" t="s">
        <v>78</v>
      </c>
      <c r="X790" s="10" t="s">
        <v>37</v>
      </c>
      <c r="Y790" s="10" t="s">
        <v>0</v>
      </c>
    </row>
    <row r="791">
      <c r="A791" s="10" t="s">
        <v>2899</v>
      </c>
      <c r="B791" s="11">
        <v>44317.44210216435</v>
      </c>
      <c r="C791" s="10" t="s">
        <v>491</v>
      </c>
      <c r="D791" s="10" t="s">
        <v>492</v>
      </c>
      <c r="E791" s="10" t="s">
        <v>657</v>
      </c>
      <c r="F791" s="10" t="s">
        <v>2900</v>
      </c>
      <c r="G791" s="10" t="s">
        <v>2901</v>
      </c>
      <c r="H791" s="17">
        <v>44317.41666666667</v>
      </c>
      <c r="I791" s="17">
        <v>44317.41666666667</v>
      </c>
      <c r="J791" s="10" t="s">
        <v>73</v>
      </c>
      <c r="K791" s="10" t="s">
        <v>34</v>
      </c>
      <c r="N791" s="10" t="s">
        <v>35</v>
      </c>
      <c r="V791" s="9"/>
      <c r="W791" s="13" t="s">
        <v>78</v>
      </c>
      <c r="X791" s="10" t="s">
        <v>37</v>
      </c>
      <c r="Y791" s="10" t="s">
        <v>0</v>
      </c>
    </row>
    <row r="792">
      <c r="A792" s="10" t="s">
        <v>2902</v>
      </c>
      <c r="B792" s="11">
        <v>44328.800930682875</v>
      </c>
      <c r="C792" s="10" t="s">
        <v>160</v>
      </c>
      <c r="D792" s="10" t="s">
        <v>161</v>
      </c>
      <c r="E792" s="10" t="s">
        <v>947</v>
      </c>
      <c r="F792" s="10" t="s">
        <v>2893</v>
      </c>
      <c r="G792" s="10" t="s">
        <v>2903</v>
      </c>
      <c r="H792" s="16">
        <v>44322.70833333333</v>
      </c>
      <c r="I792" s="16">
        <v>44322.79166666667</v>
      </c>
      <c r="J792" s="10" t="s">
        <v>43</v>
      </c>
      <c r="K792" s="10" t="s">
        <v>34</v>
      </c>
      <c r="N792" s="10" t="s">
        <v>296</v>
      </c>
      <c r="O792" s="18" t="s">
        <v>2904</v>
      </c>
      <c r="P792" s="10" t="s">
        <v>296</v>
      </c>
      <c r="Q792" s="10">
        <v>4.0</v>
      </c>
      <c r="R792" s="10" t="s">
        <v>35</v>
      </c>
      <c r="T792" s="10" t="s">
        <v>35</v>
      </c>
      <c r="V792" s="9"/>
      <c r="W792" s="13" t="s">
        <v>78</v>
      </c>
      <c r="X792" s="10" t="s">
        <v>37</v>
      </c>
      <c r="Y792" s="10" t="s">
        <v>0</v>
      </c>
    </row>
    <row r="793">
      <c r="A793" s="10" t="s">
        <v>2905</v>
      </c>
      <c r="B793" s="11">
        <v>44362.690533298606</v>
      </c>
      <c r="C793" s="10" t="s">
        <v>102</v>
      </c>
      <c r="D793" s="10" t="s">
        <v>103</v>
      </c>
      <c r="E793" s="10" t="s">
        <v>2906</v>
      </c>
      <c r="F793" s="10" t="s">
        <v>2907</v>
      </c>
      <c r="G793" s="10" t="s">
        <v>2908</v>
      </c>
      <c r="H793" s="16">
        <v>44322.70833333333</v>
      </c>
      <c r="I793" s="16">
        <v>44322.79166666667</v>
      </c>
      <c r="J793" s="10" t="s">
        <v>43</v>
      </c>
      <c r="K793" s="10" t="s">
        <v>34</v>
      </c>
      <c r="N793" s="10" t="s">
        <v>296</v>
      </c>
      <c r="O793" s="18" t="s">
        <v>2909</v>
      </c>
      <c r="P793" s="10" t="s">
        <v>296</v>
      </c>
      <c r="Q793" s="10">
        <v>4.0</v>
      </c>
      <c r="R793" s="10" t="s">
        <v>35</v>
      </c>
      <c r="T793" s="10" t="s">
        <v>35</v>
      </c>
      <c r="V793" s="9"/>
      <c r="W793" s="13" t="s">
        <v>78</v>
      </c>
      <c r="X793" s="10" t="s">
        <v>37</v>
      </c>
      <c r="Y793" s="10" t="s">
        <v>0</v>
      </c>
    </row>
    <row r="794">
      <c r="A794" s="10" t="s">
        <v>2910</v>
      </c>
      <c r="B794" s="11">
        <v>44318.42612395833</v>
      </c>
      <c r="C794" s="10" t="s">
        <v>491</v>
      </c>
      <c r="D794" s="10" t="s">
        <v>492</v>
      </c>
      <c r="E794" s="10" t="s">
        <v>2911</v>
      </c>
      <c r="F794" s="10" t="s">
        <v>2912</v>
      </c>
      <c r="G794" s="10" t="s">
        <v>2913</v>
      </c>
      <c r="H794" s="16">
        <v>44322.79166666667</v>
      </c>
      <c r="I794" s="16">
        <v>44322.85416666667</v>
      </c>
      <c r="J794" s="10" t="s">
        <v>43</v>
      </c>
      <c r="K794" s="10" t="s">
        <v>34</v>
      </c>
      <c r="N794" s="10" t="s">
        <v>35</v>
      </c>
      <c r="V794" s="9"/>
      <c r="W794" s="13" t="s">
        <v>78</v>
      </c>
      <c r="X794" s="10" t="s">
        <v>37</v>
      </c>
      <c r="Y794" s="10" t="s">
        <v>0</v>
      </c>
    </row>
    <row r="795">
      <c r="A795" s="10" t="s">
        <v>2914</v>
      </c>
      <c r="B795" s="11">
        <v>44315.62875094908</v>
      </c>
      <c r="C795" s="10" t="s">
        <v>28</v>
      </c>
      <c r="D795" s="10" t="s">
        <v>29</v>
      </c>
      <c r="E795" s="10" t="s">
        <v>63</v>
      </c>
      <c r="F795" s="10" t="s">
        <v>2915</v>
      </c>
      <c r="G795" s="10" t="s">
        <v>2916</v>
      </c>
      <c r="H795" s="24">
        <v>44323.4375</v>
      </c>
      <c r="I795" s="24">
        <v>44323.52083333333</v>
      </c>
      <c r="J795" s="10" t="s">
        <v>43</v>
      </c>
      <c r="K795" s="10" t="s">
        <v>34</v>
      </c>
      <c r="N795" s="10" t="s">
        <v>35</v>
      </c>
      <c r="V795" s="9"/>
      <c r="W795" s="13" t="s">
        <v>78</v>
      </c>
      <c r="X795" s="10" t="s">
        <v>37</v>
      </c>
      <c r="Y795" s="10" t="s">
        <v>0</v>
      </c>
    </row>
    <row r="796">
      <c r="A796" s="10" t="s">
        <v>2917</v>
      </c>
      <c r="B796" s="11">
        <v>44318.43652880787</v>
      </c>
      <c r="C796" s="10" t="s">
        <v>491</v>
      </c>
      <c r="D796" s="10" t="s">
        <v>492</v>
      </c>
      <c r="E796" s="10" t="s">
        <v>853</v>
      </c>
      <c r="F796" s="10" t="s">
        <v>2918</v>
      </c>
      <c r="G796" s="10" t="s">
        <v>2919</v>
      </c>
      <c r="H796" s="17">
        <v>44317.79166666667</v>
      </c>
      <c r="I796" s="17">
        <v>44317.79166666667</v>
      </c>
      <c r="J796" s="10" t="s">
        <v>73</v>
      </c>
      <c r="K796" s="10" t="s">
        <v>34</v>
      </c>
      <c r="N796" s="10" t="s">
        <v>35</v>
      </c>
      <c r="V796" s="9"/>
      <c r="W796" s="13" t="s">
        <v>78</v>
      </c>
      <c r="X796" s="10" t="s">
        <v>37</v>
      </c>
      <c r="Y796" s="10" t="s">
        <v>0</v>
      </c>
    </row>
    <row r="797">
      <c r="A797" s="10" t="s">
        <v>2920</v>
      </c>
      <c r="B797" s="11">
        <v>44318.70856018519</v>
      </c>
      <c r="C797" s="10" t="s">
        <v>186</v>
      </c>
      <c r="D797" s="10" t="s">
        <v>187</v>
      </c>
      <c r="E797" s="10" t="s">
        <v>188</v>
      </c>
      <c r="F797" s="10" t="s">
        <v>2921</v>
      </c>
      <c r="G797" s="10" t="s">
        <v>2922</v>
      </c>
      <c r="H797" s="17">
        <v>44319.52083333333</v>
      </c>
      <c r="I797" s="17">
        <v>44323.77083333333</v>
      </c>
      <c r="J797" s="10" t="s">
        <v>128</v>
      </c>
      <c r="K797" s="10" t="s">
        <v>34</v>
      </c>
      <c r="N797" s="10" t="s">
        <v>35</v>
      </c>
      <c r="V797" s="9"/>
      <c r="W797" s="13" t="s">
        <v>78</v>
      </c>
      <c r="X797" s="10" t="s">
        <v>37</v>
      </c>
      <c r="Y797" s="10" t="s">
        <v>0</v>
      </c>
    </row>
    <row r="798">
      <c r="A798" s="10" t="s">
        <v>2923</v>
      </c>
      <c r="B798" s="11">
        <v>44319.345521944444</v>
      </c>
      <c r="C798" s="10" t="s">
        <v>610</v>
      </c>
      <c r="D798" s="10" t="s">
        <v>611</v>
      </c>
      <c r="E798" s="10" t="s">
        <v>2562</v>
      </c>
      <c r="F798" s="10" t="s">
        <v>2924</v>
      </c>
      <c r="G798" s="10" t="s">
        <v>2925</v>
      </c>
      <c r="H798" s="17">
        <v>44323.0</v>
      </c>
      <c r="I798" s="17">
        <v>44337.99930555555</v>
      </c>
      <c r="J798" s="10" t="s">
        <v>128</v>
      </c>
      <c r="K798" s="10" t="s">
        <v>34</v>
      </c>
      <c r="N798" s="10" t="s">
        <v>35</v>
      </c>
      <c r="V798" s="9"/>
      <c r="W798" s="13" t="s">
        <v>78</v>
      </c>
      <c r="X798" s="10" t="s">
        <v>37</v>
      </c>
      <c r="Y798" s="10" t="s">
        <v>0</v>
      </c>
    </row>
    <row r="799">
      <c r="A799" s="10" t="s">
        <v>2926</v>
      </c>
      <c r="B799" s="11">
        <v>44316.688820208336</v>
      </c>
      <c r="C799" s="10" t="s">
        <v>186</v>
      </c>
      <c r="D799" s="10" t="s">
        <v>187</v>
      </c>
      <c r="E799" s="10" t="s">
        <v>188</v>
      </c>
      <c r="F799" s="10" t="s">
        <v>2927</v>
      </c>
      <c r="G799" s="10" t="s">
        <v>2928</v>
      </c>
      <c r="H799" s="24">
        <v>44323.4375</v>
      </c>
      <c r="I799" s="24">
        <v>44323.52083333333</v>
      </c>
      <c r="J799" s="10" t="s">
        <v>43</v>
      </c>
      <c r="K799" s="10" t="s">
        <v>34</v>
      </c>
      <c r="N799" s="10" t="s">
        <v>296</v>
      </c>
      <c r="O799" s="18" t="s">
        <v>2929</v>
      </c>
      <c r="P799" s="10" t="s">
        <v>296</v>
      </c>
      <c r="Q799" s="10">
        <v>6.0</v>
      </c>
      <c r="R799" s="10" t="s">
        <v>35</v>
      </c>
      <c r="T799" s="10" t="s">
        <v>35</v>
      </c>
      <c r="V799" s="9"/>
      <c r="W799" s="13" t="s">
        <v>78</v>
      </c>
      <c r="X799" s="10" t="s">
        <v>37</v>
      </c>
      <c r="Y799" s="10" t="s">
        <v>0</v>
      </c>
    </row>
    <row r="800">
      <c r="A800" s="10" t="s">
        <v>2930</v>
      </c>
      <c r="B800" s="11">
        <v>44319.69578355324</v>
      </c>
      <c r="C800" s="10" t="s">
        <v>239</v>
      </c>
      <c r="D800" s="10" t="s">
        <v>240</v>
      </c>
      <c r="E800" s="10" t="s">
        <v>1975</v>
      </c>
      <c r="F800" s="10" t="s">
        <v>2931</v>
      </c>
      <c r="G800" s="10" t="s">
        <v>2932</v>
      </c>
      <c r="H800" s="17">
        <v>44337.604166666664</v>
      </c>
      <c r="I800" s="17">
        <v>44337.645833333336</v>
      </c>
      <c r="J800" s="10" t="s">
        <v>128</v>
      </c>
      <c r="K800" s="10" t="s">
        <v>34</v>
      </c>
      <c r="N800" s="10" t="s">
        <v>35</v>
      </c>
      <c r="V800" s="9"/>
      <c r="W800" s="13" t="s">
        <v>78</v>
      </c>
      <c r="X800" s="10" t="s">
        <v>37</v>
      </c>
      <c r="Y800" s="10" t="s">
        <v>0</v>
      </c>
    </row>
    <row r="801">
      <c r="A801" s="10" t="s">
        <v>2933</v>
      </c>
      <c r="B801" s="11">
        <v>44316.70666574074</v>
      </c>
      <c r="C801" s="10" t="s">
        <v>80</v>
      </c>
      <c r="D801" s="10" t="s">
        <v>81</v>
      </c>
      <c r="E801" s="10" t="s">
        <v>2882</v>
      </c>
      <c r="F801" s="10" t="s">
        <v>2934</v>
      </c>
      <c r="G801" s="10" t="s">
        <v>2884</v>
      </c>
      <c r="H801" s="24">
        <v>44323.66666666667</v>
      </c>
      <c r="I801" s="24">
        <v>44323.73611111111</v>
      </c>
      <c r="J801" s="10" t="s">
        <v>43</v>
      </c>
      <c r="K801" s="10" t="s">
        <v>34</v>
      </c>
      <c r="N801" s="10" t="s">
        <v>296</v>
      </c>
      <c r="O801" s="18" t="s">
        <v>2935</v>
      </c>
      <c r="P801" s="10" t="s">
        <v>296</v>
      </c>
      <c r="Q801" s="10">
        <v>2.0</v>
      </c>
      <c r="R801" s="10" t="s">
        <v>296</v>
      </c>
      <c r="S801" s="10">
        <v>1.0</v>
      </c>
      <c r="T801" s="10" t="s">
        <v>35</v>
      </c>
      <c r="V801" s="9"/>
      <c r="W801" s="13" t="s">
        <v>78</v>
      </c>
      <c r="X801" s="10" t="s">
        <v>37</v>
      </c>
      <c r="Y801" s="10" t="s">
        <v>0</v>
      </c>
    </row>
    <row r="802">
      <c r="A802" s="10" t="s">
        <v>2936</v>
      </c>
      <c r="B802" s="11">
        <v>44320.45102847222</v>
      </c>
      <c r="C802" s="10" t="s">
        <v>181</v>
      </c>
      <c r="D802" s="10" t="s">
        <v>69</v>
      </c>
      <c r="E802" s="10" t="s">
        <v>860</v>
      </c>
      <c r="F802" s="10" t="s">
        <v>2937</v>
      </c>
      <c r="G802" s="10" t="s">
        <v>2938</v>
      </c>
      <c r="H802" s="17">
        <v>44327.375</v>
      </c>
      <c r="I802" s="17">
        <v>44338.95833333333</v>
      </c>
      <c r="J802" s="10" t="s">
        <v>73</v>
      </c>
      <c r="K802" s="10" t="s">
        <v>34</v>
      </c>
      <c r="N802" s="10" t="s">
        <v>35</v>
      </c>
      <c r="V802" s="9"/>
      <c r="W802" s="13" t="s">
        <v>78</v>
      </c>
      <c r="X802" s="10" t="s">
        <v>37</v>
      </c>
      <c r="Y802" s="10" t="s">
        <v>0</v>
      </c>
    </row>
    <row r="803">
      <c r="A803" s="10" t="s">
        <v>2939</v>
      </c>
      <c r="B803" s="11">
        <v>44319.92130685185</v>
      </c>
      <c r="C803" s="10" t="s">
        <v>1583</v>
      </c>
      <c r="D803" s="10" t="s">
        <v>505</v>
      </c>
      <c r="E803" s="10" t="s">
        <v>2105</v>
      </c>
      <c r="F803" s="10" t="s">
        <v>2940</v>
      </c>
      <c r="G803" s="10" t="s">
        <v>2941</v>
      </c>
      <c r="H803" s="16">
        <v>44323.79166666667</v>
      </c>
      <c r="I803" s="16">
        <v>44323.875</v>
      </c>
      <c r="J803" s="10" t="s">
        <v>43</v>
      </c>
      <c r="K803" s="10" t="s">
        <v>34</v>
      </c>
      <c r="N803" s="10" t="s">
        <v>35</v>
      </c>
      <c r="V803" s="9"/>
      <c r="W803" s="13" t="s">
        <v>78</v>
      </c>
      <c r="X803" s="10" t="s">
        <v>37</v>
      </c>
      <c r="Y803" s="10" t="s">
        <v>0</v>
      </c>
    </row>
    <row r="804">
      <c r="A804" s="10" t="s">
        <v>2942</v>
      </c>
      <c r="B804" s="11">
        <v>44320.64366165509</v>
      </c>
      <c r="C804" s="10" t="s">
        <v>347</v>
      </c>
      <c r="D804" s="10" t="s">
        <v>348</v>
      </c>
      <c r="E804" s="10" t="s">
        <v>2943</v>
      </c>
      <c r="F804" s="10" t="s">
        <v>2944</v>
      </c>
      <c r="G804" s="10" t="s">
        <v>2945</v>
      </c>
      <c r="H804" s="24">
        <v>44324.39583333333</v>
      </c>
      <c r="I804" s="24">
        <v>44324.47916666667</v>
      </c>
      <c r="J804" s="10" t="s">
        <v>172</v>
      </c>
      <c r="K804" s="10" t="s">
        <v>34</v>
      </c>
      <c r="M804" s="10" t="s">
        <v>2946</v>
      </c>
      <c r="N804" s="10" t="s">
        <v>35</v>
      </c>
      <c r="V804" s="9"/>
      <c r="W804" s="13" t="s">
        <v>78</v>
      </c>
      <c r="X804" s="10" t="s">
        <v>37</v>
      </c>
      <c r="Y804" s="10" t="s">
        <v>0</v>
      </c>
    </row>
    <row r="805">
      <c r="A805" s="10" t="s">
        <v>2947</v>
      </c>
      <c r="B805" s="11">
        <v>44324.45836780092</v>
      </c>
      <c r="C805" s="10" t="s">
        <v>694</v>
      </c>
      <c r="D805" s="10" t="s">
        <v>695</v>
      </c>
      <c r="E805" s="10" t="s">
        <v>696</v>
      </c>
      <c r="F805" s="10" t="s">
        <v>2948</v>
      </c>
      <c r="G805" s="10" t="s">
        <v>2949</v>
      </c>
      <c r="H805" s="16">
        <v>44324.39583333333</v>
      </c>
      <c r="I805" s="16">
        <v>44324.4375</v>
      </c>
      <c r="J805" s="10" t="s">
        <v>43</v>
      </c>
      <c r="K805" s="10" t="s">
        <v>34</v>
      </c>
      <c r="N805" s="10" t="s">
        <v>35</v>
      </c>
      <c r="V805" s="9"/>
      <c r="W805" s="13" t="s">
        <v>78</v>
      </c>
      <c r="X805" s="10" t="s">
        <v>37</v>
      </c>
      <c r="Y805" s="10" t="s">
        <v>0</v>
      </c>
    </row>
    <row r="806">
      <c r="A806" s="10" t="s">
        <v>2950</v>
      </c>
      <c r="B806" s="11">
        <v>44320.612454710645</v>
      </c>
      <c r="C806" s="10" t="s">
        <v>671</v>
      </c>
      <c r="D806" s="10" t="s">
        <v>672</v>
      </c>
      <c r="E806" s="10" t="s">
        <v>2951</v>
      </c>
      <c r="F806" s="10" t="s">
        <v>2952</v>
      </c>
      <c r="G806" s="10" t="s">
        <v>2953</v>
      </c>
      <c r="H806" s="17">
        <v>44322.6875</v>
      </c>
      <c r="I806" s="17">
        <v>44322.77083333333</v>
      </c>
      <c r="J806" s="10" t="s">
        <v>128</v>
      </c>
      <c r="K806" s="10" t="s">
        <v>34</v>
      </c>
      <c r="N806" s="10" t="s">
        <v>35</v>
      </c>
      <c r="V806" s="9"/>
      <c r="W806" s="13" t="s">
        <v>78</v>
      </c>
      <c r="X806" s="10" t="s">
        <v>37</v>
      </c>
      <c r="Y806" s="10" t="s">
        <v>0</v>
      </c>
    </row>
    <row r="807">
      <c r="A807" s="10" t="s">
        <v>2954</v>
      </c>
      <c r="B807" s="11">
        <v>44320.61376143519</v>
      </c>
      <c r="C807" s="10" t="s">
        <v>671</v>
      </c>
      <c r="D807" s="10" t="s">
        <v>672</v>
      </c>
      <c r="E807" s="10" t="s">
        <v>1722</v>
      </c>
      <c r="F807" s="10" t="s">
        <v>2955</v>
      </c>
      <c r="G807" s="10" t="s">
        <v>2956</v>
      </c>
      <c r="H807" s="17">
        <v>44323.6875</v>
      </c>
      <c r="I807" s="17">
        <v>44323.72916666667</v>
      </c>
      <c r="J807" s="10" t="s">
        <v>128</v>
      </c>
      <c r="K807" s="10" t="s">
        <v>34</v>
      </c>
      <c r="N807" s="10" t="s">
        <v>35</v>
      </c>
      <c r="V807" s="9"/>
      <c r="W807" s="13" t="s">
        <v>78</v>
      </c>
      <c r="X807" s="10" t="s">
        <v>37</v>
      </c>
      <c r="Y807" s="10" t="s">
        <v>0</v>
      </c>
    </row>
    <row r="808">
      <c r="A808" s="10" t="s">
        <v>2957</v>
      </c>
      <c r="B808" s="11">
        <v>44320.614443425926</v>
      </c>
      <c r="C808" s="10" t="s">
        <v>671</v>
      </c>
      <c r="D808" s="10" t="s">
        <v>672</v>
      </c>
      <c r="E808" s="10" t="s">
        <v>1722</v>
      </c>
      <c r="F808" s="10" t="s">
        <v>2958</v>
      </c>
      <c r="G808" s="10" t="s">
        <v>2959</v>
      </c>
      <c r="H808" s="17">
        <v>44323.60416666667</v>
      </c>
      <c r="I808" s="17">
        <v>44323.64583333333</v>
      </c>
      <c r="J808" s="10" t="s">
        <v>128</v>
      </c>
      <c r="K808" s="10" t="s">
        <v>34</v>
      </c>
      <c r="N808" s="10" t="s">
        <v>35</v>
      </c>
      <c r="V808" s="9"/>
      <c r="W808" s="13" t="s">
        <v>78</v>
      </c>
      <c r="X808" s="10" t="s">
        <v>37</v>
      </c>
      <c r="Y808" s="10" t="s">
        <v>0</v>
      </c>
    </row>
    <row r="809">
      <c r="A809" s="10" t="s">
        <v>2960</v>
      </c>
      <c r="B809" s="11">
        <v>44316.92571516204</v>
      </c>
      <c r="C809" s="10" t="s">
        <v>28</v>
      </c>
      <c r="D809" s="10" t="s">
        <v>29</v>
      </c>
      <c r="E809" s="10" t="s">
        <v>2323</v>
      </c>
      <c r="F809" s="10" t="s">
        <v>2961</v>
      </c>
      <c r="G809" s="10" t="s">
        <v>2962</v>
      </c>
      <c r="H809" s="16">
        <v>44324.4375</v>
      </c>
      <c r="I809" s="16">
        <v>44324.52083333333</v>
      </c>
      <c r="J809" s="10" t="s">
        <v>43</v>
      </c>
      <c r="K809" s="10" t="s">
        <v>34</v>
      </c>
      <c r="N809" s="10" t="s">
        <v>35</v>
      </c>
      <c r="V809" s="9"/>
      <c r="W809" s="13" t="s">
        <v>78</v>
      </c>
      <c r="X809" s="10" t="s">
        <v>37</v>
      </c>
      <c r="Y809" s="10" t="s">
        <v>0</v>
      </c>
    </row>
    <row r="810">
      <c r="A810" s="10" t="s">
        <v>2963</v>
      </c>
      <c r="B810" s="11">
        <v>44320.65652016204</v>
      </c>
      <c r="C810" s="10" t="s">
        <v>1516</v>
      </c>
      <c r="D810" s="10" t="s">
        <v>611</v>
      </c>
      <c r="E810" s="10" t="s">
        <v>2562</v>
      </c>
      <c r="F810" s="10" t="s">
        <v>2563</v>
      </c>
      <c r="G810" s="10" t="s">
        <v>2964</v>
      </c>
      <c r="H810" s="17">
        <v>44324.45833333333</v>
      </c>
      <c r="I810" s="17">
        <v>44324.99930555555</v>
      </c>
      <c r="J810" s="10" t="s">
        <v>128</v>
      </c>
      <c r="K810" s="10" t="s">
        <v>34</v>
      </c>
      <c r="N810" s="10" t="s">
        <v>35</v>
      </c>
      <c r="V810" s="9"/>
      <c r="W810" s="13" t="s">
        <v>78</v>
      </c>
      <c r="X810" s="10" t="s">
        <v>37</v>
      </c>
      <c r="Y810" s="10" t="s">
        <v>0</v>
      </c>
    </row>
    <row r="811">
      <c r="A811" s="10" t="s">
        <v>2965</v>
      </c>
      <c r="B811" s="11">
        <v>44320.68379804398</v>
      </c>
      <c r="C811" s="10" t="s">
        <v>610</v>
      </c>
      <c r="D811" s="10" t="s">
        <v>611</v>
      </c>
      <c r="E811" s="10" t="s">
        <v>2562</v>
      </c>
      <c r="F811" s="10" t="s">
        <v>2563</v>
      </c>
      <c r="G811" s="10" t="s">
        <v>2564</v>
      </c>
      <c r="H811" s="17">
        <v>44324.45833333333</v>
      </c>
      <c r="I811" s="17">
        <v>44324.99930555555</v>
      </c>
      <c r="J811" s="10" t="s">
        <v>128</v>
      </c>
      <c r="K811" s="10" t="s">
        <v>34</v>
      </c>
      <c r="N811" s="10" t="s">
        <v>35</v>
      </c>
      <c r="V811" s="9"/>
      <c r="W811" s="13" t="s">
        <v>78</v>
      </c>
      <c r="X811" s="10" t="s">
        <v>37</v>
      </c>
      <c r="Y811" s="10" t="s">
        <v>0</v>
      </c>
    </row>
    <row r="812">
      <c r="A812" s="10" t="s">
        <v>2966</v>
      </c>
      <c r="B812" s="11">
        <v>44362.68540248842</v>
      </c>
      <c r="C812" s="10" t="s">
        <v>102</v>
      </c>
      <c r="D812" s="10" t="s">
        <v>103</v>
      </c>
      <c r="E812" s="10" t="s">
        <v>2870</v>
      </c>
      <c r="F812" s="10" t="s">
        <v>2967</v>
      </c>
      <c r="G812" s="10" t="s">
        <v>2968</v>
      </c>
      <c r="H812" s="16">
        <v>44324.4375</v>
      </c>
      <c r="I812" s="16">
        <v>44324.52083333333</v>
      </c>
      <c r="J812" s="10" t="s">
        <v>43</v>
      </c>
      <c r="K812" s="10" t="s">
        <v>34</v>
      </c>
      <c r="N812" s="10" t="s">
        <v>296</v>
      </c>
      <c r="O812" s="18" t="s">
        <v>2969</v>
      </c>
      <c r="P812" s="10" t="s">
        <v>296</v>
      </c>
      <c r="Q812" s="10">
        <v>4.0</v>
      </c>
      <c r="R812" s="10" t="s">
        <v>35</v>
      </c>
      <c r="T812" s="10" t="s">
        <v>35</v>
      </c>
      <c r="V812" s="9"/>
      <c r="W812" s="13" t="s">
        <v>78</v>
      </c>
      <c r="X812" s="10" t="s">
        <v>37</v>
      </c>
      <c r="Y812" s="10" t="s">
        <v>0</v>
      </c>
    </row>
    <row r="813">
      <c r="A813" s="10" t="s">
        <v>2970</v>
      </c>
      <c r="B813" s="11">
        <v>44362.681375370375</v>
      </c>
      <c r="C813" s="10" t="s">
        <v>102</v>
      </c>
      <c r="D813" s="10" t="s">
        <v>103</v>
      </c>
      <c r="E813" s="10" t="s">
        <v>2870</v>
      </c>
      <c r="F813" s="10" t="s">
        <v>2971</v>
      </c>
      <c r="G813" s="10" t="s">
        <v>2972</v>
      </c>
      <c r="H813" s="16">
        <v>44324.72916666667</v>
      </c>
      <c r="I813" s="16">
        <v>44324.8125</v>
      </c>
      <c r="J813" s="10" t="s">
        <v>43</v>
      </c>
      <c r="K813" s="10" t="s">
        <v>34</v>
      </c>
      <c r="N813" s="10" t="s">
        <v>296</v>
      </c>
      <c r="O813" s="18" t="s">
        <v>2973</v>
      </c>
      <c r="P813" s="10" t="s">
        <v>296</v>
      </c>
      <c r="Q813" s="10">
        <v>4.0</v>
      </c>
      <c r="R813" s="10" t="s">
        <v>35</v>
      </c>
      <c r="T813" s="10" t="s">
        <v>35</v>
      </c>
      <c r="V813" s="9"/>
      <c r="W813" s="13" t="s">
        <v>78</v>
      </c>
      <c r="X813" s="10" t="s">
        <v>37</v>
      </c>
      <c r="Y813" s="10" t="s">
        <v>0</v>
      </c>
    </row>
    <row r="814">
      <c r="A814" s="10" t="s">
        <v>2974</v>
      </c>
      <c r="B814" s="11">
        <v>44314.39259876157</v>
      </c>
      <c r="C814" s="10" t="s">
        <v>209</v>
      </c>
      <c r="D814" s="10" t="s">
        <v>210</v>
      </c>
      <c r="E814" s="10" t="s">
        <v>261</v>
      </c>
      <c r="F814" s="10" t="s">
        <v>2975</v>
      </c>
      <c r="G814" s="10" t="s">
        <v>2976</v>
      </c>
      <c r="H814" s="24">
        <v>44326.60416666667</v>
      </c>
      <c r="I814" s="24">
        <v>44326.6875</v>
      </c>
      <c r="J814" s="10" t="s">
        <v>43</v>
      </c>
      <c r="K814" s="10" t="s">
        <v>34</v>
      </c>
      <c r="N814" s="10" t="s">
        <v>296</v>
      </c>
      <c r="O814" s="18" t="s">
        <v>2977</v>
      </c>
      <c r="P814" s="10" t="s">
        <v>35</v>
      </c>
      <c r="R814" s="10" t="s">
        <v>35</v>
      </c>
      <c r="T814" s="10" t="s">
        <v>296</v>
      </c>
      <c r="U814" s="10">
        <v>1.0</v>
      </c>
      <c r="V814" s="27"/>
      <c r="W814" s="13" t="s">
        <v>78</v>
      </c>
      <c r="X814" s="10" t="s">
        <v>37</v>
      </c>
      <c r="Y814" s="10" t="s">
        <v>0</v>
      </c>
    </row>
    <row r="815">
      <c r="A815" s="10" t="s">
        <v>2978</v>
      </c>
      <c r="B815" s="11">
        <v>44323.633859375</v>
      </c>
      <c r="C815" s="10" t="s">
        <v>181</v>
      </c>
      <c r="D815" s="10" t="s">
        <v>69</v>
      </c>
      <c r="E815" s="10" t="s">
        <v>2979</v>
      </c>
      <c r="F815" s="10" t="s">
        <v>2980</v>
      </c>
      <c r="G815" s="10" t="s">
        <v>2981</v>
      </c>
      <c r="H815" s="17">
        <v>44330.60416666667</v>
      </c>
      <c r="I815" s="17">
        <v>44330.6875</v>
      </c>
      <c r="J815" s="10" t="s">
        <v>128</v>
      </c>
      <c r="K815" s="10" t="s">
        <v>34</v>
      </c>
      <c r="N815" s="10" t="s">
        <v>35</v>
      </c>
      <c r="V815" s="9"/>
      <c r="W815" s="13" t="s">
        <v>78</v>
      </c>
      <c r="X815" s="10" t="s">
        <v>37</v>
      </c>
      <c r="Y815" s="10" t="s">
        <v>0</v>
      </c>
    </row>
    <row r="816">
      <c r="A816" s="10" t="s">
        <v>2982</v>
      </c>
      <c r="B816" s="11">
        <v>44323.731865497684</v>
      </c>
      <c r="C816" s="10" t="s">
        <v>181</v>
      </c>
      <c r="D816" s="10" t="s">
        <v>69</v>
      </c>
      <c r="E816" s="10" t="s">
        <v>2979</v>
      </c>
      <c r="F816" s="10" t="s">
        <v>2980</v>
      </c>
      <c r="G816" s="10" t="s">
        <v>2983</v>
      </c>
      <c r="H816" s="17">
        <v>44331.33333333333</v>
      </c>
      <c r="I816" s="17">
        <v>44331.33333333333</v>
      </c>
      <c r="J816" s="10" t="s">
        <v>73</v>
      </c>
      <c r="K816" s="10" t="s">
        <v>34</v>
      </c>
      <c r="N816" s="10" t="s">
        <v>35</v>
      </c>
      <c r="V816" s="9"/>
      <c r="W816" s="13" t="s">
        <v>78</v>
      </c>
      <c r="X816" s="10" t="s">
        <v>37</v>
      </c>
      <c r="Y816" s="10" t="s">
        <v>0</v>
      </c>
    </row>
    <row r="817">
      <c r="A817" s="10" t="s">
        <v>2984</v>
      </c>
      <c r="B817" s="11">
        <v>44328.79625142361</v>
      </c>
      <c r="C817" s="10" t="s">
        <v>160</v>
      </c>
      <c r="D817" s="10" t="s">
        <v>161</v>
      </c>
      <c r="E817" s="10" t="s">
        <v>947</v>
      </c>
      <c r="F817" s="10" t="s">
        <v>2985</v>
      </c>
      <c r="G817" s="10" t="s">
        <v>2986</v>
      </c>
      <c r="H817" s="16">
        <v>44326.6875</v>
      </c>
      <c r="I817" s="16">
        <v>44326.77083333333</v>
      </c>
      <c r="J817" s="10" t="s">
        <v>43</v>
      </c>
      <c r="K817" s="10" t="s">
        <v>34</v>
      </c>
      <c r="N817" s="10" t="s">
        <v>296</v>
      </c>
      <c r="O817" s="18" t="s">
        <v>2987</v>
      </c>
      <c r="P817" s="10" t="s">
        <v>296</v>
      </c>
      <c r="Q817" s="10">
        <v>4.0</v>
      </c>
      <c r="R817" s="10" t="s">
        <v>35</v>
      </c>
      <c r="T817" s="10" t="s">
        <v>35</v>
      </c>
      <c r="V817" s="9"/>
      <c r="W817" s="13" t="s">
        <v>78</v>
      </c>
      <c r="X817" s="10" t="s">
        <v>37</v>
      </c>
      <c r="Y817" s="10" t="s">
        <v>0</v>
      </c>
    </row>
    <row r="818">
      <c r="A818" s="10" t="s">
        <v>2988</v>
      </c>
      <c r="B818" s="11">
        <v>44363.78928802084</v>
      </c>
      <c r="C818" s="10" t="s">
        <v>102</v>
      </c>
      <c r="D818" s="10" t="s">
        <v>103</v>
      </c>
      <c r="E818" s="10" t="s">
        <v>2989</v>
      </c>
      <c r="F818" s="10" t="s">
        <v>2990</v>
      </c>
      <c r="G818" s="10" t="s">
        <v>2991</v>
      </c>
      <c r="H818" s="16">
        <v>44326.6875</v>
      </c>
      <c r="I818" s="16">
        <v>44326.77083333333</v>
      </c>
      <c r="J818" s="10" t="s">
        <v>43</v>
      </c>
      <c r="K818" s="10" t="s">
        <v>34</v>
      </c>
      <c r="N818" s="10" t="s">
        <v>296</v>
      </c>
      <c r="O818" s="18" t="s">
        <v>2992</v>
      </c>
      <c r="P818" s="10" t="s">
        <v>296</v>
      </c>
      <c r="Q818" s="10">
        <v>4.0</v>
      </c>
      <c r="R818" s="10" t="s">
        <v>35</v>
      </c>
      <c r="T818" s="10" t="s">
        <v>35</v>
      </c>
      <c r="V818" s="9"/>
      <c r="W818" s="13" t="s">
        <v>78</v>
      </c>
      <c r="X818" s="10" t="s">
        <v>37</v>
      </c>
      <c r="Y818" s="10" t="s">
        <v>0</v>
      </c>
    </row>
    <row r="819">
      <c r="A819" s="10" t="s">
        <v>2993</v>
      </c>
      <c r="B819" s="11">
        <v>44315.630327418985</v>
      </c>
      <c r="C819" s="10" t="s">
        <v>28</v>
      </c>
      <c r="D819" s="10" t="s">
        <v>29</v>
      </c>
      <c r="E819" s="10" t="s">
        <v>2323</v>
      </c>
      <c r="F819" s="10" t="s">
        <v>2994</v>
      </c>
      <c r="G819" s="10" t="s">
        <v>2995</v>
      </c>
      <c r="H819" s="24">
        <v>44327.60416666667</v>
      </c>
      <c r="I819" s="24">
        <v>44327.6875</v>
      </c>
      <c r="J819" s="10" t="s">
        <v>43</v>
      </c>
      <c r="K819" s="10" t="s">
        <v>34</v>
      </c>
      <c r="N819" s="10" t="s">
        <v>35</v>
      </c>
      <c r="V819" s="9"/>
      <c r="W819" s="13" t="s">
        <v>78</v>
      </c>
      <c r="X819" s="10" t="s">
        <v>37</v>
      </c>
      <c r="Y819" s="10" t="s">
        <v>0</v>
      </c>
    </row>
    <row r="820">
      <c r="A820" s="10" t="s">
        <v>2996</v>
      </c>
      <c r="B820" s="11">
        <v>44317.735769861116</v>
      </c>
      <c r="C820" s="10" t="s">
        <v>209</v>
      </c>
      <c r="D820" s="10" t="s">
        <v>210</v>
      </c>
      <c r="E820" s="10" t="s">
        <v>261</v>
      </c>
      <c r="F820" s="10" t="s">
        <v>2997</v>
      </c>
      <c r="G820" s="10" t="s">
        <v>2998</v>
      </c>
      <c r="H820" s="24">
        <v>44327.6875</v>
      </c>
      <c r="I820" s="24">
        <v>44327.77083333333</v>
      </c>
      <c r="J820" s="10" t="s">
        <v>43</v>
      </c>
      <c r="K820" s="10" t="s">
        <v>34</v>
      </c>
      <c r="N820" s="10" t="s">
        <v>296</v>
      </c>
      <c r="O820" s="18" t="s">
        <v>2999</v>
      </c>
      <c r="P820" s="10" t="s">
        <v>35</v>
      </c>
      <c r="R820" s="10" t="s">
        <v>296</v>
      </c>
      <c r="S820" s="10">
        <v>1.0</v>
      </c>
      <c r="T820" s="10" t="s">
        <v>296</v>
      </c>
      <c r="U820" s="10">
        <v>1.0</v>
      </c>
      <c r="V820" s="27"/>
      <c r="W820" s="13" t="s">
        <v>78</v>
      </c>
      <c r="X820" s="10" t="s">
        <v>37</v>
      </c>
      <c r="Y820" s="10" t="s">
        <v>0</v>
      </c>
    </row>
    <row r="821">
      <c r="A821" s="10" t="s">
        <v>3000</v>
      </c>
      <c r="B821" s="11">
        <v>44326.682396793985</v>
      </c>
      <c r="C821" s="10" t="s">
        <v>46</v>
      </c>
      <c r="D821" s="10" t="s">
        <v>47</v>
      </c>
      <c r="E821" s="10" t="s">
        <v>233</v>
      </c>
      <c r="F821" s="10" t="s">
        <v>3001</v>
      </c>
      <c r="G821" s="10" t="s">
        <v>3002</v>
      </c>
      <c r="H821" s="16">
        <v>44227.375</v>
      </c>
      <c r="I821" s="16">
        <v>44265.75</v>
      </c>
      <c r="J821" s="10" t="s">
        <v>128</v>
      </c>
      <c r="K821" s="10" t="s">
        <v>34</v>
      </c>
      <c r="N821" s="10" t="s">
        <v>35</v>
      </c>
      <c r="V821" s="9"/>
      <c r="W821" s="13" t="s">
        <v>1669</v>
      </c>
      <c r="X821" s="10" t="s">
        <v>237</v>
      </c>
      <c r="Y821" s="10" t="s">
        <v>0</v>
      </c>
    </row>
    <row r="822">
      <c r="A822" s="10" t="s">
        <v>3003</v>
      </c>
      <c r="B822" s="11">
        <v>44323.85394450232</v>
      </c>
      <c r="C822" s="10" t="s">
        <v>392</v>
      </c>
      <c r="D822" s="10" t="s">
        <v>393</v>
      </c>
      <c r="E822" s="10" t="s">
        <v>3004</v>
      </c>
      <c r="F822" s="10" t="s">
        <v>3005</v>
      </c>
      <c r="G822" s="10" t="s">
        <v>3006</v>
      </c>
      <c r="H822" s="24">
        <v>44327.75</v>
      </c>
      <c r="I822" s="24">
        <v>44327.83333333333</v>
      </c>
      <c r="J822" s="10" t="s">
        <v>43</v>
      </c>
      <c r="K822" s="10" t="s">
        <v>34</v>
      </c>
      <c r="N822" s="10" t="s">
        <v>296</v>
      </c>
      <c r="O822" s="18" t="s">
        <v>3007</v>
      </c>
      <c r="P822" s="10" t="s">
        <v>296</v>
      </c>
      <c r="Q822" s="10">
        <v>5.0</v>
      </c>
      <c r="R822" s="10" t="s">
        <v>296</v>
      </c>
      <c r="S822" s="10">
        <v>5.0</v>
      </c>
      <c r="T822" s="10" t="s">
        <v>35</v>
      </c>
      <c r="V822" s="9"/>
      <c r="W822" s="13" t="s">
        <v>1669</v>
      </c>
      <c r="X822" s="10" t="s">
        <v>37</v>
      </c>
      <c r="Y822" s="10" t="s">
        <v>0</v>
      </c>
    </row>
    <row r="823">
      <c r="A823" s="10" t="s">
        <v>3008</v>
      </c>
      <c r="B823" s="11">
        <v>44320.60299494213</v>
      </c>
      <c r="C823" s="10" t="s">
        <v>347</v>
      </c>
      <c r="D823" s="10" t="s">
        <v>348</v>
      </c>
      <c r="E823" s="10" t="s">
        <v>349</v>
      </c>
      <c r="F823" s="10" t="s">
        <v>3009</v>
      </c>
      <c r="G823" s="10" t="s">
        <v>3010</v>
      </c>
      <c r="H823" s="24">
        <v>44328.10416666667</v>
      </c>
      <c r="I823" s="24">
        <v>44328.14583333333</v>
      </c>
      <c r="J823" s="10" t="s">
        <v>43</v>
      </c>
      <c r="K823" s="10" t="s">
        <v>34</v>
      </c>
      <c r="N823" s="10" t="s">
        <v>296</v>
      </c>
      <c r="O823" s="18" t="s">
        <v>3011</v>
      </c>
      <c r="P823" s="10" t="s">
        <v>296</v>
      </c>
      <c r="Q823" s="10">
        <v>2.0</v>
      </c>
      <c r="R823" s="10" t="s">
        <v>35</v>
      </c>
      <c r="T823" s="10" t="s">
        <v>35</v>
      </c>
      <c r="V823" s="9"/>
      <c r="W823" s="13" t="s">
        <v>1669</v>
      </c>
      <c r="X823" s="10" t="s">
        <v>37</v>
      </c>
      <c r="Y823" s="10" t="s">
        <v>0</v>
      </c>
    </row>
    <row r="824">
      <c r="A824" s="10" t="s">
        <v>3012</v>
      </c>
      <c r="B824" s="11">
        <v>44326.70301960648</v>
      </c>
      <c r="C824" s="10" t="s">
        <v>46</v>
      </c>
      <c r="D824" s="10" t="s">
        <v>47</v>
      </c>
      <c r="E824" s="10" t="s">
        <v>3013</v>
      </c>
      <c r="F824" s="10" t="s">
        <v>3014</v>
      </c>
      <c r="G824" s="10" t="s">
        <v>3015</v>
      </c>
      <c r="H824" s="16">
        <v>44238.41666666667</v>
      </c>
      <c r="I824" s="16">
        <v>44238.99930555555</v>
      </c>
      <c r="J824" s="10" t="s">
        <v>51</v>
      </c>
      <c r="K824" s="10" t="s">
        <v>34</v>
      </c>
      <c r="N824" s="10" t="s">
        <v>35</v>
      </c>
      <c r="V824" s="9"/>
      <c r="W824" s="13" t="s">
        <v>1669</v>
      </c>
      <c r="X824" s="10" t="s">
        <v>237</v>
      </c>
      <c r="Y824" s="10" t="s">
        <v>0</v>
      </c>
    </row>
    <row r="825">
      <c r="A825" s="10" t="s">
        <v>3016</v>
      </c>
      <c r="B825" s="11">
        <v>44326.716678888886</v>
      </c>
      <c r="C825" s="10" t="s">
        <v>46</v>
      </c>
      <c r="D825" s="10" t="s">
        <v>47</v>
      </c>
      <c r="E825" s="10" t="s">
        <v>3017</v>
      </c>
      <c r="F825" s="10" t="s">
        <v>3018</v>
      </c>
      <c r="G825" s="10" t="s">
        <v>3019</v>
      </c>
      <c r="H825" s="16">
        <v>44247.66666666667</v>
      </c>
      <c r="I825" s="16">
        <v>44247.70833333333</v>
      </c>
      <c r="J825" s="10" t="s">
        <v>128</v>
      </c>
      <c r="K825" s="10" t="s">
        <v>34</v>
      </c>
      <c r="N825" s="10" t="s">
        <v>35</v>
      </c>
      <c r="V825" s="9"/>
      <c r="W825" s="13" t="s">
        <v>1669</v>
      </c>
      <c r="X825" s="10" t="s">
        <v>237</v>
      </c>
      <c r="Y825" s="10" t="s">
        <v>0</v>
      </c>
    </row>
    <row r="826">
      <c r="A826" s="10" t="s">
        <v>3020</v>
      </c>
      <c r="B826" s="11">
        <v>44326.71850173611</v>
      </c>
      <c r="C826" s="10" t="s">
        <v>46</v>
      </c>
      <c r="D826" s="10" t="s">
        <v>47</v>
      </c>
      <c r="E826" s="10" t="s">
        <v>3021</v>
      </c>
      <c r="F826" s="10" t="s">
        <v>3022</v>
      </c>
      <c r="G826" s="10" t="s">
        <v>3023</v>
      </c>
      <c r="H826" s="16">
        <v>44252.33333333333</v>
      </c>
      <c r="I826" s="16">
        <v>44252.99930555555</v>
      </c>
      <c r="J826" s="10" t="s">
        <v>51</v>
      </c>
      <c r="K826" s="10" t="s">
        <v>34</v>
      </c>
      <c r="N826" s="10" t="s">
        <v>35</v>
      </c>
      <c r="V826" s="9"/>
      <c r="W826" s="13" t="s">
        <v>1669</v>
      </c>
      <c r="X826" s="10" t="s">
        <v>237</v>
      </c>
      <c r="Y826" s="10" t="s">
        <v>0</v>
      </c>
    </row>
    <row r="827">
      <c r="A827" s="10" t="s">
        <v>3024</v>
      </c>
      <c r="B827" s="11">
        <v>44326.720682847226</v>
      </c>
      <c r="C827" s="10" t="s">
        <v>46</v>
      </c>
      <c r="D827" s="10" t="s">
        <v>47</v>
      </c>
      <c r="E827" s="10" t="s">
        <v>3021</v>
      </c>
      <c r="F827" s="10" t="s">
        <v>3025</v>
      </c>
      <c r="G827" s="10" t="s">
        <v>3026</v>
      </c>
      <c r="H827" s="16">
        <v>44252.33333333333</v>
      </c>
      <c r="I827" s="16">
        <v>44255.75</v>
      </c>
      <c r="J827" s="10" t="s">
        <v>51</v>
      </c>
      <c r="K827" s="10" t="s">
        <v>34</v>
      </c>
      <c r="N827" s="10" t="s">
        <v>35</v>
      </c>
      <c r="V827" s="9"/>
      <c r="W827" s="13" t="s">
        <v>1669</v>
      </c>
      <c r="X827" s="10" t="s">
        <v>237</v>
      </c>
      <c r="Y827" s="10" t="s">
        <v>0</v>
      </c>
    </row>
    <row r="828">
      <c r="A828" s="10" t="s">
        <v>3027</v>
      </c>
      <c r="B828" s="11">
        <v>44326.7219533912</v>
      </c>
      <c r="C828" s="10" t="s">
        <v>46</v>
      </c>
      <c r="D828" s="10" t="s">
        <v>47</v>
      </c>
      <c r="E828" s="10" t="s">
        <v>3021</v>
      </c>
      <c r="F828" s="10" t="s">
        <v>3028</v>
      </c>
      <c r="G828" s="10" t="s">
        <v>3029</v>
      </c>
      <c r="H828" s="16">
        <v>44254.33333333333</v>
      </c>
      <c r="I828" s="16">
        <v>44254.99930555555</v>
      </c>
      <c r="J828" s="10" t="s">
        <v>51</v>
      </c>
      <c r="K828" s="10" t="s">
        <v>34</v>
      </c>
      <c r="N828" s="10" t="s">
        <v>35</v>
      </c>
      <c r="V828" s="9"/>
      <c r="W828" s="13" t="s">
        <v>1669</v>
      </c>
      <c r="X828" s="10" t="s">
        <v>237</v>
      </c>
      <c r="Y828" s="10" t="s">
        <v>0</v>
      </c>
    </row>
    <row r="829">
      <c r="A829" s="10" t="s">
        <v>3030</v>
      </c>
      <c r="B829" s="11">
        <v>44326.72266804398</v>
      </c>
      <c r="C829" s="10" t="s">
        <v>46</v>
      </c>
      <c r="D829" s="10" t="s">
        <v>47</v>
      </c>
      <c r="E829" s="10" t="s">
        <v>3031</v>
      </c>
      <c r="F829" s="10" t="s">
        <v>3032</v>
      </c>
      <c r="G829" s="10" t="s">
        <v>3033</v>
      </c>
      <c r="H829" s="16">
        <v>44261.33333333333</v>
      </c>
      <c r="I829" s="16">
        <v>44265.99930555555</v>
      </c>
      <c r="J829" s="10" t="s">
        <v>51</v>
      </c>
      <c r="K829" s="10" t="s">
        <v>34</v>
      </c>
      <c r="N829" s="10" t="s">
        <v>35</v>
      </c>
      <c r="V829" s="9"/>
      <c r="W829" s="13" t="s">
        <v>1669</v>
      </c>
      <c r="X829" s="10" t="s">
        <v>237</v>
      </c>
      <c r="Y829" s="10" t="s">
        <v>0</v>
      </c>
    </row>
    <row r="830">
      <c r="A830" s="10" t="s">
        <v>3034</v>
      </c>
      <c r="B830" s="11">
        <v>44326.731559699074</v>
      </c>
      <c r="C830" s="10" t="s">
        <v>46</v>
      </c>
      <c r="D830" s="10" t="s">
        <v>47</v>
      </c>
      <c r="E830" s="10" t="s">
        <v>3017</v>
      </c>
      <c r="F830" s="10" t="s">
        <v>3035</v>
      </c>
      <c r="G830" s="10" t="s">
        <v>3036</v>
      </c>
      <c r="H830" s="16">
        <v>44275.625</v>
      </c>
      <c r="I830" s="16">
        <v>44275.58333333333</v>
      </c>
      <c r="J830" s="10" t="s">
        <v>128</v>
      </c>
      <c r="K830" s="10" t="s">
        <v>34</v>
      </c>
      <c r="N830" s="10" t="s">
        <v>35</v>
      </c>
      <c r="V830" s="9"/>
      <c r="W830" s="13" t="s">
        <v>1669</v>
      </c>
      <c r="X830" s="10" t="s">
        <v>237</v>
      </c>
      <c r="Y830" s="10" t="s">
        <v>0</v>
      </c>
    </row>
    <row r="831">
      <c r="A831" s="10" t="s">
        <v>3037</v>
      </c>
      <c r="B831" s="11">
        <v>44326.73537645834</v>
      </c>
      <c r="C831" s="10" t="s">
        <v>46</v>
      </c>
      <c r="D831" s="10" t="s">
        <v>47</v>
      </c>
      <c r="E831" s="10" t="s">
        <v>3038</v>
      </c>
      <c r="F831" s="10" t="s">
        <v>3039</v>
      </c>
      <c r="G831" s="10" t="s">
        <v>3040</v>
      </c>
      <c r="H831" s="16">
        <v>44263.33333333333</v>
      </c>
      <c r="I831" s="16">
        <v>44263.99930555555</v>
      </c>
      <c r="J831" s="10" t="s">
        <v>51</v>
      </c>
      <c r="K831" s="10" t="s">
        <v>34</v>
      </c>
      <c r="N831" s="10" t="s">
        <v>35</v>
      </c>
      <c r="V831" s="9"/>
      <c r="W831" s="13" t="s">
        <v>1669</v>
      </c>
      <c r="X831" s="10" t="s">
        <v>237</v>
      </c>
      <c r="Y831" s="10" t="s">
        <v>0</v>
      </c>
    </row>
    <row r="832">
      <c r="A832" s="10" t="s">
        <v>3041</v>
      </c>
      <c r="B832" s="11">
        <v>44326.74724319445</v>
      </c>
      <c r="C832" s="10" t="s">
        <v>46</v>
      </c>
      <c r="D832" s="10" t="s">
        <v>47</v>
      </c>
      <c r="E832" s="10" t="s">
        <v>3042</v>
      </c>
      <c r="F832" s="10" t="s">
        <v>3043</v>
      </c>
      <c r="G832" s="10" t="s">
        <v>3044</v>
      </c>
      <c r="H832" s="16">
        <v>44276.33333333333</v>
      </c>
      <c r="I832" s="16">
        <v>44277.33333333333</v>
      </c>
      <c r="J832" s="10" t="s">
        <v>51</v>
      </c>
      <c r="K832" s="10" t="s">
        <v>34</v>
      </c>
      <c r="N832" s="10" t="s">
        <v>35</v>
      </c>
      <c r="V832" s="9"/>
      <c r="W832" s="13" t="s">
        <v>1669</v>
      </c>
      <c r="X832" s="10" t="s">
        <v>237</v>
      </c>
      <c r="Y832" s="10" t="s">
        <v>0</v>
      </c>
    </row>
    <row r="833">
      <c r="A833" s="10" t="s">
        <v>3045</v>
      </c>
      <c r="B833" s="11">
        <v>44326.74847236111</v>
      </c>
      <c r="C833" s="10" t="s">
        <v>46</v>
      </c>
      <c r="D833" s="10" t="s">
        <v>47</v>
      </c>
      <c r="E833" s="10" t="s">
        <v>3042</v>
      </c>
      <c r="F833" s="10" t="s">
        <v>3046</v>
      </c>
      <c r="G833" s="10" t="s">
        <v>3047</v>
      </c>
      <c r="H833" s="16">
        <v>44277.29166666667</v>
      </c>
      <c r="I833" s="16">
        <v>44278.29166666667</v>
      </c>
      <c r="J833" s="10" t="s">
        <v>51</v>
      </c>
      <c r="K833" s="10" t="s">
        <v>34</v>
      </c>
      <c r="N833" s="10" t="s">
        <v>35</v>
      </c>
      <c r="V833" s="9"/>
      <c r="W833" s="13" t="s">
        <v>1669</v>
      </c>
      <c r="X833" s="10" t="s">
        <v>237</v>
      </c>
      <c r="Y833" s="10" t="s">
        <v>0</v>
      </c>
    </row>
    <row r="834">
      <c r="A834" s="10" t="s">
        <v>3048</v>
      </c>
      <c r="B834" s="11">
        <v>44326.77046135417</v>
      </c>
      <c r="C834" s="10" t="s">
        <v>46</v>
      </c>
      <c r="D834" s="10" t="s">
        <v>47</v>
      </c>
      <c r="E834" s="10" t="s">
        <v>3049</v>
      </c>
      <c r="F834" s="10" t="s">
        <v>3050</v>
      </c>
      <c r="G834" s="10" t="s">
        <v>3051</v>
      </c>
      <c r="H834" s="16">
        <v>44288.70833333333</v>
      </c>
      <c r="I834" s="16">
        <v>44288.875</v>
      </c>
      <c r="J834" s="10" t="s">
        <v>33</v>
      </c>
      <c r="K834" s="10" t="s">
        <v>34</v>
      </c>
      <c r="N834" s="10" t="s">
        <v>35</v>
      </c>
      <c r="V834" s="9"/>
      <c r="W834" s="13" t="s">
        <v>1669</v>
      </c>
      <c r="X834" s="10" t="s">
        <v>237</v>
      </c>
      <c r="Y834" s="10" t="s">
        <v>0</v>
      </c>
    </row>
    <row r="835">
      <c r="A835" s="10" t="s">
        <v>3052</v>
      </c>
      <c r="B835" s="11">
        <v>44326.773069849536</v>
      </c>
      <c r="C835" s="10" t="s">
        <v>46</v>
      </c>
      <c r="D835" s="10" t="s">
        <v>47</v>
      </c>
      <c r="E835" s="10" t="s">
        <v>1541</v>
      </c>
      <c r="F835" s="10" t="s">
        <v>3053</v>
      </c>
      <c r="G835" s="10" t="s">
        <v>3054</v>
      </c>
      <c r="H835" s="16">
        <v>44282.75</v>
      </c>
      <c r="I835" s="16">
        <v>44282.79166666667</v>
      </c>
      <c r="J835" s="10" t="s">
        <v>33</v>
      </c>
      <c r="K835" s="10" t="s">
        <v>34</v>
      </c>
      <c r="N835" s="10" t="s">
        <v>35</v>
      </c>
      <c r="V835" s="9"/>
      <c r="W835" s="13" t="s">
        <v>1669</v>
      </c>
      <c r="X835" s="10" t="s">
        <v>237</v>
      </c>
      <c r="Y835" s="10" t="s">
        <v>0</v>
      </c>
    </row>
    <row r="836">
      <c r="A836" s="10" t="s">
        <v>3055</v>
      </c>
      <c r="B836" s="11">
        <v>44326.775051793986</v>
      </c>
      <c r="C836" s="10" t="s">
        <v>46</v>
      </c>
      <c r="D836" s="10" t="s">
        <v>47</v>
      </c>
      <c r="E836" s="10" t="s">
        <v>3042</v>
      </c>
      <c r="F836" s="10" t="s">
        <v>3056</v>
      </c>
      <c r="G836" s="10" t="s">
        <v>3057</v>
      </c>
      <c r="H836" s="16">
        <v>44288.33333333333</v>
      </c>
      <c r="I836" s="16">
        <v>44289.33333333333</v>
      </c>
      <c r="J836" s="10" t="s">
        <v>51</v>
      </c>
      <c r="K836" s="10" t="s">
        <v>34</v>
      </c>
      <c r="N836" s="10" t="s">
        <v>35</v>
      </c>
      <c r="V836" s="9"/>
      <c r="W836" s="13" t="s">
        <v>1669</v>
      </c>
      <c r="X836" s="10" t="s">
        <v>237</v>
      </c>
      <c r="Y836" s="10" t="s">
        <v>0</v>
      </c>
    </row>
    <row r="837">
      <c r="A837" s="10" t="s">
        <v>3058</v>
      </c>
      <c r="B837" s="11">
        <v>44326.77744730324</v>
      </c>
      <c r="C837" s="10" t="s">
        <v>80</v>
      </c>
      <c r="D837" s="10" t="s">
        <v>81</v>
      </c>
      <c r="E837" s="10" t="s">
        <v>2365</v>
      </c>
      <c r="F837" s="10" t="s">
        <v>2366</v>
      </c>
      <c r="G837" s="10" t="s">
        <v>3059</v>
      </c>
      <c r="H837" s="16">
        <v>44333.33333333333</v>
      </c>
      <c r="I837" s="16">
        <v>44333.375</v>
      </c>
      <c r="J837" s="10" t="s">
        <v>73</v>
      </c>
      <c r="K837" s="10" t="s">
        <v>34</v>
      </c>
      <c r="N837" s="10" t="s">
        <v>35</v>
      </c>
      <c r="V837" s="9"/>
      <c r="W837" s="13" t="s">
        <v>1669</v>
      </c>
      <c r="X837" s="10" t="s">
        <v>237</v>
      </c>
      <c r="Y837" s="10" t="s">
        <v>0</v>
      </c>
    </row>
    <row r="838">
      <c r="A838" s="10" t="s">
        <v>3060</v>
      </c>
      <c r="B838" s="11">
        <v>44326.778156064815</v>
      </c>
      <c r="C838" s="10" t="s">
        <v>46</v>
      </c>
      <c r="D838" s="10" t="s">
        <v>47</v>
      </c>
      <c r="E838" s="10" t="s">
        <v>156</v>
      </c>
      <c r="F838" s="10" t="s">
        <v>3061</v>
      </c>
      <c r="G838" s="10" t="s">
        <v>3062</v>
      </c>
      <c r="H838" s="16">
        <v>44303.66666666667</v>
      </c>
      <c r="I838" s="16">
        <v>44303.70833333333</v>
      </c>
      <c r="J838" s="10" t="s">
        <v>128</v>
      </c>
      <c r="K838" s="10" t="s">
        <v>34</v>
      </c>
      <c r="N838" s="10" t="s">
        <v>35</v>
      </c>
      <c r="V838" s="9"/>
      <c r="W838" s="13" t="s">
        <v>1669</v>
      </c>
      <c r="X838" s="10" t="s">
        <v>237</v>
      </c>
      <c r="Y838" s="10" t="s">
        <v>0</v>
      </c>
    </row>
    <row r="839">
      <c r="A839" s="10" t="s">
        <v>3063</v>
      </c>
      <c r="B839" s="11">
        <v>44326.78424775463</v>
      </c>
      <c r="C839" s="10" t="s">
        <v>46</v>
      </c>
      <c r="D839" s="10" t="s">
        <v>47</v>
      </c>
      <c r="E839" s="10" t="s">
        <v>3064</v>
      </c>
      <c r="F839" s="10" t="s">
        <v>3065</v>
      </c>
      <c r="G839" s="10" t="s">
        <v>3066</v>
      </c>
      <c r="H839" s="16">
        <v>44305.33333333333</v>
      </c>
      <c r="I839" s="16">
        <v>44310.99930555555</v>
      </c>
      <c r="J839" s="10" t="s">
        <v>51</v>
      </c>
      <c r="K839" s="10" t="s">
        <v>34</v>
      </c>
      <c r="N839" s="10" t="s">
        <v>35</v>
      </c>
      <c r="V839" s="9"/>
      <c r="W839" s="13" t="s">
        <v>1669</v>
      </c>
      <c r="X839" s="10" t="s">
        <v>237</v>
      </c>
      <c r="Y839" s="10" t="s">
        <v>0</v>
      </c>
    </row>
    <row r="840">
      <c r="A840" s="10" t="s">
        <v>3067</v>
      </c>
      <c r="B840" s="11">
        <v>44326.79059533565</v>
      </c>
      <c r="C840" s="10" t="s">
        <v>46</v>
      </c>
      <c r="D840" s="10" t="s">
        <v>47</v>
      </c>
      <c r="E840" s="10" t="s">
        <v>3068</v>
      </c>
      <c r="F840" s="10" t="s">
        <v>3069</v>
      </c>
      <c r="G840" s="10" t="s">
        <v>3070</v>
      </c>
      <c r="H840" s="16">
        <v>44307.75</v>
      </c>
      <c r="I840" s="16">
        <v>44307.8125</v>
      </c>
      <c r="J840" s="10" t="s">
        <v>51</v>
      </c>
      <c r="K840" s="10" t="s">
        <v>34</v>
      </c>
      <c r="N840" s="10" t="s">
        <v>35</v>
      </c>
      <c r="V840" s="9"/>
      <c r="W840" s="13" t="s">
        <v>1669</v>
      </c>
      <c r="X840" s="10" t="s">
        <v>237</v>
      </c>
      <c r="Y840" s="10" t="s">
        <v>0</v>
      </c>
    </row>
    <row r="841">
      <c r="A841" s="10" t="s">
        <v>3071</v>
      </c>
      <c r="B841" s="11">
        <v>44326.793597083335</v>
      </c>
      <c r="C841" s="10" t="s">
        <v>46</v>
      </c>
      <c r="D841" s="10" t="s">
        <v>47</v>
      </c>
      <c r="E841" s="10" t="s">
        <v>75</v>
      </c>
      <c r="F841" s="10" t="s">
        <v>3072</v>
      </c>
      <c r="G841" s="10" t="s">
        <v>3073</v>
      </c>
      <c r="H841" s="16">
        <v>44308.79166666667</v>
      </c>
      <c r="I841" s="16">
        <v>44308.85416666667</v>
      </c>
      <c r="J841" s="10" t="s">
        <v>33</v>
      </c>
      <c r="K841" s="10" t="s">
        <v>34</v>
      </c>
      <c r="N841" s="10" t="s">
        <v>35</v>
      </c>
      <c r="V841" s="9"/>
      <c r="W841" s="13" t="s">
        <v>1669</v>
      </c>
      <c r="X841" s="10" t="s">
        <v>237</v>
      </c>
      <c r="Y841" s="10" t="s">
        <v>0</v>
      </c>
    </row>
    <row r="842">
      <c r="A842" s="10" t="s">
        <v>3074</v>
      </c>
      <c r="B842" s="11">
        <v>44317.74693962963</v>
      </c>
      <c r="C842" s="10" t="s">
        <v>209</v>
      </c>
      <c r="D842" s="10" t="s">
        <v>210</v>
      </c>
      <c r="E842" s="10" t="s">
        <v>261</v>
      </c>
      <c r="F842" s="10" t="s">
        <v>3075</v>
      </c>
      <c r="G842" s="10" t="s">
        <v>3076</v>
      </c>
      <c r="H842" s="24">
        <v>44328.60416666667</v>
      </c>
      <c r="I842" s="24">
        <v>44328.6875</v>
      </c>
      <c r="J842" s="10" t="s">
        <v>43</v>
      </c>
      <c r="K842" s="10" t="s">
        <v>34</v>
      </c>
      <c r="N842" s="10" t="s">
        <v>296</v>
      </c>
      <c r="O842" s="18" t="s">
        <v>3077</v>
      </c>
      <c r="P842" s="10" t="s">
        <v>35</v>
      </c>
      <c r="R842" s="10" t="s">
        <v>296</v>
      </c>
      <c r="S842" s="10">
        <v>2.0</v>
      </c>
      <c r="T842" s="10" t="s">
        <v>35</v>
      </c>
      <c r="V842" s="9"/>
      <c r="W842" s="13" t="s">
        <v>1669</v>
      </c>
      <c r="X842" s="10" t="s">
        <v>37</v>
      </c>
      <c r="Y842" s="10" t="s">
        <v>0</v>
      </c>
    </row>
    <row r="843">
      <c r="A843" s="10" t="s">
        <v>3078</v>
      </c>
      <c r="B843" s="11">
        <v>44320.608520486116</v>
      </c>
      <c r="C843" s="10" t="s">
        <v>347</v>
      </c>
      <c r="D843" s="10" t="s">
        <v>348</v>
      </c>
      <c r="E843" s="10" t="s">
        <v>349</v>
      </c>
      <c r="F843" s="10" t="s">
        <v>3009</v>
      </c>
      <c r="G843" s="10" t="s">
        <v>3010</v>
      </c>
      <c r="H843" s="24">
        <v>44328.60416666667</v>
      </c>
      <c r="I843" s="24">
        <v>44328.64583333333</v>
      </c>
      <c r="J843" s="10" t="s">
        <v>43</v>
      </c>
      <c r="K843" s="10" t="s">
        <v>34</v>
      </c>
      <c r="N843" s="10" t="s">
        <v>296</v>
      </c>
      <c r="O843" s="18" t="s">
        <v>3079</v>
      </c>
      <c r="P843" s="10" t="s">
        <v>296</v>
      </c>
      <c r="Q843" s="10">
        <v>2.0</v>
      </c>
      <c r="R843" s="10" t="s">
        <v>35</v>
      </c>
      <c r="T843" s="10" t="s">
        <v>35</v>
      </c>
      <c r="V843" s="9"/>
      <c r="W843" s="13" t="s">
        <v>1669</v>
      </c>
      <c r="X843" s="10" t="s">
        <v>37</v>
      </c>
      <c r="Y843" s="10" t="s">
        <v>0</v>
      </c>
    </row>
    <row r="844">
      <c r="A844" s="10" t="s">
        <v>3080</v>
      </c>
      <c r="B844" s="11">
        <v>44327.40079533565</v>
      </c>
      <c r="C844" s="10" t="s">
        <v>909</v>
      </c>
      <c r="D844" s="10" t="s">
        <v>662</v>
      </c>
      <c r="E844" s="10" t="s">
        <v>3081</v>
      </c>
      <c r="F844" s="10" t="s">
        <v>3082</v>
      </c>
      <c r="G844" s="10" t="s">
        <v>3083</v>
      </c>
      <c r="H844" s="16">
        <v>44316.35416666667</v>
      </c>
      <c r="I844" s="16">
        <v>44316.39583333333</v>
      </c>
      <c r="J844" s="10" t="s">
        <v>128</v>
      </c>
      <c r="K844" s="10" t="s">
        <v>34</v>
      </c>
      <c r="N844" s="10" t="s">
        <v>296</v>
      </c>
      <c r="O844" s="18" t="s">
        <v>3084</v>
      </c>
      <c r="P844" s="10" t="s">
        <v>296</v>
      </c>
      <c r="Q844" s="10">
        <v>1.0</v>
      </c>
      <c r="R844" s="10" t="s">
        <v>35</v>
      </c>
      <c r="T844" s="10" t="s">
        <v>35</v>
      </c>
      <c r="V844" s="9"/>
      <c r="W844" s="13" t="s">
        <v>1669</v>
      </c>
      <c r="X844" s="10" t="s">
        <v>237</v>
      </c>
      <c r="Y844" s="10" t="s">
        <v>0</v>
      </c>
    </row>
    <row r="845">
      <c r="A845" s="10" t="s">
        <v>3085</v>
      </c>
      <c r="B845" s="11">
        <v>44319.61827368056</v>
      </c>
      <c r="C845" s="10" t="s">
        <v>3086</v>
      </c>
      <c r="D845" s="10" t="s">
        <v>187</v>
      </c>
      <c r="E845" s="10" t="s">
        <v>3087</v>
      </c>
      <c r="F845" s="10" t="s">
        <v>3088</v>
      </c>
      <c r="G845" s="10" t="s">
        <v>3089</v>
      </c>
      <c r="H845" s="24">
        <v>44329.41666666667</v>
      </c>
      <c r="I845" s="24">
        <v>44329.5</v>
      </c>
      <c r="J845" s="10" t="s">
        <v>43</v>
      </c>
      <c r="K845" s="10" t="s">
        <v>34</v>
      </c>
      <c r="N845" s="10" t="s">
        <v>296</v>
      </c>
      <c r="O845" s="18" t="s">
        <v>3090</v>
      </c>
      <c r="P845" s="10" t="s">
        <v>296</v>
      </c>
      <c r="Q845" s="10">
        <v>1.0</v>
      </c>
      <c r="R845" s="10" t="s">
        <v>35</v>
      </c>
      <c r="T845" s="10" t="s">
        <v>35</v>
      </c>
      <c r="V845" s="9"/>
      <c r="W845" s="13" t="s">
        <v>78</v>
      </c>
      <c r="X845" s="10" t="s">
        <v>37</v>
      </c>
      <c r="Y845" s="10" t="s">
        <v>0</v>
      </c>
    </row>
    <row r="846">
      <c r="A846" s="10" t="s">
        <v>3091</v>
      </c>
      <c r="B846" s="11">
        <v>44328.450180555556</v>
      </c>
      <c r="C846" s="10" t="s">
        <v>610</v>
      </c>
      <c r="D846" s="10" t="s">
        <v>611</v>
      </c>
      <c r="E846" s="10" t="s">
        <v>612</v>
      </c>
      <c r="F846" s="10" t="s">
        <v>3092</v>
      </c>
      <c r="G846" s="10" t="s">
        <v>3093</v>
      </c>
      <c r="H846" s="17">
        <v>44331.4375</v>
      </c>
      <c r="I846" s="17">
        <v>44331.52083333333</v>
      </c>
      <c r="J846" s="10" t="s">
        <v>128</v>
      </c>
      <c r="K846" s="10" t="s">
        <v>34</v>
      </c>
      <c r="N846" s="10" t="s">
        <v>35</v>
      </c>
      <c r="V846" s="9"/>
      <c r="W846" s="13" t="s">
        <v>78</v>
      </c>
      <c r="X846" s="10" t="s">
        <v>37</v>
      </c>
      <c r="Y846" s="10" t="s">
        <v>0</v>
      </c>
    </row>
    <row r="847">
      <c r="A847" s="10" t="s">
        <v>3094</v>
      </c>
      <c r="B847" s="11">
        <v>44328.67894780093</v>
      </c>
      <c r="C847" s="10" t="s">
        <v>186</v>
      </c>
      <c r="D847" s="10" t="s">
        <v>187</v>
      </c>
      <c r="E847" s="10" t="s">
        <v>188</v>
      </c>
      <c r="F847" s="10" t="s">
        <v>3095</v>
      </c>
      <c r="G847" s="10" t="s">
        <v>3096</v>
      </c>
      <c r="H847" s="16">
        <v>44330.60416666667</v>
      </c>
      <c r="I847" s="16">
        <v>44330.6875</v>
      </c>
      <c r="J847" s="10" t="s">
        <v>128</v>
      </c>
      <c r="K847" s="10" t="s">
        <v>34</v>
      </c>
      <c r="N847" s="10" t="s">
        <v>35</v>
      </c>
      <c r="V847" s="9"/>
      <c r="W847" s="13" t="s">
        <v>78</v>
      </c>
      <c r="X847" s="10" t="s">
        <v>37</v>
      </c>
      <c r="Y847" s="10" t="s">
        <v>0</v>
      </c>
    </row>
    <row r="848">
      <c r="A848" s="10" t="s">
        <v>3097</v>
      </c>
      <c r="B848" s="11">
        <v>44328.73410180556</v>
      </c>
      <c r="C848" s="10" t="s">
        <v>80</v>
      </c>
      <c r="D848" s="10" t="s">
        <v>81</v>
      </c>
      <c r="E848" s="10" t="s">
        <v>2365</v>
      </c>
      <c r="F848" s="10" t="s">
        <v>3098</v>
      </c>
      <c r="G848" s="10" t="s">
        <v>2121</v>
      </c>
      <c r="H848" s="17">
        <v>44336.66666666667</v>
      </c>
      <c r="I848" s="17">
        <v>44336.70833333333</v>
      </c>
      <c r="J848" s="10" t="s">
        <v>73</v>
      </c>
      <c r="K848" s="10" t="s">
        <v>34</v>
      </c>
      <c r="N848" s="10" t="s">
        <v>35</v>
      </c>
      <c r="V848" s="9"/>
      <c r="W848" s="13" t="s">
        <v>78</v>
      </c>
      <c r="X848" s="10" t="s">
        <v>37</v>
      </c>
      <c r="Y848" s="10" t="s">
        <v>0</v>
      </c>
    </row>
    <row r="849">
      <c r="A849" s="10" t="s">
        <v>3099</v>
      </c>
      <c r="B849" s="11">
        <v>44324.485895289356</v>
      </c>
      <c r="C849" s="10" t="s">
        <v>247</v>
      </c>
      <c r="D849" s="10" t="s">
        <v>248</v>
      </c>
      <c r="E849" s="10" t="s">
        <v>2717</v>
      </c>
      <c r="F849" s="10" t="s">
        <v>3100</v>
      </c>
      <c r="G849" s="10" t="s">
        <v>3101</v>
      </c>
      <c r="H849" s="24">
        <v>44329.41666666667</v>
      </c>
      <c r="I849" s="24">
        <v>44329.5</v>
      </c>
      <c r="J849" s="10" t="s">
        <v>43</v>
      </c>
      <c r="K849" s="10" t="s">
        <v>34</v>
      </c>
      <c r="N849" s="10" t="s">
        <v>296</v>
      </c>
      <c r="O849" s="18" t="s">
        <v>3102</v>
      </c>
      <c r="P849" s="10" t="s">
        <v>35</v>
      </c>
      <c r="R849" s="10" t="s">
        <v>35</v>
      </c>
      <c r="T849" s="10" t="s">
        <v>296</v>
      </c>
      <c r="U849" s="10">
        <v>1.0</v>
      </c>
      <c r="V849" s="27"/>
      <c r="W849" s="13" t="s">
        <v>1669</v>
      </c>
      <c r="X849" s="10" t="s">
        <v>37</v>
      </c>
      <c r="Y849" s="10" t="s">
        <v>0</v>
      </c>
    </row>
    <row r="850">
      <c r="A850" s="10" t="s">
        <v>3103</v>
      </c>
      <c r="B850" s="11">
        <v>44315.63139427084</v>
      </c>
      <c r="C850" s="10" t="s">
        <v>28</v>
      </c>
      <c r="D850" s="10" t="s">
        <v>29</v>
      </c>
      <c r="E850" s="10" t="s">
        <v>2323</v>
      </c>
      <c r="F850" s="10" t="s">
        <v>3104</v>
      </c>
      <c r="G850" s="10" t="s">
        <v>3105</v>
      </c>
      <c r="H850" s="24">
        <v>44329.60416666667</v>
      </c>
      <c r="I850" s="24">
        <v>44329.6875</v>
      </c>
      <c r="J850" s="10" t="s">
        <v>43</v>
      </c>
      <c r="K850" s="10" t="s">
        <v>34</v>
      </c>
      <c r="N850" s="10" t="s">
        <v>35</v>
      </c>
      <c r="V850" s="9"/>
      <c r="W850" s="13" t="s">
        <v>1669</v>
      </c>
      <c r="X850" s="10" t="s">
        <v>37</v>
      </c>
      <c r="Y850" s="10" t="s">
        <v>0</v>
      </c>
    </row>
    <row r="851">
      <c r="A851" s="10" t="s">
        <v>3106</v>
      </c>
      <c r="B851" s="11">
        <v>44329.60432457176</v>
      </c>
      <c r="C851" s="10" t="s">
        <v>96</v>
      </c>
      <c r="D851" s="10" t="s">
        <v>97</v>
      </c>
      <c r="E851" s="10" t="s">
        <v>3107</v>
      </c>
      <c r="F851" s="10" t="s">
        <v>3108</v>
      </c>
      <c r="G851" s="10" t="s">
        <v>3109</v>
      </c>
      <c r="H851" s="16">
        <v>44329.72916666667</v>
      </c>
      <c r="I851" s="16">
        <v>44329.77083333333</v>
      </c>
      <c r="J851" s="10" t="s">
        <v>43</v>
      </c>
      <c r="K851" s="10" t="s">
        <v>34</v>
      </c>
      <c r="N851" s="10" t="s">
        <v>296</v>
      </c>
      <c r="O851" s="18" t="s">
        <v>3110</v>
      </c>
      <c r="P851" s="10" t="s">
        <v>296</v>
      </c>
      <c r="Q851" s="10">
        <v>1.0</v>
      </c>
      <c r="R851" s="10" t="s">
        <v>35</v>
      </c>
      <c r="T851" s="10" t="s">
        <v>35</v>
      </c>
      <c r="V851" s="9"/>
      <c r="W851" s="13" t="s">
        <v>78</v>
      </c>
      <c r="X851" s="10" t="s">
        <v>237</v>
      </c>
      <c r="Y851" s="10" t="s">
        <v>0</v>
      </c>
    </row>
    <row r="852">
      <c r="A852" s="10" t="s">
        <v>3111</v>
      </c>
      <c r="B852" s="11">
        <v>44313.279529479165</v>
      </c>
      <c r="C852" s="10" t="s">
        <v>975</v>
      </c>
      <c r="D852" s="10" t="s">
        <v>976</v>
      </c>
      <c r="E852" s="10" t="s">
        <v>3112</v>
      </c>
      <c r="F852" s="10" t="s">
        <v>3113</v>
      </c>
      <c r="G852" s="10" t="s">
        <v>3114</v>
      </c>
      <c r="H852" s="24">
        <v>44330.4375</v>
      </c>
      <c r="I852" s="24">
        <v>44330.52083333333</v>
      </c>
      <c r="J852" s="10" t="s">
        <v>43</v>
      </c>
      <c r="K852" s="10" t="s">
        <v>34</v>
      </c>
      <c r="N852" s="10" t="s">
        <v>296</v>
      </c>
      <c r="O852" s="18" t="s">
        <v>3115</v>
      </c>
      <c r="P852" s="10" t="s">
        <v>296</v>
      </c>
      <c r="Q852" s="10">
        <v>4.0</v>
      </c>
      <c r="R852" s="10" t="s">
        <v>35</v>
      </c>
      <c r="T852" s="10" t="s">
        <v>35</v>
      </c>
      <c r="V852" s="9"/>
      <c r="W852" s="13" t="s">
        <v>78</v>
      </c>
      <c r="X852" s="10" t="s">
        <v>37</v>
      </c>
      <c r="Y852" s="10" t="s">
        <v>0</v>
      </c>
    </row>
    <row r="853">
      <c r="A853" s="10" t="s">
        <v>3116</v>
      </c>
      <c r="B853" s="11">
        <v>44308.700788946764</v>
      </c>
      <c r="C853" s="10" t="s">
        <v>694</v>
      </c>
      <c r="D853" s="21" t="s">
        <v>695</v>
      </c>
      <c r="E853" s="21" t="s">
        <v>696</v>
      </c>
      <c r="F853" s="21" t="s">
        <v>3117</v>
      </c>
      <c r="G853" s="21" t="s">
        <v>3118</v>
      </c>
      <c r="H853" s="24">
        <v>44330.5625</v>
      </c>
      <c r="I853" s="24">
        <v>44331.541666666664</v>
      </c>
      <c r="J853" s="21" t="s">
        <v>236</v>
      </c>
      <c r="K853" s="10" t="s">
        <v>34</v>
      </c>
      <c r="N853" s="10" t="s">
        <v>35</v>
      </c>
      <c r="V853" s="9"/>
      <c r="W853" s="13" t="s">
        <v>78</v>
      </c>
      <c r="X853" s="10" t="s">
        <v>37</v>
      </c>
      <c r="Y853" s="10" t="s">
        <v>0</v>
      </c>
    </row>
    <row r="854">
      <c r="A854" s="10" t="s">
        <v>3119</v>
      </c>
      <c r="B854" s="11">
        <v>44320.60557381944</v>
      </c>
      <c r="C854" s="10" t="s">
        <v>347</v>
      </c>
      <c r="D854" s="10" t="s">
        <v>348</v>
      </c>
      <c r="E854" s="10" t="s">
        <v>349</v>
      </c>
      <c r="F854" s="10" t="s">
        <v>3120</v>
      </c>
      <c r="G854" s="10" t="s">
        <v>3121</v>
      </c>
      <c r="H854" s="24">
        <v>44330.60416666667</v>
      </c>
      <c r="I854" s="24">
        <v>44330.64583333333</v>
      </c>
      <c r="J854" s="10" t="s">
        <v>43</v>
      </c>
      <c r="K854" s="10" t="s">
        <v>34</v>
      </c>
      <c r="N854" s="10" t="s">
        <v>296</v>
      </c>
      <c r="O854" s="18" t="s">
        <v>3122</v>
      </c>
      <c r="P854" s="10" t="s">
        <v>296</v>
      </c>
      <c r="Q854" s="10">
        <v>1.0</v>
      </c>
      <c r="R854" s="10" t="s">
        <v>35</v>
      </c>
      <c r="T854" s="10" t="s">
        <v>35</v>
      </c>
      <c r="V854" s="9"/>
      <c r="W854" s="13" t="s">
        <v>78</v>
      </c>
      <c r="X854" s="10" t="s">
        <v>37</v>
      </c>
      <c r="Y854" s="10" t="s">
        <v>0</v>
      </c>
    </row>
    <row r="855">
      <c r="A855" s="10" t="s">
        <v>3123</v>
      </c>
      <c r="B855" s="11">
        <v>44329.825962731484</v>
      </c>
      <c r="C855" s="10" t="s">
        <v>181</v>
      </c>
      <c r="D855" s="10" t="s">
        <v>69</v>
      </c>
      <c r="E855" s="10" t="s">
        <v>1229</v>
      </c>
      <c r="F855" s="10" t="s">
        <v>3124</v>
      </c>
      <c r="G855" s="10" t="s">
        <v>3125</v>
      </c>
      <c r="H855" s="17">
        <v>44337.6875</v>
      </c>
      <c r="I855" s="17">
        <v>44337.77083333333</v>
      </c>
      <c r="J855" s="10" t="s">
        <v>33</v>
      </c>
      <c r="K855" s="10" t="s">
        <v>34</v>
      </c>
      <c r="N855" s="10" t="s">
        <v>296</v>
      </c>
      <c r="O855" s="18" t="s">
        <v>3126</v>
      </c>
      <c r="P855" s="10" t="s">
        <v>296</v>
      </c>
      <c r="Q855" s="10">
        <v>1.0</v>
      </c>
      <c r="R855" s="10" t="s">
        <v>35</v>
      </c>
      <c r="T855" s="10" t="s">
        <v>35</v>
      </c>
      <c r="V855" s="9"/>
      <c r="W855" s="13" t="s">
        <v>78</v>
      </c>
      <c r="X855" s="10" t="s">
        <v>37</v>
      </c>
      <c r="Y855" s="10" t="s">
        <v>0</v>
      </c>
    </row>
    <row r="856">
      <c r="A856" s="10" t="s">
        <v>3127</v>
      </c>
      <c r="B856" s="11">
        <v>44330.35079532408</v>
      </c>
      <c r="C856" s="10" t="s">
        <v>186</v>
      </c>
      <c r="D856" s="10" t="s">
        <v>187</v>
      </c>
      <c r="E856" s="10" t="s">
        <v>188</v>
      </c>
      <c r="F856" s="10" t="s">
        <v>3128</v>
      </c>
      <c r="G856" s="10" t="s">
        <v>3129</v>
      </c>
      <c r="H856" s="16">
        <v>44330.33333333333</v>
      </c>
      <c r="I856" s="16">
        <v>44330.41666666667</v>
      </c>
      <c r="J856" s="10" t="s">
        <v>128</v>
      </c>
      <c r="K856" s="10" t="s">
        <v>34</v>
      </c>
      <c r="N856" s="10" t="s">
        <v>296</v>
      </c>
      <c r="O856" s="18" t="s">
        <v>3130</v>
      </c>
      <c r="P856" s="10" t="s">
        <v>35</v>
      </c>
      <c r="R856" s="10" t="s">
        <v>35</v>
      </c>
      <c r="T856" s="10" t="s">
        <v>296</v>
      </c>
      <c r="U856" s="10">
        <v>1.0</v>
      </c>
      <c r="V856" s="27"/>
      <c r="W856" s="13" t="s">
        <v>1669</v>
      </c>
      <c r="X856" s="10" t="s">
        <v>37</v>
      </c>
      <c r="Y856" s="10" t="s">
        <v>0</v>
      </c>
    </row>
    <row r="857">
      <c r="A857" s="10" t="s">
        <v>3131</v>
      </c>
      <c r="B857" s="11">
        <v>44331.80995967593</v>
      </c>
      <c r="C857" s="10" t="s">
        <v>239</v>
      </c>
      <c r="D857" s="10" t="s">
        <v>240</v>
      </c>
      <c r="E857" s="10" t="s">
        <v>991</v>
      </c>
      <c r="F857" s="10" t="s">
        <v>3132</v>
      </c>
      <c r="G857" s="10" t="s">
        <v>3133</v>
      </c>
      <c r="H857" s="17">
        <v>44337.72916666667</v>
      </c>
      <c r="I857" s="17">
        <v>44337.77083333333</v>
      </c>
      <c r="J857" s="10" t="s">
        <v>128</v>
      </c>
      <c r="K857" s="10" t="s">
        <v>34</v>
      </c>
      <c r="N857" s="10" t="s">
        <v>35</v>
      </c>
      <c r="V857" s="9"/>
      <c r="W857" s="13" t="s">
        <v>78</v>
      </c>
      <c r="X857" s="10" t="s">
        <v>237</v>
      </c>
      <c r="Y857" s="10" t="s">
        <v>0</v>
      </c>
    </row>
    <row r="858">
      <c r="A858" s="10" t="s">
        <v>3134</v>
      </c>
      <c r="B858" s="11">
        <v>44322.53108320602</v>
      </c>
      <c r="C858" s="10" t="s">
        <v>80</v>
      </c>
      <c r="D858" s="10" t="s">
        <v>81</v>
      </c>
      <c r="E858" s="10" t="s">
        <v>3135</v>
      </c>
      <c r="F858" s="10" t="s">
        <v>3136</v>
      </c>
      <c r="G858" s="10" t="s">
        <v>3137</v>
      </c>
      <c r="H858" s="24">
        <v>44330.60416666667</v>
      </c>
      <c r="I858" s="24">
        <v>44330.66666666667</v>
      </c>
      <c r="J858" s="10" t="s">
        <v>43</v>
      </c>
      <c r="K858" s="10" t="s">
        <v>34</v>
      </c>
      <c r="N858" s="10" t="s">
        <v>296</v>
      </c>
      <c r="O858" s="18" t="s">
        <v>3138</v>
      </c>
      <c r="P858" s="10" t="s">
        <v>296</v>
      </c>
      <c r="Q858" s="10">
        <v>1.0</v>
      </c>
      <c r="R858" s="10" t="s">
        <v>296</v>
      </c>
      <c r="S858" s="10">
        <v>2.0</v>
      </c>
      <c r="T858" s="10" t="s">
        <v>35</v>
      </c>
      <c r="V858" s="9"/>
      <c r="W858" s="13" t="s">
        <v>78</v>
      </c>
      <c r="X858" s="10" t="s">
        <v>37</v>
      </c>
      <c r="Y858" s="10" t="s">
        <v>0</v>
      </c>
    </row>
    <row r="859">
      <c r="A859" s="10" t="s">
        <v>3139</v>
      </c>
      <c r="B859" s="11">
        <v>44325.53973880787</v>
      </c>
      <c r="C859" s="10" t="s">
        <v>975</v>
      </c>
      <c r="D859" s="10" t="s">
        <v>976</v>
      </c>
      <c r="E859" s="10" t="s">
        <v>3140</v>
      </c>
      <c r="F859" s="10" t="s">
        <v>3141</v>
      </c>
      <c r="G859" s="10" t="s">
        <v>3142</v>
      </c>
      <c r="H859" s="24">
        <v>44330.60416666667</v>
      </c>
      <c r="I859" s="24">
        <v>44330.64583333333</v>
      </c>
      <c r="J859" s="10" t="s">
        <v>43</v>
      </c>
      <c r="K859" s="10" t="s">
        <v>34</v>
      </c>
      <c r="N859" s="10" t="s">
        <v>35</v>
      </c>
      <c r="V859" s="9"/>
      <c r="W859" s="13" t="s">
        <v>78</v>
      </c>
      <c r="X859" s="10" t="s">
        <v>37</v>
      </c>
      <c r="Y859" s="10" t="s">
        <v>0</v>
      </c>
    </row>
    <row r="860">
      <c r="A860" s="10" t="s">
        <v>3143</v>
      </c>
      <c r="B860" s="11">
        <v>44335.45136028936</v>
      </c>
      <c r="C860" s="10" t="s">
        <v>320</v>
      </c>
      <c r="D860" s="10" t="s">
        <v>321</v>
      </c>
      <c r="E860" s="10" t="s">
        <v>555</v>
      </c>
      <c r="F860" s="10" t="s">
        <v>3144</v>
      </c>
      <c r="G860" s="10" t="s">
        <v>3145</v>
      </c>
      <c r="H860" s="17">
        <v>44337.60416666667</v>
      </c>
      <c r="I860" s="17">
        <v>44337.66666666667</v>
      </c>
      <c r="J860" s="10" t="s">
        <v>128</v>
      </c>
      <c r="K860" s="10" t="s">
        <v>34</v>
      </c>
      <c r="N860" s="10" t="s">
        <v>35</v>
      </c>
      <c r="V860" s="9"/>
      <c r="W860" s="13" t="s">
        <v>78</v>
      </c>
      <c r="X860" s="10" t="s">
        <v>237</v>
      </c>
      <c r="Y860" s="10" t="s">
        <v>0</v>
      </c>
    </row>
    <row r="861">
      <c r="A861" s="10" t="s">
        <v>3146</v>
      </c>
      <c r="B861" s="11">
        <v>44335.781862476855</v>
      </c>
      <c r="C861" s="10" t="s">
        <v>694</v>
      </c>
      <c r="D861" s="10" t="s">
        <v>695</v>
      </c>
      <c r="E861" s="10" t="s">
        <v>696</v>
      </c>
      <c r="F861" s="10" t="s">
        <v>697</v>
      </c>
      <c r="G861" s="10" t="s">
        <v>698</v>
      </c>
      <c r="H861" s="17">
        <v>44337.52083333333</v>
      </c>
      <c r="I861" s="17">
        <v>44337.52083333333</v>
      </c>
      <c r="J861" s="10" t="s">
        <v>128</v>
      </c>
      <c r="K861" s="10" t="s">
        <v>34</v>
      </c>
      <c r="N861" s="10" t="s">
        <v>35</v>
      </c>
      <c r="V861" s="9"/>
      <c r="W861" s="13" t="s">
        <v>78</v>
      </c>
      <c r="X861" s="10" t="s">
        <v>237</v>
      </c>
      <c r="Y861" s="10" t="s">
        <v>0</v>
      </c>
    </row>
    <row r="862">
      <c r="A862" s="10" t="s">
        <v>3147</v>
      </c>
      <c r="B862" s="11">
        <v>44336.63623001157</v>
      </c>
      <c r="C862" s="10" t="s">
        <v>491</v>
      </c>
      <c r="D862" s="10" t="s">
        <v>492</v>
      </c>
      <c r="E862" s="10" t="s">
        <v>3148</v>
      </c>
      <c r="F862" s="10" t="s">
        <v>3149</v>
      </c>
      <c r="G862" s="10" t="s">
        <v>3150</v>
      </c>
      <c r="H862" s="17">
        <v>44336.5</v>
      </c>
      <c r="I862" s="17">
        <v>44337.5</v>
      </c>
      <c r="J862" s="10" t="s">
        <v>73</v>
      </c>
      <c r="K862" s="10" t="s">
        <v>34</v>
      </c>
      <c r="N862" s="10" t="s">
        <v>35</v>
      </c>
      <c r="V862" s="9"/>
      <c r="W862" s="13" t="s">
        <v>78</v>
      </c>
      <c r="X862" s="10" t="s">
        <v>237</v>
      </c>
      <c r="Y862" s="10" t="s">
        <v>0</v>
      </c>
    </row>
    <row r="863">
      <c r="A863" s="10" t="s">
        <v>3151</v>
      </c>
      <c r="B863" s="11">
        <v>44336.72836707176</v>
      </c>
      <c r="C863" s="10" t="s">
        <v>1077</v>
      </c>
      <c r="D863" s="10" t="s">
        <v>81</v>
      </c>
      <c r="E863" s="10" t="s">
        <v>3152</v>
      </c>
      <c r="F863" s="10" t="s">
        <v>3153</v>
      </c>
      <c r="G863" s="10" t="s">
        <v>3154</v>
      </c>
      <c r="H863" s="17">
        <v>44337.54166666667</v>
      </c>
      <c r="I863" s="17">
        <v>44337.66666666667</v>
      </c>
      <c r="J863" s="10" t="s">
        <v>33</v>
      </c>
      <c r="K863" s="10" t="s">
        <v>34</v>
      </c>
      <c r="N863" s="10" t="s">
        <v>296</v>
      </c>
      <c r="O863" s="18" t="s">
        <v>3155</v>
      </c>
      <c r="P863" s="10" t="s">
        <v>296</v>
      </c>
      <c r="Q863" s="10">
        <v>1.0</v>
      </c>
      <c r="R863" s="10" t="s">
        <v>35</v>
      </c>
      <c r="T863" s="10" t="s">
        <v>35</v>
      </c>
      <c r="V863" s="9"/>
      <c r="W863" s="13" t="s">
        <v>78</v>
      </c>
      <c r="X863" s="10" t="s">
        <v>237</v>
      </c>
      <c r="Y863" s="10" t="s">
        <v>0</v>
      </c>
    </row>
    <row r="864">
      <c r="A864" s="10" t="s">
        <v>3156</v>
      </c>
      <c r="B864" s="11">
        <v>44336.776918564814</v>
      </c>
      <c r="C864" s="10" t="s">
        <v>80</v>
      </c>
      <c r="D864" s="10" t="s">
        <v>81</v>
      </c>
      <c r="E864" s="10" t="s">
        <v>2365</v>
      </c>
      <c r="F864" s="10" t="s">
        <v>3157</v>
      </c>
      <c r="G864" s="10" t="s">
        <v>3158</v>
      </c>
      <c r="H864" s="17">
        <v>44344.66666666667</v>
      </c>
      <c r="I864" s="17">
        <v>44344.70833333333</v>
      </c>
      <c r="J864" s="10" t="s">
        <v>73</v>
      </c>
      <c r="K864" s="10" t="s">
        <v>34</v>
      </c>
      <c r="N864" s="10" t="s">
        <v>35</v>
      </c>
      <c r="V864" s="9"/>
      <c r="W864" s="13" t="s">
        <v>78</v>
      </c>
      <c r="X864" s="10" t="s">
        <v>237</v>
      </c>
      <c r="Y864" s="10" t="s">
        <v>0</v>
      </c>
    </row>
    <row r="865">
      <c r="A865" s="10" t="s">
        <v>3159</v>
      </c>
      <c r="B865" s="11">
        <v>44336.91572665509</v>
      </c>
      <c r="C865" s="10" t="s">
        <v>491</v>
      </c>
      <c r="D865" s="10" t="s">
        <v>492</v>
      </c>
      <c r="E865" s="10" t="s">
        <v>1745</v>
      </c>
      <c r="F865" s="10" t="s">
        <v>3160</v>
      </c>
      <c r="G865" s="10" t="s">
        <v>3161</v>
      </c>
      <c r="H865" s="17">
        <v>44343.78125</v>
      </c>
      <c r="I865" s="17">
        <v>44343.85416666667</v>
      </c>
      <c r="J865" s="10" t="s">
        <v>128</v>
      </c>
      <c r="K865" s="10" t="s">
        <v>34</v>
      </c>
      <c r="N865" s="10" t="s">
        <v>35</v>
      </c>
      <c r="V865" s="9"/>
      <c r="W865" s="13" t="s">
        <v>78</v>
      </c>
      <c r="X865" s="10" t="s">
        <v>237</v>
      </c>
      <c r="Y865" s="10" t="s">
        <v>0</v>
      </c>
    </row>
    <row r="866">
      <c r="A866" s="10" t="s">
        <v>3162</v>
      </c>
      <c r="B866" s="11">
        <v>44336.95815074074</v>
      </c>
      <c r="C866" s="10" t="s">
        <v>96</v>
      </c>
      <c r="D866" s="10" t="s">
        <v>97</v>
      </c>
      <c r="E866" s="10" t="s">
        <v>3163</v>
      </c>
      <c r="F866" s="10" t="s">
        <v>3164</v>
      </c>
      <c r="G866" s="10" t="s">
        <v>3165</v>
      </c>
      <c r="H866" s="17">
        <v>44337.625</v>
      </c>
      <c r="I866" s="17">
        <v>44337.6875</v>
      </c>
      <c r="J866" s="10" t="s">
        <v>33</v>
      </c>
      <c r="K866" s="10" t="s">
        <v>34</v>
      </c>
      <c r="N866" s="10" t="s">
        <v>296</v>
      </c>
      <c r="O866" s="18" t="s">
        <v>3166</v>
      </c>
      <c r="P866" s="10" t="s">
        <v>296</v>
      </c>
      <c r="Q866" s="10">
        <v>1.0</v>
      </c>
      <c r="R866" s="10" t="s">
        <v>35</v>
      </c>
      <c r="T866" s="10" t="s">
        <v>35</v>
      </c>
      <c r="V866" s="9"/>
      <c r="W866" s="13" t="s">
        <v>78</v>
      </c>
      <c r="X866" s="10" t="s">
        <v>237</v>
      </c>
      <c r="Y866" s="10" t="s">
        <v>0</v>
      </c>
    </row>
    <row r="867">
      <c r="A867" s="10" t="s">
        <v>3167</v>
      </c>
      <c r="B867" s="11">
        <v>44337.37190604166</v>
      </c>
      <c r="C867" s="10" t="s">
        <v>80</v>
      </c>
      <c r="D867" s="10" t="s">
        <v>81</v>
      </c>
      <c r="E867" s="10" t="s">
        <v>3152</v>
      </c>
      <c r="F867" s="10" t="s">
        <v>3153</v>
      </c>
      <c r="G867" s="10" t="s">
        <v>3168</v>
      </c>
      <c r="H867" s="17">
        <v>44337.625</v>
      </c>
      <c r="I867" s="17">
        <v>44337.66666666667</v>
      </c>
      <c r="J867" s="10" t="s">
        <v>33</v>
      </c>
      <c r="K867" s="10" t="s">
        <v>34</v>
      </c>
      <c r="N867" s="10" t="s">
        <v>296</v>
      </c>
      <c r="O867" s="18" t="s">
        <v>3169</v>
      </c>
      <c r="P867" s="10" t="s">
        <v>296</v>
      </c>
      <c r="Q867" s="10">
        <v>1.0</v>
      </c>
      <c r="R867" s="10" t="s">
        <v>35</v>
      </c>
      <c r="T867" s="10" t="s">
        <v>35</v>
      </c>
      <c r="V867" s="9"/>
      <c r="W867" s="13" t="s">
        <v>78</v>
      </c>
      <c r="X867" s="10" t="s">
        <v>237</v>
      </c>
      <c r="Y867" s="10" t="s">
        <v>0</v>
      </c>
    </row>
    <row r="868">
      <c r="A868" s="10" t="s">
        <v>3170</v>
      </c>
      <c r="B868" s="11">
        <v>44337.382361909724</v>
      </c>
      <c r="C868" s="10" t="s">
        <v>491</v>
      </c>
      <c r="D868" s="10" t="s">
        <v>492</v>
      </c>
      <c r="E868" s="10" t="s">
        <v>1745</v>
      </c>
      <c r="F868" s="10" t="s">
        <v>3160</v>
      </c>
      <c r="G868" s="10" t="s">
        <v>3161</v>
      </c>
      <c r="H868" s="17">
        <v>44343.78125</v>
      </c>
      <c r="I868" s="17">
        <v>44343.85416666667</v>
      </c>
      <c r="J868" s="10" t="s">
        <v>128</v>
      </c>
      <c r="K868" s="10" t="s">
        <v>34</v>
      </c>
      <c r="N868" s="10" t="s">
        <v>35</v>
      </c>
      <c r="V868" s="9"/>
      <c r="W868" s="13" t="s">
        <v>78</v>
      </c>
      <c r="X868" s="10" t="s">
        <v>237</v>
      </c>
      <c r="Y868" s="10" t="s">
        <v>0</v>
      </c>
    </row>
    <row r="869">
      <c r="A869" s="10" t="s">
        <v>3171</v>
      </c>
      <c r="B869" s="11">
        <v>44337.461618877314</v>
      </c>
      <c r="C869" s="10" t="s">
        <v>186</v>
      </c>
      <c r="D869" s="10" t="s">
        <v>187</v>
      </c>
      <c r="E869" s="10" t="s">
        <v>188</v>
      </c>
      <c r="F869" s="10" t="s">
        <v>3172</v>
      </c>
      <c r="G869" s="26" t="s">
        <v>3173</v>
      </c>
      <c r="H869" s="17">
        <v>44338.375</v>
      </c>
      <c r="I869" s="17">
        <v>44338.4375</v>
      </c>
      <c r="J869" s="10" t="s">
        <v>128</v>
      </c>
      <c r="K869" s="10" t="s">
        <v>34</v>
      </c>
      <c r="N869" s="10" t="s">
        <v>35</v>
      </c>
      <c r="V869" s="9"/>
      <c r="W869" s="13" t="s">
        <v>78</v>
      </c>
      <c r="X869" s="10" t="s">
        <v>237</v>
      </c>
      <c r="Y869" s="10" t="s">
        <v>0</v>
      </c>
    </row>
    <row r="870">
      <c r="A870" s="10" t="s">
        <v>3174</v>
      </c>
      <c r="B870" s="11">
        <v>44337.9486190625</v>
      </c>
      <c r="C870" s="10" t="s">
        <v>491</v>
      </c>
      <c r="D870" s="10" t="s">
        <v>492</v>
      </c>
      <c r="E870" s="10" t="s">
        <v>3175</v>
      </c>
      <c r="F870" s="10" t="s">
        <v>3176</v>
      </c>
      <c r="G870" s="10" t="s">
        <v>3177</v>
      </c>
      <c r="H870" s="17">
        <v>44343.79166666667</v>
      </c>
      <c r="I870" s="17">
        <v>44343.85416666667</v>
      </c>
      <c r="J870" s="10" t="s">
        <v>128</v>
      </c>
      <c r="K870" s="10" t="s">
        <v>34</v>
      </c>
      <c r="N870" s="10" t="s">
        <v>35</v>
      </c>
      <c r="V870" s="9"/>
      <c r="W870" s="13" t="s">
        <v>78</v>
      </c>
      <c r="X870" s="10" t="s">
        <v>237</v>
      </c>
      <c r="Y870" s="10" t="s">
        <v>0</v>
      </c>
    </row>
    <row r="871">
      <c r="A871" s="10" t="s">
        <v>3178</v>
      </c>
      <c r="B871" s="11">
        <v>44340.73861490741</v>
      </c>
      <c r="C871" s="10" t="s">
        <v>137</v>
      </c>
      <c r="D871" s="10" t="s">
        <v>138</v>
      </c>
      <c r="E871" s="10" t="s">
        <v>3179</v>
      </c>
      <c r="F871" s="10" t="s">
        <v>2754</v>
      </c>
      <c r="G871" s="10" t="s">
        <v>3180</v>
      </c>
      <c r="H871" s="17">
        <v>44344.58333333333</v>
      </c>
      <c r="I871" s="17">
        <v>44344.66666666667</v>
      </c>
      <c r="J871" s="10" t="s">
        <v>128</v>
      </c>
      <c r="K871" s="10" t="s">
        <v>34</v>
      </c>
      <c r="N871" s="10" t="s">
        <v>35</v>
      </c>
      <c r="V871" s="9"/>
      <c r="W871" s="13" t="s">
        <v>78</v>
      </c>
      <c r="X871" s="10" t="s">
        <v>37</v>
      </c>
      <c r="Y871" s="10" t="s">
        <v>0</v>
      </c>
    </row>
    <row r="872">
      <c r="A872" s="10" t="s">
        <v>3181</v>
      </c>
      <c r="B872" s="11">
        <v>44315.72529400463</v>
      </c>
      <c r="C872" s="10" t="s">
        <v>160</v>
      </c>
      <c r="D872" s="10" t="s">
        <v>161</v>
      </c>
      <c r="E872" s="10" t="s">
        <v>947</v>
      </c>
      <c r="F872" s="10" t="s">
        <v>3182</v>
      </c>
      <c r="G872" s="10" t="s">
        <v>3183</v>
      </c>
      <c r="H872" s="24">
        <v>44330.645833333336</v>
      </c>
      <c r="I872" s="24">
        <v>44330.729166666664</v>
      </c>
      <c r="J872" s="10" t="s">
        <v>43</v>
      </c>
      <c r="K872" s="10" t="s">
        <v>34</v>
      </c>
      <c r="N872" s="10" t="s">
        <v>296</v>
      </c>
      <c r="O872" s="18" t="s">
        <v>3184</v>
      </c>
      <c r="P872" s="10" t="s">
        <v>296</v>
      </c>
      <c r="Q872" s="10">
        <v>2.0</v>
      </c>
      <c r="R872" s="10" t="s">
        <v>35</v>
      </c>
      <c r="T872" s="10" t="s">
        <v>35</v>
      </c>
      <c r="V872" s="9"/>
      <c r="W872" s="13" t="s">
        <v>78</v>
      </c>
      <c r="X872" s="10" t="s">
        <v>37</v>
      </c>
      <c r="Y872" s="10" t="s">
        <v>0</v>
      </c>
    </row>
    <row r="873">
      <c r="A873" s="10" t="s">
        <v>3185</v>
      </c>
      <c r="B873" s="11">
        <v>44329.42188232639</v>
      </c>
      <c r="C873" s="10" t="s">
        <v>381</v>
      </c>
      <c r="D873" s="10" t="s">
        <v>382</v>
      </c>
      <c r="E873" s="10" t="s">
        <v>2045</v>
      </c>
      <c r="F873" s="10" t="s">
        <v>3186</v>
      </c>
      <c r="G873" s="10" t="s">
        <v>3187</v>
      </c>
      <c r="H873" s="16">
        <v>44330.6875</v>
      </c>
      <c r="I873" s="16">
        <v>44330.72916666667</v>
      </c>
      <c r="J873" s="10" t="s">
        <v>43</v>
      </c>
      <c r="K873" s="10" t="s">
        <v>34</v>
      </c>
      <c r="N873" s="10" t="s">
        <v>35</v>
      </c>
      <c r="V873" s="9"/>
      <c r="W873" s="13" t="s">
        <v>78</v>
      </c>
      <c r="X873" s="10" t="s">
        <v>37</v>
      </c>
      <c r="Y873" s="10" t="s">
        <v>0</v>
      </c>
    </row>
    <row r="874">
      <c r="A874" s="10" t="s">
        <v>3188</v>
      </c>
      <c r="B874" s="11">
        <v>44327.56249616898</v>
      </c>
      <c r="C874" s="10" t="s">
        <v>1583</v>
      </c>
      <c r="D874" s="10" t="s">
        <v>505</v>
      </c>
      <c r="E874" s="10" t="s">
        <v>2105</v>
      </c>
      <c r="F874" s="10" t="s">
        <v>3189</v>
      </c>
      <c r="G874" s="10" t="s">
        <v>3190</v>
      </c>
      <c r="H874" s="16">
        <v>44330.75</v>
      </c>
      <c r="I874" s="16">
        <v>44330.83333333333</v>
      </c>
      <c r="J874" s="10" t="s">
        <v>43</v>
      </c>
      <c r="K874" s="10" t="s">
        <v>34</v>
      </c>
      <c r="N874" s="10" t="s">
        <v>296</v>
      </c>
      <c r="O874" s="18" t="s">
        <v>3191</v>
      </c>
      <c r="P874" s="10" t="s">
        <v>296</v>
      </c>
      <c r="Q874" s="10">
        <v>2.0</v>
      </c>
      <c r="R874" s="10" t="s">
        <v>35</v>
      </c>
      <c r="T874" s="10" t="s">
        <v>35</v>
      </c>
      <c r="V874" s="9"/>
      <c r="W874" s="13" t="s">
        <v>78</v>
      </c>
      <c r="X874" s="10" t="s">
        <v>37</v>
      </c>
      <c r="Y874" s="10" t="s">
        <v>0</v>
      </c>
    </row>
    <row r="875">
      <c r="A875" s="10" t="s">
        <v>3192</v>
      </c>
      <c r="B875" s="11">
        <v>44291.496651423615</v>
      </c>
      <c r="C875" s="10" t="s">
        <v>181</v>
      </c>
      <c r="D875" s="10" t="s">
        <v>69</v>
      </c>
      <c r="E875" s="10" t="s">
        <v>2327</v>
      </c>
      <c r="F875" s="10" t="s">
        <v>3193</v>
      </c>
      <c r="G875" s="10" t="s">
        <v>3194</v>
      </c>
      <c r="H875" s="24">
        <v>44331.375</v>
      </c>
      <c r="I875" s="24">
        <v>44331.45833333333</v>
      </c>
      <c r="J875" s="10" t="s">
        <v>43</v>
      </c>
      <c r="K875" s="10" t="s">
        <v>34</v>
      </c>
      <c r="N875" s="10" t="s">
        <v>296</v>
      </c>
      <c r="O875" s="18" t="s">
        <v>3195</v>
      </c>
      <c r="P875" s="10" t="s">
        <v>35</v>
      </c>
      <c r="R875" s="10" t="s">
        <v>35</v>
      </c>
      <c r="T875" s="10" t="s">
        <v>296</v>
      </c>
      <c r="U875" s="10">
        <v>1.0</v>
      </c>
      <c r="V875" s="27"/>
      <c r="W875" s="13" t="s">
        <v>78</v>
      </c>
      <c r="X875" s="10" t="s">
        <v>37</v>
      </c>
      <c r="Y875" s="10" t="s">
        <v>0</v>
      </c>
    </row>
    <row r="876">
      <c r="A876" s="10" t="s">
        <v>3196</v>
      </c>
      <c r="B876" s="11">
        <v>44317.75377329861</v>
      </c>
      <c r="C876" s="10" t="s">
        <v>209</v>
      </c>
      <c r="D876" s="10" t="s">
        <v>210</v>
      </c>
      <c r="E876" s="10" t="s">
        <v>261</v>
      </c>
      <c r="F876" s="10" t="s">
        <v>3197</v>
      </c>
      <c r="G876" s="10" t="s">
        <v>3198</v>
      </c>
      <c r="H876" s="24">
        <v>44331.60416666667</v>
      </c>
      <c r="I876" s="24">
        <v>44331.6875</v>
      </c>
      <c r="J876" s="10" t="s">
        <v>43</v>
      </c>
      <c r="K876" s="10" t="s">
        <v>34</v>
      </c>
      <c r="N876" s="10" t="s">
        <v>296</v>
      </c>
      <c r="O876" s="18" t="s">
        <v>3199</v>
      </c>
      <c r="P876" s="10" t="s">
        <v>35</v>
      </c>
      <c r="R876" s="10" t="s">
        <v>296</v>
      </c>
      <c r="S876" s="10">
        <v>1.0</v>
      </c>
      <c r="T876" s="10" t="s">
        <v>35</v>
      </c>
      <c r="V876" s="9"/>
      <c r="W876" s="13" t="s">
        <v>78</v>
      </c>
      <c r="X876" s="10" t="s">
        <v>37</v>
      </c>
      <c r="Y876" s="10" t="s">
        <v>0</v>
      </c>
    </row>
    <row r="877">
      <c r="A877" s="10" t="s">
        <v>3200</v>
      </c>
      <c r="B877" s="11">
        <v>44344.46052959491</v>
      </c>
      <c r="C877" s="10" t="s">
        <v>150</v>
      </c>
      <c r="D877" s="10" t="s">
        <v>151</v>
      </c>
      <c r="E877" s="10" t="s">
        <v>152</v>
      </c>
      <c r="F877" s="10" t="s">
        <v>3201</v>
      </c>
      <c r="G877" s="10" t="s">
        <v>3202</v>
      </c>
      <c r="H877" s="17">
        <v>44345.41666666667</v>
      </c>
      <c r="I877" s="17">
        <v>44345.5</v>
      </c>
      <c r="J877" s="10" t="s">
        <v>128</v>
      </c>
      <c r="K877" s="10" t="s">
        <v>34</v>
      </c>
      <c r="N877" s="10" t="s">
        <v>35</v>
      </c>
      <c r="V877" s="9"/>
      <c r="W877" s="13" t="s">
        <v>1669</v>
      </c>
      <c r="X877" s="10" t="s">
        <v>37</v>
      </c>
      <c r="Y877" s="10" t="s">
        <v>0</v>
      </c>
    </row>
    <row r="878">
      <c r="A878" s="10" t="s">
        <v>3203</v>
      </c>
      <c r="B878" s="11">
        <v>44344.72321210648</v>
      </c>
      <c r="C878" s="10" t="s">
        <v>28</v>
      </c>
      <c r="D878" s="10" t="s">
        <v>29</v>
      </c>
      <c r="E878" s="10" t="s">
        <v>63</v>
      </c>
      <c r="F878" s="10" t="s">
        <v>3204</v>
      </c>
      <c r="G878" s="10" t="s">
        <v>3205</v>
      </c>
      <c r="H878" s="17">
        <v>44351.60416666667</v>
      </c>
      <c r="I878" s="17">
        <v>44351.6875</v>
      </c>
      <c r="J878" s="10" t="s">
        <v>128</v>
      </c>
      <c r="K878" s="10" t="s">
        <v>34</v>
      </c>
      <c r="N878" s="10" t="s">
        <v>35</v>
      </c>
      <c r="V878" s="9"/>
      <c r="W878" s="13" t="s">
        <v>1669</v>
      </c>
      <c r="X878" s="10" t="s">
        <v>37</v>
      </c>
      <c r="Y878" s="10" t="s">
        <v>0</v>
      </c>
    </row>
    <row r="879">
      <c r="A879" s="10" t="s">
        <v>3206</v>
      </c>
      <c r="B879" s="11">
        <v>44344.734170185184</v>
      </c>
      <c r="C879" s="10" t="s">
        <v>80</v>
      </c>
      <c r="D879" s="10" t="s">
        <v>81</v>
      </c>
      <c r="E879" s="10" t="s">
        <v>3207</v>
      </c>
      <c r="F879" s="10" t="s">
        <v>3208</v>
      </c>
      <c r="G879" s="10" t="s">
        <v>3209</v>
      </c>
      <c r="H879" s="17">
        <v>44345.6875</v>
      </c>
      <c r="I879" s="17">
        <v>44345.72916666667</v>
      </c>
      <c r="J879" s="10" t="s">
        <v>128</v>
      </c>
      <c r="K879" s="10" t="s">
        <v>34</v>
      </c>
      <c r="N879" s="10" t="s">
        <v>35</v>
      </c>
      <c r="V879" s="9"/>
      <c r="W879" s="13" t="s">
        <v>1669</v>
      </c>
      <c r="X879" s="10" t="s">
        <v>37</v>
      </c>
      <c r="Y879" s="10" t="s">
        <v>0</v>
      </c>
    </row>
    <row r="880">
      <c r="A880" s="10" t="s">
        <v>3210</v>
      </c>
      <c r="B880" s="11">
        <v>44348.47785146991</v>
      </c>
      <c r="C880" s="10" t="s">
        <v>209</v>
      </c>
      <c r="D880" s="10" t="s">
        <v>210</v>
      </c>
      <c r="E880" s="10" t="s">
        <v>3211</v>
      </c>
      <c r="F880" s="10" t="s">
        <v>3212</v>
      </c>
      <c r="G880" s="10" t="s">
        <v>3213</v>
      </c>
      <c r="H880" s="17">
        <v>44349.4375</v>
      </c>
      <c r="I880" s="17">
        <v>44377.4375</v>
      </c>
      <c r="J880" s="10" t="s">
        <v>51</v>
      </c>
      <c r="K880" s="10" t="s">
        <v>34</v>
      </c>
      <c r="N880" s="10" t="s">
        <v>35</v>
      </c>
      <c r="V880" s="9"/>
      <c r="W880" s="13" t="s">
        <v>1669</v>
      </c>
      <c r="X880" s="10" t="s">
        <v>37</v>
      </c>
      <c r="Y880" s="10" t="s">
        <v>0</v>
      </c>
    </row>
    <row r="881">
      <c r="A881" s="10" t="s">
        <v>3214</v>
      </c>
      <c r="B881" s="11">
        <v>44349.937883032406</v>
      </c>
      <c r="C881" s="10" t="s">
        <v>491</v>
      </c>
      <c r="D881" s="10" t="s">
        <v>492</v>
      </c>
      <c r="E881" s="10" t="s">
        <v>853</v>
      </c>
      <c r="F881" s="10" t="s">
        <v>3215</v>
      </c>
      <c r="G881" s="10" t="s">
        <v>3216</v>
      </c>
      <c r="H881" s="17">
        <v>44342.5</v>
      </c>
      <c r="I881" s="17">
        <v>44342.5</v>
      </c>
      <c r="J881" s="10" t="s">
        <v>73</v>
      </c>
      <c r="K881" s="10" t="s">
        <v>34</v>
      </c>
      <c r="N881" s="10" t="s">
        <v>35</v>
      </c>
      <c r="V881" s="9"/>
      <c r="W881" s="13" t="s">
        <v>1669</v>
      </c>
      <c r="X881" s="10" t="s">
        <v>37</v>
      </c>
      <c r="Y881" s="10" t="s">
        <v>0</v>
      </c>
    </row>
    <row r="882">
      <c r="A882" s="10" t="s">
        <v>3217</v>
      </c>
      <c r="B882" s="11">
        <v>44349.938833368054</v>
      </c>
      <c r="C882" s="10" t="s">
        <v>491</v>
      </c>
      <c r="D882" s="10" t="s">
        <v>492</v>
      </c>
      <c r="E882" s="10" t="s">
        <v>853</v>
      </c>
      <c r="F882" s="10" t="s">
        <v>2897</v>
      </c>
      <c r="G882" s="10" t="s">
        <v>3218</v>
      </c>
      <c r="H882" s="17">
        <v>44344.5</v>
      </c>
      <c r="I882" s="17">
        <v>44344.5</v>
      </c>
      <c r="J882" s="10" t="s">
        <v>73</v>
      </c>
      <c r="K882" s="10" t="s">
        <v>34</v>
      </c>
      <c r="N882" s="10" t="s">
        <v>35</v>
      </c>
      <c r="V882" s="9"/>
      <c r="W882" s="13" t="s">
        <v>1669</v>
      </c>
      <c r="X882" s="10" t="s">
        <v>37</v>
      </c>
      <c r="Y882" s="10" t="s">
        <v>0</v>
      </c>
    </row>
    <row r="883">
      <c r="A883" s="10" t="s">
        <v>3219</v>
      </c>
      <c r="B883" s="11">
        <v>44349.93954587963</v>
      </c>
      <c r="C883" s="10" t="s">
        <v>491</v>
      </c>
      <c r="D883" s="10" t="s">
        <v>492</v>
      </c>
      <c r="E883" s="10" t="s">
        <v>853</v>
      </c>
      <c r="F883" s="10" t="s">
        <v>3220</v>
      </c>
      <c r="G883" s="10" t="s">
        <v>3221</v>
      </c>
      <c r="H883" s="17">
        <v>44346.5</v>
      </c>
      <c r="I883" s="17">
        <v>44346.5</v>
      </c>
      <c r="J883" s="10" t="s">
        <v>73</v>
      </c>
      <c r="K883" s="10" t="s">
        <v>34</v>
      </c>
      <c r="N883" s="10" t="s">
        <v>35</v>
      </c>
      <c r="V883" s="9"/>
      <c r="W883" s="13" t="s">
        <v>1669</v>
      </c>
      <c r="X883" s="10" t="s">
        <v>37</v>
      </c>
      <c r="Y883" s="10" t="s">
        <v>0</v>
      </c>
    </row>
    <row r="884">
      <c r="A884" s="10" t="s">
        <v>3222</v>
      </c>
      <c r="B884" s="11">
        <v>44349.940487430555</v>
      </c>
      <c r="C884" s="10" t="s">
        <v>491</v>
      </c>
      <c r="D884" s="10" t="s">
        <v>492</v>
      </c>
      <c r="E884" s="10" t="s">
        <v>853</v>
      </c>
      <c r="F884" s="10" t="s">
        <v>3223</v>
      </c>
      <c r="G884" s="10" t="s">
        <v>3224</v>
      </c>
      <c r="H884" s="17">
        <v>44349.79166666667</v>
      </c>
      <c r="I884" s="17">
        <v>44349.79166666667</v>
      </c>
      <c r="J884" s="10" t="s">
        <v>73</v>
      </c>
      <c r="K884" s="10" t="s">
        <v>34</v>
      </c>
      <c r="N884" s="10" t="s">
        <v>35</v>
      </c>
      <c r="V884" s="9"/>
      <c r="W884" s="13" t="s">
        <v>1669</v>
      </c>
      <c r="X884" s="10" t="s">
        <v>37</v>
      </c>
      <c r="Y884" s="10" t="s">
        <v>0</v>
      </c>
    </row>
    <row r="885">
      <c r="A885" s="10" t="s">
        <v>3225</v>
      </c>
      <c r="B885" s="11">
        <v>44313.611519513885</v>
      </c>
      <c r="C885" s="10" t="s">
        <v>239</v>
      </c>
      <c r="D885" s="10" t="s">
        <v>240</v>
      </c>
      <c r="E885" s="10" t="s">
        <v>2041</v>
      </c>
      <c r="F885" s="10" t="s">
        <v>3226</v>
      </c>
      <c r="G885" s="10" t="s">
        <v>3227</v>
      </c>
      <c r="H885" s="24">
        <v>44331.66666666667</v>
      </c>
      <c r="I885" s="24">
        <v>44331.70833333333</v>
      </c>
      <c r="J885" s="10" t="s">
        <v>43</v>
      </c>
      <c r="K885" s="10" t="s">
        <v>34</v>
      </c>
      <c r="N885" s="10" t="s">
        <v>35</v>
      </c>
      <c r="V885" s="9"/>
      <c r="W885" s="13" t="s">
        <v>78</v>
      </c>
      <c r="X885" s="10" t="s">
        <v>37</v>
      </c>
      <c r="Y885" s="10" t="s">
        <v>0</v>
      </c>
    </row>
    <row r="886">
      <c r="A886" s="10" t="s">
        <v>3228</v>
      </c>
      <c r="B886" s="11">
        <v>44315.63273814815</v>
      </c>
      <c r="C886" s="10" t="s">
        <v>28</v>
      </c>
      <c r="D886" s="10" t="s">
        <v>29</v>
      </c>
      <c r="E886" s="10" t="s">
        <v>2323</v>
      </c>
      <c r="F886" s="10" t="s">
        <v>3229</v>
      </c>
      <c r="G886" s="10" t="s">
        <v>3105</v>
      </c>
      <c r="H886" s="24">
        <v>44334.60416666667</v>
      </c>
      <c r="I886" s="24">
        <v>44334.6875</v>
      </c>
      <c r="J886" s="10" t="s">
        <v>43</v>
      </c>
      <c r="K886" s="10" t="s">
        <v>34</v>
      </c>
      <c r="N886" s="10" t="s">
        <v>35</v>
      </c>
      <c r="V886" s="9"/>
      <c r="W886" s="13" t="s">
        <v>78</v>
      </c>
      <c r="X886" s="10" t="s">
        <v>37</v>
      </c>
      <c r="Y886" s="10" t="s">
        <v>0</v>
      </c>
    </row>
    <row r="887">
      <c r="A887" s="10" t="s">
        <v>3230</v>
      </c>
      <c r="B887" s="11">
        <v>44355.73654398148</v>
      </c>
      <c r="C887" s="10" t="s">
        <v>610</v>
      </c>
      <c r="D887" s="10" t="s">
        <v>611</v>
      </c>
      <c r="E887" s="10" t="s">
        <v>2562</v>
      </c>
      <c r="F887" s="10" t="s">
        <v>3231</v>
      </c>
      <c r="G887" s="10" t="s">
        <v>3232</v>
      </c>
      <c r="H887" s="16">
        <v>44358.0</v>
      </c>
      <c r="I887" s="16">
        <v>44372.99930555555</v>
      </c>
      <c r="J887" s="10" t="s">
        <v>128</v>
      </c>
      <c r="K887" s="10" t="s">
        <v>34</v>
      </c>
      <c r="N887" s="10" t="s">
        <v>35</v>
      </c>
      <c r="V887" s="9"/>
      <c r="W887" s="13" t="s">
        <v>78</v>
      </c>
      <c r="X887" s="10" t="s">
        <v>37</v>
      </c>
      <c r="Y887" s="10" t="s">
        <v>0</v>
      </c>
    </row>
    <row r="888">
      <c r="A888" s="10" t="s">
        <v>3233</v>
      </c>
      <c r="B888" s="11">
        <v>44329.578907083334</v>
      </c>
      <c r="C888" s="10" t="s">
        <v>181</v>
      </c>
      <c r="D888" s="10" t="s">
        <v>69</v>
      </c>
      <c r="E888" s="10" t="s">
        <v>1229</v>
      </c>
      <c r="F888" s="10" t="s">
        <v>3234</v>
      </c>
      <c r="G888" s="10" t="s">
        <v>3235</v>
      </c>
      <c r="H888" s="24">
        <v>44336.60416666667</v>
      </c>
      <c r="I888" s="24">
        <v>44336.6875</v>
      </c>
      <c r="J888" s="10" t="s">
        <v>43</v>
      </c>
      <c r="K888" s="10" t="s">
        <v>34</v>
      </c>
      <c r="N888" s="10" t="s">
        <v>296</v>
      </c>
      <c r="O888" s="18" t="s">
        <v>3236</v>
      </c>
      <c r="P888" s="10" t="s">
        <v>35</v>
      </c>
      <c r="R888" s="10" t="s">
        <v>296</v>
      </c>
      <c r="S888" s="10">
        <v>1.0</v>
      </c>
      <c r="T888" s="10" t="s">
        <v>35</v>
      </c>
      <c r="V888" s="9"/>
      <c r="W888" s="13" t="s">
        <v>1669</v>
      </c>
      <c r="X888" s="10" t="s">
        <v>237</v>
      </c>
      <c r="Y888" s="10" t="s">
        <v>0</v>
      </c>
    </row>
    <row r="889">
      <c r="A889" s="10" t="s">
        <v>3237</v>
      </c>
      <c r="B889" s="11">
        <v>44362.67225163194</v>
      </c>
      <c r="C889" s="10" t="s">
        <v>239</v>
      </c>
      <c r="D889" s="10" t="s">
        <v>240</v>
      </c>
      <c r="E889" s="10" t="s">
        <v>3238</v>
      </c>
      <c r="F889" s="10" t="s">
        <v>3239</v>
      </c>
      <c r="G889" s="10" t="s">
        <v>3240</v>
      </c>
      <c r="H889" s="32" t="s">
        <v>3241</v>
      </c>
      <c r="I889" s="32">
        <v>44365.72916666667</v>
      </c>
      <c r="J889" s="10" t="s">
        <v>128</v>
      </c>
      <c r="K889" s="10" t="s">
        <v>61</v>
      </c>
      <c r="N889" s="10" t="s">
        <v>35</v>
      </c>
      <c r="V889" s="9"/>
      <c r="W889" s="13" t="s">
        <v>3242</v>
      </c>
      <c r="X889" s="10" t="s">
        <v>2360</v>
      </c>
      <c r="Y889" s="10" t="s">
        <v>0</v>
      </c>
    </row>
    <row r="890">
      <c r="A890" s="10" t="s">
        <v>3243</v>
      </c>
      <c r="B890" s="11">
        <v>44334.77549814815</v>
      </c>
      <c r="C890" s="10" t="s">
        <v>2658</v>
      </c>
      <c r="D890" s="10" t="s">
        <v>97</v>
      </c>
      <c r="E890" s="10" t="s">
        <v>98</v>
      </c>
      <c r="F890" s="10" t="s">
        <v>3244</v>
      </c>
      <c r="G890" s="10" t="s">
        <v>3245</v>
      </c>
      <c r="H890" s="16">
        <v>44336.60416666667</v>
      </c>
      <c r="I890" s="16">
        <v>44336.66666666667</v>
      </c>
      <c r="J890" s="10" t="s">
        <v>43</v>
      </c>
      <c r="K890" s="10" t="s">
        <v>34</v>
      </c>
      <c r="N890" s="10" t="s">
        <v>296</v>
      </c>
      <c r="O890" s="18" t="s">
        <v>3246</v>
      </c>
      <c r="P890" s="10" t="s">
        <v>35</v>
      </c>
      <c r="R890" s="10" t="s">
        <v>296</v>
      </c>
      <c r="S890" s="10">
        <v>1.0</v>
      </c>
      <c r="T890" s="10" t="s">
        <v>35</v>
      </c>
      <c r="V890" s="9"/>
      <c r="W890" s="13" t="s">
        <v>1669</v>
      </c>
      <c r="X890" s="10" t="s">
        <v>237</v>
      </c>
      <c r="Y890" s="10" t="s">
        <v>0</v>
      </c>
    </row>
    <row r="891">
      <c r="A891" s="10" t="s">
        <v>3247</v>
      </c>
      <c r="B891" s="11">
        <v>44315.634679490744</v>
      </c>
      <c r="C891" s="10" t="s">
        <v>28</v>
      </c>
      <c r="D891" s="10" t="s">
        <v>29</v>
      </c>
      <c r="E891" s="10" t="s">
        <v>63</v>
      </c>
      <c r="F891" s="10" t="s">
        <v>3248</v>
      </c>
      <c r="G891" s="10" t="s">
        <v>3249</v>
      </c>
      <c r="H891" s="24">
        <v>44337.4375</v>
      </c>
      <c r="I891" s="24">
        <v>44337.52083333333</v>
      </c>
      <c r="J891" s="10" t="s">
        <v>43</v>
      </c>
      <c r="K891" s="10" t="s">
        <v>34</v>
      </c>
      <c r="N891" s="10" t="s">
        <v>35</v>
      </c>
      <c r="V891" s="9"/>
      <c r="W891" s="13" t="s">
        <v>1669</v>
      </c>
      <c r="X891" s="10" t="s">
        <v>37</v>
      </c>
      <c r="Y891" s="10" t="s">
        <v>0</v>
      </c>
    </row>
    <row r="892">
      <c r="A892" s="10" t="s">
        <v>3250</v>
      </c>
      <c r="B892" s="11">
        <v>44329.424761608796</v>
      </c>
      <c r="C892" s="10" t="s">
        <v>381</v>
      </c>
      <c r="D892" s="10" t="s">
        <v>382</v>
      </c>
      <c r="E892" s="10" t="s">
        <v>2045</v>
      </c>
      <c r="F892" s="10" t="s">
        <v>3251</v>
      </c>
      <c r="G892" s="10" t="s">
        <v>3252</v>
      </c>
      <c r="H892" s="24">
        <v>44337.6875</v>
      </c>
      <c r="I892" s="24">
        <v>44337.72916666667</v>
      </c>
      <c r="J892" s="10" t="s">
        <v>43</v>
      </c>
      <c r="K892" s="10" t="s">
        <v>34</v>
      </c>
      <c r="N892" s="10" t="s">
        <v>35</v>
      </c>
      <c r="V892" s="9"/>
      <c r="W892" s="13" t="s">
        <v>1669</v>
      </c>
      <c r="X892" s="10" t="s">
        <v>37</v>
      </c>
      <c r="Y892" s="10" t="s">
        <v>0</v>
      </c>
    </row>
    <row r="893">
      <c r="A893" s="10" t="s">
        <v>3253</v>
      </c>
      <c r="B893" s="11">
        <v>44333.88443900463</v>
      </c>
      <c r="C893" s="10" t="s">
        <v>1583</v>
      </c>
      <c r="D893" s="10" t="s">
        <v>505</v>
      </c>
      <c r="E893" s="10" t="s">
        <v>2105</v>
      </c>
      <c r="F893" s="10" t="s">
        <v>3254</v>
      </c>
      <c r="G893" s="10" t="s">
        <v>3255</v>
      </c>
      <c r="H893" s="16">
        <v>44337.79166666667</v>
      </c>
      <c r="I893" s="16">
        <v>44337.875</v>
      </c>
      <c r="J893" s="10" t="s">
        <v>43</v>
      </c>
      <c r="K893" s="10" t="s">
        <v>34</v>
      </c>
      <c r="N893" s="10" t="s">
        <v>296</v>
      </c>
      <c r="O893" s="18" t="s">
        <v>3256</v>
      </c>
      <c r="P893" s="10" t="s">
        <v>296</v>
      </c>
      <c r="Q893" s="10">
        <v>1.0</v>
      </c>
      <c r="R893" s="10" t="s">
        <v>35</v>
      </c>
      <c r="T893" s="10" t="s">
        <v>35</v>
      </c>
      <c r="V893" s="9"/>
      <c r="W893" s="13" t="s">
        <v>1669</v>
      </c>
      <c r="X893" s="10" t="s">
        <v>237</v>
      </c>
      <c r="Y893" s="10" t="s">
        <v>0</v>
      </c>
    </row>
    <row r="894">
      <c r="A894" s="10" t="s">
        <v>3257</v>
      </c>
      <c r="B894" s="11">
        <v>44341.061653136574</v>
      </c>
      <c r="C894" s="10" t="s">
        <v>1583</v>
      </c>
      <c r="D894" s="10" t="s">
        <v>505</v>
      </c>
      <c r="E894" s="10" t="s">
        <v>3258</v>
      </c>
      <c r="F894" s="10" t="s">
        <v>3259</v>
      </c>
      <c r="G894" s="10" t="s">
        <v>3260</v>
      </c>
      <c r="H894" s="16">
        <v>44344.79166666667</v>
      </c>
      <c r="I894" s="16">
        <v>44344.875</v>
      </c>
      <c r="J894" s="10" t="s">
        <v>43</v>
      </c>
      <c r="K894" s="10" t="s">
        <v>34</v>
      </c>
      <c r="N894" s="10" t="s">
        <v>296</v>
      </c>
      <c r="O894" s="18" t="s">
        <v>3261</v>
      </c>
      <c r="P894" s="10" t="s">
        <v>296</v>
      </c>
      <c r="Q894" s="10">
        <v>1.0</v>
      </c>
      <c r="R894" s="10" t="s">
        <v>35</v>
      </c>
      <c r="T894" s="10" t="s">
        <v>35</v>
      </c>
      <c r="V894" s="9"/>
      <c r="W894" s="13" t="s">
        <v>1669</v>
      </c>
      <c r="X894" s="10" t="s">
        <v>37</v>
      </c>
      <c r="Y894" s="10" t="s">
        <v>0</v>
      </c>
    </row>
    <row r="895">
      <c r="A895" s="10" t="s">
        <v>3262</v>
      </c>
      <c r="B895" s="11">
        <v>44291.49760503472</v>
      </c>
      <c r="C895" s="10" t="s">
        <v>181</v>
      </c>
      <c r="D895" s="10" t="s">
        <v>69</v>
      </c>
      <c r="E895" s="10" t="s">
        <v>2327</v>
      </c>
      <c r="F895" s="10" t="s">
        <v>2307</v>
      </c>
      <c r="G895" s="10" t="s">
        <v>3263</v>
      </c>
      <c r="H895" s="24">
        <v>44345.375</v>
      </c>
      <c r="I895" s="24">
        <v>44345.45833333333</v>
      </c>
      <c r="J895" s="10" t="s">
        <v>43</v>
      </c>
      <c r="K895" s="10" t="s">
        <v>34</v>
      </c>
      <c r="N895" s="10" t="s">
        <v>296</v>
      </c>
      <c r="O895" s="18" t="s">
        <v>3264</v>
      </c>
      <c r="P895" s="10" t="s">
        <v>35</v>
      </c>
      <c r="R895" s="10" t="s">
        <v>35</v>
      </c>
      <c r="T895" s="10" t="s">
        <v>296</v>
      </c>
      <c r="U895" s="10">
        <v>1.0</v>
      </c>
      <c r="V895" s="27"/>
      <c r="W895" s="13" t="s">
        <v>78</v>
      </c>
      <c r="X895" s="10" t="s">
        <v>37</v>
      </c>
      <c r="Y895" s="10" t="s">
        <v>0</v>
      </c>
    </row>
    <row r="896">
      <c r="A896" s="10" t="s">
        <v>3265</v>
      </c>
      <c r="B896" s="11">
        <v>44363.78127416667</v>
      </c>
      <c r="C896" s="10" t="s">
        <v>102</v>
      </c>
      <c r="D896" s="10" t="s">
        <v>103</v>
      </c>
      <c r="E896" s="10" t="s">
        <v>3266</v>
      </c>
      <c r="F896" s="10" t="s">
        <v>3267</v>
      </c>
      <c r="G896" s="10" t="s">
        <v>3268</v>
      </c>
      <c r="H896" s="16">
        <v>44345.41666666667</v>
      </c>
      <c r="I896" s="16">
        <v>44345.5</v>
      </c>
      <c r="J896" s="10" t="s">
        <v>43</v>
      </c>
      <c r="K896" s="10" t="s">
        <v>34</v>
      </c>
      <c r="N896" s="10" t="s">
        <v>296</v>
      </c>
      <c r="O896" s="18" t="s">
        <v>3269</v>
      </c>
      <c r="P896" s="10" t="s">
        <v>296</v>
      </c>
      <c r="Q896" s="10">
        <v>2.0</v>
      </c>
      <c r="R896" s="10" t="s">
        <v>296</v>
      </c>
      <c r="S896" s="10">
        <v>1.0</v>
      </c>
      <c r="T896" s="10" t="s">
        <v>35</v>
      </c>
      <c r="V896" s="9"/>
      <c r="W896" s="13" t="s">
        <v>1669</v>
      </c>
      <c r="X896" s="10" t="s">
        <v>37</v>
      </c>
      <c r="Y896" s="10" t="s">
        <v>0</v>
      </c>
    </row>
    <row r="897">
      <c r="A897" s="10" t="s">
        <v>3270</v>
      </c>
      <c r="B897" s="11">
        <v>44363.76337010416</v>
      </c>
      <c r="C897" s="10" t="s">
        <v>102</v>
      </c>
      <c r="D897" s="10" t="s">
        <v>103</v>
      </c>
      <c r="E897" s="10" t="s">
        <v>2870</v>
      </c>
      <c r="F897" s="10" t="s">
        <v>3271</v>
      </c>
      <c r="G897" s="10" t="s">
        <v>3272</v>
      </c>
      <c r="H897" s="16">
        <v>44354.77083333333</v>
      </c>
      <c r="I897" s="16">
        <v>44354.8125</v>
      </c>
      <c r="J897" s="10" t="s">
        <v>51</v>
      </c>
      <c r="K897" s="10" t="s">
        <v>34</v>
      </c>
      <c r="N897" s="10" t="s">
        <v>296</v>
      </c>
      <c r="O897" s="18" t="s">
        <v>3273</v>
      </c>
      <c r="P897" s="10" t="s">
        <v>35</v>
      </c>
      <c r="R897" s="10" t="s">
        <v>296</v>
      </c>
      <c r="S897" s="10">
        <v>1.0</v>
      </c>
      <c r="T897" s="10" t="s">
        <v>35</v>
      </c>
      <c r="V897" s="9"/>
      <c r="W897" s="13" t="s">
        <v>1669</v>
      </c>
      <c r="X897" s="10" t="s">
        <v>37</v>
      </c>
      <c r="Y897" s="10" t="s">
        <v>0</v>
      </c>
    </row>
    <row r="898">
      <c r="A898" s="10" t="s">
        <v>3274</v>
      </c>
      <c r="B898" s="11">
        <v>44342.831553020835</v>
      </c>
      <c r="C898" s="10" t="s">
        <v>46</v>
      </c>
      <c r="D898" s="10" t="s">
        <v>47</v>
      </c>
      <c r="E898" s="10" t="s">
        <v>233</v>
      </c>
      <c r="F898" s="10" t="s">
        <v>3275</v>
      </c>
      <c r="G898" s="10" t="s">
        <v>3276</v>
      </c>
      <c r="H898" s="16">
        <v>44345.625</v>
      </c>
      <c r="I898" s="16">
        <v>44345.66666666667</v>
      </c>
      <c r="J898" s="10" t="s">
        <v>43</v>
      </c>
      <c r="K898" s="10" t="s">
        <v>34</v>
      </c>
      <c r="N898" s="10" t="s">
        <v>35</v>
      </c>
      <c r="V898" s="9"/>
      <c r="W898" s="13" t="s">
        <v>1669</v>
      </c>
      <c r="X898" s="10" t="s">
        <v>37</v>
      </c>
      <c r="Y898" s="10" t="s">
        <v>0</v>
      </c>
    </row>
    <row r="899">
      <c r="A899" s="10" t="s">
        <v>3277</v>
      </c>
      <c r="B899" s="11">
        <v>44342.5743296875</v>
      </c>
      <c r="C899" s="10" t="s">
        <v>3278</v>
      </c>
      <c r="D899" s="10" t="s">
        <v>2351</v>
      </c>
      <c r="E899" s="10" t="s">
        <v>3279</v>
      </c>
      <c r="F899" s="10" t="s">
        <v>3280</v>
      </c>
      <c r="G899" s="10" t="s">
        <v>3281</v>
      </c>
      <c r="H899" s="24">
        <v>44349.1875</v>
      </c>
      <c r="I899" s="24">
        <v>44349.22916666667</v>
      </c>
      <c r="J899" s="10" t="s">
        <v>43</v>
      </c>
      <c r="K899" s="10" t="s">
        <v>34</v>
      </c>
      <c r="N899" s="10" t="s">
        <v>296</v>
      </c>
      <c r="O899" s="18" t="s">
        <v>3282</v>
      </c>
      <c r="P899" s="10" t="s">
        <v>296</v>
      </c>
      <c r="Q899" s="10">
        <v>20.0</v>
      </c>
      <c r="R899" s="10" t="s">
        <v>296</v>
      </c>
      <c r="S899" s="10">
        <v>20.0</v>
      </c>
      <c r="T899" s="10" t="s">
        <v>35</v>
      </c>
      <c r="V899" s="9"/>
      <c r="W899" s="13" t="s">
        <v>1669</v>
      </c>
      <c r="X899" s="10" t="s">
        <v>37</v>
      </c>
      <c r="Y899" s="10" t="s">
        <v>0</v>
      </c>
    </row>
    <row r="900">
      <c r="A900" s="10" t="s">
        <v>3283</v>
      </c>
      <c r="B900" s="11">
        <v>44363.768792511575</v>
      </c>
      <c r="C900" s="10" t="s">
        <v>102</v>
      </c>
      <c r="D900" s="10" t="s">
        <v>103</v>
      </c>
      <c r="E900" s="10" t="s">
        <v>3284</v>
      </c>
      <c r="F900" s="10" t="s">
        <v>3285</v>
      </c>
      <c r="G900" s="10" t="s">
        <v>3286</v>
      </c>
      <c r="H900" s="16">
        <v>44350.41666666667</v>
      </c>
      <c r="I900" s="16">
        <v>44350.5</v>
      </c>
      <c r="J900" s="10" t="s">
        <v>43</v>
      </c>
      <c r="K900" s="10" t="s">
        <v>34</v>
      </c>
      <c r="N900" s="10" t="s">
        <v>296</v>
      </c>
      <c r="O900" s="18" t="s">
        <v>3287</v>
      </c>
      <c r="P900" s="10" t="s">
        <v>296</v>
      </c>
      <c r="Q900" s="10">
        <v>2.0</v>
      </c>
      <c r="R900" s="10" t="s">
        <v>35</v>
      </c>
      <c r="T900" s="10" t="s">
        <v>35</v>
      </c>
      <c r="V900" s="9"/>
      <c r="W900" s="13" t="s">
        <v>1669</v>
      </c>
      <c r="X900" s="10" t="s">
        <v>37</v>
      </c>
      <c r="Y900" s="10" t="s">
        <v>0</v>
      </c>
    </row>
    <row r="901">
      <c r="A901" s="10" t="s">
        <v>3288</v>
      </c>
      <c r="B901" s="11">
        <v>44342.59971862269</v>
      </c>
      <c r="C901" s="21" t="s">
        <v>181</v>
      </c>
      <c r="D901" s="21" t="s">
        <v>69</v>
      </c>
      <c r="E901" s="21" t="s">
        <v>842</v>
      </c>
      <c r="F901" s="21" t="s">
        <v>3289</v>
      </c>
      <c r="G901" s="21" t="s">
        <v>3290</v>
      </c>
      <c r="H901" s="24">
        <v>44355.60416666667</v>
      </c>
      <c r="I901" s="24">
        <v>44357.77083333333</v>
      </c>
      <c r="J901" s="10" t="s">
        <v>236</v>
      </c>
      <c r="K901" s="10" t="s">
        <v>34</v>
      </c>
      <c r="N901" s="10" t="s">
        <v>296</v>
      </c>
      <c r="O901" s="18" t="s">
        <v>3291</v>
      </c>
      <c r="P901" s="10" t="s">
        <v>296</v>
      </c>
      <c r="Q901" s="10">
        <v>4.0</v>
      </c>
      <c r="R901" s="10" t="s">
        <v>296</v>
      </c>
      <c r="S901" s="10">
        <v>9.0</v>
      </c>
      <c r="T901" s="10" t="s">
        <v>296</v>
      </c>
      <c r="U901" s="10">
        <v>2.0</v>
      </c>
      <c r="V901" s="27"/>
      <c r="W901" s="13" t="s">
        <v>1669</v>
      </c>
      <c r="X901" s="10" t="s">
        <v>37</v>
      </c>
      <c r="Y901" s="10" t="s">
        <v>0</v>
      </c>
    </row>
    <row r="902">
      <c r="A902" s="10" t="s">
        <v>3292</v>
      </c>
      <c r="B902" s="11">
        <v>44363.756175682865</v>
      </c>
      <c r="C902" s="10" t="s">
        <v>102</v>
      </c>
      <c r="D902" s="10" t="s">
        <v>103</v>
      </c>
      <c r="E902" s="10" t="s">
        <v>3293</v>
      </c>
      <c r="F902" s="10" t="s">
        <v>3294</v>
      </c>
      <c r="G902" s="10" t="s">
        <v>3295</v>
      </c>
      <c r="H902" s="16">
        <v>44356.66666666667</v>
      </c>
      <c r="I902" s="16">
        <v>44356.75</v>
      </c>
      <c r="J902" s="10" t="s">
        <v>43</v>
      </c>
      <c r="K902" s="10" t="s">
        <v>34</v>
      </c>
      <c r="N902" s="10" t="s">
        <v>296</v>
      </c>
      <c r="O902" s="18" t="s">
        <v>3296</v>
      </c>
      <c r="P902" s="10" t="s">
        <v>296</v>
      </c>
      <c r="Q902" s="10">
        <v>4.0</v>
      </c>
      <c r="R902" s="10" t="s">
        <v>35</v>
      </c>
      <c r="T902" s="10" t="s">
        <v>35</v>
      </c>
      <c r="V902" s="9"/>
      <c r="W902" s="13" t="s">
        <v>1669</v>
      </c>
      <c r="X902" s="10" t="s">
        <v>37</v>
      </c>
      <c r="Y902" s="10" t="s">
        <v>0</v>
      </c>
    </row>
    <row r="903">
      <c r="A903" s="10" t="s">
        <v>3297</v>
      </c>
      <c r="B903" s="11">
        <v>44407.50966214121</v>
      </c>
      <c r="C903" s="10" t="s">
        <v>3298</v>
      </c>
      <c r="D903" s="10" t="s">
        <v>138</v>
      </c>
      <c r="E903" s="10" t="s">
        <v>3299</v>
      </c>
      <c r="F903" s="10" t="s">
        <v>3300</v>
      </c>
      <c r="G903" s="10" t="s">
        <v>3301</v>
      </c>
      <c r="H903" s="11">
        <v>44362.33333333333</v>
      </c>
      <c r="I903" s="11">
        <v>44386.83333333333</v>
      </c>
      <c r="J903" s="10" t="s">
        <v>43</v>
      </c>
      <c r="K903" s="10" t="s">
        <v>34</v>
      </c>
      <c r="N903" s="10" t="s">
        <v>35</v>
      </c>
      <c r="V903" s="9"/>
      <c r="W903" s="13" t="s">
        <v>1669</v>
      </c>
      <c r="X903" s="10" t="s">
        <v>3302</v>
      </c>
      <c r="Y903" s="10" t="s">
        <v>0</v>
      </c>
    </row>
    <row r="904">
      <c r="A904" s="10" t="s">
        <v>3303</v>
      </c>
      <c r="B904" s="11">
        <v>44365.86256164352</v>
      </c>
      <c r="C904" s="10" t="s">
        <v>3304</v>
      </c>
      <c r="D904" s="10" t="s">
        <v>695</v>
      </c>
      <c r="E904" s="10" t="s">
        <v>3305</v>
      </c>
      <c r="F904" s="10" t="s">
        <v>3306</v>
      </c>
      <c r="G904" s="10" t="s">
        <v>3307</v>
      </c>
      <c r="H904" s="24">
        <v>44368.41666666667</v>
      </c>
      <c r="I904" s="24">
        <v>44368.91666666667</v>
      </c>
      <c r="J904" s="10" t="s">
        <v>73</v>
      </c>
      <c r="K904" s="10" t="s">
        <v>34</v>
      </c>
      <c r="N904" s="10" t="s">
        <v>35</v>
      </c>
      <c r="V904" s="9"/>
      <c r="W904" s="13" t="s">
        <v>1669</v>
      </c>
      <c r="X904" s="10" t="s">
        <v>37</v>
      </c>
      <c r="Y904" s="10" t="s">
        <v>0</v>
      </c>
    </row>
    <row r="905">
      <c r="A905" s="10" t="s">
        <v>3308</v>
      </c>
      <c r="B905" s="11">
        <v>44355.48295341435</v>
      </c>
      <c r="C905" s="10" t="s">
        <v>46</v>
      </c>
      <c r="D905" s="10" t="s">
        <v>47</v>
      </c>
      <c r="E905" s="10" t="s">
        <v>3309</v>
      </c>
      <c r="F905" s="10" t="s">
        <v>3310</v>
      </c>
      <c r="G905" s="10" t="s">
        <v>3311</v>
      </c>
      <c r="H905" s="24">
        <v>44362.41666666667</v>
      </c>
      <c r="I905" s="24">
        <v>44362.47916666667</v>
      </c>
      <c r="J905" s="10" t="s">
        <v>43</v>
      </c>
      <c r="K905" s="10" t="s">
        <v>34</v>
      </c>
      <c r="N905" s="10" t="s">
        <v>35</v>
      </c>
      <c r="V905" s="9"/>
      <c r="W905" s="13" t="s">
        <v>1669</v>
      </c>
      <c r="X905" s="10" t="s">
        <v>37</v>
      </c>
      <c r="Y905" s="10" t="s">
        <v>0</v>
      </c>
    </row>
    <row r="906">
      <c r="A906" s="10" t="s">
        <v>3312</v>
      </c>
      <c r="B906" s="11">
        <v>44362.60067447917</v>
      </c>
      <c r="C906" s="10" t="s">
        <v>80</v>
      </c>
      <c r="D906" s="10" t="s">
        <v>81</v>
      </c>
      <c r="E906" s="10" t="s">
        <v>3313</v>
      </c>
      <c r="F906" s="10" t="s">
        <v>3314</v>
      </c>
      <c r="G906" s="10" t="s">
        <v>3315</v>
      </c>
      <c r="H906" s="16">
        <v>44362.72916666667</v>
      </c>
      <c r="I906" s="16">
        <v>44362.79166666667</v>
      </c>
      <c r="J906" s="10" t="s">
        <v>43</v>
      </c>
      <c r="K906" s="10" t="s">
        <v>34</v>
      </c>
      <c r="N906" s="10" t="s">
        <v>296</v>
      </c>
      <c r="O906" s="18" t="s">
        <v>3316</v>
      </c>
      <c r="P906" s="10" t="s">
        <v>296</v>
      </c>
      <c r="Q906" s="10">
        <v>2.0</v>
      </c>
      <c r="R906" s="10" t="s">
        <v>296</v>
      </c>
      <c r="S906" s="10">
        <v>3.0</v>
      </c>
      <c r="T906" s="10" t="s">
        <v>35</v>
      </c>
      <c r="V906" s="9"/>
      <c r="W906" s="13" t="s">
        <v>1669</v>
      </c>
      <c r="X906" s="10" t="s">
        <v>37</v>
      </c>
      <c r="Y906" s="10" t="s">
        <v>0</v>
      </c>
    </row>
    <row r="907">
      <c r="A907" s="10" t="s">
        <v>3317</v>
      </c>
      <c r="B907" s="11">
        <v>44377.70989916667</v>
      </c>
      <c r="C907" s="10" t="s">
        <v>160</v>
      </c>
      <c r="D907" s="10" t="s">
        <v>161</v>
      </c>
      <c r="E907" s="10" t="s">
        <v>3318</v>
      </c>
      <c r="F907" s="10" t="s">
        <v>3319</v>
      </c>
      <c r="G907" s="10" t="s">
        <v>3320</v>
      </c>
      <c r="H907" s="16">
        <v>44364.39583333333</v>
      </c>
      <c r="I907" s="16">
        <v>44364.47916666667</v>
      </c>
      <c r="J907" s="10" t="s">
        <v>43</v>
      </c>
      <c r="K907" s="10" t="s">
        <v>34</v>
      </c>
      <c r="N907" s="10" t="s">
        <v>296</v>
      </c>
      <c r="O907" s="18" t="s">
        <v>3321</v>
      </c>
      <c r="P907" s="10" t="s">
        <v>35</v>
      </c>
      <c r="R907" s="10" t="s">
        <v>35</v>
      </c>
      <c r="T907" s="10" t="s">
        <v>296</v>
      </c>
      <c r="U907" s="10">
        <v>1.0</v>
      </c>
      <c r="V907" s="27"/>
      <c r="W907" s="13" t="s">
        <v>1669</v>
      </c>
      <c r="X907" s="10" t="s">
        <v>37</v>
      </c>
      <c r="Y907" s="10" t="s">
        <v>0</v>
      </c>
    </row>
    <row r="908">
      <c r="A908" s="10" t="s">
        <v>3322</v>
      </c>
      <c r="B908" s="11">
        <v>44343.574086168985</v>
      </c>
      <c r="C908" s="21" t="s">
        <v>453</v>
      </c>
      <c r="D908" s="21" t="s">
        <v>393</v>
      </c>
      <c r="E908" s="21" t="s">
        <v>3323</v>
      </c>
      <c r="F908" s="21" t="s">
        <v>3324</v>
      </c>
      <c r="G908" s="21" t="s">
        <v>3325</v>
      </c>
      <c r="H908" s="24">
        <v>44364.625</v>
      </c>
      <c r="I908" s="24">
        <v>44364.75</v>
      </c>
      <c r="J908" s="10" t="s">
        <v>236</v>
      </c>
      <c r="K908" s="10" t="s">
        <v>34</v>
      </c>
      <c r="N908" s="10" t="s">
        <v>296</v>
      </c>
      <c r="O908" s="19" t="s">
        <v>3326</v>
      </c>
      <c r="P908" s="10" t="s">
        <v>296</v>
      </c>
      <c r="Q908" s="10">
        <v>2.0</v>
      </c>
      <c r="R908" s="10" t="s">
        <v>296</v>
      </c>
      <c r="S908" s="10">
        <v>6.0</v>
      </c>
      <c r="T908" s="10" t="s">
        <v>35</v>
      </c>
      <c r="V908" s="9"/>
      <c r="W908" s="13" t="s">
        <v>78</v>
      </c>
      <c r="X908" s="10" t="s">
        <v>37</v>
      </c>
      <c r="Y908" s="10" t="s">
        <v>0</v>
      </c>
    </row>
    <row r="909">
      <c r="A909" s="10" t="s">
        <v>3327</v>
      </c>
      <c r="B909" s="11">
        <v>44407.961300428244</v>
      </c>
      <c r="C909" s="10" t="s">
        <v>137</v>
      </c>
      <c r="D909" s="10" t="s">
        <v>138</v>
      </c>
      <c r="E909" s="10" t="s">
        <v>3299</v>
      </c>
      <c r="F909" s="10" t="s">
        <v>3328</v>
      </c>
      <c r="G909" s="10" t="s">
        <v>3329</v>
      </c>
      <c r="H909" s="11">
        <v>44365.58333333333</v>
      </c>
      <c r="I909" s="11">
        <v>44365.64583333333</v>
      </c>
      <c r="J909" s="10" t="s">
        <v>43</v>
      </c>
      <c r="K909" s="10" t="s">
        <v>34</v>
      </c>
      <c r="N909" s="10" t="s">
        <v>35</v>
      </c>
      <c r="V909" s="9"/>
      <c r="W909" s="13" t="s">
        <v>1669</v>
      </c>
      <c r="X909" s="10" t="s">
        <v>37</v>
      </c>
      <c r="Y909" s="10" t="s">
        <v>0</v>
      </c>
    </row>
    <row r="910">
      <c r="A910" s="10" t="s">
        <v>3330</v>
      </c>
      <c r="B910" s="11">
        <v>44355.34817300926</v>
      </c>
      <c r="C910" s="10" t="s">
        <v>3278</v>
      </c>
      <c r="D910" s="10" t="s">
        <v>2351</v>
      </c>
      <c r="E910" s="10" t="s">
        <v>3279</v>
      </c>
      <c r="F910" s="10" t="s">
        <v>3331</v>
      </c>
      <c r="G910" s="10" t="s">
        <v>3332</v>
      </c>
      <c r="H910" s="24">
        <v>44365.6875</v>
      </c>
      <c r="I910" s="24">
        <v>44386.72916666667</v>
      </c>
      <c r="J910" s="10" t="s">
        <v>43</v>
      </c>
      <c r="K910" s="10" t="s">
        <v>34</v>
      </c>
      <c r="N910" s="10" t="s">
        <v>35</v>
      </c>
      <c r="V910" s="9"/>
      <c r="W910" s="13" t="s">
        <v>78</v>
      </c>
      <c r="X910" s="10" t="s">
        <v>37</v>
      </c>
      <c r="Y910" s="10" t="s">
        <v>0</v>
      </c>
    </row>
    <row r="911">
      <c r="A911" s="10" t="s">
        <v>3333</v>
      </c>
      <c r="B911" s="11">
        <v>44369.744594097225</v>
      </c>
      <c r="C911" s="10" t="s">
        <v>80</v>
      </c>
      <c r="D911" s="10" t="s">
        <v>81</v>
      </c>
      <c r="E911" s="10" t="s">
        <v>3207</v>
      </c>
      <c r="F911" s="10" t="s">
        <v>3334</v>
      </c>
      <c r="G911" s="10" t="s">
        <v>3335</v>
      </c>
      <c r="H911" s="16">
        <v>44369.72916666667</v>
      </c>
      <c r="I911" s="16">
        <v>44369.77083333333</v>
      </c>
      <c r="J911" s="10" t="s">
        <v>43</v>
      </c>
      <c r="K911" s="10" t="s">
        <v>34</v>
      </c>
      <c r="N911" s="10" t="s">
        <v>296</v>
      </c>
      <c r="O911" s="18" t="s">
        <v>3336</v>
      </c>
      <c r="P911" s="10" t="s">
        <v>296</v>
      </c>
      <c r="Q911" s="10">
        <v>2.0</v>
      </c>
      <c r="R911" s="10" t="s">
        <v>35</v>
      </c>
      <c r="T911" s="10" t="s">
        <v>35</v>
      </c>
      <c r="V911" s="9"/>
      <c r="W911" s="13" t="s">
        <v>1669</v>
      </c>
      <c r="X911" s="10" t="s">
        <v>37</v>
      </c>
      <c r="Y911" s="10" t="s">
        <v>0</v>
      </c>
    </row>
    <row r="912">
      <c r="A912" s="10" t="s">
        <v>3337</v>
      </c>
      <c r="B912" s="11">
        <v>44365.91360894676</v>
      </c>
      <c r="C912" s="10" t="s">
        <v>3304</v>
      </c>
      <c r="D912" s="10" t="s">
        <v>695</v>
      </c>
      <c r="E912" s="10" t="s">
        <v>3338</v>
      </c>
      <c r="F912" s="10" t="s">
        <v>3339</v>
      </c>
      <c r="G912" s="10" t="s">
        <v>3340</v>
      </c>
      <c r="H912" s="24">
        <v>44371.6875</v>
      </c>
      <c r="I912" s="24">
        <v>44371.72916666667</v>
      </c>
      <c r="J912" s="10" t="s">
        <v>43</v>
      </c>
      <c r="K912" s="10" t="s">
        <v>34</v>
      </c>
      <c r="N912" s="10" t="s">
        <v>296</v>
      </c>
      <c r="O912" s="18" t="s">
        <v>3341</v>
      </c>
      <c r="P912" s="10" t="s">
        <v>296</v>
      </c>
      <c r="Q912" s="10">
        <v>1.0</v>
      </c>
      <c r="R912" s="10" t="s">
        <v>35</v>
      </c>
      <c r="T912" s="10" t="s">
        <v>35</v>
      </c>
      <c r="V912" s="9"/>
      <c r="W912" s="13" t="s">
        <v>1669</v>
      </c>
      <c r="X912" s="10" t="s">
        <v>37</v>
      </c>
      <c r="Y912" s="10" t="s">
        <v>0</v>
      </c>
    </row>
    <row r="913">
      <c r="A913" s="10" t="s">
        <v>3342</v>
      </c>
      <c r="B913" s="11">
        <v>44368.946416527775</v>
      </c>
      <c r="C913" s="10" t="s">
        <v>1583</v>
      </c>
      <c r="D913" s="10" t="s">
        <v>505</v>
      </c>
      <c r="E913" s="10" t="s">
        <v>2105</v>
      </c>
      <c r="F913" s="10" t="s">
        <v>3343</v>
      </c>
      <c r="G913" s="10" t="s">
        <v>3344</v>
      </c>
      <c r="H913" s="16">
        <v>44371.79166666667</v>
      </c>
      <c r="I913" s="16">
        <v>44371.875</v>
      </c>
      <c r="J913" s="10" t="s">
        <v>43</v>
      </c>
      <c r="K913" s="10" t="s">
        <v>34</v>
      </c>
      <c r="N913" s="10" t="s">
        <v>35</v>
      </c>
      <c r="V913" s="9"/>
      <c r="W913" s="13" t="s">
        <v>78</v>
      </c>
      <c r="X913" s="10" t="s">
        <v>37</v>
      </c>
      <c r="Y913" s="10" t="s">
        <v>0</v>
      </c>
    </row>
    <row r="914">
      <c r="A914" s="10" t="s">
        <v>3345</v>
      </c>
      <c r="B914" s="11">
        <v>44365.92549540509</v>
      </c>
      <c r="C914" s="10" t="s">
        <v>3304</v>
      </c>
      <c r="D914" s="10" t="s">
        <v>695</v>
      </c>
      <c r="E914" s="10" t="s">
        <v>3346</v>
      </c>
      <c r="F914" s="10" t="s">
        <v>3347</v>
      </c>
      <c r="G914" s="10" t="s">
        <v>3348</v>
      </c>
      <c r="H914" s="24">
        <v>44372.4375</v>
      </c>
      <c r="I914" s="24">
        <v>44372.47916666667</v>
      </c>
      <c r="J914" s="10" t="s">
        <v>43</v>
      </c>
      <c r="K914" s="10" t="s">
        <v>34</v>
      </c>
      <c r="N914" s="10" t="s">
        <v>296</v>
      </c>
      <c r="O914" s="18" t="s">
        <v>3349</v>
      </c>
      <c r="P914" s="10" t="s">
        <v>296</v>
      </c>
      <c r="Q914" s="10">
        <v>1.0</v>
      </c>
      <c r="R914" s="10" t="s">
        <v>35</v>
      </c>
      <c r="T914" s="10" t="s">
        <v>35</v>
      </c>
      <c r="V914" s="9"/>
      <c r="W914" s="13" t="s">
        <v>78</v>
      </c>
      <c r="X914" s="10" t="s">
        <v>37</v>
      </c>
      <c r="Y914" s="10" t="s">
        <v>0</v>
      </c>
    </row>
    <row r="915">
      <c r="A915" s="10" t="s">
        <v>3350</v>
      </c>
      <c r="B915" s="11">
        <v>44378.91228207176</v>
      </c>
      <c r="C915" s="10" t="s">
        <v>1405</v>
      </c>
      <c r="D915" s="10" t="s">
        <v>1406</v>
      </c>
      <c r="E915" s="10" t="s">
        <v>1477</v>
      </c>
      <c r="F915" s="10" t="s">
        <v>3351</v>
      </c>
      <c r="G915" s="10" t="s">
        <v>3352</v>
      </c>
      <c r="H915" s="11">
        <v>44379.58333333333</v>
      </c>
      <c r="I915" s="11">
        <v>44387.66666666667</v>
      </c>
      <c r="J915" s="10" t="s">
        <v>51</v>
      </c>
      <c r="K915" s="10" t="s">
        <v>34</v>
      </c>
      <c r="N915" s="10" t="s">
        <v>35</v>
      </c>
      <c r="V915" s="9"/>
      <c r="W915" s="13" t="s">
        <v>78</v>
      </c>
      <c r="X915" s="10" t="s">
        <v>37</v>
      </c>
      <c r="Y915" s="10" t="s">
        <v>0</v>
      </c>
    </row>
    <row r="916">
      <c r="A916" s="10" t="s">
        <v>3353</v>
      </c>
      <c r="B916" s="11">
        <v>44390.85384873842</v>
      </c>
      <c r="C916" s="10" t="s">
        <v>320</v>
      </c>
      <c r="D916" s="10" t="s">
        <v>321</v>
      </c>
      <c r="E916" s="10" t="s">
        <v>3354</v>
      </c>
      <c r="F916" s="10" t="s">
        <v>3355</v>
      </c>
      <c r="G916" s="10" t="s">
        <v>3356</v>
      </c>
      <c r="H916" s="11">
        <v>44394.0</v>
      </c>
      <c r="I916" s="11">
        <v>44400.0</v>
      </c>
      <c r="J916" s="10" t="s">
        <v>128</v>
      </c>
      <c r="K916" s="10" t="s">
        <v>34</v>
      </c>
      <c r="N916" s="10" t="s">
        <v>35</v>
      </c>
      <c r="V916" s="9"/>
      <c r="W916" s="13" t="s">
        <v>3357</v>
      </c>
      <c r="X916" s="10" t="s">
        <v>37</v>
      </c>
      <c r="Y916" s="10" t="s">
        <v>0</v>
      </c>
    </row>
    <row r="917">
      <c r="A917" s="10" t="s">
        <v>3358</v>
      </c>
      <c r="B917" s="11">
        <v>44390.856288483796</v>
      </c>
      <c r="C917" s="10" t="s">
        <v>320</v>
      </c>
      <c r="D917" s="10" t="s">
        <v>321</v>
      </c>
      <c r="E917" s="10" t="s">
        <v>3359</v>
      </c>
      <c r="F917" s="10" t="s">
        <v>3360</v>
      </c>
      <c r="G917" s="10" t="s">
        <v>3361</v>
      </c>
      <c r="H917" s="11">
        <v>44394.0</v>
      </c>
      <c r="I917" s="11">
        <v>44400.0</v>
      </c>
      <c r="J917" s="10" t="s">
        <v>128</v>
      </c>
      <c r="K917" s="10" t="s">
        <v>34</v>
      </c>
      <c r="N917" s="10" t="s">
        <v>35</v>
      </c>
      <c r="V917" s="9"/>
      <c r="W917" s="13" t="s">
        <v>3357</v>
      </c>
      <c r="X917" s="10" t="s">
        <v>37</v>
      </c>
      <c r="Y917" s="10" t="s">
        <v>0</v>
      </c>
    </row>
    <row r="918">
      <c r="A918" s="10" t="s">
        <v>3362</v>
      </c>
      <c r="B918" s="11">
        <v>44407.95400008102</v>
      </c>
      <c r="C918" s="10" t="s">
        <v>137</v>
      </c>
      <c r="D918" s="10" t="s">
        <v>138</v>
      </c>
      <c r="E918" s="10" t="s">
        <v>3299</v>
      </c>
      <c r="F918" s="10" t="s">
        <v>3363</v>
      </c>
      <c r="G918" s="10" t="s">
        <v>3364</v>
      </c>
      <c r="H918" s="11">
        <v>44372.625</v>
      </c>
      <c r="I918" s="11">
        <v>44372.66666666667</v>
      </c>
      <c r="J918" s="10" t="s">
        <v>43</v>
      </c>
      <c r="K918" s="10" t="s">
        <v>34</v>
      </c>
      <c r="N918" s="10" t="s">
        <v>35</v>
      </c>
      <c r="V918" s="9"/>
      <c r="W918" s="13" t="s">
        <v>3357</v>
      </c>
      <c r="X918" s="10" t="s">
        <v>37</v>
      </c>
      <c r="Y918" s="10" t="s">
        <v>0</v>
      </c>
    </row>
    <row r="919">
      <c r="A919" s="10" t="s">
        <v>3365</v>
      </c>
      <c r="B919" s="11">
        <v>44407.95741103009</v>
      </c>
      <c r="C919" s="10" t="s">
        <v>137</v>
      </c>
      <c r="D919" s="10" t="s">
        <v>138</v>
      </c>
      <c r="E919" s="10" t="s">
        <v>3299</v>
      </c>
      <c r="F919" s="10" t="s">
        <v>3366</v>
      </c>
      <c r="G919" s="10" t="s">
        <v>3367</v>
      </c>
      <c r="H919" s="11">
        <v>44376.75</v>
      </c>
      <c r="I919" s="11">
        <v>44406.83333333333</v>
      </c>
      <c r="J919" s="10" t="s">
        <v>43</v>
      </c>
      <c r="K919" s="10" t="s">
        <v>34</v>
      </c>
      <c r="N919" s="10" t="s">
        <v>35</v>
      </c>
      <c r="V919" s="9"/>
      <c r="W919" s="13" t="s">
        <v>3357</v>
      </c>
      <c r="X919" s="10" t="s">
        <v>37</v>
      </c>
      <c r="Y919" s="10" t="s">
        <v>0</v>
      </c>
    </row>
    <row r="920">
      <c r="A920" s="10" t="s">
        <v>3368</v>
      </c>
      <c r="B920" s="11">
        <v>44377.7129644213</v>
      </c>
      <c r="C920" s="10" t="s">
        <v>160</v>
      </c>
      <c r="D920" s="10" t="s">
        <v>161</v>
      </c>
      <c r="E920" s="10" t="s">
        <v>3318</v>
      </c>
      <c r="F920" s="10" t="s">
        <v>3369</v>
      </c>
      <c r="G920" s="10" t="s">
        <v>3370</v>
      </c>
      <c r="H920" s="16">
        <v>44378.60416666667</v>
      </c>
      <c r="I920" s="16">
        <v>44378.6875</v>
      </c>
      <c r="J920" s="10" t="s">
        <v>43</v>
      </c>
      <c r="K920" s="10" t="s">
        <v>34</v>
      </c>
      <c r="N920" s="10" t="s">
        <v>296</v>
      </c>
      <c r="O920" s="18" t="s">
        <v>3371</v>
      </c>
      <c r="P920" s="10" t="s">
        <v>296</v>
      </c>
      <c r="Q920" s="10">
        <v>1.0</v>
      </c>
      <c r="R920" s="10" t="s">
        <v>35</v>
      </c>
      <c r="T920" s="10" t="s">
        <v>35</v>
      </c>
      <c r="V920" s="9"/>
      <c r="W920" s="13" t="s">
        <v>3357</v>
      </c>
      <c r="X920" s="10" t="s">
        <v>37</v>
      </c>
      <c r="Y920" s="10" t="s">
        <v>0</v>
      </c>
    </row>
    <row r="921">
      <c r="A921" s="10" t="s">
        <v>3372</v>
      </c>
      <c r="B921" s="11">
        <v>44397.8867409838</v>
      </c>
      <c r="C921" s="10" t="s">
        <v>1583</v>
      </c>
      <c r="D921" s="10" t="s">
        <v>505</v>
      </c>
      <c r="E921" s="10" t="s">
        <v>3373</v>
      </c>
      <c r="F921" s="10" t="s">
        <v>3374</v>
      </c>
      <c r="G921" s="10" t="s">
        <v>3375</v>
      </c>
      <c r="H921" s="11">
        <v>44402.5</v>
      </c>
      <c r="I921" s="11">
        <v>44403.5</v>
      </c>
      <c r="J921" s="10" t="s">
        <v>51</v>
      </c>
      <c r="K921" s="10" t="s">
        <v>34</v>
      </c>
      <c r="N921" s="10" t="s">
        <v>35</v>
      </c>
      <c r="V921" s="9"/>
      <c r="W921" s="13" t="s">
        <v>3357</v>
      </c>
      <c r="X921" s="10" t="s">
        <v>37</v>
      </c>
      <c r="Y921" s="10" t="s">
        <v>0</v>
      </c>
      <c r="AB921" s="10"/>
    </row>
    <row r="922">
      <c r="A922" s="10" t="s">
        <v>3376</v>
      </c>
      <c r="B922" s="11">
        <v>44402.664542708335</v>
      </c>
      <c r="C922" s="10" t="s">
        <v>1583</v>
      </c>
      <c r="D922" s="10" t="s">
        <v>505</v>
      </c>
      <c r="E922" s="10" t="s">
        <v>2105</v>
      </c>
      <c r="F922" s="10" t="s">
        <v>3377</v>
      </c>
      <c r="G922" s="10" t="s">
        <v>3378</v>
      </c>
      <c r="H922" s="11">
        <v>44407.5</v>
      </c>
      <c r="I922" s="11">
        <v>44408.5</v>
      </c>
      <c r="J922" s="10" t="s">
        <v>51</v>
      </c>
      <c r="K922" s="10" t="s">
        <v>34</v>
      </c>
      <c r="N922" s="10" t="s">
        <v>35</v>
      </c>
      <c r="V922" s="9"/>
      <c r="W922" s="13" t="s">
        <v>3357</v>
      </c>
      <c r="X922" s="10" t="s">
        <v>37</v>
      </c>
      <c r="Y922" s="10" t="s">
        <v>0</v>
      </c>
    </row>
    <row r="923">
      <c r="A923" s="10" t="s">
        <v>3379</v>
      </c>
      <c r="B923" s="11">
        <v>44402.6692071875</v>
      </c>
      <c r="C923" s="10" t="s">
        <v>1583</v>
      </c>
      <c r="D923" s="10" t="s">
        <v>505</v>
      </c>
      <c r="E923" s="10" t="s">
        <v>2105</v>
      </c>
      <c r="F923" s="10" t="s">
        <v>3380</v>
      </c>
      <c r="G923" s="10" t="s">
        <v>3381</v>
      </c>
      <c r="H923" s="11">
        <v>44407.79166666667</v>
      </c>
      <c r="I923" s="11">
        <v>44407.875</v>
      </c>
      <c r="J923" s="10" t="s">
        <v>128</v>
      </c>
      <c r="K923" s="10" t="s">
        <v>34</v>
      </c>
      <c r="N923" s="10" t="s">
        <v>35</v>
      </c>
      <c r="V923" s="9"/>
      <c r="W923" s="13" t="s">
        <v>3357</v>
      </c>
      <c r="X923" s="10" t="s">
        <v>37</v>
      </c>
      <c r="Y923" s="10" t="s">
        <v>0</v>
      </c>
    </row>
    <row r="924">
      <c r="A924" s="10" t="s">
        <v>3382</v>
      </c>
      <c r="B924" s="11">
        <v>44403.60591021991</v>
      </c>
      <c r="C924" s="10" t="s">
        <v>46</v>
      </c>
      <c r="D924" s="10" t="s">
        <v>47</v>
      </c>
      <c r="E924" s="10" t="s">
        <v>2357</v>
      </c>
      <c r="F924" s="10" t="s">
        <v>3383</v>
      </c>
      <c r="G924" s="10" t="s">
        <v>3384</v>
      </c>
      <c r="H924" s="11">
        <v>44255.33333333333</v>
      </c>
      <c r="I924" s="11">
        <v>44255.75</v>
      </c>
      <c r="J924" s="10" t="s">
        <v>51</v>
      </c>
      <c r="K924" s="10" t="s">
        <v>34</v>
      </c>
      <c r="N924" s="10" t="s">
        <v>35</v>
      </c>
      <c r="V924" s="9"/>
      <c r="W924" s="13" t="s">
        <v>3385</v>
      </c>
      <c r="X924" s="10" t="s">
        <v>2360</v>
      </c>
      <c r="Y924" s="10" t="s">
        <v>0</v>
      </c>
    </row>
    <row r="925">
      <c r="A925" s="10" t="s">
        <v>3386</v>
      </c>
      <c r="B925" s="11">
        <v>44403.610556273146</v>
      </c>
      <c r="C925" s="10" t="s">
        <v>46</v>
      </c>
      <c r="D925" s="10" t="s">
        <v>47</v>
      </c>
      <c r="E925" s="10" t="s">
        <v>2357</v>
      </c>
      <c r="F925" s="10" t="s">
        <v>3387</v>
      </c>
      <c r="G925" s="10" t="s">
        <v>3388</v>
      </c>
      <c r="H925" s="11">
        <v>44334.33333333333</v>
      </c>
      <c r="I925" s="11">
        <v>44334.75</v>
      </c>
      <c r="J925" s="10" t="s">
        <v>51</v>
      </c>
      <c r="K925" s="10" t="s">
        <v>34</v>
      </c>
      <c r="N925" s="10" t="s">
        <v>35</v>
      </c>
      <c r="V925" s="9"/>
      <c r="W925" s="13" t="s">
        <v>3385</v>
      </c>
      <c r="X925" s="10" t="s">
        <v>2360</v>
      </c>
      <c r="Y925" s="10" t="s">
        <v>0</v>
      </c>
    </row>
    <row r="926">
      <c r="A926" s="10" t="s">
        <v>3389</v>
      </c>
      <c r="B926" s="11">
        <v>44363.61715751157</v>
      </c>
      <c r="C926" s="10" t="s">
        <v>239</v>
      </c>
      <c r="D926" s="10" t="s">
        <v>240</v>
      </c>
      <c r="E926" s="10" t="s">
        <v>1928</v>
      </c>
      <c r="F926" s="10" t="s">
        <v>3390</v>
      </c>
      <c r="G926" s="10" t="s">
        <v>3391</v>
      </c>
      <c r="H926" s="33">
        <v>44380.54166666667</v>
      </c>
      <c r="I926" s="33">
        <v>44380.58333333333</v>
      </c>
      <c r="J926" s="10" t="s">
        <v>236</v>
      </c>
      <c r="K926" s="10" t="s">
        <v>34</v>
      </c>
      <c r="N926" s="10" t="s">
        <v>35</v>
      </c>
      <c r="V926" s="9"/>
      <c r="W926" s="13" t="s">
        <v>3385</v>
      </c>
      <c r="X926" s="10" t="s">
        <v>37</v>
      </c>
      <c r="Y926" s="10" t="s">
        <v>0</v>
      </c>
    </row>
    <row r="927">
      <c r="A927" s="10" t="s">
        <v>3392</v>
      </c>
      <c r="B927" s="11">
        <v>44405.78277196759</v>
      </c>
      <c r="C927" s="10" t="s">
        <v>418</v>
      </c>
      <c r="D927" s="10" t="s">
        <v>419</v>
      </c>
      <c r="E927" s="10" t="s">
        <v>3393</v>
      </c>
      <c r="F927" s="10" t="s">
        <v>3394</v>
      </c>
      <c r="G927" s="10" t="s">
        <v>3395</v>
      </c>
      <c r="H927" s="11">
        <v>44414.4375</v>
      </c>
      <c r="I927" s="28">
        <v>44414.5</v>
      </c>
      <c r="J927" s="10" t="s">
        <v>128</v>
      </c>
      <c r="K927" s="10" t="s">
        <v>34</v>
      </c>
      <c r="N927" s="10" t="s">
        <v>296</v>
      </c>
      <c r="O927" s="18" t="s">
        <v>3396</v>
      </c>
      <c r="P927" s="10" t="s">
        <v>35</v>
      </c>
      <c r="R927" s="10" t="s">
        <v>35</v>
      </c>
      <c r="T927" s="10" t="s">
        <v>35</v>
      </c>
      <c r="V927" s="9"/>
      <c r="W927" s="13" t="s">
        <v>3397</v>
      </c>
      <c r="X927" s="10" t="s">
        <v>37</v>
      </c>
    </row>
    <row r="928">
      <c r="A928" s="10" t="s">
        <v>3398</v>
      </c>
      <c r="B928" s="11">
        <v>44407.95999420139</v>
      </c>
      <c r="C928" s="10" t="s">
        <v>137</v>
      </c>
      <c r="D928" s="10" t="s">
        <v>138</v>
      </c>
      <c r="E928" s="10" t="s">
        <v>3299</v>
      </c>
      <c r="F928" s="10" t="s">
        <v>3399</v>
      </c>
      <c r="G928" s="10" t="s">
        <v>3400</v>
      </c>
      <c r="H928" s="11">
        <v>44386.58333333333</v>
      </c>
      <c r="I928" s="11">
        <v>44386.66666666667</v>
      </c>
      <c r="J928" s="10" t="s">
        <v>43</v>
      </c>
      <c r="K928" s="10" t="s">
        <v>34</v>
      </c>
      <c r="N928" s="10" t="s">
        <v>35</v>
      </c>
      <c r="V928" s="9"/>
      <c r="W928" s="13"/>
      <c r="X928" s="10" t="s">
        <v>3302</v>
      </c>
      <c r="Y928" s="10" t="s">
        <v>0</v>
      </c>
    </row>
    <row r="929">
      <c r="A929" s="10" t="s">
        <v>3401</v>
      </c>
      <c r="B929" s="11">
        <v>44407.48637039352</v>
      </c>
      <c r="C929" s="10" t="s">
        <v>3298</v>
      </c>
      <c r="D929" s="10" t="s">
        <v>138</v>
      </c>
      <c r="E929" s="10" t="s">
        <v>3299</v>
      </c>
      <c r="F929" s="10" t="s">
        <v>921</v>
      </c>
      <c r="G929" s="10" t="s">
        <v>3402</v>
      </c>
      <c r="H929" s="11">
        <v>44407.58333333333</v>
      </c>
      <c r="I929" s="11">
        <v>44407.625</v>
      </c>
      <c r="J929" s="10" t="s">
        <v>128</v>
      </c>
      <c r="K929" s="10" t="s">
        <v>34</v>
      </c>
      <c r="N929" s="10" t="s">
        <v>35</v>
      </c>
      <c r="V929" s="9"/>
      <c r="W929" s="13"/>
      <c r="X929" s="10" t="s">
        <v>37</v>
      </c>
      <c r="Y929" s="10" t="s">
        <v>0</v>
      </c>
    </row>
    <row r="930">
      <c r="A930" s="10" t="s">
        <v>3403</v>
      </c>
      <c r="B930" s="11">
        <v>44377.7153730787</v>
      </c>
      <c r="C930" s="10" t="s">
        <v>160</v>
      </c>
      <c r="D930" s="10" t="s">
        <v>161</v>
      </c>
      <c r="E930" s="10" t="s">
        <v>3318</v>
      </c>
      <c r="F930" s="10" t="s">
        <v>3404</v>
      </c>
      <c r="G930" s="10" t="s">
        <v>3405</v>
      </c>
      <c r="H930" s="33">
        <v>44392.39583333333</v>
      </c>
      <c r="I930" s="33">
        <v>44392.47916666667</v>
      </c>
      <c r="J930" s="10" t="s">
        <v>43</v>
      </c>
      <c r="K930" s="10" t="s">
        <v>34</v>
      </c>
      <c r="N930" s="10" t="s">
        <v>296</v>
      </c>
      <c r="O930" s="18" t="s">
        <v>3406</v>
      </c>
      <c r="P930" s="10" t="s">
        <v>35</v>
      </c>
      <c r="R930" s="10" t="s">
        <v>35</v>
      </c>
      <c r="T930" s="10" t="s">
        <v>296</v>
      </c>
      <c r="U930" s="10">
        <v>1.0</v>
      </c>
      <c r="V930" s="27"/>
      <c r="W930" s="13" t="s">
        <v>3407</v>
      </c>
      <c r="X930" s="10" t="s">
        <v>37</v>
      </c>
      <c r="Y930" s="10" t="s">
        <v>0</v>
      </c>
    </row>
    <row r="931">
      <c r="A931" s="10" t="s">
        <v>3408</v>
      </c>
      <c r="B931" s="11">
        <v>44392.87102824074</v>
      </c>
      <c r="C931" s="10" t="s">
        <v>1583</v>
      </c>
      <c r="D931" s="10" t="s">
        <v>505</v>
      </c>
      <c r="E931" s="10" t="s">
        <v>2105</v>
      </c>
      <c r="F931" s="10" t="s">
        <v>3409</v>
      </c>
      <c r="G931" s="10" t="s">
        <v>3410</v>
      </c>
      <c r="H931" s="11">
        <v>44397.75</v>
      </c>
      <c r="I931" s="11">
        <v>44397.83333333333</v>
      </c>
      <c r="J931" s="10" t="s">
        <v>43</v>
      </c>
      <c r="K931" s="10" t="s">
        <v>34</v>
      </c>
      <c r="N931" s="10" t="s">
        <v>35</v>
      </c>
      <c r="V931" s="9"/>
      <c r="W931" s="13"/>
      <c r="X931" s="10" t="s">
        <v>37</v>
      </c>
      <c r="Y931" s="10" t="s">
        <v>0</v>
      </c>
    </row>
    <row r="932">
      <c r="A932" s="10" t="s">
        <v>3411</v>
      </c>
      <c r="B932" s="11">
        <v>44377.721479432876</v>
      </c>
      <c r="C932" s="10" t="s">
        <v>160</v>
      </c>
      <c r="D932" s="10" t="s">
        <v>161</v>
      </c>
      <c r="E932" s="10" t="s">
        <v>3318</v>
      </c>
      <c r="F932" s="10" t="s">
        <v>3412</v>
      </c>
      <c r="G932" s="10" t="s">
        <v>3413</v>
      </c>
      <c r="H932" s="33">
        <v>44405.39583333333</v>
      </c>
      <c r="I932" s="33">
        <v>44405.47916666667</v>
      </c>
      <c r="J932" s="10" t="s">
        <v>43</v>
      </c>
      <c r="K932" s="10" t="s">
        <v>34</v>
      </c>
      <c r="N932" s="10" t="s">
        <v>296</v>
      </c>
      <c r="O932" s="18" t="s">
        <v>3414</v>
      </c>
      <c r="P932" s="10" t="s">
        <v>35</v>
      </c>
      <c r="R932" s="10" t="s">
        <v>35</v>
      </c>
      <c r="T932" s="10" t="s">
        <v>296</v>
      </c>
      <c r="U932" s="10">
        <v>1.0</v>
      </c>
      <c r="V932" s="27"/>
      <c r="W932" s="13"/>
      <c r="X932" s="10" t="s">
        <v>37</v>
      </c>
      <c r="Y932" s="10" t="s">
        <v>0</v>
      </c>
    </row>
    <row r="933">
      <c r="A933" s="10" t="s">
        <v>3415</v>
      </c>
      <c r="B933" s="11">
        <v>44397.638392002315</v>
      </c>
      <c r="C933" s="10" t="s">
        <v>186</v>
      </c>
      <c r="D933" s="10" t="s">
        <v>187</v>
      </c>
      <c r="E933" s="10" t="s">
        <v>188</v>
      </c>
      <c r="F933" s="10" t="s">
        <v>3416</v>
      </c>
      <c r="G933" s="10" t="s">
        <v>3417</v>
      </c>
      <c r="H933" s="11">
        <v>44406.375</v>
      </c>
      <c r="I933" s="11">
        <v>44408.5</v>
      </c>
      <c r="J933" s="10" t="s">
        <v>236</v>
      </c>
      <c r="K933" s="10" t="s">
        <v>34</v>
      </c>
      <c r="N933" s="10" t="s">
        <v>296</v>
      </c>
      <c r="O933" s="18" t="s">
        <v>3418</v>
      </c>
      <c r="P933" s="10" t="s">
        <v>35</v>
      </c>
      <c r="R933" s="10" t="s">
        <v>296</v>
      </c>
      <c r="S933" s="10">
        <v>10.0</v>
      </c>
      <c r="T933" s="10" t="s">
        <v>296</v>
      </c>
      <c r="U933" s="10">
        <v>8.0</v>
      </c>
      <c r="V933" s="27"/>
      <c r="W933" s="13" t="s">
        <v>3419</v>
      </c>
      <c r="X933" s="10" t="s">
        <v>37</v>
      </c>
      <c r="Y933" s="10" t="s">
        <v>0</v>
      </c>
    </row>
    <row r="934">
      <c r="A934" s="10" t="s">
        <v>3420</v>
      </c>
      <c r="B934" s="11">
        <v>44397.64018236111</v>
      </c>
      <c r="C934" s="10" t="s">
        <v>186</v>
      </c>
      <c r="D934" s="10" t="s">
        <v>187</v>
      </c>
      <c r="E934" s="10" t="s">
        <v>188</v>
      </c>
      <c r="F934" s="10" t="s">
        <v>3416</v>
      </c>
      <c r="G934" s="10" t="s">
        <v>3421</v>
      </c>
      <c r="H934" s="11">
        <v>44406.375</v>
      </c>
      <c r="I934" s="11">
        <v>44408.5</v>
      </c>
      <c r="J934" s="10" t="s">
        <v>236</v>
      </c>
      <c r="K934" s="10" t="s">
        <v>34</v>
      </c>
      <c r="N934" s="10" t="s">
        <v>296</v>
      </c>
      <c r="O934" s="18" t="s">
        <v>3422</v>
      </c>
      <c r="P934" s="10" t="s">
        <v>35</v>
      </c>
      <c r="R934" s="10" t="s">
        <v>296</v>
      </c>
      <c r="S934" s="10">
        <v>10.0</v>
      </c>
      <c r="T934" s="10" t="s">
        <v>296</v>
      </c>
      <c r="U934" s="10">
        <v>8.0</v>
      </c>
      <c r="V934" s="27"/>
      <c r="W934" s="13"/>
      <c r="X934" s="10" t="s">
        <v>37</v>
      </c>
      <c r="Y934" s="10" t="s">
        <v>0</v>
      </c>
    </row>
    <row r="935">
      <c r="A935" s="10" t="s">
        <v>3423</v>
      </c>
      <c r="B935" s="11">
        <v>44411.94047486111</v>
      </c>
      <c r="C935" s="10" t="s">
        <v>1583</v>
      </c>
      <c r="D935" s="10" t="s">
        <v>505</v>
      </c>
      <c r="E935" s="10" t="s">
        <v>2105</v>
      </c>
      <c r="F935" s="10" t="s">
        <v>3424</v>
      </c>
      <c r="G935" s="10" t="s">
        <v>3425</v>
      </c>
      <c r="H935" s="11">
        <v>44414.79166666667</v>
      </c>
      <c r="I935" s="11">
        <v>44414.875</v>
      </c>
      <c r="J935" s="10" t="s">
        <v>43</v>
      </c>
      <c r="K935" s="10" t="s">
        <v>34</v>
      </c>
      <c r="N935" s="10" t="s">
        <v>296</v>
      </c>
      <c r="O935" s="18" t="s">
        <v>3426</v>
      </c>
      <c r="P935" s="10" t="s">
        <v>296</v>
      </c>
      <c r="Q935" s="10">
        <v>1.0</v>
      </c>
      <c r="R935" s="10" t="s">
        <v>35</v>
      </c>
      <c r="T935" s="10" t="s">
        <v>35</v>
      </c>
      <c r="V935" s="14" t="s">
        <v>3427</v>
      </c>
      <c r="W935" s="15"/>
      <c r="X935" s="10" t="s">
        <v>37</v>
      </c>
      <c r="Y935" s="10" t="s">
        <v>0</v>
      </c>
    </row>
    <row r="936">
      <c r="A936" s="10" t="s">
        <v>3428</v>
      </c>
      <c r="B936" s="11">
        <v>44408.53459365741</v>
      </c>
      <c r="C936" s="10" t="s">
        <v>347</v>
      </c>
      <c r="D936" s="10" t="s">
        <v>348</v>
      </c>
      <c r="E936" s="10" t="s">
        <v>3429</v>
      </c>
      <c r="F936" s="10" t="s">
        <v>3430</v>
      </c>
      <c r="G936" s="10" t="s">
        <v>3431</v>
      </c>
      <c r="H936" s="11">
        <v>44401.4375</v>
      </c>
      <c r="I936" s="11">
        <v>44401.52083333333</v>
      </c>
      <c r="J936" s="10" t="s">
        <v>128</v>
      </c>
      <c r="K936" s="10" t="s">
        <v>34</v>
      </c>
      <c r="N936" s="10" t="s">
        <v>35</v>
      </c>
      <c r="V936" s="9"/>
      <c r="W936" s="13"/>
      <c r="X936" s="10" t="s">
        <v>37</v>
      </c>
      <c r="Y936" s="10" t="s">
        <v>0</v>
      </c>
    </row>
    <row r="937">
      <c r="A937" s="10" t="s">
        <v>3432</v>
      </c>
      <c r="B937" s="11">
        <v>44408.53799202546</v>
      </c>
      <c r="C937" s="10" t="s">
        <v>347</v>
      </c>
      <c r="D937" s="10" t="s">
        <v>348</v>
      </c>
      <c r="E937" s="10" t="s">
        <v>3429</v>
      </c>
      <c r="F937" s="10" t="s">
        <v>3433</v>
      </c>
      <c r="G937" s="10" t="s">
        <v>3434</v>
      </c>
      <c r="H937" s="11">
        <v>44408.45833333333</v>
      </c>
      <c r="I937" s="11">
        <v>44408.54166666667</v>
      </c>
      <c r="J937" s="10" t="s">
        <v>128</v>
      </c>
      <c r="K937" s="10" t="s">
        <v>34</v>
      </c>
      <c r="N937" s="10" t="s">
        <v>35</v>
      </c>
      <c r="V937" s="9"/>
      <c r="W937" s="13"/>
      <c r="X937" s="10" t="s">
        <v>37</v>
      </c>
      <c r="Y937" s="10" t="s">
        <v>0</v>
      </c>
    </row>
    <row r="938">
      <c r="A938" s="10" t="s">
        <v>3435</v>
      </c>
      <c r="B938" s="11">
        <v>44408.8371743287</v>
      </c>
      <c r="C938" s="10" t="s">
        <v>137</v>
      </c>
      <c r="D938" s="10" t="s">
        <v>138</v>
      </c>
      <c r="E938" s="10" t="s">
        <v>3299</v>
      </c>
      <c r="F938" s="10" t="s">
        <v>921</v>
      </c>
      <c r="G938" s="10" t="s">
        <v>3436</v>
      </c>
      <c r="H938" s="11">
        <v>44414.58333333333</v>
      </c>
      <c r="I938" s="28">
        <v>44414.66666666667</v>
      </c>
      <c r="J938" s="10" t="s">
        <v>128</v>
      </c>
      <c r="K938" s="10" t="s">
        <v>34</v>
      </c>
      <c r="N938" s="10" t="s">
        <v>35</v>
      </c>
      <c r="V938" s="9"/>
      <c r="W938" s="13"/>
      <c r="X938" s="10" t="s">
        <v>37</v>
      </c>
      <c r="Y938" s="10" t="s">
        <v>0</v>
      </c>
    </row>
    <row r="939">
      <c r="A939" s="10" t="s">
        <v>3437</v>
      </c>
      <c r="B939" s="11">
        <v>44408.8379891088</v>
      </c>
      <c r="C939" s="10" t="s">
        <v>137</v>
      </c>
      <c r="D939" s="10" t="s">
        <v>138</v>
      </c>
      <c r="E939" s="10" t="s">
        <v>3299</v>
      </c>
      <c r="F939" s="10" t="s">
        <v>921</v>
      </c>
      <c r="G939" s="10" t="s">
        <v>3438</v>
      </c>
      <c r="H939" s="11">
        <v>44421.58333333333</v>
      </c>
      <c r="I939" s="11">
        <v>44421.66666666667</v>
      </c>
      <c r="J939" s="10" t="s">
        <v>128</v>
      </c>
      <c r="K939" s="10" t="s">
        <v>34</v>
      </c>
      <c r="N939" s="10" t="s">
        <v>35</v>
      </c>
      <c r="V939" s="9"/>
      <c r="W939" s="13"/>
      <c r="X939" s="10" t="s">
        <v>37</v>
      </c>
      <c r="Y939" s="10" t="s">
        <v>0</v>
      </c>
    </row>
    <row r="940">
      <c r="A940" s="10" t="s">
        <v>3439</v>
      </c>
      <c r="B940" s="11">
        <v>44408.83865090278</v>
      </c>
      <c r="C940" s="10" t="s">
        <v>137</v>
      </c>
      <c r="D940" s="10" t="s">
        <v>138</v>
      </c>
      <c r="E940" s="10" t="s">
        <v>3299</v>
      </c>
      <c r="F940" s="10" t="s">
        <v>921</v>
      </c>
      <c r="G940" s="10" t="s">
        <v>3440</v>
      </c>
      <c r="H940" s="11">
        <v>44428.58333333333</v>
      </c>
      <c r="I940" s="11">
        <v>44428.66666666667</v>
      </c>
      <c r="J940" s="10" t="s">
        <v>128</v>
      </c>
      <c r="K940" s="10" t="s">
        <v>34</v>
      </c>
      <c r="N940" s="10" t="s">
        <v>35</v>
      </c>
      <c r="V940" s="9"/>
      <c r="W940" s="13"/>
      <c r="X940" s="10" t="s">
        <v>37</v>
      </c>
      <c r="Y940" s="10" t="s">
        <v>0</v>
      </c>
    </row>
    <row r="941">
      <c r="A941" s="10" t="s">
        <v>3441</v>
      </c>
      <c r="B941" s="11">
        <v>44408.83909259259</v>
      </c>
      <c r="C941" s="10" t="s">
        <v>137</v>
      </c>
      <c r="D941" s="10" t="s">
        <v>138</v>
      </c>
      <c r="E941" s="10" t="s">
        <v>3299</v>
      </c>
      <c r="F941" s="10" t="s">
        <v>921</v>
      </c>
      <c r="G941" s="10" t="s">
        <v>3442</v>
      </c>
      <c r="H941" s="11">
        <v>44435.58333333333</v>
      </c>
      <c r="I941" s="11">
        <v>44435.66666666667</v>
      </c>
      <c r="J941" s="10" t="s">
        <v>128</v>
      </c>
      <c r="K941" s="10" t="s">
        <v>34</v>
      </c>
      <c r="N941" s="10" t="s">
        <v>35</v>
      </c>
      <c r="V941" s="9"/>
      <c r="W941" s="13"/>
      <c r="X941" s="10" t="s">
        <v>37</v>
      </c>
      <c r="Y941" s="10" t="s">
        <v>0</v>
      </c>
    </row>
    <row r="942">
      <c r="A942" s="10" t="s">
        <v>3443</v>
      </c>
      <c r="B942" s="11">
        <v>44428.657104375</v>
      </c>
      <c r="C942" s="10" t="s">
        <v>347</v>
      </c>
      <c r="D942" s="10" t="s">
        <v>348</v>
      </c>
      <c r="E942" s="10" t="s">
        <v>3429</v>
      </c>
      <c r="F942" s="10" t="s">
        <v>3444</v>
      </c>
      <c r="G942" s="10" t="s">
        <v>3445</v>
      </c>
      <c r="H942" s="11">
        <v>44436.4375</v>
      </c>
      <c r="I942" s="11">
        <v>44436.52083333333</v>
      </c>
      <c r="J942" s="10" t="s">
        <v>128</v>
      </c>
      <c r="K942" s="10" t="s">
        <v>34</v>
      </c>
      <c r="N942" s="10" t="s">
        <v>35</v>
      </c>
      <c r="V942" s="14" t="s">
        <v>3446</v>
      </c>
      <c r="W942" s="15"/>
      <c r="X942" s="10" t="s">
        <v>37</v>
      </c>
      <c r="Y942" s="10" t="s">
        <v>0</v>
      </c>
    </row>
    <row r="943">
      <c r="A943" s="10" t="s">
        <v>3447</v>
      </c>
      <c r="B943" s="11">
        <v>44432.638168564816</v>
      </c>
      <c r="C943" s="10" t="s">
        <v>610</v>
      </c>
      <c r="D943" s="10" t="s">
        <v>611</v>
      </c>
      <c r="E943" s="34" t="s">
        <v>3448</v>
      </c>
      <c r="F943" s="10" t="s">
        <v>2663</v>
      </c>
      <c r="G943" s="10" t="s">
        <v>3449</v>
      </c>
      <c r="H943" s="11">
        <v>44436.4375</v>
      </c>
      <c r="I943" s="11">
        <v>44436.5</v>
      </c>
      <c r="J943" s="10" t="s">
        <v>128</v>
      </c>
      <c r="K943" s="10" t="s">
        <v>34</v>
      </c>
      <c r="N943" s="10" t="s">
        <v>35</v>
      </c>
      <c r="V943" s="35" t="s">
        <v>3450</v>
      </c>
      <c r="W943" s="15"/>
      <c r="X943" s="10" t="s">
        <v>37</v>
      </c>
      <c r="Y943" s="10" t="s">
        <v>0</v>
      </c>
    </row>
    <row r="944">
      <c r="A944" s="10" t="s">
        <v>3451</v>
      </c>
      <c r="B944" s="11">
        <v>44427.62777518519</v>
      </c>
      <c r="C944" s="10" t="s">
        <v>374</v>
      </c>
      <c r="D944" s="10" t="s">
        <v>375</v>
      </c>
      <c r="E944" s="10" t="s">
        <v>3452</v>
      </c>
      <c r="F944" s="10" t="s">
        <v>797</v>
      </c>
      <c r="G944" s="10" t="s">
        <v>3453</v>
      </c>
      <c r="H944" s="11">
        <v>44436.60416666667</v>
      </c>
      <c r="I944" s="11">
        <v>44436.66666666667</v>
      </c>
      <c r="J944" s="10" t="s">
        <v>128</v>
      </c>
      <c r="K944" s="10" t="s">
        <v>34</v>
      </c>
      <c r="N944" s="10" t="s">
        <v>35</v>
      </c>
      <c r="V944" s="35" t="s">
        <v>3454</v>
      </c>
      <c r="W944" s="15"/>
      <c r="X944" s="10" t="s">
        <v>37</v>
      </c>
      <c r="Y944" s="10" t="s">
        <v>0</v>
      </c>
    </row>
    <row r="945">
      <c r="A945" s="10" t="s">
        <v>3455</v>
      </c>
      <c r="B945" s="11">
        <v>44433.47214353009</v>
      </c>
      <c r="C945" s="10" t="s">
        <v>581</v>
      </c>
      <c r="D945" s="10" t="s">
        <v>220</v>
      </c>
      <c r="E945" s="10" t="s">
        <v>3456</v>
      </c>
      <c r="F945" s="10" t="s">
        <v>3457</v>
      </c>
      <c r="G945" s="10" t="s">
        <v>3458</v>
      </c>
      <c r="H945" s="11">
        <v>44436.66666666667</v>
      </c>
      <c r="I945" s="11">
        <v>44436.70833333333</v>
      </c>
      <c r="J945" s="10" t="s">
        <v>128</v>
      </c>
      <c r="K945" s="10" t="s">
        <v>34</v>
      </c>
      <c r="N945" s="10" t="s">
        <v>35</v>
      </c>
      <c r="V945" s="14" t="s">
        <v>3459</v>
      </c>
      <c r="W945" s="15"/>
      <c r="X945" s="10" t="s">
        <v>37</v>
      </c>
      <c r="Y945" s="10" t="s">
        <v>0</v>
      </c>
    </row>
    <row r="946">
      <c r="A946" s="10" t="s">
        <v>3460</v>
      </c>
      <c r="B946" s="11">
        <v>44434.608019293984</v>
      </c>
      <c r="C946" s="10" t="s">
        <v>3304</v>
      </c>
      <c r="D946" s="10" t="s">
        <v>695</v>
      </c>
      <c r="E946" s="10" t="s">
        <v>3461</v>
      </c>
      <c r="F946" s="10" t="s">
        <v>3462</v>
      </c>
      <c r="G946" s="10" t="s">
        <v>3463</v>
      </c>
      <c r="H946" s="11">
        <v>44437.5625</v>
      </c>
      <c r="I946" s="11">
        <v>44437.99930555555</v>
      </c>
      <c r="J946" s="10" t="s">
        <v>73</v>
      </c>
      <c r="K946" s="10" t="s">
        <v>34</v>
      </c>
      <c r="N946" s="10" t="s">
        <v>35</v>
      </c>
      <c r="V946" s="14" t="s">
        <v>3464</v>
      </c>
      <c r="W946" s="15"/>
      <c r="X946" s="10" t="s">
        <v>37</v>
      </c>
      <c r="Y946" s="10" t="s">
        <v>0</v>
      </c>
    </row>
    <row r="947">
      <c r="A947" s="10" t="s">
        <v>3465</v>
      </c>
      <c r="B947" s="11">
        <v>44434.458352789356</v>
      </c>
      <c r="C947" s="10" t="s">
        <v>1035</v>
      </c>
      <c r="D947" s="10" t="s">
        <v>1036</v>
      </c>
      <c r="E947" s="10" t="s">
        <v>3466</v>
      </c>
      <c r="F947" s="10" t="s">
        <v>3467</v>
      </c>
      <c r="G947" s="10" t="s">
        <v>3468</v>
      </c>
      <c r="H947" s="11">
        <v>44437.6875</v>
      </c>
      <c r="I947" s="11">
        <v>44437.72916666667</v>
      </c>
      <c r="J947" s="10" t="s">
        <v>128</v>
      </c>
      <c r="K947" s="10" t="s">
        <v>34</v>
      </c>
      <c r="N947" s="10" t="s">
        <v>35</v>
      </c>
      <c r="V947" s="14" t="s">
        <v>3469</v>
      </c>
      <c r="W947" s="15"/>
      <c r="X947" s="10" t="s">
        <v>37</v>
      </c>
      <c r="Y947" s="10" t="s">
        <v>0</v>
      </c>
    </row>
    <row r="948">
      <c r="A948" s="10" t="s">
        <v>3470</v>
      </c>
      <c r="B948" s="11">
        <v>44435.38752289352</v>
      </c>
      <c r="C948" s="10" t="s">
        <v>181</v>
      </c>
      <c r="D948" s="10" t="s">
        <v>69</v>
      </c>
      <c r="E948" s="10" t="s">
        <v>3471</v>
      </c>
      <c r="F948" s="10" t="s">
        <v>3472</v>
      </c>
      <c r="G948" s="10" t="s">
        <v>3473</v>
      </c>
      <c r="H948" s="36">
        <v>44438.47916666667</v>
      </c>
      <c r="I948" s="11">
        <v>44438.52083333333</v>
      </c>
      <c r="J948" s="10" t="s">
        <v>128</v>
      </c>
      <c r="K948" s="10" t="s">
        <v>34</v>
      </c>
      <c r="N948" s="10" t="s">
        <v>35</v>
      </c>
      <c r="V948" s="14" t="s">
        <v>3474</v>
      </c>
      <c r="W948" s="15"/>
      <c r="X948" s="10" t="s">
        <v>37</v>
      </c>
      <c r="Y948" s="10" t="s">
        <v>0</v>
      </c>
    </row>
    <row r="949">
      <c r="A949" s="10" t="s">
        <v>3475</v>
      </c>
      <c r="B949" s="11">
        <v>44435.38599834491</v>
      </c>
      <c r="C949" s="10" t="s">
        <v>181</v>
      </c>
      <c r="D949" s="10" t="s">
        <v>69</v>
      </c>
      <c r="E949" s="10" t="s">
        <v>3476</v>
      </c>
      <c r="F949" s="10" t="s">
        <v>3477</v>
      </c>
      <c r="G949" s="10" t="s">
        <v>3478</v>
      </c>
      <c r="H949" s="36">
        <v>44438.54166666667</v>
      </c>
      <c r="I949" s="11">
        <v>44438.58333333333</v>
      </c>
      <c r="J949" s="10" t="s">
        <v>128</v>
      </c>
      <c r="K949" s="10" t="s">
        <v>34</v>
      </c>
      <c r="N949" s="10" t="s">
        <v>35</v>
      </c>
      <c r="V949" s="14" t="s">
        <v>3479</v>
      </c>
      <c r="W949" s="15"/>
      <c r="X949" s="10" t="s">
        <v>37</v>
      </c>
      <c r="Y949" s="10" t="s">
        <v>0</v>
      </c>
    </row>
    <row r="950">
      <c r="A950" s="10" t="s">
        <v>3480</v>
      </c>
      <c r="B950" s="11">
        <v>44434.61306510417</v>
      </c>
      <c r="C950" s="10" t="s">
        <v>3304</v>
      </c>
      <c r="D950" s="10" t="s">
        <v>695</v>
      </c>
      <c r="E950" s="10" t="s">
        <v>3305</v>
      </c>
      <c r="F950" s="10" t="s">
        <v>3481</v>
      </c>
      <c r="G950" s="10" t="s">
        <v>3482</v>
      </c>
      <c r="H950" s="36">
        <v>44438.5625</v>
      </c>
      <c r="I950" s="11">
        <v>44438.99930555555</v>
      </c>
      <c r="J950" s="10" t="s">
        <v>73</v>
      </c>
      <c r="K950" s="10" t="s">
        <v>34</v>
      </c>
      <c r="N950" s="10" t="s">
        <v>35</v>
      </c>
      <c r="V950" s="14" t="s">
        <v>3464</v>
      </c>
      <c r="W950" s="15"/>
      <c r="X950" s="10" t="s">
        <v>37</v>
      </c>
      <c r="Y950" s="10" t="s">
        <v>0</v>
      </c>
    </row>
    <row r="951">
      <c r="A951" s="10" t="s">
        <v>3483</v>
      </c>
      <c r="B951" s="11">
        <v>44427.6412694676</v>
      </c>
      <c r="C951" s="10" t="s">
        <v>374</v>
      </c>
      <c r="D951" s="10" t="s">
        <v>375</v>
      </c>
      <c r="E951" s="10" t="s">
        <v>3452</v>
      </c>
      <c r="F951" s="10" t="s">
        <v>3484</v>
      </c>
      <c r="G951" s="10" t="s">
        <v>3485</v>
      </c>
      <c r="H951" s="36">
        <v>44438.60416666667</v>
      </c>
      <c r="I951" s="11">
        <v>44442.79166666667</v>
      </c>
      <c r="J951" s="10" t="s">
        <v>73</v>
      </c>
      <c r="K951" s="10" t="s">
        <v>34</v>
      </c>
      <c r="N951" s="10" t="s">
        <v>35</v>
      </c>
      <c r="V951" s="14" t="s">
        <v>3486</v>
      </c>
      <c r="W951" s="15"/>
      <c r="X951" s="10" t="s">
        <v>37</v>
      </c>
      <c r="Y951" s="10" t="s">
        <v>0</v>
      </c>
    </row>
    <row r="952">
      <c r="A952" s="10" t="s">
        <v>3487</v>
      </c>
      <c r="B952" s="11">
        <v>44435.37446859953</v>
      </c>
      <c r="C952" s="10" t="s">
        <v>181</v>
      </c>
      <c r="D952" s="10" t="s">
        <v>69</v>
      </c>
      <c r="E952" s="10" t="s">
        <v>1179</v>
      </c>
      <c r="F952" s="10" t="s">
        <v>3488</v>
      </c>
      <c r="G952" s="10" t="s">
        <v>3489</v>
      </c>
      <c r="H952" s="36">
        <v>44438.60416666667</v>
      </c>
      <c r="I952" s="11">
        <v>44438.6875</v>
      </c>
      <c r="J952" s="10" t="s">
        <v>128</v>
      </c>
      <c r="K952" s="10" t="s">
        <v>34</v>
      </c>
      <c r="N952" s="10" t="s">
        <v>35</v>
      </c>
      <c r="V952" s="14" t="s">
        <v>3490</v>
      </c>
      <c r="W952" s="15"/>
      <c r="X952" s="10" t="s">
        <v>37</v>
      </c>
      <c r="Y952" s="10" t="s">
        <v>0</v>
      </c>
    </row>
    <row r="953">
      <c r="A953" s="10" t="s">
        <v>3491</v>
      </c>
      <c r="B953" s="11">
        <v>44417.38172464121</v>
      </c>
      <c r="C953" s="10" t="s">
        <v>453</v>
      </c>
      <c r="D953" s="10" t="s">
        <v>393</v>
      </c>
      <c r="E953" s="10" t="s">
        <v>3492</v>
      </c>
      <c r="F953" s="10" t="s">
        <v>3493</v>
      </c>
      <c r="G953" s="10" t="s">
        <v>3494</v>
      </c>
      <c r="H953" s="11">
        <v>44417.0</v>
      </c>
      <c r="I953" s="11">
        <v>44419.0</v>
      </c>
      <c r="J953" s="10" t="s">
        <v>172</v>
      </c>
      <c r="K953" s="10" t="s">
        <v>34</v>
      </c>
      <c r="N953" s="10" t="s">
        <v>35</v>
      </c>
      <c r="V953" s="14" t="s">
        <v>3495</v>
      </c>
      <c r="W953" s="15"/>
      <c r="X953" s="10" t="s">
        <v>37</v>
      </c>
      <c r="Y953" s="10" t="s">
        <v>0</v>
      </c>
    </row>
    <row r="954">
      <c r="A954" s="10" t="s">
        <v>3496</v>
      </c>
      <c r="B954" s="11">
        <v>44409.422982881944</v>
      </c>
      <c r="C954" s="10" t="s">
        <v>3497</v>
      </c>
      <c r="D954" s="10" t="s">
        <v>47</v>
      </c>
      <c r="E954" s="10" t="s">
        <v>233</v>
      </c>
      <c r="F954" s="10" t="s">
        <v>3498</v>
      </c>
      <c r="G954" s="10" t="s">
        <v>3499</v>
      </c>
      <c r="H954" s="11">
        <v>44365.33333333333</v>
      </c>
      <c r="I954" s="11">
        <v>44366.79166666667</v>
      </c>
      <c r="J954" s="10" t="s">
        <v>51</v>
      </c>
      <c r="K954" s="10" t="s">
        <v>34</v>
      </c>
      <c r="N954" s="10" t="s">
        <v>35</v>
      </c>
      <c r="V954" s="9"/>
      <c r="W954" s="13"/>
      <c r="X954" s="10" t="s">
        <v>37</v>
      </c>
      <c r="Y954" s="10" t="s">
        <v>0</v>
      </c>
    </row>
    <row r="955">
      <c r="A955" s="10" t="s">
        <v>3500</v>
      </c>
      <c r="B955" s="11">
        <v>44409.42602940972</v>
      </c>
      <c r="C955" s="10" t="s">
        <v>46</v>
      </c>
      <c r="D955" s="10" t="s">
        <v>47</v>
      </c>
      <c r="E955" s="10" t="s">
        <v>233</v>
      </c>
      <c r="F955" s="10" t="s">
        <v>3498</v>
      </c>
      <c r="G955" s="10" t="s">
        <v>3499</v>
      </c>
      <c r="H955" s="11">
        <v>44365.33333333333</v>
      </c>
      <c r="I955" s="11">
        <v>44366.79166666667</v>
      </c>
      <c r="J955" s="10" t="s">
        <v>51</v>
      </c>
      <c r="K955" s="10" t="s">
        <v>34</v>
      </c>
      <c r="N955" s="10" t="s">
        <v>35</v>
      </c>
      <c r="V955" s="9"/>
      <c r="W955" s="13"/>
      <c r="X955" s="10" t="s">
        <v>37</v>
      </c>
      <c r="Y955" s="10" t="s">
        <v>0</v>
      </c>
    </row>
    <row r="956">
      <c r="A956" s="10" t="s">
        <v>3501</v>
      </c>
      <c r="B956" s="11">
        <v>44411.49871332176</v>
      </c>
      <c r="C956" s="10" t="s">
        <v>209</v>
      </c>
      <c r="D956" s="10" t="s">
        <v>210</v>
      </c>
      <c r="E956" s="10" t="s">
        <v>3502</v>
      </c>
      <c r="F956" s="10" t="s">
        <v>2220</v>
      </c>
      <c r="G956" s="10" t="s">
        <v>3503</v>
      </c>
      <c r="H956" s="11">
        <v>44421.4375</v>
      </c>
      <c r="I956" s="11">
        <v>44421.52083333333</v>
      </c>
      <c r="J956" s="10" t="s">
        <v>128</v>
      </c>
      <c r="K956" s="10" t="s">
        <v>34</v>
      </c>
      <c r="N956" s="10" t="s">
        <v>35</v>
      </c>
      <c r="V956" s="35" t="s">
        <v>3504</v>
      </c>
      <c r="W956" s="15"/>
      <c r="X956" s="10" t="s">
        <v>37</v>
      </c>
      <c r="Y956" s="10" t="s">
        <v>0</v>
      </c>
    </row>
    <row r="957">
      <c r="A957" s="10" t="s">
        <v>3505</v>
      </c>
      <c r="B957" s="11">
        <v>44412.81751444444</v>
      </c>
      <c r="C957" s="10" t="s">
        <v>239</v>
      </c>
      <c r="D957" s="10" t="s">
        <v>240</v>
      </c>
      <c r="E957" s="10" t="s">
        <v>3506</v>
      </c>
      <c r="F957" s="10" t="s">
        <v>3507</v>
      </c>
      <c r="G957" s="10" t="s">
        <v>3508</v>
      </c>
      <c r="H957" s="11">
        <v>44418.10416666667</v>
      </c>
      <c r="I957" s="11">
        <v>44418.14583333333</v>
      </c>
      <c r="J957" s="10" t="s">
        <v>172</v>
      </c>
      <c r="K957" s="10" t="s">
        <v>34</v>
      </c>
      <c r="N957" s="10" t="s">
        <v>35</v>
      </c>
      <c r="V957" s="35" t="s">
        <v>3509</v>
      </c>
      <c r="W957" s="15"/>
      <c r="X957" s="10" t="s">
        <v>37</v>
      </c>
      <c r="Y957" s="10" t="s">
        <v>0</v>
      </c>
    </row>
    <row r="958">
      <c r="A958" s="10" t="s">
        <v>3510</v>
      </c>
      <c r="B958" s="11">
        <v>44414.680673124996</v>
      </c>
      <c r="C958" s="10" t="s">
        <v>1035</v>
      </c>
      <c r="D958" s="10" t="s">
        <v>1036</v>
      </c>
      <c r="E958" s="10" t="s">
        <v>3511</v>
      </c>
      <c r="F958" s="10" t="s">
        <v>367</v>
      </c>
      <c r="G958" s="10" t="s">
        <v>3512</v>
      </c>
      <c r="H958" s="11">
        <v>44418.29166666667</v>
      </c>
      <c r="I958" s="11">
        <v>44420.75</v>
      </c>
      <c r="J958" s="10" t="s">
        <v>172</v>
      </c>
      <c r="K958" s="10" t="s">
        <v>34</v>
      </c>
      <c r="N958" s="10" t="s">
        <v>35</v>
      </c>
      <c r="V958" s="14" t="s">
        <v>3469</v>
      </c>
      <c r="W958" s="15"/>
      <c r="X958" s="10" t="s">
        <v>37</v>
      </c>
      <c r="Y958" s="10" t="s">
        <v>0</v>
      </c>
    </row>
    <row r="959">
      <c r="A959" s="10" t="s">
        <v>3513</v>
      </c>
      <c r="B959" s="11">
        <v>44408.52961344908</v>
      </c>
      <c r="C959" s="10" t="s">
        <v>347</v>
      </c>
      <c r="D959" s="10" t="s">
        <v>348</v>
      </c>
      <c r="E959" s="10" t="s">
        <v>3429</v>
      </c>
      <c r="F959" s="10" t="s">
        <v>173</v>
      </c>
      <c r="G959" s="10" t="s">
        <v>3514</v>
      </c>
      <c r="H959" s="11">
        <v>44418.33333333333</v>
      </c>
      <c r="I959" s="11">
        <v>44420.75</v>
      </c>
      <c r="J959" s="10" t="s">
        <v>172</v>
      </c>
      <c r="K959" s="10" t="s">
        <v>34</v>
      </c>
      <c r="M959" s="10" t="s">
        <v>173</v>
      </c>
      <c r="N959" s="10" t="s">
        <v>35</v>
      </c>
      <c r="V959" s="9"/>
      <c r="W959" s="13"/>
      <c r="X959" s="10" t="s">
        <v>37</v>
      </c>
      <c r="Y959" s="10" t="s">
        <v>0</v>
      </c>
    </row>
    <row r="960">
      <c r="A960" s="10" t="s">
        <v>3515</v>
      </c>
      <c r="B960" s="11">
        <v>44411.94281462963</v>
      </c>
      <c r="C960" s="10" t="s">
        <v>1583</v>
      </c>
      <c r="D960" s="10" t="s">
        <v>505</v>
      </c>
      <c r="E960" s="10" t="s">
        <v>3516</v>
      </c>
      <c r="F960" s="10" t="s">
        <v>3517</v>
      </c>
      <c r="G960" s="10" t="s">
        <v>3518</v>
      </c>
      <c r="H960" s="11">
        <v>44417.5</v>
      </c>
      <c r="I960" s="11">
        <v>44418.5</v>
      </c>
      <c r="J960" s="10" t="s">
        <v>51</v>
      </c>
      <c r="K960" s="10" t="s">
        <v>34</v>
      </c>
      <c r="N960" s="10" t="s">
        <v>35</v>
      </c>
      <c r="V960" s="14" t="s">
        <v>3519</v>
      </c>
      <c r="W960" s="15"/>
      <c r="X960" s="10" t="s">
        <v>37</v>
      </c>
      <c r="Y960" s="10" t="s">
        <v>0</v>
      </c>
    </row>
    <row r="961">
      <c r="A961" s="10" t="s">
        <v>3520</v>
      </c>
      <c r="B961" s="11">
        <v>44411.926428506944</v>
      </c>
      <c r="C961" s="10" t="s">
        <v>3521</v>
      </c>
      <c r="D961" s="10" t="s">
        <v>69</v>
      </c>
      <c r="E961" s="10" t="s">
        <v>2979</v>
      </c>
      <c r="F961" s="10" t="s">
        <v>3522</v>
      </c>
      <c r="G961" s="10" t="s">
        <v>3523</v>
      </c>
      <c r="H961" s="11">
        <v>44418.33333333333</v>
      </c>
      <c r="I961" s="11">
        <v>44420.77083333333</v>
      </c>
      <c r="J961" s="10" t="s">
        <v>172</v>
      </c>
      <c r="K961" s="10" t="s">
        <v>34</v>
      </c>
      <c r="N961" s="10" t="s">
        <v>35</v>
      </c>
      <c r="V961" s="14" t="s">
        <v>3524</v>
      </c>
      <c r="W961" s="15"/>
      <c r="X961" s="10" t="s">
        <v>37</v>
      </c>
      <c r="Y961" s="10" t="s">
        <v>0</v>
      </c>
    </row>
    <row r="962">
      <c r="A962" s="10" t="s">
        <v>3525</v>
      </c>
      <c r="B962" s="11">
        <v>44412.79055077546</v>
      </c>
      <c r="C962" s="10" t="s">
        <v>96</v>
      </c>
      <c r="D962" s="10" t="s">
        <v>97</v>
      </c>
      <c r="E962" s="10" t="s">
        <v>3526</v>
      </c>
      <c r="F962" s="10" t="s">
        <v>3527</v>
      </c>
      <c r="G962" s="10" t="s">
        <v>3528</v>
      </c>
      <c r="H962" s="11">
        <v>44418.33333333333</v>
      </c>
      <c r="I962" s="11">
        <v>44420.77083333333</v>
      </c>
      <c r="J962" s="10" t="s">
        <v>172</v>
      </c>
      <c r="K962" s="10" t="s">
        <v>34</v>
      </c>
      <c r="N962" s="10" t="s">
        <v>35</v>
      </c>
      <c r="V962" s="14" t="s">
        <v>3529</v>
      </c>
      <c r="W962" s="15"/>
      <c r="X962" s="10" t="s">
        <v>37</v>
      </c>
      <c r="Y962" s="10" t="s">
        <v>0</v>
      </c>
    </row>
    <row r="963">
      <c r="A963" s="10" t="s">
        <v>3530</v>
      </c>
      <c r="B963" s="11">
        <v>44413.97481328704</v>
      </c>
      <c r="C963" s="10" t="s">
        <v>610</v>
      </c>
      <c r="D963" s="10" t="s">
        <v>611</v>
      </c>
      <c r="E963" s="10" t="s">
        <v>3531</v>
      </c>
      <c r="F963" s="10" t="s">
        <v>173</v>
      </c>
      <c r="G963" s="10" t="s">
        <v>3532</v>
      </c>
      <c r="H963" s="11">
        <v>44418.33333333333</v>
      </c>
      <c r="I963" s="11">
        <v>44420.77083333333</v>
      </c>
      <c r="J963" s="10" t="s">
        <v>172</v>
      </c>
      <c r="K963" s="10" t="s">
        <v>34</v>
      </c>
      <c r="N963" s="10" t="s">
        <v>35</v>
      </c>
      <c r="V963" s="14" t="s">
        <v>3533</v>
      </c>
      <c r="W963" s="15"/>
      <c r="X963" s="10" t="s">
        <v>37</v>
      </c>
      <c r="Y963" s="10" t="s">
        <v>0</v>
      </c>
    </row>
    <row r="964">
      <c r="A964" s="10" t="s">
        <v>3534</v>
      </c>
      <c r="B964" s="11">
        <v>44414.69534701389</v>
      </c>
      <c r="C964" s="10" t="s">
        <v>610</v>
      </c>
      <c r="D964" s="10" t="s">
        <v>611</v>
      </c>
      <c r="E964" s="10" t="s">
        <v>3535</v>
      </c>
      <c r="F964" s="10" t="s">
        <v>173</v>
      </c>
      <c r="G964" s="10" t="s">
        <v>3536</v>
      </c>
      <c r="H964" s="11">
        <v>44418.33333333333</v>
      </c>
      <c r="I964" s="11">
        <v>44420.77083333333</v>
      </c>
      <c r="J964" s="10" t="s">
        <v>172</v>
      </c>
      <c r="K964" s="10" t="s">
        <v>34</v>
      </c>
      <c r="N964" s="10" t="s">
        <v>35</v>
      </c>
      <c r="V964" s="14" t="s">
        <v>3533</v>
      </c>
      <c r="W964" s="15"/>
      <c r="X964" s="10" t="s">
        <v>37</v>
      </c>
      <c r="Y964" s="10" t="s">
        <v>0</v>
      </c>
    </row>
    <row r="965">
      <c r="A965" s="10" t="s">
        <v>3537</v>
      </c>
      <c r="B965" s="11">
        <v>44417.82398238426</v>
      </c>
      <c r="C965" s="10" t="s">
        <v>694</v>
      </c>
      <c r="D965" s="10" t="s">
        <v>695</v>
      </c>
      <c r="E965" s="10" t="s">
        <v>3538</v>
      </c>
      <c r="F965" s="10" t="s">
        <v>173</v>
      </c>
      <c r="G965" s="10" t="s">
        <v>3539</v>
      </c>
      <c r="H965" s="11">
        <v>44418.33333333333</v>
      </c>
      <c r="I965" s="11">
        <v>44420.77083333333</v>
      </c>
      <c r="J965" s="10" t="s">
        <v>172</v>
      </c>
      <c r="K965" s="10" t="s">
        <v>34</v>
      </c>
      <c r="N965" s="10" t="s">
        <v>35</v>
      </c>
      <c r="V965" s="14" t="s">
        <v>3540</v>
      </c>
      <c r="W965" s="15"/>
      <c r="X965" s="10" t="s">
        <v>37</v>
      </c>
      <c r="Y965" s="10" t="s">
        <v>0</v>
      </c>
    </row>
    <row r="966">
      <c r="A966" s="10" t="s">
        <v>3541</v>
      </c>
      <c r="B966" s="11">
        <v>44424.76672454861</v>
      </c>
      <c r="C966" s="10" t="s">
        <v>160</v>
      </c>
      <c r="D966" s="10" t="s">
        <v>161</v>
      </c>
      <c r="E966" s="10" t="s">
        <v>3542</v>
      </c>
      <c r="F966" s="10" t="s">
        <v>173</v>
      </c>
      <c r="G966" s="10" t="s">
        <v>3543</v>
      </c>
      <c r="H966" s="11">
        <v>44418.33333333333</v>
      </c>
      <c r="I966" s="11">
        <v>44420.77083333333</v>
      </c>
      <c r="J966" s="10" t="s">
        <v>172</v>
      </c>
      <c r="K966" s="10" t="s">
        <v>34</v>
      </c>
      <c r="N966" s="10" t="s">
        <v>35</v>
      </c>
      <c r="V966" s="14" t="s">
        <v>3544</v>
      </c>
      <c r="W966" s="15"/>
      <c r="X966" s="10" t="s">
        <v>37</v>
      </c>
      <c r="Y966" s="10" t="s">
        <v>0</v>
      </c>
    </row>
    <row r="967">
      <c r="A967" s="10" t="s">
        <v>3545</v>
      </c>
      <c r="B967" s="11">
        <v>44413.03331940972</v>
      </c>
      <c r="C967" s="10" t="s">
        <v>347</v>
      </c>
      <c r="D967" s="10" t="s">
        <v>348</v>
      </c>
      <c r="E967" s="10" t="s">
        <v>3546</v>
      </c>
      <c r="F967" s="10" t="s">
        <v>3547</v>
      </c>
      <c r="G967" s="10" t="s">
        <v>3548</v>
      </c>
      <c r="H967" s="11">
        <v>44421.10416666667</v>
      </c>
      <c r="I967" s="11">
        <v>44421.1875</v>
      </c>
      <c r="J967" s="10" t="s">
        <v>128</v>
      </c>
      <c r="K967" s="10" t="s">
        <v>34</v>
      </c>
      <c r="N967" s="10" t="s">
        <v>35</v>
      </c>
      <c r="V967" s="14" t="s">
        <v>3549</v>
      </c>
      <c r="W967" s="15"/>
      <c r="X967" s="10" t="s">
        <v>37</v>
      </c>
      <c r="Y967" s="10" t="s">
        <v>0</v>
      </c>
    </row>
    <row r="968">
      <c r="A968" s="10" t="s">
        <v>3550</v>
      </c>
      <c r="B968" s="11">
        <v>44413.45151059028</v>
      </c>
      <c r="C968" s="10" t="s">
        <v>3521</v>
      </c>
      <c r="D968" s="10" t="s">
        <v>69</v>
      </c>
      <c r="E968" s="10" t="s">
        <v>3551</v>
      </c>
      <c r="F968" s="10" t="s">
        <v>3552</v>
      </c>
      <c r="G968" s="10" t="s">
        <v>3553</v>
      </c>
      <c r="H968" s="11">
        <v>44410.72916666667</v>
      </c>
      <c r="I968" s="11">
        <v>44537.77083333333</v>
      </c>
      <c r="J968" s="10" t="s">
        <v>128</v>
      </c>
      <c r="K968" s="10" t="s">
        <v>34</v>
      </c>
      <c r="N968" s="10" t="s">
        <v>35</v>
      </c>
      <c r="V968" s="14" t="s">
        <v>3554</v>
      </c>
      <c r="W968" s="15"/>
      <c r="X968" s="10" t="s">
        <v>37</v>
      </c>
      <c r="Y968" s="10" t="s">
        <v>0</v>
      </c>
    </row>
    <row r="969">
      <c r="A969" s="10" t="s">
        <v>3555</v>
      </c>
      <c r="B969" s="11">
        <v>44412.84207349537</v>
      </c>
      <c r="C969" s="10" t="s">
        <v>239</v>
      </c>
      <c r="D969" s="10" t="s">
        <v>240</v>
      </c>
      <c r="E969" s="10" t="s">
        <v>3506</v>
      </c>
      <c r="F969" s="10" t="s">
        <v>3556</v>
      </c>
      <c r="G969" s="10" t="s">
        <v>3557</v>
      </c>
      <c r="H969" s="11">
        <v>44418.4375</v>
      </c>
      <c r="I969" s="11">
        <v>44418.47916666667</v>
      </c>
      <c r="J969" s="10" t="s">
        <v>172</v>
      </c>
      <c r="K969" s="10" t="s">
        <v>34</v>
      </c>
      <c r="N969" s="10" t="s">
        <v>35</v>
      </c>
      <c r="V969" s="14" t="s">
        <v>3558</v>
      </c>
      <c r="W969" s="15"/>
      <c r="X969" s="10" t="s">
        <v>37</v>
      </c>
      <c r="Y969" s="10" t="s">
        <v>0</v>
      </c>
    </row>
    <row r="970">
      <c r="A970" s="10" t="s">
        <v>3559</v>
      </c>
      <c r="B970" s="11">
        <v>44414.59617609954</v>
      </c>
      <c r="C970" s="10" t="s">
        <v>347</v>
      </c>
      <c r="D970" s="10" t="s">
        <v>348</v>
      </c>
      <c r="E970" s="10" t="s">
        <v>3429</v>
      </c>
      <c r="F970" s="10" t="s">
        <v>3560</v>
      </c>
      <c r="G970" s="10" t="s">
        <v>3561</v>
      </c>
      <c r="H970" s="11">
        <v>44421.6875</v>
      </c>
      <c r="I970" s="11">
        <v>44421.72916666667</v>
      </c>
      <c r="J970" s="10" t="s">
        <v>128</v>
      </c>
      <c r="K970" s="10" t="s">
        <v>34</v>
      </c>
      <c r="N970" s="10" t="s">
        <v>35</v>
      </c>
      <c r="V970" s="14" t="s">
        <v>3562</v>
      </c>
      <c r="W970" s="15"/>
      <c r="X970" s="10" t="s">
        <v>37</v>
      </c>
      <c r="Y970" s="10" t="s">
        <v>0</v>
      </c>
    </row>
    <row r="971">
      <c r="A971" s="10" t="s">
        <v>3563</v>
      </c>
      <c r="B971" s="11">
        <v>44414.59882223379</v>
      </c>
      <c r="C971" s="10" t="s">
        <v>347</v>
      </c>
      <c r="D971" s="10" t="s">
        <v>348</v>
      </c>
      <c r="E971" s="10" t="s">
        <v>3429</v>
      </c>
      <c r="F971" s="10" t="s">
        <v>3564</v>
      </c>
      <c r="G971" s="10" t="s">
        <v>3565</v>
      </c>
      <c r="H971" s="11">
        <v>44422.4375</v>
      </c>
      <c r="I971" s="11">
        <v>44422.52083333333</v>
      </c>
      <c r="J971" s="10" t="s">
        <v>128</v>
      </c>
      <c r="K971" s="10" t="s">
        <v>34</v>
      </c>
      <c r="N971" s="10" t="s">
        <v>35</v>
      </c>
      <c r="V971" s="14" t="s">
        <v>3562</v>
      </c>
      <c r="W971" s="15"/>
      <c r="X971" s="10" t="s">
        <v>37</v>
      </c>
      <c r="Y971" s="10" t="s">
        <v>0</v>
      </c>
    </row>
    <row r="972">
      <c r="A972" s="10" t="s">
        <v>3566</v>
      </c>
      <c r="B972" s="11">
        <v>44414.67390284722</v>
      </c>
      <c r="C972" s="10" t="s">
        <v>80</v>
      </c>
      <c r="D972" s="10" t="s">
        <v>81</v>
      </c>
      <c r="E972" s="10" t="s">
        <v>82</v>
      </c>
      <c r="F972" s="10" t="s">
        <v>3567</v>
      </c>
      <c r="G972" s="10" t="s">
        <v>3568</v>
      </c>
      <c r="H972" s="11">
        <v>44415.6875</v>
      </c>
      <c r="I972" s="11">
        <v>44415.72916666667</v>
      </c>
      <c r="J972" s="10" t="s">
        <v>128</v>
      </c>
      <c r="K972" s="10" t="s">
        <v>34</v>
      </c>
      <c r="N972" s="10" t="s">
        <v>35</v>
      </c>
      <c r="V972" s="14" t="s">
        <v>3569</v>
      </c>
      <c r="W972" s="15"/>
      <c r="X972" s="10" t="s">
        <v>37</v>
      </c>
      <c r="Y972" s="10" t="s">
        <v>0</v>
      </c>
    </row>
    <row r="973">
      <c r="A973" s="10" t="s">
        <v>3570</v>
      </c>
      <c r="B973" s="11">
        <v>44414.67690005787</v>
      </c>
      <c r="C973" s="10" t="s">
        <v>181</v>
      </c>
      <c r="D973" s="10" t="s">
        <v>69</v>
      </c>
      <c r="E973" s="10" t="s">
        <v>3551</v>
      </c>
      <c r="F973" s="10" t="s">
        <v>3571</v>
      </c>
      <c r="G973" s="10" t="s">
        <v>3572</v>
      </c>
      <c r="H973" s="11">
        <v>44417.72916666667</v>
      </c>
      <c r="I973" s="11">
        <v>44417.77083333333</v>
      </c>
      <c r="J973" s="10" t="s">
        <v>128</v>
      </c>
      <c r="K973" s="10" t="s">
        <v>34</v>
      </c>
      <c r="N973" s="10" t="s">
        <v>35</v>
      </c>
      <c r="V973" s="14" t="s">
        <v>3554</v>
      </c>
      <c r="W973" s="15"/>
      <c r="X973" s="10" t="s">
        <v>37</v>
      </c>
      <c r="Y973" s="10" t="s">
        <v>0</v>
      </c>
    </row>
    <row r="974">
      <c r="A974" s="10" t="s">
        <v>3573</v>
      </c>
      <c r="B974" s="11">
        <v>44414.678362060185</v>
      </c>
      <c r="C974" s="10" t="s">
        <v>181</v>
      </c>
      <c r="D974" s="10" t="s">
        <v>69</v>
      </c>
      <c r="E974" s="10" t="s">
        <v>3574</v>
      </c>
      <c r="F974" s="10" t="s">
        <v>3575</v>
      </c>
      <c r="G974" s="10" t="s">
        <v>3576</v>
      </c>
      <c r="H974" s="11">
        <v>44417.54166666667</v>
      </c>
      <c r="I974" s="11">
        <v>44417.58333333333</v>
      </c>
      <c r="J974" s="10" t="s">
        <v>128</v>
      </c>
      <c r="K974" s="10" t="s">
        <v>34</v>
      </c>
      <c r="N974" s="10" t="s">
        <v>35</v>
      </c>
      <c r="V974" s="14" t="s">
        <v>3577</v>
      </c>
      <c r="W974" s="15"/>
      <c r="X974" s="10" t="s">
        <v>37</v>
      </c>
      <c r="Y974" s="10" t="s">
        <v>0</v>
      </c>
    </row>
    <row r="975">
      <c r="A975" s="10" t="s">
        <v>3578</v>
      </c>
      <c r="B975" s="11">
        <v>44411.524088645834</v>
      </c>
      <c r="C975" s="10" t="s">
        <v>209</v>
      </c>
      <c r="D975" s="10" t="s">
        <v>210</v>
      </c>
      <c r="E975" s="10" t="s">
        <v>261</v>
      </c>
      <c r="F975" s="10" t="s">
        <v>3579</v>
      </c>
      <c r="G975" s="10" t="s">
        <v>3580</v>
      </c>
      <c r="H975" s="11">
        <v>44418.60416666667</v>
      </c>
      <c r="I975" s="11">
        <v>44418.6875</v>
      </c>
      <c r="J975" s="10" t="s">
        <v>43</v>
      </c>
      <c r="K975" s="10" t="s">
        <v>34</v>
      </c>
      <c r="N975" s="10" t="s">
        <v>296</v>
      </c>
      <c r="O975" s="18" t="s">
        <v>3581</v>
      </c>
      <c r="P975" s="10" t="s">
        <v>296</v>
      </c>
      <c r="Q975" s="10">
        <v>2.0</v>
      </c>
      <c r="R975" s="10" t="s">
        <v>35</v>
      </c>
      <c r="T975" s="10" t="s">
        <v>296</v>
      </c>
      <c r="U975" s="10">
        <v>1.0</v>
      </c>
      <c r="V975" s="14" t="s">
        <v>3582</v>
      </c>
      <c r="W975" s="15" t="s">
        <v>3583</v>
      </c>
      <c r="X975" s="10" t="s">
        <v>37</v>
      </c>
      <c r="Y975" s="10" t="s">
        <v>0</v>
      </c>
    </row>
    <row r="976">
      <c r="A976" s="10" t="s">
        <v>3584</v>
      </c>
      <c r="B976" s="11">
        <v>44414.704790625</v>
      </c>
      <c r="C976" s="10" t="s">
        <v>3585</v>
      </c>
      <c r="D976" s="10" t="s">
        <v>220</v>
      </c>
      <c r="E976" s="10" t="s">
        <v>3586</v>
      </c>
      <c r="F976" s="10" t="s">
        <v>3587</v>
      </c>
      <c r="G976" s="10" t="s">
        <v>3588</v>
      </c>
      <c r="H976" s="11">
        <v>44418.625</v>
      </c>
      <c r="I976" s="11">
        <v>44418.99930555555</v>
      </c>
      <c r="J976" s="10" t="s">
        <v>172</v>
      </c>
      <c r="K976" s="10" t="s">
        <v>34</v>
      </c>
      <c r="N976" s="10" t="s">
        <v>35</v>
      </c>
      <c r="V976" s="14" t="s">
        <v>3589</v>
      </c>
      <c r="W976" s="15"/>
      <c r="X976" s="10" t="s">
        <v>37</v>
      </c>
      <c r="Y976" s="10" t="s">
        <v>0</v>
      </c>
    </row>
    <row r="977">
      <c r="A977" s="10" t="s">
        <v>3590</v>
      </c>
      <c r="B977" s="11">
        <v>44414.68368400463</v>
      </c>
      <c r="C977" s="10" t="s">
        <v>181</v>
      </c>
      <c r="D977" s="10" t="s">
        <v>69</v>
      </c>
      <c r="E977" s="10" t="s">
        <v>1179</v>
      </c>
      <c r="F977" s="10" t="s">
        <v>3591</v>
      </c>
      <c r="G977" s="10" t="s">
        <v>3592</v>
      </c>
      <c r="H977" s="11">
        <v>44417.60416666667</v>
      </c>
      <c r="I977" s="11">
        <v>44417.6875</v>
      </c>
      <c r="J977" s="10" t="s">
        <v>128</v>
      </c>
      <c r="K977" s="10" t="s">
        <v>34</v>
      </c>
      <c r="N977" s="10" t="s">
        <v>35</v>
      </c>
      <c r="V977" s="14" t="s">
        <v>3490</v>
      </c>
      <c r="W977" s="15"/>
      <c r="X977" s="10" t="s">
        <v>37</v>
      </c>
      <c r="Y977" s="10" t="s">
        <v>0</v>
      </c>
    </row>
    <row r="978">
      <c r="A978" s="10" t="s">
        <v>3593</v>
      </c>
      <c r="B978" s="11">
        <v>44414.68499681713</v>
      </c>
      <c r="C978" s="10" t="s">
        <v>181</v>
      </c>
      <c r="D978" s="10" t="s">
        <v>69</v>
      </c>
      <c r="E978" s="10" t="s">
        <v>1179</v>
      </c>
      <c r="F978" s="10" t="s">
        <v>3594</v>
      </c>
      <c r="G978" s="10" t="s">
        <v>3595</v>
      </c>
      <c r="H978" s="11">
        <v>44422.60416666667</v>
      </c>
      <c r="I978" s="11">
        <v>44422.6875</v>
      </c>
      <c r="J978" s="10" t="s">
        <v>128</v>
      </c>
      <c r="K978" s="10" t="s">
        <v>34</v>
      </c>
      <c r="N978" s="10" t="s">
        <v>35</v>
      </c>
      <c r="V978" s="14" t="s">
        <v>3490</v>
      </c>
      <c r="W978" s="15"/>
      <c r="X978" s="10" t="s">
        <v>37</v>
      </c>
      <c r="Y978" s="10" t="s">
        <v>0</v>
      </c>
    </row>
    <row r="979">
      <c r="A979" s="10" t="s">
        <v>3596</v>
      </c>
      <c r="B979" s="11">
        <v>44412.81937506945</v>
      </c>
      <c r="C979" s="10" t="s">
        <v>239</v>
      </c>
      <c r="D979" s="10" t="s">
        <v>240</v>
      </c>
      <c r="E979" s="10" t="s">
        <v>3506</v>
      </c>
      <c r="F979" s="10" t="s">
        <v>3507</v>
      </c>
      <c r="G979" s="10" t="s">
        <v>3597</v>
      </c>
      <c r="H979" s="11">
        <v>44419.4375</v>
      </c>
      <c r="I979" s="11">
        <v>44419.47916666667</v>
      </c>
      <c r="J979" s="10" t="s">
        <v>172</v>
      </c>
      <c r="K979" s="10" t="s">
        <v>34</v>
      </c>
      <c r="N979" s="10" t="s">
        <v>35</v>
      </c>
      <c r="V979" s="35" t="s">
        <v>3598</v>
      </c>
      <c r="W979" s="15"/>
      <c r="X979" s="10" t="s">
        <v>37</v>
      </c>
      <c r="Y979" s="10" t="s">
        <v>0</v>
      </c>
    </row>
    <row r="980">
      <c r="A980" s="10" t="s">
        <v>3599</v>
      </c>
      <c r="B980" s="11">
        <v>44414.701534340275</v>
      </c>
      <c r="C980" s="10" t="s">
        <v>3585</v>
      </c>
      <c r="D980" s="10" t="s">
        <v>220</v>
      </c>
      <c r="E980" s="10" t="s">
        <v>3586</v>
      </c>
      <c r="F980" s="10" t="s">
        <v>3600</v>
      </c>
      <c r="G980" s="10" t="s">
        <v>3601</v>
      </c>
      <c r="H980" s="11">
        <v>44417.625</v>
      </c>
      <c r="I980" s="11">
        <v>44417.99930555555</v>
      </c>
      <c r="J980" s="10" t="s">
        <v>73</v>
      </c>
      <c r="K980" s="10" t="s">
        <v>34</v>
      </c>
      <c r="N980" s="10" t="s">
        <v>35</v>
      </c>
      <c r="V980" s="14" t="s">
        <v>3589</v>
      </c>
      <c r="W980" s="15"/>
      <c r="X980" s="10" t="s">
        <v>37</v>
      </c>
      <c r="Y980" s="10" t="s">
        <v>0</v>
      </c>
    </row>
    <row r="981">
      <c r="A981" s="10" t="s">
        <v>3602</v>
      </c>
      <c r="B981" s="11">
        <v>44414.70589142361</v>
      </c>
      <c r="C981" s="10" t="s">
        <v>3585</v>
      </c>
      <c r="D981" s="10" t="s">
        <v>220</v>
      </c>
      <c r="E981" s="10" t="s">
        <v>3586</v>
      </c>
      <c r="F981" s="10" t="s">
        <v>3603</v>
      </c>
      <c r="G981" s="10" t="s">
        <v>3604</v>
      </c>
      <c r="H981" s="11">
        <v>44419.54166666667</v>
      </c>
      <c r="I981" s="11">
        <v>44419.99930555555</v>
      </c>
      <c r="J981" s="10" t="s">
        <v>172</v>
      </c>
      <c r="K981" s="10" t="s">
        <v>34</v>
      </c>
      <c r="N981" s="10" t="s">
        <v>35</v>
      </c>
      <c r="V981" s="14" t="s">
        <v>3589</v>
      </c>
      <c r="W981" s="15"/>
      <c r="X981" s="10" t="s">
        <v>37</v>
      </c>
      <c r="Y981" s="10" t="s">
        <v>0</v>
      </c>
    </row>
    <row r="982">
      <c r="A982" s="10" t="s">
        <v>3605</v>
      </c>
      <c r="B982" s="11">
        <v>44414.70717878472</v>
      </c>
      <c r="C982" s="10" t="s">
        <v>3585</v>
      </c>
      <c r="D982" s="10" t="s">
        <v>220</v>
      </c>
      <c r="E982" s="10" t="s">
        <v>3606</v>
      </c>
      <c r="F982" s="10" t="s">
        <v>3607</v>
      </c>
      <c r="G982" s="10" t="s">
        <v>3608</v>
      </c>
      <c r="H982" s="11">
        <v>44419.58333333333</v>
      </c>
      <c r="I982" s="11">
        <v>44419.99930555555</v>
      </c>
      <c r="J982" s="10" t="s">
        <v>172</v>
      </c>
      <c r="K982" s="10" t="s">
        <v>34</v>
      </c>
      <c r="N982" s="10" t="s">
        <v>35</v>
      </c>
      <c r="V982" s="14" t="s">
        <v>3589</v>
      </c>
      <c r="W982" s="15"/>
      <c r="X982" s="10" t="s">
        <v>37</v>
      </c>
      <c r="Y982" s="10" t="s">
        <v>0</v>
      </c>
    </row>
    <row r="983">
      <c r="A983" s="10" t="s">
        <v>3609</v>
      </c>
      <c r="B983" s="11">
        <v>44414.708581747684</v>
      </c>
      <c r="C983" s="10" t="s">
        <v>3585</v>
      </c>
      <c r="D983" s="10" t="s">
        <v>220</v>
      </c>
      <c r="E983" s="10" t="s">
        <v>3586</v>
      </c>
      <c r="F983" s="10" t="s">
        <v>3610</v>
      </c>
      <c r="G983" s="10" t="s">
        <v>3611</v>
      </c>
      <c r="H983" s="11">
        <v>44419.66666666667</v>
      </c>
      <c r="I983" s="11">
        <v>44419.99930555555</v>
      </c>
      <c r="J983" s="10" t="s">
        <v>172</v>
      </c>
      <c r="K983" s="10" t="s">
        <v>34</v>
      </c>
      <c r="N983" s="10" t="s">
        <v>35</v>
      </c>
      <c r="V983" s="14" t="s">
        <v>3589</v>
      </c>
      <c r="W983" s="15"/>
      <c r="X983" s="10" t="s">
        <v>37</v>
      </c>
      <c r="Y983" s="10" t="s">
        <v>0</v>
      </c>
    </row>
    <row r="984">
      <c r="A984" s="10" t="s">
        <v>3612</v>
      </c>
      <c r="B984" s="11">
        <v>44417.76354979166</v>
      </c>
      <c r="C984" s="10" t="s">
        <v>247</v>
      </c>
      <c r="D984" s="10" t="s">
        <v>248</v>
      </c>
      <c r="E984" s="10" t="s">
        <v>3613</v>
      </c>
      <c r="F984" s="10" t="s">
        <v>3614</v>
      </c>
      <c r="G984" s="10" t="s">
        <v>3615</v>
      </c>
      <c r="H984" s="11">
        <v>44420.41666666667</v>
      </c>
      <c r="I984" s="11">
        <v>44420.45833333333</v>
      </c>
      <c r="J984" s="10" t="s">
        <v>43</v>
      </c>
      <c r="K984" s="10" t="s">
        <v>34</v>
      </c>
      <c r="N984" s="10" t="s">
        <v>296</v>
      </c>
      <c r="O984" s="18" t="s">
        <v>3616</v>
      </c>
      <c r="P984" s="10" t="s">
        <v>296</v>
      </c>
      <c r="Q984" s="10">
        <v>1.0</v>
      </c>
      <c r="R984" s="10" t="s">
        <v>35</v>
      </c>
      <c r="T984" s="10" t="s">
        <v>35</v>
      </c>
      <c r="V984" s="14" t="s">
        <v>3617</v>
      </c>
      <c r="W984" s="15"/>
      <c r="X984" s="10" t="s">
        <v>37</v>
      </c>
      <c r="Y984" s="10" t="s">
        <v>0</v>
      </c>
    </row>
    <row r="985">
      <c r="A985" s="10" t="s">
        <v>3618</v>
      </c>
      <c r="B985" s="11">
        <v>44412.82059179398</v>
      </c>
      <c r="C985" s="10" t="s">
        <v>239</v>
      </c>
      <c r="D985" s="10" t="s">
        <v>240</v>
      </c>
      <c r="E985" s="10" t="s">
        <v>3506</v>
      </c>
      <c r="F985" s="10" t="s">
        <v>3507</v>
      </c>
      <c r="G985" s="10" t="s">
        <v>3619</v>
      </c>
      <c r="H985" s="11">
        <v>44420.47916666667</v>
      </c>
      <c r="I985" s="11">
        <v>44420.52083333333</v>
      </c>
      <c r="J985" s="10" t="s">
        <v>172</v>
      </c>
      <c r="K985" s="10" t="s">
        <v>34</v>
      </c>
      <c r="N985" s="10" t="s">
        <v>35</v>
      </c>
      <c r="V985" s="14" t="s">
        <v>3558</v>
      </c>
      <c r="W985" s="15"/>
      <c r="X985" s="10" t="s">
        <v>37</v>
      </c>
      <c r="Y985" s="10" t="s">
        <v>0</v>
      </c>
    </row>
    <row r="986">
      <c r="A986" s="10" t="s">
        <v>3620</v>
      </c>
      <c r="B986" s="11">
        <v>44414.70967467593</v>
      </c>
      <c r="C986" s="10" t="s">
        <v>3585</v>
      </c>
      <c r="D986" s="10" t="s">
        <v>220</v>
      </c>
      <c r="E986" s="10" t="s">
        <v>3606</v>
      </c>
      <c r="F986" s="10" t="s">
        <v>3621</v>
      </c>
      <c r="G986" s="10" t="s">
        <v>3622</v>
      </c>
      <c r="H986" s="11">
        <v>44420.54166666667</v>
      </c>
      <c r="I986" s="11">
        <v>44420.99930555555</v>
      </c>
      <c r="J986" s="10" t="s">
        <v>172</v>
      </c>
      <c r="K986" s="10" t="s">
        <v>34</v>
      </c>
      <c r="N986" s="10" t="s">
        <v>35</v>
      </c>
      <c r="V986" s="14" t="s">
        <v>3589</v>
      </c>
      <c r="W986" s="15"/>
      <c r="X986" s="10" t="s">
        <v>37</v>
      </c>
      <c r="Y986" s="10" t="s">
        <v>0</v>
      </c>
    </row>
    <row r="987">
      <c r="A987" s="10" t="s">
        <v>3623</v>
      </c>
      <c r="B987" s="11">
        <v>44412.82546596065</v>
      </c>
      <c r="C987" s="10" t="s">
        <v>239</v>
      </c>
      <c r="D987" s="10" t="s">
        <v>240</v>
      </c>
      <c r="E987" s="10" t="s">
        <v>3506</v>
      </c>
      <c r="F987" s="10" t="s">
        <v>3624</v>
      </c>
      <c r="G987" s="10" t="s">
        <v>3625</v>
      </c>
      <c r="H987" s="11">
        <v>44420.60416666667</v>
      </c>
      <c r="I987" s="11">
        <v>44420.64583333333</v>
      </c>
      <c r="J987" s="10" t="s">
        <v>172</v>
      </c>
      <c r="K987" s="10" t="s">
        <v>34</v>
      </c>
      <c r="N987" s="10" t="s">
        <v>35</v>
      </c>
      <c r="V987" s="14" t="s">
        <v>3626</v>
      </c>
      <c r="W987" s="15"/>
      <c r="X987" s="10" t="s">
        <v>37</v>
      </c>
      <c r="Y987" s="10" t="s">
        <v>0</v>
      </c>
    </row>
    <row r="988">
      <c r="A988" s="10" t="s">
        <v>3627</v>
      </c>
      <c r="B988" s="11">
        <v>44415.65285663195</v>
      </c>
      <c r="C988" s="10" t="s">
        <v>160</v>
      </c>
      <c r="D988" s="10" t="s">
        <v>161</v>
      </c>
      <c r="E988" s="10" t="s">
        <v>947</v>
      </c>
      <c r="F988" s="10" t="s">
        <v>3628</v>
      </c>
      <c r="G988" s="10" t="s">
        <v>3629</v>
      </c>
      <c r="H988" s="11">
        <v>44414.60416666667</v>
      </c>
      <c r="I988" s="11">
        <v>44414.64583333333</v>
      </c>
      <c r="J988" s="10" t="s">
        <v>128</v>
      </c>
      <c r="K988" s="10" t="s">
        <v>34</v>
      </c>
      <c r="N988" s="10" t="s">
        <v>35</v>
      </c>
      <c r="V988" s="14" t="s">
        <v>3630</v>
      </c>
      <c r="W988" s="15"/>
      <c r="X988" s="10" t="s">
        <v>37</v>
      </c>
      <c r="Y988" s="10" t="s">
        <v>0</v>
      </c>
    </row>
    <row r="989">
      <c r="A989" s="10" t="s">
        <v>3631</v>
      </c>
      <c r="B989" s="11">
        <v>44414.71089929398</v>
      </c>
      <c r="C989" s="10" t="s">
        <v>3585</v>
      </c>
      <c r="D989" s="10" t="s">
        <v>220</v>
      </c>
      <c r="E989" s="10" t="s">
        <v>3606</v>
      </c>
      <c r="F989" s="10" t="s">
        <v>3632</v>
      </c>
      <c r="G989" s="10" t="s">
        <v>3633</v>
      </c>
      <c r="H989" s="11">
        <v>44420.625</v>
      </c>
      <c r="I989" s="11">
        <v>44420.99930555555</v>
      </c>
      <c r="J989" s="10" t="s">
        <v>172</v>
      </c>
      <c r="K989" s="10" t="s">
        <v>34</v>
      </c>
      <c r="N989" s="10" t="s">
        <v>35</v>
      </c>
      <c r="V989" s="14" t="s">
        <v>3589</v>
      </c>
      <c r="W989" s="15"/>
      <c r="X989" s="10" t="s">
        <v>37</v>
      </c>
      <c r="Y989" s="10" t="s">
        <v>0</v>
      </c>
    </row>
    <row r="990">
      <c r="A990" s="10" t="s">
        <v>3634</v>
      </c>
      <c r="B990" s="11">
        <v>44414.68023506945</v>
      </c>
      <c r="C990" s="10" t="s">
        <v>181</v>
      </c>
      <c r="D990" s="10" t="s">
        <v>69</v>
      </c>
      <c r="E990" s="10" t="s">
        <v>1229</v>
      </c>
      <c r="F990" s="10" t="s">
        <v>3635</v>
      </c>
      <c r="G990" s="10" t="s">
        <v>3636</v>
      </c>
      <c r="H990" s="11">
        <v>44421.60416666667</v>
      </c>
      <c r="I990" s="11">
        <v>44421.64583333333</v>
      </c>
      <c r="J990" s="10" t="s">
        <v>43</v>
      </c>
      <c r="K990" s="10" t="s">
        <v>34</v>
      </c>
      <c r="N990" s="10" t="s">
        <v>296</v>
      </c>
      <c r="O990" s="18" t="s">
        <v>3637</v>
      </c>
      <c r="P990" s="10" t="s">
        <v>35</v>
      </c>
      <c r="R990" s="10" t="s">
        <v>296</v>
      </c>
      <c r="S990" s="10">
        <v>1.0</v>
      </c>
      <c r="T990" s="10" t="s">
        <v>35</v>
      </c>
      <c r="V990" s="37" t="s">
        <v>3638</v>
      </c>
      <c r="W990" s="15"/>
      <c r="X990" s="10" t="s">
        <v>37</v>
      </c>
      <c r="Y990" s="10" t="s">
        <v>0</v>
      </c>
    </row>
    <row r="991">
      <c r="A991" s="10" t="s">
        <v>3639</v>
      </c>
      <c r="B991" s="11">
        <v>44414.78019810186</v>
      </c>
      <c r="C991" s="10" t="s">
        <v>694</v>
      </c>
      <c r="D991" s="10" t="s">
        <v>695</v>
      </c>
      <c r="E991" s="10" t="s">
        <v>3305</v>
      </c>
      <c r="F991" s="10" t="s">
        <v>3640</v>
      </c>
      <c r="G991" s="10" t="s">
        <v>3641</v>
      </c>
      <c r="H991" s="11">
        <v>44421.64583333333</v>
      </c>
      <c r="I991" s="11">
        <v>44421.6875</v>
      </c>
      <c r="J991" s="10" t="s">
        <v>43</v>
      </c>
      <c r="K991" s="10" t="s">
        <v>34</v>
      </c>
      <c r="N991" s="10" t="s">
        <v>296</v>
      </c>
      <c r="O991" s="18" t="s">
        <v>3642</v>
      </c>
      <c r="P991" s="10" t="s">
        <v>35</v>
      </c>
      <c r="R991" s="10" t="s">
        <v>35</v>
      </c>
      <c r="T991" s="10" t="s">
        <v>296</v>
      </c>
      <c r="U991" s="10">
        <v>1.0</v>
      </c>
      <c r="V991" s="14" t="s">
        <v>3643</v>
      </c>
      <c r="W991" s="15"/>
      <c r="X991" s="10" t="s">
        <v>37</v>
      </c>
      <c r="Y991" s="10" t="s">
        <v>0</v>
      </c>
    </row>
    <row r="992">
      <c r="A992" s="10" t="s">
        <v>3644</v>
      </c>
      <c r="B992" s="11">
        <v>44417.75942565972</v>
      </c>
      <c r="C992" s="10" t="s">
        <v>247</v>
      </c>
      <c r="D992" s="10" t="s">
        <v>248</v>
      </c>
      <c r="E992" s="10" t="s">
        <v>3645</v>
      </c>
      <c r="F992" s="10" t="s">
        <v>3646</v>
      </c>
      <c r="G992" s="10" t="s">
        <v>3647</v>
      </c>
      <c r="H992" s="11">
        <v>44421.64583333333</v>
      </c>
      <c r="I992" s="11">
        <v>44421.72916666667</v>
      </c>
      <c r="J992" s="10" t="s">
        <v>43</v>
      </c>
      <c r="K992" s="10" t="s">
        <v>34</v>
      </c>
      <c r="N992" s="10" t="s">
        <v>296</v>
      </c>
      <c r="O992" s="18" t="s">
        <v>3648</v>
      </c>
      <c r="P992" s="10" t="s">
        <v>296</v>
      </c>
      <c r="Q992" s="10">
        <v>1.0</v>
      </c>
      <c r="R992" s="10" t="s">
        <v>35</v>
      </c>
      <c r="T992" s="10" t="s">
        <v>35</v>
      </c>
      <c r="V992" s="14" t="s">
        <v>3649</v>
      </c>
      <c r="W992" s="15"/>
      <c r="X992" s="10" t="s">
        <v>37</v>
      </c>
      <c r="Y992" s="10" t="s">
        <v>0</v>
      </c>
    </row>
    <row r="993">
      <c r="A993" s="10" t="s">
        <v>3650</v>
      </c>
      <c r="B993" s="11">
        <v>44417.76139605324</v>
      </c>
      <c r="C993" s="10" t="s">
        <v>247</v>
      </c>
      <c r="D993" s="10" t="s">
        <v>248</v>
      </c>
      <c r="E993" s="10" t="s">
        <v>3645</v>
      </c>
      <c r="F993" s="10" t="s">
        <v>3651</v>
      </c>
      <c r="G993" s="10" t="s">
        <v>3652</v>
      </c>
      <c r="H993" s="11">
        <v>44421.64583333333</v>
      </c>
      <c r="I993" s="11">
        <v>44421.72916666667</v>
      </c>
      <c r="J993" s="10" t="s">
        <v>43</v>
      </c>
      <c r="K993" s="10" t="s">
        <v>34</v>
      </c>
      <c r="N993" s="10" t="s">
        <v>296</v>
      </c>
      <c r="O993" s="18" t="s">
        <v>3653</v>
      </c>
      <c r="P993" s="10" t="s">
        <v>296</v>
      </c>
      <c r="Q993" s="10">
        <v>1.0</v>
      </c>
      <c r="R993" s="10" t="s">
        <v>35</v>
      </c>
      <c r="T993" s="10" t="s">
        <v>35</v>
      </c>
      <c r="V993" s="14" t="s">
        <v>3649</v>
      </c>
      <c r="W993" s="15"/>
      <c r="X993" s="10" t="s">
        <v>37</v>
      </c>
      <c r="Y993" s="10" t="s">
        <v>0</v>
      </c>
    </row>
    <row r="994">
      <c r="A994" s="10" t="s">
        <v>3654</v>
      </c>
      <c r="B994" s="11">
        <v>44417.84906979167</v>
      </c>
      <c r="C994" s="10" t="s">
        <v>181</v>
      </c>
      <c r="D994" s="10" t="s">
        <v>69</v>
      </c>
      <c r="E994" s="10" t="s">
        <v>3655</v>
      </c>
      <c r="F994" s="10" t="s">
        <v>3656</v>
      </c>
      <c r="G994" s="10" t="s">
        <v>3657</v>
      </c>
      <c r="H994" s="11">
        <v>44424.47916666667</v>
      </c>
      <c r="I994" s="11">
        <v>44424.52083333333</v>
      </c>
      <c r="J994" s="10" t="s">
        <v>128</v>
      </c>
      <c r="K994" s="10" t="s">
        <v>34</v>
      </c>
      <c r="N994" s="10" t="s">
        <v>35</v>
      </c>
      <c r="V994" s="14" t="s">
        <v>3658</v>
      </c>
      <c r="W994" s="15"/>
      <c r="X994" s="10" t="s">
        <v>37</v>
      </c>
      <c r="Y994" s="10" t="s">
        <v>0</v>
      </c>
    </row>
    <row r="995">
      <c r="A995" s="10" t="s">
        <v>3659</v>
      </c>
      <c r="B995" s="11">
        <v>44425.31718991898</v>
      </c>
      <c r="C995" s="10" t="s">
        <v>975</v>
      </c>
      <c r="D995" s="10" t="s">
        <v>976</v>
      </c>
      <c r="E995" s="10" t="s">
        <v>3660</v>
      </c>
      <c r="F995" s="10" t="s">
        <v>3661</v>
      </c>
      <c r="G995" s="10" t="s">
        <v>3662</v>
      </c>
      <c r="H995" s="11">
        <v>44425.33333333333</v>
      </c>
      <c r="I995" s="11">
        <v>44428.75</v>
      </c>
      <c r="J995" s="10" t="s">
        <v>43</v>
      </c>
      <c r="K995" s="10" t="s">
        <v>34</v>
      </c>
      <c r="N995" s="10" t="s">
        <v>35</v>
      </c>
      <c r="V995" s="14" t="s">
        <v>3663</v>
      </c>
      <c r="W995" s="15"/>
      <c r="X995" s="10" t="s">
        <v>37</v>
      </c>
      <c r="Y995" s="10" t="s">
        <v>0</v>
      </c>
    </row>
    <row r="996">
      <c r="A996" s="10" t="s">
        <v>3664</v>
      </c>
      <c r="B996" s="11">
        <v>44425.31980755787</v>
      </c>
      <c r="C996" s="10" t="s">
        <v>975</v>
      </c>
      <c r="D996" s="10" t="s">
        <v>976</v>
      </c>
      <c r="E996" s="10" t="s">
        <v>3665</v>
      </c>
      <c r="F996" s="10" t="s">
        <v>3666</v>
      </c>
      <c r="G996" s="10" t="s">
        <v>3667</v>
      </c>
      <c r="H996" s="11">
        <v>44425.33333333333</v>
      </c>
      <c r="I996" s="11">
        <v>44428.75</v>
      </c>
      <c r="J996" s="10" t="s">
        <v>43</v>
      </c>
      <c r="K996" s="10" t="s">
        <v>34</v>
      </c>
      <c r="N996" s="10" t="s">
        <v>35</v>
      </c>
      <c r="V996" s="14" t="s">
        <v>3668</v>
      </c>
      <c r="W996" s="15"/>
      <c r="X996" s="10" t="s">
        <v>37</v>
      </c>
      <c r="Y996" s="10" t="s">
        <v>0</v>
      </c>
    </row>
    <row r="997">
      <c r="A997" s="10" t="s">
        <v>3669</v>
      </c>
      <c r="B997" s="11">
        <v>44419.429347557874</v>
      </c>
      <c r="C997" s="10" t="s">
        <v>181</v>
      </c>
      <c r="D997" s="10" t="s">
        <v>69</v>
      </c>
      <c r="E997" s="10" t="s">
        <v>1879</v>
      </c>
      <c r="F997" s="10" t="s">
        <v>3670</v>
      </c>
      <c r="G997" s="10" t="s">
        <v>3671</v>
      </c>
      <c r="H997" s="11">
        <v>44428.41666666667</v>
      </c>
      <c r="I997" s="11">
        <v>44428.41736111111</v>
      </c>
      <c r="J997" s="10" t="s">
        <v>73</v>
      </c>
      <c r="K997" s="10" t="s">
        <v>34</v>
      </c>
      <c r="N997" s="10" t="s">
        <v>35</v>
      </c>
      <c r="V997" s="14" t="s">
        <v>3672</v>
      </c>
      <c r="W997" s="15"/>
      <c r="X997" s="10" t="s">
        <v>37</v>
      </c>
      <c r="Y997" s="10" t="s">
        <v>0</v>
      </c>
    </row>
    <row r="998">
      <c r="A998" s="10" t="s">
        <v>3673</v>
      </c>
      <c r="B998" s="11">
        <v>44419.69950135417</v>
      </c>
      <c r="C998" s="10" t="s">
        <v>491</v>
      </c>
      <c r="D998" s="10" t="s">
        <v>492</v>
      </c>
      <c r="E998" s="10" t="s">
        <v>3674</v>
      </c>
      <c r="F998" s="10" t="s">
        <v>3675</v>
      </c>
      <c r="G998" s="10" t="s">
        <v>3676</v>
      </c>
      <c r="H998" s="11">
        <v>44418.66666666667</v>
      </c>
      <c r="I998" s="11">
        <v>44418.6875</v>
      </c>
      <c r="J998" s="10" t="s">
        <v>128</v>
      </c>
      <c r="K998" s="10" t="s">
        <v>34</v>
      </c>
      <c r="N998" s="10" t="s">
        <v>35</v>
      </c>
      <c r="V998" s="35" t="s">
        <v>3677</v>
      </c>
      <c r="W998" s="15"/>
      <c r="X998" s="10" t="s">
        <v>37</v>
      </c>
      <c r="Y998" s="10" t="s">
        <v>0</v>
      </c>
    </row>
    <row r="999">
      <c r="A999" s="10" t="s">
        <v>3678</v>
      </c>
      <c r="B999" s="11">
        <v>44425.32152543982</v>
      </c>
      <c r="C999" s="10" t="s">
        <v>975</v>
      </c>
      <c r="D999" s="10" t="s">
        <v>976</v>
      </c>
      <c r="E999" s="10" t="s">
        <v>3679</v>
      </c>
      <c r="F999" s="10" t="s">
        <v>3680</v>
      </c>
      <c r="G999" s="10" t="s">
        <v>3681</v>
      </c>
      <c r="H999" s="11">
        <v>44425.35416666667</v>
      </c>
      <c r="I999" s="11">
        <v>44425.4375</v>
      </c>
      <c r="J999" s="10" t="s">
        <v>43</v>
      </c>
      <c r="K999" s="10" t="s">
        <v>34</v>
      </c>
      <c r="N999" s="10" t="s">
        <v>35</v>
      </c>
      <c r="V999" s="14" t="s">
        <v>3682</v>
      </c>
      <c r="W999" s="15"/>
      <c r="X999" s="10" t="s">
        <v>37</v>
      </c>
      <c r="Y999" s="10" t="s">
        <v>0</v>
      </c>
    </row>
    <row r="1000">
      <c r="A1000" s="10" t="s">
        <v>3683</v>
      </c>
      <c r="B1000" s="11">
        <v>44421.670301307866</v>
      </c>
      <c r="C1000" s="10" t="s">
        <v>181</v>
      </c>
      <c r="D1000" s="10" t="s">
        <v>69</v>
      </c>
      <c r="E1000" s="10" t="s">
        <v>3684</v>
      </c>
      <c r="F1000" s="10" t="s">
        <v>3685</v>
      </c>
      <c r="G1000" s="10" t="s">
        <v>3686</v>
      </c>
      <c r="H1000" s="11">
        <v>44425.6875</v>
      </c>
      <c r="I1000" s="11">
        <v>44428.58333333333</v>
      </c>
      <c r="J1000" s="10" t="s">
        <v>1333</v>
      </c>
      <c r="K1000" s="10" t="s">
        <v>34</v>
      </c>
      <c r="N1000" s="10" t="s">
        <v>35</v>
      </c>
      <c r="V1000" s="14" t="s">
        <v>3687</v>
      </c>
      <c r="W1000" s="15"/>
      <c r="X1000" s="10" t="s">
        <v>37</v>
      </c>
      <c r="Y1000" s="10" t="s">
        <v>0</v>
      </c>
    </row>
    <row r="1001">
      <c r="A1001" s="10" t="s">
        <v>3688</v>
      </c>
      <c r="B1001" s="11">
        <v>44419.85083365741</v>
      </c>
      <c r="C1001" s="10" t="s">
        <v>491</v>
      </c>
      <c r="D1001" s="10" t="s">
        <v>492</v>
      </c>
      <c r="E1001" s="10" t="s">
        <v>3689</v>
      </c>
      <c r="F1001" s="10" t="s">
        <v>3690</v>
      </c>
      <c r="G1001" s="10" t="s">
        <v>3691</v>
      </c>
      <c r="H1001" s="11">
        <v>44420.79166666667</v>
      </c>
      <c r="I1001" s="11">
        <v>44420.83333333333</v>
      </c>
      <c r="J1001" s="10" t="s">
        <v>128</v>
      </c>
      <c r="K1001" s="10" t="s">
        <v>34</v>
      </c>
      <c r="N1001" s="10" t="s">
        <v>35</v>
      </c>
      <c r="V1001" s="14" t="s">
        <v>3692</v>
      </c>
      <c r="W1001" s="15"/>
      <c r="X1001" s="10" t="s">
        <v>37</v>
      </c>
      <c r="Y1001" s="10" t="s">
        <v>0</v>
      </c>
    </row>
    <row r="1002">
      <c r="A1002" s="10" t="s">
        <v>3693</v>
      </c>
      <c r="B1002" s="11">
        <v>44420.354180995375</v>
      </c>
      <c r="C1002" s="10" t="s">
        <v>610</v>
      </c>
      <c r="D1002" s="10" t="s">
        <v>611</v>
      </c>
      <c r="E1002" s="10" t="s">
        <v>3448</v>
      </c>
      <c r="F1002" s="10" t="s">
        <v>3694</v>
      </c>
      <c r="G1002" s="10" t="s">
        <v>3695</v>
      </c>
      <c r="H1002" s="11">
        <v>44424.35416666667</v>
      </c>
      <c r="I1002" s="11">
        <v>44428.6875</v>
      </c>
      <c r="J1002" s="10" t="s">
        <v>128</v>
      </c>
      <c r="K1002" s="10" t="s">
        <v>34</v>
      </c>
      <c r="N1002" s="10" t="s">
        <v>35</v>
      </c>
      <c r="V1002" s="14" t="s">
        <v>3696</v>
      </c>
      <c r="W1002" s="15"/>
      <c r="X1002" s="10" t="s">
        <v>37</v>
      </c>
      <c r="Y1002" s="10" t="s">
        <v>0</v>
      </c>
    </row>
    <row r="1003">
      <c r="A1003" s="10" t="s">
        <v>3697</v>
      </c>
      <c r="B1003" s="11">
        <v>44419.815636342595</v>
      </c>
      <c r="C1003" s="10" t="s">
        <v>975</v>
      </c>
      <c r="D1003" s="10" t="s">
        <v>976</v>
      </c>
      <c r="E1003" s="10" t="s">
        <v>3665</v>
      </c>
      <c r="F1003" s="10" t="s">
        <v>3698</v>
      </c>
      <c r="G1003" s="10" t="s">
        <v>3699</v>
      </c>
      <c r="H1003" s="11">
        <v>44426.35416666667</v>
      </c>
      <c r="I1003" s="11">
        <v>44426.39583333333</v>
      </c>
      <c r="J1003" s="10" t="s">
        <v>43</v>
      </c>
      <c r="K1003" s="10" t="s">
        <v>34</v>
      </c>
      <c r="N1003" s="10" t="s">
        <v>296</v>
      </c>
      <c r="O1003" s="18" t="s">
        <v>3700</v>
      </c>
      <c r="P1003" s="10" t="s">
        <v>296</v>
      </c>
      <c r="Q1003" s="10">
        <v>1.0</v>
      </c>
      <c r="R1003" s="10" t="s">
        <v>35</v>
      </c>
      <c r="T1003" s="10" t="s">
        <v>35</v>
      </c>
      <c r="V1003" s="14" t="s">
        <v>3701</v>
      </c>
      <c r="W1003" s="15"/>
      <c r="X1003" s="10" t="s">
        <v>37</v>
      </c>
      <c r="Y1003" s="10" t="s">
        <v>0</v>
      </c>
    </row>
    <row r="1004">
      <c r="A1004" s="10" t="s">
        <v>3702</v>
      </c>
      <c r="B1004" s="11">
        <v>44420.90909534722</v>
      </c>
      <c r="C1004" s="10" t="s">
        <v>347</v>
      </c>
      <c r="D1004" s="10" t="s">
        <v>348</v>
      </c>
      <c r="E1004" s="10" t="s">
        <v>3429</v>
      </c>
      <c r="F1004" s="10" t="s">
        <v>3703</v>
      </c>
      <c r="G1004" s="10" t="s">
        <v>3704</v>
      </c>
      <c r="H1004" s="11">
        <v>44421.60416666667</v>
      </c>
      <c r="I1004" s="11">
        <v>44421.6875</v>
      </c>
      <c r="J1004" s="10" t="s">
        <v>128</v>
      </c>
      <c r="K1004" s="10" t="s">
        <v>34</v>
      </c>
      <c r="N1004" s="10" t="s">
        <v>35</v>
      </c>
      <c r="V1004" s="14" t="s">
        <v>3705</v>
      </c>
      <c r="W1004" s="15"/>
      <c r="X1004" s="10" t="s">
        <v>37</v>
      </c>
      <c r="Y1004" s="10" t="s">
        <v>0</v>
      </c>
    </row>
    <row r="1005">
      <c r="A1005" s="10" t="s">
        <v>3706</v>
      </c>
      <c r="B1005" s="11">
        <v>44420.970273240746</v>
      </c>
      <c r="C1005" s="10" t="s">
        <v>137</v>
      </c>
      <c r="D1005" s="10" t="s">
        <v>138</v>
      </c>
      <c r="E1005" s="10" t="s">
        <v>3299</v>
      </c>
      <c r="F1005" s="10" t="s">
        <v>3707</v>
      </c>
      <c r="G1005" s="10" t="s">
        <v>3708</v>
      </c>
      <c r="H1005" s="11">
        <v>44428.66666666667</v>
      </c>
      <c r="I1005" s="11">
        <v>44428.6875</v>
      </c>
      <c r="J1005" s="10" t="s">
        <v>60</v>
      </c>
      <c r="K1005" s="10" t="s">
        <v>34</v>
      </c>
      <c r="N1005" s="10" t="s">
        <v>35</v>
      </c>
      <c r="V1005" s="35" t="s">
        <v>3709</v>
      </c>
      <c r="W1005" s="15"/>
      <c r="X1005" s="10" t="s">
        <v>3302</v>
      </c>
      <c r="Y1005" s="10" t="s">
        <v>0</v>
      </c>
    </row>
    <row r="1006">
      <c r="A1006" s="10" t="s">
        <v>3710</v>
      </c>
      <c r="B1006" s="11">
        <v>44421.48171450231</v>
      </c>
      <c r="C1006" s="10" t="s">
        <v>209</v>
      </c>
      <c r="D1006" s="10" t="s">
        <v>210</v>
      </c>
      <c r="E1006" s="10" t="s">
        <v>211</v>
      </c>
      <c r="F1006" s="10" t="s">
        <v>3711</v>
      </c>
      <c r="G1006" s="10" t="s">
        <v>3712</v>
      </c>
      <c r="H1006" s="11">
        <v>44429.64583333333</v>
      </c>
      <c r="I1006" s="11">
        <v>44429.72916666667</v>
      </c>
      <c r="J1006" s="10" t="s">
        <v>128</v>
      </c>
      <c r="K1006" s="10" t="s">
        <v>34</v>
      </c>
      <c r="N1006" s="10" t="s">
        <v>35</v>
      </c>
      <c r="V1006" s="14" t="s">
        <v>3713</v>
      </c>
      <c r="W1006" s="15"/>
      <c r="X1006" s="10" t="s">
        <v>37</v>
      </c>
      <c r="Y1006" s="10" t="s">
        <v>0</v>
      </c>
    </row>
    <row r="1007">
      <c r="A1007" s="10" t="s">
        <v>3714</v>
      </c>
      <c r="B1007" s="11">
        <v>44421.618790057866</v>
      </c>
      <c r="C1007" s="10" t="s">
        <v>516</v>
      </c>
      <c r="D1007" s="10" t="s">
        <v>511</v>
      </c>
      <c r="E1007" s="10" t="s">
        <v>518</v>
      </c>
      <c r="F1007" s="10" t="s">
        <v>3715</v>
      </c>
      <c r="G1007" s="10" t="s">
        <v>3716</v>
      </c>
      <c r="H1007" s="11">
        <v>44429.4375</v>
      </c>
      <c r="I1007" s="11">
        <v>44429.52083333333</v>
      </c>
      <c r="J1007" s="10" t="s">
        <v>128</v>
      </c>
      <c r="K1007" s="10" t="s">
        <v>34</v>
      </c>
      <c r="N1007" s="10" t="s">
        <v>35</v>
      </c>
      <c r="V1007" s="14" t="s">
        <v>3717</v>
      </c>
      <c r="W1007" s="15"/>
      <c r="X1007" s="10" t="s">
        <v>37</v>
      </c>
      <c r="Y1007" s="10" t="s">
        <v>0</v>
      </c>
    </row>
    <row r="1008">
      <c r="A1008" s="10" t="s">
        <v>3718</v>
      </c>
      <c r="B1008" s="11">
        <v>44421.63522065972</v>
      </c>
      <c r="C1008" s="10" t="s">
        <v>28</v>
      </c>
      <c r="D1008" s="10" t="s">
        <v>29</v>
      </c>
      <c r="E1008" s="10" t="s">
        <v>63</v>
      </c>
      <c r="F1008" s="10" t="s">
        <v>3719</v>
      </c>
      <c r="G1008" s="10" t="s">
        <v>3720</v>
      </c>
      <c r="H1008" s="11">
        <v>44429.4375</v>
      </c>
      <c r="I1008" s="11">
        <v>44429.52083333333</v>
      </c>
      <c r="J1008" s="10" t="s">
        <v>128</v>
      </c>
      <c r="K1008" s="10" t="s">
        <v>34</v>
      </c>
      <c r="N1008" s="10" t="s">
        <v>35</v>
      </c>
      <c r="V1008" s="14" t="s">
        <v>3721</v>
      </c>
      <c r="W1008" s="15"/>
      <c r="X1008" s="10" t="s">
        <v>37</v>
      </c>
      <c r="Y1008" s="10" t="s">
        <v>0</v>
      </c>
    </row>
    <row r="1009">
      <c r="A1009" s="10" t="s">
        <v>3722</v>
      </c>
      <c r="B1009" s="11">
        <v>44421.63782364583</v>
      </c>
      <c r="C1009" s="10" t="s">
        <v>491</v>
      </c>
      <c r="D1009" s="10" t="s">
        <v>492</v>
      </c>
      <c r="E1009" s="10" t="s">
        <v>3723</v>
      </c>
      <c r="F1009" s="10" t="s">
        <v>3724</v>
      </c>
      <c r="G1009" s="10" t="s">
        <v>3725</v>
      </c>
      <c r="H1009" s="11">
        <v>44427.79166666667</v>
      </c>
      <c r="I1009" s="11">
        <v>44427.79166666667</v>
      </c>
      <c r="J1009" s="10" t="s">
        <v>128</v>
      </c>
      <c r="K1009" s="10" t="s">
        <v>34</v>
      </c>
      <c r="N1009" s="10" t="s">
        <v>35</v>
      </c>
      <c r="V1009" s="14" t="s">
        <v>3726</v>
      </c>
      <c r="W1009" s="15"/>
      <c r="X1009" s="10" t="s">
        <v>37</v>
      </c>
      <c r="Y1009" s="10" t="s">
        <v>0</v>
      </c>
    </row>
    <row r="1010">
      <c r="A1010" s="10" t="s">
        <v>3727</v>
      </c>
      <c r="B1010" s="11">
        <v>44421.64522288194</v>
      </c>
      <c r="C1010" s="10" t="s">
        <v>491</v>
      </c>
      <c r="D1010" s="10" t="s">
        <v>492</v>
      </c>
      <c r="E1010" s="10" t="s">
        <v>3728</v>
      </c>
      <c r="F1010" s="10" t="s">
        <v>3729</v>
      </c>
      <c r="G1010" s="10" t="s">
        <v>3730</v>
      </c>
      <c r="H1010" s="11">
        <v>44426.75</v>
      </c>
      <c r="I1010" s="11">
        <v>44426.83333333333</v>
      </c>
      <c r="J1010" s="10" t="s">
        <v>128</v>
      </c>
      <c r="K1010" s="10" t="s">
        <v>34</v>
      </c>
      <c r="N1010" s="10" t="s">
        <v>35</v>
      </c>
      <c r="V1010" s="14" t="s">
        <v>3731</v>
      </c>
      <c r="W1010" s="15"/>
      <c r="X1010" s="10" t="s">
        <v>37</v>
      </c>
      <c r="Y1010" s="10" t="s">
        <v>0</v>
      </c>
    </row>
    <row r="1011">
      <c r="A1011" s="10" t="s">
        <v>3732</v>
      </c>
      <c r="B1011" s="11">
        <v>44421.65893679398</v>
      </c>
      <c r="C1011" s="10" t="s">
        <v>181</v>
      </c>
      <c r="D1011" s="10" t="s">
        <v>69</v>
      </c>
      <c r="E1011" s="10" t="s">
        <v>3733</v>
      </c>
      <c r="F1011" s="10" t="s">
        <v>3734</v>
      </c>
      <c r="G1011" s="10" t="s">
        <v>3735</v>
      </c>
      <c r="H1011" s="11">
        <v>44429.60416666667</v>
      </c>
      <c r="I1011" s="11">
        <v>44429.6875</v>
      </c>
      <c r="J1011" s="10" t="s">
        <v>128</v>
      </c>
      <c r="K1011" s="10" t="s">
        <v>34</v>
      </c>
      <c r="N1011" s="10" t="s">
        <v>35</v>
      </c>
      <c r="V1011" s="14" t="s">
        <v>3736</v>
      </c>
      <c r="W1011" s="15"/>
      <c r="X1011" s="10" t="s">
        <v>37</v>
      </c>
      <c r="Y1011" s="10" t="s">
        <v>0</v>
      </c>
    </row>
    <row r="1012">
      <c r="A1012" s="10" t="s">
        <v>3737</v>
      </c>
      <c r="B1012" s="11">
        <v>44421.65988393519</v>
      </c>
      <c r="C1012" s="10" t="s">
        <v>181</v>
      </c>
      <c r="D1012" s="10" t="s">
        <v>69</v>
      </c>
      <c r="E1012" s="10" t="s">
        <v>1096</v>
      </c>
      <c r="F1012" s="10" t="s">
        <v>3738</v>
      </c>
      <c r="G1012" s="10" t="s">
        <v>3739</v>
      </c>
      <c r="H1012" s="11">
        <v>44425.33333333333</v>
      </c>
      <c r="I1012" s="11">
        <v>44425.33333333333</v>
      </c>
      <c r="J1012" s="10" t="s">
        <v>73</v>
      </c>
      <c r="K1012" s="10" t="s">
        <v>34</v>
      </c>
      <c r="N1012" s="10" t="s">
        <v>35</v>
      </c>
      <c r="V1012" s="35" t="s">
        <v>3740</v>
      </c>
      <c r="W1012" s="15"/>
      <c r="X1012" s="10" t="s">
        <v>37</v>
      </c>
      <c r="Y1012" s="10" t="s">
        <v>0</v>
      </c>
    </row>
    <row r="1013">
      <c r="A1013" s="10" t="s">
        <v>3741</v>
      </c>
      <c r="B1013" s="11">
        <v>44421.66131619213</v>
      </c>
      <c r="C1013" s="10" t="s">
        <v>181</v>
      </c>
      <c r="D1013" s="10" t="s">
        <v>69</v>
      </c>
      <c r="E1013" s="10" t="s">
        <v>3684</v>
      </c>
      <c r="F1013" s="10" t="s">
        <v>3742</v>
      </c>
      <c r="G1013" s="10" t="s">
        <v>3743</v>
      </c>
      <c r="H1013" s="11">
        <v>44424.33333333333</v>
      </c>
      <c r="I1013" s="11">
        <v>44424.45833333333</v>
      </c>
      <c r="J1013" s="10" t="s">
        <v>128</v>
      </c>
      <c r="K1013" s="10" t="s">
        <v>34</v>
      </c>
      <c r="N1013" s="10" t="s">
        <v>35</v>
      </c>
      <c r="V1013" s="14" t="s">
        <v>3490</v>
      </c>
      <c r="W1013" s="15"/>
      <c r="X1013" s="10" t="s">
        <v>37</v>
      </c>
      <c r="Y1013" s="10" t="s">
        <v>0</v>
      </c>
    </row>
    <row r="1014">
      <c r="A1014" s="10" t="s">
        <v>3744</v>
      </c>
      <c r="B1014" s="11">
        <v>44421.666487152776</v>
      </c>
      <c r="C1014" s="10" t="s">
        <v>671</v>
      </c>
      <c r="D1014" s="10" t="s">
        <v>672</v>
      </c>
      <c r="E1014" s="10" t="s">
        <v>3745</v>
      </c>
      <c r="F1014" s="10" t="s">
        <v>3746</v>
      </c>
      <c r="G1014" s="10" t="s">
        <v>3747</v>
      </c>
      <c r="H1014" s="11">
        <v>44428.35416666667</v>
      </c>
      <c r="I1014" s="11">
        <v>44428.77083333333</v>
      </c>
      <c r="J1014" s="10" t="s">
        <v>128</v>
      </c>
      <c r="K1014" s="10" t="s">
        <v>34</v>
      </c>
      <c r="N1014" s="10" t="s">
        <v>35</v>
      </c>
      <c r="V1014" s="14" t="s">
        <v>3748</v>
      </c>
      <c r="W1014" s="15"/>
      <c r="X1014" s="10" t="s">
        <v>37</v>
      </c>
      <c r="Y1014" s="10" t="s">
        <v>0</v>
      </c>
    </row>
    <row r="1015">
      <c r="A1015" s="10" t="s">
        <v>3749</v>
      </c>
      <c r="B1015" s="11">
        <v>44425.47802491898</v>
      </c>
      <c r="C1015" s="10" t="s">
        <v>975</v>
      </c>
      <c r="D1015" s="10" t="s">
        <v>976</v>
      </c>
      <c r="E1015" s="10" t="s">
        <v>976</v>
      </c>
      <c r="F1015" s="10" t="s">
        <v>3750</v>
      </c>
      <c r="G1015" s="10" t="s">
        <v>3751</v>
      </c>
      <c r="H1015" s="11">
        <v>44426.35416666667</v>
      </c>
      <c r="I1015" s="11">
        <v>44426.39583333333</v>
      </c>
      <c r="J1015" s="10" t="s">
        <v>43</v>
      </c>
      <c r="K1015" s="10" t="s">
        <v>34</v>
      </c>
      <c r="N1015" s="10" t="s">
        <v>296</v>
      </c>
      <c r="O1015" s="18" t="s">
        <v>3752</v>
      </c>
      <c r="P1015" s="10" t="s">
        <v>296</v>
      </c>
      <c r="Q1015" s="10">
        <v>1.0</v>
      </c>
      <c r="R1015" s="10" t="s">
        <v>35</v>
      </c>
      <c r="T1015" s="10" t="s">
        <v>35</v>
      </c>
      <c r="V1015" s="14" t="s">
        <v>3701</v>
      </c>
      <c r="W1015" s="15"/>
      <c r="X1015" s="10" t="s">
        <v>37</v>
      </c>
      <c r="Y1015" s="10" t="s">
        <v>0</v>
      </c>
    </row>
    <row r="1016">
      <c r="A1016" s="10" t="s">
        <v>3753</v>
      </c>
      <c r="B1016" s="11">
        <v>44421.66852371528</v>
      </c>
      <c r="C1016" s="10" t="s">
        <v>181</v>
      </c>
      <c r="D1016" s="10" t="s">
        <v>69</v>
      </c>
      <c r="E1016" s="10" t="s">
        <v>1096</v>
      </c>
      <c r="F1016" s="10" t="s">
        <v>3754</v>
      </c>
      <c r="G1016" s="10" t="s">
        <v>3755</v>
      </c>
      <c r="H1016" s="11">
        <v>44426.58333333333</v>
      </c>
      <c r="I1016" s="11">
        <v>44426.66666666667</v>
      </c>
      <c r="J1016" s="10" t="s">
        <v>1333</v>
      </c>
      <c r="K1016" s="10" t="s">
        <v>34</v>
      </c>
      <c r="N1016" s="10" t="s">
        <v>35</v>
      </c>
      <c r="V1016" s="14" t="s">
        <v>3756</v>
      </c>
      <c r="W1016" s="15"/>
      <c r="X1016" s="10" t="s">
        <v>37</v>
      </c>
      <c r="Y1016" s="10" t="s">
        <v>0</v>
      </c>
    </row>
    <row r="1017">
      <c r="A1017" s="10" t="s">
        <v>3757</v>
      </c>
      <c r="B1017" s="11">
        <v>44421.67730631944</v>
      </c>
      <c r="C1017" s="10" t="s">
        <v>671</v>
      </c>
      <c r="D1017" s="10" t="s">
        <v>672</v>
      </c>
      <c r="E1017" s="10" t="s">
        <v>3758</v>
      </c>
      <c r="F1017" s="10" t="s">
        <v>762</v>
      </c>
      <c r="G1017" s="10" t="s">
        <v>3759</v>
      </c>
      <c r="H1017" s="11">
        <v>44429.33333333333</v>
      </c>
      <c r="I1017" s="11">
        <v>44429.66666666667</v>
      </c>
      <c r="J1017" s="10" t="s">
        <v>128</v>
      </c>
      <c r="K1017" s="10" t="s">
        <v>34</v>
      </c>
      <c r="N1017" s="10" t="s">
        <v>35</v>
      </c>
      <c r="V1017" s="14" t="s">
        <v>3748</v>
      </c>
      <c r="W1017" s="15"/>
      <c r="X1017" s="10" t="s">
        <v>37</v>
      </c>
      <c r="Y1017" s="10" t="s">
        <v>0</v>
      </c>
    </row>
    <row r="1018">
      <c r="A1018" s="10" t="s">
        <v>3760</v>
      </c>
      <c r="B1018" s="11">
        <v>44421.68018012731</v>
      </c>
      <c r="C1018" s="10" t="s">
        <v>671</v>
      </c>
      <c r="D1018" s="10" t="s">
        <v>672</v>
      </c>
      <c r="E1018" s="10" t="s">
        <v>3758</v>
      </c>
      <c r="F1018" s="10" t="s">
        <v>3761</v>
      </c>
      <c r="G1018" s="10" t="s">
        <v>3762</v>
      </c>
      <c r="H1018" s="11">
        <v>44428.60416666667</v>
      </c>
      <c r="I1018" s="11">
        <v>44428.6875</v>
      </c>
      <c r="J1018" s="10" t="s">
        <v>128</v>
      </c>
      <c r="K1018" s="10" t="s">
        <v>34</v>
      </c>
      <c r="N1018" s="10" t="s">
        <v>35</v>
      </c>
      <c r="V1018" s="14" t="s">
        <v>3748</v>
      </c>
      <c r="W1018" s="15"/>
      <c r="X1018" s="10" t="s">
        <v>37</v>
      </c>
      <c r="Y1018" s="10" t="s">
        <v>0</v>
      </c>
    </row>
    <row r="1019">
      <c r="A1019" s="10" t="s">
        <v>3763</v>
      </c>
      <c r="B1019" s="11">
        <v>44421.68345777778</v>
      </c>
      <c r="C1019" s="10" t="s">
        <v>671</v>
      </c>
      <c r="D1019" s="10" t="s">
        <v>672</v>
      </c>
      <c r="E1019" s="10" t="s">
        <v>3764</v>
      </c>
      <c r="F1019" s="10" t="s">
        <v>3765</v>
      </c>
      <c r="G1019" s="10" t="s">
        <v>3766</v>
      </c>
      <c r="H1019" s="11">
        <v>44427.60416666667</v>
      </c>
      <c r="I1019" s="11">
        <v>44427.64583333333</v>
      </c>
      <c r="J1019" s="10" t="s">
        <v>128</v>
      </c>
      <c r="K1019" s="10" t="s">
        <v>34</v>
      </c>
      <c r="N1019" s="10" t="s">
        <v>35</v>
      </c>
      <c r="V1019" s="14" t="s">
        <v>3748</v>
      </c>
      <c r="W1019" s="15"/>
      <c r="X1019" s="10" t="s">
        <v>37</v>
      </c>
      <c r="Y1019" s="10" t="s">
        <v>0</v>
      </c>
    </row>
    <row r="1020">
      <c r="A1020" s="10" t="s">
        <v>3767</v>
      </c>
      <c r="B1020" s="11">
        <v>44421.71137309028</v>
      </c>
      <c r="C1020" s="10" t="s">
        <v>381</v>
      </c>
      <c r="D1020" s="10" t="s">
        <v>382</v>
      </c>
      <c r="E1020" s="10" t="s">
        <v>1119</v>
      </c>
      <c r="F1020" s="10" t="s">
        <v>3768</v>
      </c>
      <c r="G1020" s="10" t="s">
        <v>3769</v>
      </c>
      <c r="H1020" s="11">
        <v>44428.6875</v>
      </c>
      <c r="I1020" s="11">
        <v>44428.72916666667</v>
      </c>
      <c r="J1020" s="10" t="s">
        <v>128</v>
      </c>
      <c r="K1020" s="10" t="s">
        <v>34</v>
      </c>
      <c r="N1020" s="10" t="s">
        <v>35</v>
      </c>
      <c r="V1020" s="14" t="s">
        <v>3770</v>
      </c>
      <c r="W1020" s="15"/>
      <c r="X1020" s="10" t="s">
        <v>37</v>
      </c>
      <c r="Y1020" s="10" t="s">
        <v>0</v>
      </c>
    </row>
    <row r="1021">
      <c r="A1021" s="10" t="s">
        <v>3771</v>
      </c>
      <c r="B1021" s="11">
        <v>44421.72968665509</v>
      </c>
      <c r="C1021" s="10" t="s">
        <v>150</v>
      </c>
      <c r="D1021" s="10" t="s">
        <v>151</v>
      </c>
      <c r="E1021" s="10" t="s">
        <v>3772</v>
      </c>
      <c r="F1021" s="10" t="s">
        <v>3773</v>
      </c>
      <c r="G1021" s="10" t="s">
        <v>3774</v>
      </c>
      <c r="H1021" s="11">
        <v>44422.41666666667</v>
      </c>
      <c r="I1021" s="11">
        <v>44422.5</v>
      </c>
      <c r="J1021" s="10" t="s">
        <v>128</v>
      </c>
      <c r="K1021" s="10" t="s">
        <v>34</v>
      </c>
      <c r="N1021" s="10" t="s">
        <v>35</v>
      </c>
      <c r="V1021" s="35" t="s">
        <v>3775</v>
      </c>
      <c r="W1021" s="15"/>
      <c r="X1021" s="10" t="s">
        <v>37</v>
      </c>
      <c r="Y1021" s="10" t="s">
        <v>0</v>
      </c>
    </row>
    <row r="1022">
      <c r="A1022" s="10" t="s">
        <v>3776</v>
      </c>
      <c r="B1022" s="11">
        <v>44425.47646024305</v>
      </c>
      <c r="C1022" s="10" t="s">
        <v>1271</v>
      </c>
      <c r="D1022" s="10" t="s">
        <v>976</v>
      </c>
      <c r="E1022" s="10" t="s">
        <v>3665</v>
      </c>
      <c r="F1022" s="10" t="s">
        <v>3777</v>
      </c>
      <c r="G1022" s="10" t="s">
        <v>3778</v>
      </c>
      <c r="H1022" s="11">
        <v>44426.58333333333</v>
      </c>
      <c r="I1022" s="11">
        <v>44426.625</v>
      </c>
      <c r="J1022" s="10" t="s">
        <v>43</v>
      </c>
      <c r="K1022" s="10" t="s">
        <v>34</v>
      </c>
      <c r="N1022" s="10" t="s">
        <v>35</v>
      </c>
      <c r="V1022" s="14" t="s">
        <v>3756</v>
      </c>
      <c r="W1022" s="15"/>
      <c r="X1022" s="10" t="s">
        <v>37</v>
      </c>
      <c r="Y1022" s="10" t="s">
        <v>0</v>
      </c>
    </row>
    <row r="1023">
      <c r="A1023" s="10" t="s">
        <v>3779</v>
      </c>
      <c r="B1023" s="11">
        <v>44417.87166962963</v>
      </c>
      <c r="C1023" s="10" t="s">
        <v>3780</v>
      </c>
      <c r="D1023" s="10" t="s">
        <v>348</v>
      </c>
      <c r="E1023" s="10" t="s">
        <v>3429</v>
      </c>
      <c r="F1023" s="10" t="s">
        <v>3781</v>
      </c>
      <c r="G1023" s="10" t="s">
        <v>3782</v>
      </c>
      <c r="H1023" s="11">
        <v>44427.4375</v>
      </c>
      <c r="I1023" s="11">
        <v>44427.52083333333</v>
      </c>
      <c r="J1023" s="10" t="s">
        <v>1333</v>
      </c>
      <c r="K1023" s="10" t="s">
        <v>34</v>
      </c>
      <c r="N1023" s="10" t="s">
        <v>296</v>
      </c>
      <c r="O1023" s="18" t="s">
        <v>3783</v>
      </c>
      <c r="P1023" s="10" t="s">
        <v>296</v>
      </c>
      <c r="Q1023" s="10">
        <v>1.0</v>
      </c>
      <c r="R1023" s="10" t="s">
        <v>296</v>
      </c>
      <c r="S1023" s="10">
        <v>1.0</v>
      </c>
      <c r="T1023" s="10" t="s">
        <v>35</v>
      </c>
      <c r="V1023" s="14" t="s">
        <v>3784</v>
      </c>
      <c r="W1023" s="15"/>
      <c r="X1023" s="10" t="s">
        <v>37</v>
      </c>
      <c r="Y1023" s="10" t="s">
        <v>0</v>
      </c>
    </row>
    <row r="1024">
      <c r="A1024" s="10" t="s">
        <v>3785</v>
      </c>
      <c r="B1024" s="11">
        <v>44421.78897018518</v>
      </c>
      <c r="C1024" s="10" t="s">
        <v>330</v>
      </c>
      <c r="D1024" s="10" t="s">
        <v>331</v>
      </c>
      <c r="E1024" s="10" t="s">
        <v>3786</v>
      </c>
      <c r="F1024" s="10" t="s">
        <v>3787</v>
      </c>
      <c r="G1024" s="10" t="s">
        <v>3788</v>
      </c>
      <c r="H1024" s="11">
        <v>44426.72916666667</v>
      </c>
      <c r="I1024" s="11">
        <v>44426.77083333333</v>
      </c>
      <c r="J1024" s="10" t="s">
        <v>128</v>
      </c>
      <c r="K1024" s="10" t="s">
        <v>34</v>
      </c>
      <c r="N1024" s="10" t="s">
        <v>35</v>
      </c>
      <c r="V1024" s="14" t="s">
        <v>3789</v>
      </c>
      <c r="W1024" s="15"/>
      <c r="X1024" s="10" t="s">
        <v>37</v>
      </c>
      <c r="Y1024" s="10" t="s">
        <v>0</v>
      </c>
    </row>
    <row r="1025">
      <c r="A1025" s="10" t="s">
        <v>3790</v>
      </c>
      <c r="B1025" s="11">
        <v>44422.46745111111</v>
      </c>
      <c r="C1025" s="10" t="s">
        <v>347</v>
      </c>
      <c r="D1025" s="10" t="s">
        <v>348</v>
      </c>
      <c r="E1025" s="10" t="s">
        <v>3429</v>
      </c>
      <c r="F1025" s="10" t="s">
        <v>3791</v>
      </c>
      <c r="G1025" s="10" t="s">
        <v>962</v>
      </c>
      <c r="H1025" s="11">
        <v>44429.4375</v>
      </c>
      <c r="I1025" s="11">
        <v>44429.52083333333</v>
      </c>
      <c r="J1025" s="10" t="s">
        <v>128</v>
      </c>
      <c r="K1025" s="10" t="s">
        <v>34</v>
      </c>
      <c r="N1025" s="10" t="s">
        <v>35</v>
      </c>
      <c r="V1025" s="14" t="s">
        <v>3792</v>
      </c>
      <c r="W1025" s="15"/>
      <c r="X1025" s="10" t="s">
        <v>37</v>
      </c>
      <c r="Y1025" s="10" t="s">
        <v>0</v>
      </c>
    </row>
    <row r="1026">
      <c r="A1026" s="10" t="s">
        <v>3793</v>
      </c>
      <c r="B1026" s="11">
        <v>44423.72159064814</v>
      </c>
      <c r="C1026" s="10" t="s">
        <v>1583</v>
      </c>
      <c r="D1026" s="10" t="s">
        <v>505</v>
      </c>
      <c r="E1026" s="10" t="s">
        <v>2105</v>
      </c>
      <c r="F1026" s="10" t="s">
        <v>3794</v>
      </c>
      <c r="G1026" s="10" t="s">
        <v>3795</v>
      </c>
      <c r="H1026" s="11">
        <v>44428.5</v>
      </c>
      <c r="I1026" s="11">
        <v>44429.5</v>
      </c>
      <c r="J1026" s="10" t="s">
        <v>51</v>
      </c>
      <c r="K1026" s="10" t="s">
        <v>34</v>
      </c>
      <c r="N1026" s="10" t="s">
        <v>35</v>
      </c>
      <c r="V1026" s="14" t="s">
        <v>3796</v>
      </c>
      <c r="W1026" s="15"/>
      <c r="X1026" s="10" t="s">
        <v>37</v>
      </c>
      <c r="Y1026" s="10" t="s">
        <v>0</v>
      </c>
    </row>
    <row r="1027">
      <c r="A1027" s="10" t="s">
        <v>3797</v>
      </c>
      <c r="B1027" s="11">
        <v>44423.72317373843</v>
      </c>
      <c r="C1027" s="10" t="s">
        <v>1583</v>
      </c>
      <c r="D1027" s="10" t="s">
        <v>505</v>
      </c>
      <c r="E1027" s="10" t="s">
        <v>2105</v>
      </c>
      <c r="F1027" s="10" t="s">
        <v>3798</v>
      </c>
      <c r="G1027" s="10" t="s">
        <v>3799</v>
      </c>
      <c r="H1027" s="11">
        <v>44429.5</v>
      </c>
      <c r="I1027" s="11">
        <v>44430.5</v>
      </c>
      <c r="J1027" s="10" t="s">
        <v>51</v>
      </c>
      <c r="K1027" s="10" t="s">
        <v>34</v>
      </c>
      <c r="N1027" s="10" t="s">
        <v>35</v>
      </c>
      <c r="V1027" s="14" t="s">
        <v>3796</v>
      </c>
      <c r="W1027" s="15"/>
      <c r="X1027" s="10" t="s">
        <v>37</v>
      </c>
      <c r="Y1027" s="10" t="s">
        <v>0</v>
      </c>
    </row>
    <row r="1028">
      <c r="A1028" s="10" t="s">
        <v>3800</v>
      </c>
      <c r="B1028" s="11">
        <v>44424.760822337965</v>
      </c>
      <c r="C1028" s="10" t="s">
        <v>160</v>
      </c>
      <c r="D1028" s="10" t="s">
        <v>161</v>
      </c>
      <c r="E1028" s="10" t="s">
        <v>3542</v>
      </c>
      <c r="F1028" s="10" t="s">
        <v>800</v>
      </c>
      <c r="G1028" s="10" t="s">
        <v>3801</v>
      </c>
      <c r="H1028" s="11">
        <v>44428.60416666667</v>
      </c>
      <c r="I1028" s="11">
        <v>44428.66666666667</v>
      </c>
      <c r="J1028" s="10" t="s">
        <v>128</v>
      </c>
      <c r="K1028" s="10" t="s">
        <v>34</v>
      </c>
      <c r="N1028" s="10" t="s">
        <v>35</v>
      </c>
      <c r="V1028" s="14" t="s">
        <v>3802</v>
      </c>
      <c r="W1028" s="15"/>
      <c r="X1028" s="10" t="s">
        <v>37</v>
      </c>
      <c r="Y1028" s="10" t="s">
        <v>0</v>
      </c>
    </row>
    <row r="1029">
      <c r="A1029" s="10" t="s">
        <v>3803</v>
      </c>
      <c r="B1029" s="11">
        <v>44424.764360914356</v>
      </c>
      <c r="C1029" s="10" t="s">
        <v>160</v>
      </c>
      <c r="D1029" s="10" t="s">
        <v>161</v>
      </c>
      <c r="E1029" s="10" t="s">
        <v>3804</v>
      </c>
      <c r="F1029" s="10" t="s">
        <v>1112</v>
      </c>
      <c r="G1029" s="10" t="s">
        <v>3805</v>
      </c>
      <c r="H1029" s="11">
        <v>44427.77083333333</v>
      </c>
      <c r="I1029" s="11">
        <v>44427.83333333333</v>
      </c>
      <c r="J1029" s="10" t="s">
        <v>128</v>
      </c>
      <c r="K1029" s="10" t="s">
        <v>34</v>
      </c>
      <c r="N1029" s="10" t="s">
        <v>35</v>
      </c>
      <c r="V1029" s="14" t="s">
        <v>3806</v>
      </c>
      <c r="W1029" s="15" t="s">
        <v>3807</v>
      </c>
      <c r="X1029" s="10" t="s">
        <v>3302</v>
      </c>
      <c r="Y1029" s="10" t="s">
        <v>0</v>
      </c>
    </row>
    <row r="1030">
      <c r="A1030" s="10" t="s">
        <v>3808</v>
      </c>
      <c r="B1030" s="11">
        <v>44417.87417148148</v>
      </c>
      <c r="C1030" s="10" t="s">
        <v>347</v>
      </c>
      <c r="D1030" s="10" t="s">
        <v>348</v>
      </c>
      <c r="E1030" s="10" t="s">
        <v>3809</v>
      </c>
      <c r="F1030" s="10" t="s">
        <v>3781</v>
      </c>
      <c r="G1030" s="10" t="s">
        <v>3782</v>
      </c>
      <c r="H1030" s="11">
        <v>44427.4375</v>
      </c>
      <c r="I1030" s="11">
        <v>44427.52083333333</v>
      </c>
      <c r="J1030" s="10" t="s">
        <v>1333</v>
      </c>
      <c r="K1030" s="10" t="s">
        <v>34</v>
      </c>
      <c r="N1030" s="10" t="s">
        <v>296</v>
      </c>
      <c r="O1030" s="18" t="s">
        <v>3810</v>
      </c>
      <c r="P1030" s="10" t="s">
        <v>296</v>
      </c>
      <c r="Q1030" s="10">
        <v>1.0</v>
      </c>
      <c r="R1030" s="10" t="s">
        <v>35</v>
      </c>
      <c r="T1030" s="10" t="s">
        <v>35</v>
      </c>
      <c r="V1030" s="14" t="s">
        <v>3784</v>
      </c>
      <c r="W1030" s="15"/>
      <c r="X1030" s="10" t="s">
        <v>37</v>
      </c>
      <c r="Y1030" s="10" t="s">
        <v>0</v>
      </c>
    </row>
    <row r="1031">
      <c r="A1031" s="10" t="s">
        <v>3811</v>
      </c>
      <c r="B1031" s="11">
        <v>44420.90562710648</v>
      </c>
      <c r="C1031" s="10" t="s">
        <v>347</v>
      </c>
      <c r="D1031" s="10" t="s">
        <v>348</v>
      </c>
      <c r="E1031" s="10" t="s">
        <v>3429</v>
      </c>
      <c r="F1031" s="10" t="s">
        <v>3812</v>
      </c>
      <c r="G1031" s="10" t="s">
        <v>3813</v>
      </c>
      <c r="H1031" s="11">
        <v>44427.58333333333</v>
      </c>
      <c r="I1031" s="11">
        <v>44427.66666666667</v>
      </c>
      <c r="J1031" s="10" t="s">
        <v>1333</v>
      </c>
      <c r="K1031" s="10" t="s">
        <v>34</v>
      </c>
      <c r="N1031" s="10" t="s">
        <v>296</v>
      </c>
      <c r="O1031" s="18" t="s">
        <v>3814</v>
      </c>
      <c r="P1031" s="10" t="s">
        <v>296</v>
      </c>
      <c r="Q1031" s="10">
        <v>2.0</v>
      </c>
      <c r="R1031" s="10" t="s">
        <v>35</v>
      </c>
      <c r="T1031" s="10" t="s">
        <v>296</v>
      </c>
      <c r="U1031" s="10">
        <v>1.0</v>
      </c>
      <c r="V1031" s="14" t="s">
        <v>3815</v>
      </c>
      <c r="W1031" s="15"/>
      <c r="X1031" s="10" t="s">
        <v>37</v>
      </c>
      <c r="Y1031" s="10" t="s">
        <v>0</v>
      </c>
    </row>
    <row r="1032">
      <c r="A1032" s="10" t="s">
        <v>3816</v>
      </c>
      <c r="B1032" s="11">
        <v>44419.82056018518</v>
      </c>
      <c r="C1032" s="10" t="s">
        <v>975</v>
      </c>
      <c r="D1032" s="10" t="s">
        <v>976</v>
      </c>
      <c r="E1032" s="10" t="s">
        <v>976</v>
      </c>
      <c r="F1032" s="10" t="s">
        <v>3817</v>
      </c>
      <c r="G1032" s="10" t="s">
        <v>3818</v>
      </c>
      <c r="H1032" s="11">
        <v>44428.35416666667</v>
      </c>
      <c r="I1032" s="11">
        <v>44428.39583333333</v>
      </c>
      <c r="J1032" s="10" t="s">
        <v>43</v>
      </c>
      <c r="K1032" s="10" t="s">
        <v>34</v>
      </c>
      <c r="N1032" s="10" t="s">
        <v>296</v>
      </c>
      <c r="O1032" s="18" t="s">
        <v>3819</v>
      </c>
      <c r="P1032" s="10" t="s">
        <v>35</v>
      </c>
      <c r="R1032" s="10" t="s">
        <v>296</v>
      </c>
      <c r="S1032" s="10">
        <v>1.0</v>
      </c>
      <c r="T1032" s="10" t="s">
        <v>35</v>
      </c>
      <c r="V1032" s="14" t="s">
        <v>3820</v>
      </c>
      <c r="W1032" s="15" t="s">
        <v>3821</v>
      </c>
      <c r="X1032" s="10" t="s">
        <v>37</v>
      </c>
      <c r="Y1032" s="10" t="s">
        <v>0</v>
      </c>
    </row>
    <row r="1033">
      <c r="A1033" s="10" t="s">
        <v>3822</v>
      </c>
      <c r="B1033" s="11">
        <v>44425.479248564814</v>
      </c>
      <c r="C1033" s="10" t="s">
        <v>975</v>
      </c>
      <c r="D1033" s="10" t="s">
        <v>976</v>
      </c>
      <c r="E1033" s="10" t="s">
        <v>976</v>
      </c>
      <c r="F1033" s="10" t="s">
        <v>3823</v>
      </c>
      <c r="G1033" s="10" t="s">
        <v>3824</v>
      </c>
      <c r="H1033" s="11">
        <v>44428.35416666667</v>
      </c>
      <c r="I1033" s="11">
        <v>44428.39583333333</v>
      </c>
      <c r="J1033" s="10" t="s">
        <v>43</v>
      </c>
      <c r="K1033" s="10" t="s">
        <v>34</v>
      </c>
      <c r="N1033" s="10" t="s">
        <v>296</v>
      </c>
      <c r="O1033" s="18" t="s">
        <v>3825</v>
      </c>
      <c r="P1033" s="10" t="s">
        <v>35</v>
      </c>
      <c r="R1033" s="10" t="s">
        <v>296</v>
      </c>
      <c r="S1033" s="10">
        <v>1.0</v>
      </c>
      <c r="T1033" s="10" t="s">
        <v>35</v>
      </c>
      <c r="V1033" s="14" t="s">
        <v>3820</v>
      </c>
      <c r="W1033" s="15"/>
      <c r="X1033" s="10" t="s">
        <v>37</v>
      </c>
      <c r="Y1033" s="10" t="s">
        <v>0</v>
      </c>
    </row>
    <row r="1034">
      <c r="A1034" s="10" t="s">
        <v>3826</v>
      </c>
      <c r="B1034" s="11">
        <v>44427.05610797454</v>
      </c>
      <c r="C1034" s="10" t="s">
        <v>539</v>
      </c>
      <c r="D1034" s="10" t="s">
        <v>540</v>
      </c>
      <c r="E1034" s="10" t="s">
        <v>541</v>
      </c>
      <c r="F1034" s="10" t="s">
        <v>3827</v>
      </c>
      <c r="G1034" s="10" t="s">
        <v>3828</v>
      </c>
      <c r="H1034" s="11">
        <v>44428.41666666667</v>
      </c>
      <c r="I1034" s="11">
        <v>44428.45833333333</v>
      </c>
      <c r="J1034" s="10" t="s">
        <v>43</v>
      </c>
      <c r="K1034" s="10" t="s">
        <v>34</v>
      </c>
      <c r="N1034" s="10" t="s">
        <v>296</v>
      </c>
      <c r="O1034" s="18" t="s">
        <v>3829</v>
      </c>
      <c r="P1034" s="10" t="s">
        <v>296</v>
      </c>
      <c r="Q1034" s="10">
        <v>1.0</v>
      </c>
      <c r="R1034" s="10" t="s">
        <v>296</v>
      </c>
      <c r="S1034" s="10">
        <v>2.0</v>
      </c>
      <c r="T1034" s="10" t="s">
        <v>35</v>
      </c>
      <c r="V1034" s="14" t="s">
        <v>3830</v>
      </c>
      <c r="W1034" s="15"/>
      <c r="X1034" s="10" t="s">
        <v>37</v>
      </c>
      <c r="Y1034" s="10" t="s">
        <v>0</v>
      </c>
    </row>
    <row r="1035">
      <c r="A1035" s="10" t="s">
        <v>3831</v>
      </c>
      <c r="B1035" s="11">
        <v>44421.777764189814</v>
      </c>
      <c r="C1035" s="10" t="s">
        <v>330</v>
      </c>
      <c r="D1035" s="10" t="s">
        <v>331</v>
      </c>
      <c r="E1035" s="10" t="s">
        <v>3832</v>
      </c>
      <c r="F1035" s="10" t="s">
        <v>831</v>
      </c>
      <c r="G1035" s="10" t="s">
        <v>3833</v>
      </c>
      <c r="H1035" s="11">
        <v>44428.5625</v>
      </c>
      <c r="I1035" s="11">
        <v>44428.6875</v>
      </c>
      <c r="J1035" s="10" t="s">
        <v>43</v>
      </c>
      <c r="K1035" s="10" t="s">
        <v>34</v>
      </c>
      <c r="N1035" s="10" t="s">
        <v>35</v>
      </c>
      <c r="V1035" s="14" t="s">
        <v>3834</v>
      </c>
      <c r="W1035" s="15"/>
      <c r="X1035" s="10" t="s">
        <v>37</v>
      </c>
      <c r="Y1035" s="10" t="s">
        <v>0</v>
      </c>
    </row>
    <row r="1036">
      <c r="A1036" s="10" t="s">
        <v>3835</v>
      </c>
      <c r="B1036" s="11">
        <v>44421.782253125</v>
      </c>
      <c r="C1036" s="10" t="s">
        <v>330</v>
      </c>
      <c r="D1036" s="10" t="s">
        <v>331</v>
      </c>
      <c r="E1036" s="10" t="s">
        <v>3836</v>
      </c>
      <c r="F1036" s="10" t="s">
        <v>831</v>
      </c>
      <c r="G1036" s="10" t="s">
        <v>3837</v>
      </c>
      <c r="H1036" s="11">
        <v>44428.5625</v>
      </c>
      <c r="I1036" s="11">
        <v>44428.6875</v>
      </c>
      <c r="J1036" s="10" t="s">
        <v>43</v>
      </c>
      <c r="K1036" s="10" t="s">
        <v>34</v>
      </c>
      <c r="N1036" s="10" t="s">
        <v>35</v>
      </c>
      <c r="V1036" s="14" t="s">
        <v>3834</v>
      </c>
      <c r="W1036" s="15"/>
      <c r="X1036" s="10" t="s">
        <v>37</v>
      </c>
      <c r="Y1036" s="10" t="s">
        <v>0</v>
      </c>
    </row>
    <row r="1037">
      <c r="A1037" s="10" t="s">
        <v>3838</v>
      </c>
      <c r="B1037" s="11">
        <v>44425.32266476852</v>
      </c>
      <c r="C1037" s="10" t="s">
        <v>975</v>
      </c>
      <c r="D1037" s="10" t="s">
        <v>976</v>
      </c>
      <c r="E1037" s="10" t="s">
        <v>3679</v>
      </c>
      <c r="F1037" s="10" t="s">
        <v>3839</v>
      </c>
      <c r="G1037" s="10" t="s">
        <v>3840</v>
      </c>
      <c r="H1037" s="11">
        <v>44428.6875</v>
      </c>
      <c r="I1037" s="11">
        <v>44428.72916666667</v>
      </c>
      <c r="J1037" s="10" t="s">
        <v>43</v>
      </c>
      <c r="K1037" s="10" t="s">
        <v>34</v>
      </c>
      <c r="N1037" s="10" t="s">
        <v>35</v>
      </c>
      <c r="V1037" s="35" t="s">
        <v>3740</v>
      </c>
      <c r="W1037" s="15"/>
      <c r="X1037" s="10" t="s">
        <v>37</v>
      </c>
      <c r="Y1037" s="10" t="s">
        <v>0</v>
      </c>
    </row>
    <row r="1038">
      <c r="A1038" s="10" t="s">
        <v>3841</v>
      </c>
      <c r="B1038" s="11">
        <v>44425.75749369213</v>
      </c>
      <c r="C1038" s="10" t="s">
        <v>671</v>
      </c>
      <c r="D1038" s="10" t="s">
        <v>672</v>
      </c>
      <c r="E1038" s="10" t="s">
        <v>3842</v>
      </c>
      <c r="F1038" s="10" t="s">
        <v>3843</v>
      </c>
      <c r="G1038" s="10" t="s">
        <v>3844</v>
      </c>
      <c r="H1038" s="11">
        <v>44427.60416666667</v>
      </c>
      <c r="I1038" s="11">
        <v>44427.64583333333</v>
      </c>
      <c r="J1038" s="10" t="s">
        <v>128</v>
      </c>
      <c r="K1038" s="10" t="s">
        <v>34</v>
      </c>
      <c r="N1038" s="10" t="s">
        <v>35</v>
      </c>
      <c r="V1038" s="14" t="s">
        <v>3748</v>
      </c>
      <c r="W1038" s="15"/>
      <c r="X1038" s="10" t="s">
        <v>37</v>
      </c>
      <c r="Y1038" s="10" t="s">
        <v>0</v>
      </c>
    </row>
    <row r="1039">
      <c r="A1039" s="10" t="s">
        <v>3845</v>
      </c>
      <c r="B1039" s="11">
        <v>44426.41607245371</v>
      </c>
      <c r="C1039" s="10" t="s">
        <v>418</v>
      </c>
      <c r="D1039" s="10" t="s">
        <v>419</v>
      </c>
      <c r="E1039" s="10" t="s">
        <v>3846</v>
      </c>
      <c r="F1039" s="10" t="s">
        <v>3847</v>
      </c>
      <c r="G1039" s="10" t="s">
        <v>3848</v>
      </c>
      <c r="H1039" s="11">
        <v>44429.41666666667</v>
      </c>
      <c r="I1039" s="11">
        <v>44429.45833333333</v>
      </c>
      <c r="J1039" s="10" t="s">
        <v>128</v>
      </c>
      <c r="K1039" s="10" t="s">
        <v>34</v>
      </c>
      <c r="N1039" s="10" t="s">
        <v>296</v>
      </c>
      <c r="O1039" s="18" t="s">
        <v>3849</v>
      </c>
      <c r="P1039" s="10" t="s">
        <v>296</v>
      </c>
      <c r="Q1039" s="10">
        <v>2.0</v>
      </c>
      <c r="R1039" s="10" t="s">
        <v>35</v>
      </c>
      <c r="T1039" s="10" t="s">
        <v>35</v>
      </c>
      <c r="V1039" s="14" t="s">
        <v>3850</v>
      </c>
      <c r="W1039" s="15"/>
      <c r="X1039" s="10" t="s">
        <v>37</v>
      </c>
      <c r="Y1039" s="10" t="s">
        <v>0</v>
      </c>
    </row>
    <row r="1040">
      <c r="A1040" s="10" t="s">
        <v>3851</v>
      </c>
      <c r="B1040" s="11">
        <v>44426.680851377314</v>
      </c>
      <c r="C1040" s="10" t="s">
        <v>160</v>
      </c>
      <c r="D1040" s="10" t="s">
        <v>161</v>
      </c>
      <c r="E1040" s="10" t="s">
        <v>3542</v>
      </c>
      <c r="F1040" s="10" t="s">
        <v>1112</v>
      </c>
      <c r="G1040" s="10" t="s">
        <v>3852</v>
      </c>
      <c r="H1040" s="11">
        <v>44427.77083333333</v>
      </c>
      <c r="I1040" s="11">
        <v>44427.8125</v>
      </c>
      <c r="J1040" s="10" t="s">
        <v>128</v>
      </c>
      <c r="K1040" s="10" t="s">
        <v>34</v>
      </c>
      <c r="N1040" s="10" t="s">
        <v>35</v>
      </c>
      <c r="V1040" s="14" t="s">
        <v>3806</v>
      </c>
      <c r="W1040" s="15"/>
      <c r="X1040" s="10" t="s">
        <v>37</v>
      </c>
      <c r="Y1040" s="10" t="s">
        <v>0</v>
      </c>
    </row>
    <row r="1041">
      <c r="A1041" s="10" t="s">
        <v>3853</v>
      </c>
      <c r="B1041" s="11">
        <v>44426.705869756945</v>
      </c>
      <c r="C1041" s="10" t="s">
        <v>150</v>
      </c>
      <c r="D1041" s="10" t="s">
        <v>151</v>
      </c>
      <c r="E1041" s="10" t="s">
        <v>3772</v>
      </c>
      <c r="F1041" s="10" t="s">
        <v>1380</v>
      </c>
      <c r="G1041" s="10" t="s">
        <v>3854</v>
      </c>
      <c r="H1041" s="11">
        <v>44429.66666666667</v>
      </c>
      <c r="I1041" s="11">
        <v>44429.72916666667</v>
      </c>
      <c r="J1041" s="10" t="s">
        <v>43</v>
      </c>
      <c r="K1041" s="10" t="s">
        <v>34</v>
      </c>
      <c r="N1041" s="10" t="s">
        <v>35</v>
      </c>
      <c r="V1041" s="14" t="s">
        <v>3855</v>
      </c>
      <c r="W1041" s="15"/>
      <c r="X1041" s="10" t="s">
        <v>37</v>
      </c>
      <c r="Y1041" s="10" t="s">
        <v>0</v>
      </c>
    </row>
    <row r="1042">
      <c r="A1042" s="10" t="s">
        <v>3856</v>
      </c>
      <c r="B1042" s="11">
        <v>44406.840668206016</v>
      </c>
      <c r="C1042" s="10" t="s">
        <v>28</v>
      </c>
      <c r="D1042" s="10" t="s">
        <v>29</v>
      </c>
      <c r="E1042" s="10" t="s">
        <v>63</v>
      </c>
      <c r="F1042" s="10" t="s">
        <v>3857</v>
      </c>
      <c r="G1042" s="10" t="s">
        <v>3858</v>
      </c>
      <c r="H1042" s="11">
        <v>44431.0</v>
      </c>
      <c r="I1042" s="11">
        <v>44435.99930555555</v>
      </c>
      <c r="J1042" s="10" t="s">
        <v>43</v>
      </c>
      <c r="K1042" s="10" t="s">
        <v>34</v>
      </c>
      <c r="N1042" s="10" t="s">
        <v>35</v>
      </c>
      <c r="V1042" s="9"/>
      <c r="W1042" s="13"/>
      <c r="X1042" s="10" t="s">
        <v>3302</v>
      </c>
    </row>
    <row r="1043">
      <c r="A1043" s="10" t="s">
        <v>3859</v>
      </c>
      <c r="B1043" s="11">
        <v>44427.51601131944</v>
      </c>
      <c r="C1043" s="10" t="s">
        <v>209</v>
      </c>
      <c r="D1043" s="10" t="s">
        <v>210</v>
      </c>
      <c r="E1043" s="10" t="s">
        <v>261</v>
      </c>
      <c r="F1043" s="10" t="s">
        <v>3860</v>
      </c>
      <c r="G1043" s="10" t="s">
        <v>3861</v>
      </c>
      <c r="H1043" s="11">
        <v>44435.4375</v>
      </c>
      <c r="I1043" s="11">
        <v>44435.52083333333</v>
      </c>
      <c r="J1043" s="10" t="s">
        <v>128</v>
      </c>
      <c r="K1043" s="10" t="s">
        <v>34</v>
      </c>
      <c r="N1043" s="10" t="s">
        <v>35</v>
      </c>
      <c r="V1043" s="35" t="s">
        <v>3862</v>
      </c>
      <c r="W1043" s="15"/>
      <c r="X1043" s="10" t="s">
        <v>37</v>
      </c>
      <c r="Y1043" s="10" t="s">
        <v>0</v>
      </c>
    </row>
    <row r="1044">
      <c r="A1044" s="10" t="s">
        <v>3863</v>
      </c>
      <c r="B1044" s="11">
        <v>44435.383201296296</v>
      </c>
      <c r="C1044" s="10" t="s">
        <v>181</v>
      </c>
      <c r="D1044" s="10" t="s">
        <v>69</v>
      </c>
      <c r="E1044" s="10" t="s">
        <v>3864</v>
      </c>
      <c r="F1044" s="10" t="s">
        <v>3865</v>
      </c>
      <c r="G1044" s="10" t="s">
        <v>3866</v>
      </c>
      <c r="H1044" s="36">
        <v>44438.72916666667</v>
      </c>
      <c r="I1044" s="11">
        <v>44438.77083333333</v>
      </c>
      <c r="J1044" s="10" t="s">
        <v>128</v>
      </c>
      <c r="K1044" s="10" t="s">
        <v>34</v>
      </c>
      <c r="N1044" s="10" t="s">
        <v>35</v>
      </c>
      <c r="V1044" s="14" t="s">
        <v>3554</v>
      </c>
      <c r="W1044" s="15"/>
      <c r="X1044" s="10" t="s">
        <v>37</v>
      </c>
      <c r="Y1044" s="10" t="s">
        <v>0</v>
      </c>
    </row>
    <row r="1045">
      <c r="A1045" s="10" t="s">
        <v>3867</v>
      </c>
      <c r="B1045" s="11">
        <v>44434.61606019676</v>
      </c>
      <c r="C1045" s="10" t="s">
        <v>3304</v>
      </c>
      <c r="D1045" s="10" t="s">
        <v>695</v>
      </c>
      <c r="E1045" s="10" t="s">
        <v>3461</v>
      </c>
      <c r="F1045" s="10" t="s">
        <v>3868</v>
      </c>
      <c r="G1045" s="10" t="s">
        <v>3869</v>
      </c>
      <c r="H1045" s="36">
        <v>44439.5625</v>
      </c>
      <c r="I1045" s="11">
        <v>44439.99930555555</v>
      </c>
      <c r="J1045" s="10" t="s">
        <v>73</v>
      </c>
      <c r="K1045" s="10" t="s">
        <v>34</v>
      </c>
      <c r="N1045" s="10" t="s">
        <v>35</v>
      </c>
      <c r="V1045" s="14" t="s">
        <v>3464</v>
      </c>
      <c r="W1045" s="15"/>
      <c r="X1045" s="10" t="s">
        <v>37</v>
      </c>
      <c r="Y1045" s="10" t="s">
        <v>0</v>
      </c>
    </row>
    <row r="1046">
      <c r="A1046" s="10" t="s">
        <v>3870</v>
      </c>
      <c r="B1046" s="11">
        <v>44428.6511219213</v>
      </c>
      <c r="C1046" s="10" t="s">
        <v>347</v>
      </c>
      <c r="D1046" s="10" t="s">
        <v>348</v>
      </c>
      <c r="E1046" s="10" t="s">
        <v>3429</v>
      </c>
      <c r="F1046" s="10" t="s">
        <v>3871</v>
      </c>
      <c r="G1046" s="10" t="s">
        <v>3872</v>
      </c>
      <c r="H1046" s="11">
        <v>44431.29166666667</v>
      </c>
      <c r="I1046" s="11">
        <v>44431.33333333333</v>
      </c>
      <c r="J1046" s="10" t="s">
        <v>43</v>
      </c>
      <c r="K1046" s="10" t="s">
        <v>34</v>
      </c>
      <c r="N1046" s="10" t="s">
        <v>35</v>
      </c>
      <c r="V1046" s="14" t="s">
        <v>3873</v>
      </c>
      <c r="W1046" s="15" t="s">
        <v>3874</v>
      </c>
      <c r="X1046" s="10" t="s">
        <v>37</v>
      </c>
      <c r="Y1046" s="10" t="s">
        <v>0</v>
      </c>
    </row>
    <row r="1047">
      <c r="A1047" s="10" t="s">
        <v>3875</v>
      </c>
      <c r="B1047" s="11">
        <v>44434.60263599537</v>
      </c>
      <c r="C1047" s="10" t="s">
        <v>3304</v>
      </c>
      <c r="D1047" s="10" t="s">
        <v>695</v>
      </c>
      <c r="E1047" s="10" t="s">
        <v>3461</v>
      </c>
      <c r="F1047" s="10" t="s">
        <v>3876</v>
      </c>
      <c r="G1047" s="10" t="s">
        <v>3877</v>
      </c>
      <c r="H1047" s="11">
        <v>44435.6875</v>
      </c>
      <c r="I1047" s="11">
        <v>44435.72916666667</v>
      </c>
      <c r="J1047" s="10" t="s">
        <v>43</v>
      </c>
      <c r="K1047" s="10" t="s">
        <v>34</v>
      </c>
      <c r="N1047" s="10" t="s">
        <v>296</v>
      </c>
      <c r="O1047" s="18" t="s">
        <v>3878</v>
      </c>
      <c r="P1047" s="10" t="s">
        <v>296</v>
      </c>
      <c r="Q1047" s="10">
        <v>1.0</v>
      </c>
      <c r="R1047" s="10" t="s">
        <v>35</v>
      </c>
      <c r="T1047" s="10" t="s">
        <v>35</v>
      </c>
      <c r="V1047" s="14" t="s">
        <v>3879</v>
      </c>
      <c r="W1047" s="15"/>
      <c r="X1047" s="10" t="s">
        <v>37</v>
      </c>
      <c r="Y1047" s="10" t="s">
        <v>0</v>
      </c>
    </row>
    <row r="1048">
      <c r="A1048" s="10" t="s">
        <v>3880</v>
      </c>
      <c r="B1048" s="11">
        <v>44436.388769375</v>
      </c>
      <c r="C1048" s="10" t="s">
        <v>96</v>
      </c>
      <c r="D1048" s="10" t="s">
        <v>97</v>
      </c>
      <c r="E1048" s="10" t="s">
        <v>3526</v>
      </c>
      <c r="F1048" s="10" t="s">
        <v>3881</v>
      </c>
      <c r="G1048" s="10" t="s">
        <v>3882</v>
      </c>
      <c r="H1048" s="11">
        <v>44435.77083333333</v>
      </c>
      <c r="I1048" s="11">
        <v>44435.85416666667</v>
      </c>
      <c r="J1048" s="10" t="s">
        <v>43</v>
      </c>
      <c r="K1048" s="10" t="s">
        <v>34</v>
      </c>
      <c r="N1048" s="10" t="s">
        <v>35</v>
      </c>
      <c r="V1048" s="14" t="s">
        <v>3883</v>
      </c>
      <c r="W1048" s="15"/>
      <c r="Y1048" s="10" t="s">
        <v>0</v>
      </c>
    </row>
    <row r="1049">
      <c r="A1049" s="10" t="s">
        <v>3884</v>
      </c>
      <c r="B1049" s="11">
        <v>44427.56574868056</v>
      </c>
      <c r="C1049" s="10" t="s">
        <v>181</v>
      </c>
      <c r="D1049" s="10" t="s">
        <v>69</v>
      </c>
      <c r="E1049" s="10" t="s">
        <v>1284</v>
      </c>
      <c r="F1049" s="10" t="s">
        <v>3885</v>
      </c>
      <c r="G1049" s="10" t="s">
        <v>3886</v>
      </c>
      <c r="H1049" s="11">
        <v>44431.5</v>
      </c>
      <c r="I1049" s="11">
        <v>44431.58333333333</v>
      </c>
      <c r="J1049" s="10" t="s">
        <v>128</v>
      </c>
      <c r="K1049" s="10" t="s">
        <v>34</v>
      </c>
      <c r="N1049" s="10" t="s">
        <v>35</v>
      </c>
      <c r="V1049" s="14" t="s">
        <v>3479</v>
      </c>
      <c r="W1049" s="15"/>
      <c r="X1049" s="10" t="s">
        <v>37</v>
      </c>
      <c r="Y1049" s="10" t="s">
        <v>0</v>
      </c>
    </row>
    <row r="1050">
      <c r="A1050" s="10" t="s">
        <v>3887</v>
      </c>
      <c r="B1050" s="11">
        <v>44427.5714453125</v>
      </c>
      <c r="C1050" s="10" t="s">
        <v>181</v>
      </c>
      <c r="D1050" s="10" t="s">
        <v>69</v>
      </c>
      <c r="E1050" s="10" t="s">
        <v>3864</v>
      </c>
      <c r="F1050" s="10" t="s">
        <v>3888</v>
      </c>
      <c r="G1050" s="10" t="s">
        <v>3889</v>
      </c>
      <c r="H1050" s="11">
        <v>44431.6875</v>
      </c>
      <c r="I1050" s="11">
        <v>44431.77083333333</v>
      </c>
      <c r="J1050" s="10" t="s">
        <v>128</v>
      </c>
      <c r="K1050" s="10" t="s">
        <v>34</v>
      </c>
      <c r="N1050" s="10" t="s">
        <v>35</v>
      </c>
      <c r="V1050" s="14" t="s">
        <v>3890</v>
      </c>
      <c r="W1050" s="15"/>
      <c r="X1050" s="10" t="s">
        <v>37</v>
      </c>
      <c r="Y1050" s="10" t="s">
        <v>0</v>
      </c>
    </row>
    <row r="1051">
      <c r="A1051" s="10" t="s">
        <v>3891</v>
      </c>
      <c r="B1051" s="11">
        <v>44427.57462127315</v>
      </c>
      <c r="C1051" s="10" t="s">
        <v>181</v>
      </c>
      <c r="D1051" s="10" t="s">
        <v>69</v>
      </c>
      <c r="E1051" s="10" t="s">
        <v>1879</v>
      </c>
      <c r="F1051" s="10" t="s">
        <v>3892</v>
      </c>
      <c r="G1051" s="10" t="s">
        <v>3893</v>
      </c>
      <c r="H1051" s="11">
        <v>44431.41666666667</v>
      </c>
      <c r="I1051" s="11">
        <v>44431.5</v>
      </c>
      <c r="J1051" s="10" t="s">
        <v>128</v>
      </c>
      <c r="K1051" s="10" t="s">
        <v>34</v>
      </c>
      <c r="N1051" s="10" t="s">
        <v>35</v>
      </c>
      <c r="V1051" s="14" t="s">
        <v>3894</v>
      </c>
      <c r="W1051" s="15"/>
      <c r="X1051" s="10" t="s">
        <v>37</v>
      </c>
      <c r="Y1051" s="10" t="s">
        <v>0</v>
      </c>
    </row>
    <row r="1052">
      <c r="A1052" s="10" t="s">
        <v>3895</v>
      </c>
      <c r="B1052" s="11">
        <v>44427.61876747685</v>
      </c>
      <c r="C1052" s="10" t="s">
        <v>374</v>
      </c>
      <c r="D1052" s="10" t="s">
        <v>375</v>
      </c>
      <c r="E1052" s="10" t="s">
        <v>3452</v>
      </c>
      <c r="F1052" s="10" t="s">
        <v>3896</v>
      </c>
      <c r="G1052" s="10" t="s">
        <v>3897</v>
      </c>
      <c r="H1052" s="11">
        <v>44434.5625</v>
      </c>
      <c r="I1052" s="11">
        <v>44434.60416666667</v>
      </c>
      <c r="J1052" s="10" t="s">
        <v>128</v>
      </c>
      <c r="K1052" s="10" t="s">
        <v>34</v>
      </c>
      <c r="N1052" s="10" t="s">
        <v>35</v>
      </c>
      <c r="V1052" s="14" t="s">
        <v>3898</v>
      </c>
      <c r="W1052" s="15"/>
      <c r="X1052" s="10" t="s">
        <v>37</v>
      </c>
      <c r="Y1052" s="10" t="s">
        <v>0</v>
      </c>
    </row>
    <row r="1053">
      <c r="A1053" s="10" t="s">
        <v>3899</v>
      </c>
      <c r="B1053" s="11">
        <v>44427.62351619213</v>
      </c>
      <c r="C1053" s="10" t="s">
        <v>374</v>
      </c>
      <c r="D1053" s="10" t="s">
        <v>375</v>
      </c>
      <c r="E1053" s="10" t="s">
        <v>3452</v>
      </c>
      <c r="F1053" s="10" t="s">
        <v>2183</v>
      </c>
      <c r="G1053" s="10" t="s">
        <v>3900</v>
      </c>
      <c r="H1053" s="11">
        <v>44435.77083333333</v>
      </c>
      <c r="I1053" s="11">
        <v>44435.83333333333</v>
      </c>
      <c r="J1053" s="10" t="s">
        <v>33</v>
      </c>
      <c r="K1053" s="10" t="s">
        <v>34</v>
      </c>
      <c r="N1053" s="10" t="s">
        <v>35</v>
      </c>
      <c r="V1053" s="14" t="s">
        <v>3901</v>
      </c>
      <c r="W1053" s="15"/>
      <c r="X1053" s="10" t="s">
        <v>37</v>
      </c>
      <c r="Y1053" s="10" t="s">
        <v>0</v>
      </c>
    </row>
    <row r="1054">
      <c r="A1054" s="10" t="s">
        <v>3902</v>
      </c>
      <c r="B1054" s="11">
        <v>44434.70262752315</v>
      </c>
      <c r="C1054" s="10" t="s">
        <v>671</v>
      </c>
      <c r="D1054" s="10" t="s">
        <v>672</v>
      </c>
      <c r="E1054" s="10" t="s">
        <v>3903</v>
      </c>
      <c r="F1054" s="10" t="s">
        <v>3904</v>
      </c>
      <c r="G1054" s="10" t="s">
        <v>3905</v>
      </c>
      <c r="H1054" s="36">
        <v>44441.52083333333</v>
      </c>
      <c r="I1054" s="11">
        <v>44441.60416666667</v>
      </c>
      <c r="J1054" s="10" t="s">
        <v>128</v>
      </c>
      <c r="K1054" s="10" t="s">
        <v>34</v>
      </c>
      <c r="N1054" s="10" t="s">
        <v>35</v>
      </c>
      <c r="V1054" s="14" t="s">
        <v>3906</v>
      </c>
      <c r="W1054" s="15"/>
      <c r="X1054" s="10" t="s">
        <v>37</v>
      </c>
      <c r="Y1054" s="10" t="s">
        <v>0</v>
      </c>
    </row>
    <row r="1055">
      <c r="A1055" s="10" t="s">
        <v>3907</v>
      </c>
      <c r="B1055" s="11">
        <v>44435.76456056713</v>
      </c>
      <c r="C1055" s="10" t="s">
        <v>160</v>
      </c>
      <c r="D1055" s="10" t="s">
        <v>161</v>
      </c>
      <c r="E1055" s="10" t="s">
        <v>3804</v>
      </c>
      <c r="F1055" s="10" t="s">
        <v>3908</v>
      </c>
      <c r="G1055" s="10" t="s">
        <v>3909</v>
      </c>
      <c r="H1055" s="36">
        <v>44441.77083333333</v>
      </c>
      <c r="I1055" s="11">
        <v>44441.8125</v>
      </c>
      <c r="J1055" s="10" t="s">
        <v>128</v>
      </c>
      <c r="K1055" s="10" t="s">
        <v>34</v>
      </c>
      <c r="N1055" s="10" t="s">
        <v>35</v>
      </c>
      <c r="V1055" s="14" t="s">
        <v>3910</v>
      </c>
      <c r="W1055" s="15"/>
      <c r="Y1055" s="10" t="s">
        <v>0</v>
      </c>
    </row>
    <row r="1056">
      <c r="A1056" s="10" t="s">
        <v>3911</v>
      </c>
      <c r="B1056" s="11">
        <v>44434.69809657407</v>
      </c>
      <c r="C1056" s="10" t="s">
        <v>181</v>
      </c>
      <c r="D1056" s="10" t="s">
        <v>69</v>
      </c>
      <c r="E1056" s="10" t="s">
        <v>3912</v>
      </c>
      <c r="F1056" s="10" t="s">
        <v>3913</v>
      </c>
      <c r="G1056" s="10" t="s">
        <v>3914</v>
      </c>
      <c r="H1056" s="11">
        <v>44442.3125</v>
      </c>
      <c r="I1056" s="11">
        <v>44442.4375</v>
      </c>
      <c r="J1056" s="10" t="s">
        <v>128</v>
      </c>
      <c r="K1056" s="10" t="s">
        <v>61</v>
      </c>
      <c r="L1056" s="10" t="s">
        <v>1334</v>
      </c>
      <c r="N1056" s="10" t="s">
        <v>35</v>
      </c>
      <c r="V1056" s="9"/>
      <c r="W1056" s="13"/>
      <c r="Y1056" s="10" t="s">
        <v>0</v>
      </c>
    </row>
    <row r="1057">
      <c r="A1057" s="10" t="s">
        <v>3915</v>
      </c>
      <c r="B1057" s="11">
        <v>44427.97592354167</v>
      </c>
      <c r="C1057" s="10" t="s">
        <v>3916</v>
      </c>
      <c r="D1057" s="10" t="s">
        <v>3917</v>
      </c>
      <c r="E1057" s="10" t="s">
        <v>3918</v>
      </c>
      <c r="F1057" s="10" t="s">
        <v>3919</v>
      </c>
      <c r="G1057" s="10" t="s">
        <v>3920</v>
      </c>
      <c r="H1057" s="11">
        <v>44435.77083333333</v>
      </c>
      <c r="I1057" s="11">
        <v>44435.85416666667</v>
      </c>
      <c r="J1057" s="10" t="s">
        <v>128</v>
      </c>
      <c r="K1057" s="10" t="s">
        <v>34</v>
      </c>
      <c r="N1057" s="10" t="s">
        <v>35</v>
      </c>
      <c r="V1057" s="14" t="s">
        <v>3921</v>
      </c>
      <c r="W1057" s="15"/>
      <c r="X1057" s="10" t="s">
        <v>37</v>
      </c>
      <c r="Y1057" s="10" t="s">
        <v>0</v>
      </c>
    </row>
    <row r="1058">
      <c r="A1058" s="10" t="s">
        <v>3922</v>
      </c>
      <c r="B1058" s="11">
        <v>44428.620263460645</v>
      </c>
      <c r="C1058" s="10" t="s">
        <v>381</v>
      </c>
      <c r="D1058" s="10" t="s">
        <v>382</v>
      </c>
      <c r="E1058" s="10" t="s">
        <v>1487</v>
      </c>
      <c r="F1058" s="10" t="s">
        <v>3923</v>
      </c>
      <c r="G1058" s="10" t="s">
        <v>3924</v>
      </c>
      <c r="H1058" s="11">
        <v>44435.66875</v>
      </c>
      <c r="I1058" s="11">
        <v>44463.72916666667</v>
      </c>
      <c r="J1058" s="10" t="s">
        <v>128</v>
      </c>
      <c r="K1058" s="10" t="s">
        <v>34</v>
      </c>
      <c r="N1058" s="10" t="s">
        <v>35</v>
      </c>
      <c r="V1058" s="14" t="s">
        <v>3770</v>
      </c>
      <c r="W1058" s="15"/>
      <c r="X1058" s="10" t="s">
        <v>37</v>
      </c>
      <c r="Y1058" s="10" t="s">
        <v>0</v>
      </c>
    </row>
    <row r="1059">
      <c r="A1059" s="10" t="s">
        <v>3925</v>
      </c>
      <c r="B1059" s="11">
        <v>44428.62211793981</v>
      </c>
      <c r="C1059" s="10" t="s">
        <v>381</v>
      </c>
      <c r="D1059" s="10" t="s">
        <v>382</v>
      </c>
      <c r="E1059" s="10" t="s">
        <v>1487</v>
      </c>
      <c r="F1059" s="10" t="s">
        <v>3926</v>
      </c>
      <c r="G1059" s="10" t="s">
        <v>3927</v>
      </c>
      <c r="H1059" s="11">
        <v>44435.6875</v>
      </c>
      <c r="I1059" s="11">
        <v>44435.72916666667</v>
      </c>
      <c r="J1059" s="10" t="s">
        <v>128</v>
      </c>
      <c r="K1059" s="10" t="s">
        <v>34</v>
      </c>
      <c r="N1059" s="10" t="s">
        <v>35</v>
      </c>
      <c r="V1059" s="14" t="s">
        <v>3770</v>
      </c>
      <c r="W1059" s="15"/>
      <c r="X1059" s="10" t="s">
        <v>37</v>
      </c>
      <c r="Y1059" s="10" t="s">
        <v>0</v>
      </c>
    </row>
    <row r="1060">
      <c r="A1060" s="10" t="s">
        <v>3928</v>
      </c>
      <c r="B1060" s="11">
        <v>44428.64124953704</v>
      </c>
      <c r="C1060" s="10" t="s">
        <v>181</v>
      </c>
      <c r="D1060" s="10" t="s">
        <v>69</v>
      </c>
      <c r="E1060" s="10" t="s">
        <v>1179</v>
      </c>
      <c r="F1060" s="10" t="s">
        <v>3929</v>
      </c>
      <c r="G1060" s="10" t="s">
        <v>3930</v>
      </c>
      <c r="H1060" s="11">
        <v>44431.60416666667</v>
      </c>
      <c r="I1060" s="11">
        <v>44431.6875</v>
      </c>
      <c r="J1060" s="10" t="s">
        <v>128</v>
      </c>
      <c r="K1060" s="10" t="s">
        <v>34</v>
      </c>
      <c r="N1060" s="10" t="s">
        <v>35</v>
      </c>
      <c r="V1060" s="14" t="s">
        <v>3490</v>
      </c>
      <c r="W1060" s="15"/>
      <c r="X1060" s="10" t="s">
        <v>37</v>
      </c>
      <c r="Y1060" s="10" t="s">
        <v>0</v>
      </c>
    </row>
    <row r="1061">
      <c r="A1061" s="10" t="s">
        <v>3931</v>
      </c>
      <c r="B1061" s="11">
        <v>44435.38212239584</v>
      </c>
      <c r="C1061" s="10" t="s">
        <v>181</v>
      </c>
      <c r="D1061" s="10" t="s">
        <v>69</v>
      </c>
      <c r="E1061" s="10" t="s">
        <v>1179</v>
      </c>
      <c r="F1061" s="10" t="s">
        <v>3932</v>
      </c>
      <c r="G1061" s="10" t="s">
        <v>3933</v>
      </c>
      <c r="H1061" s="36">
        <v>44438.6875</v>
      </c>
      <c r="I1061" s="11">
        <v>44438.77083333333</v>
      </c>
      <c r="J1061" s="10" t="s">
        <v>172</v>
      </c>
      <c r="K1061" s="10" t="s">
        <v>34</v>
      </c>
      <c r="N1061" s="10" t="s">
        <v>296</v>
      </c>
      <c r="O1061" s="18" t="s">
        <v>3934</v>
      </c>
      <c r="P1061" s="10" t="s">
        <v>296</v>
      </c>
      <c r="Q1061" s="10">
        <v>1.0</v>
      </c>
      <c r="R1061" s="10" t="s">
        <v>35</v>
      </c>
      <c r="T1061" s="10" t="s">
        <v>35</v>
      </c>
      <c r="V1061" s="14" t="s">
        <v>3935</v>
      </c>
      <c r="W1061" s="15"/>
      <c r="X1061" s="10" t="s">
        <v>37</v>
      </c>
      <c r="Y1061" s="10" t="s">
        <v>0</v>
      </c>
    </row>
    <row r="1062">
      <c r="A1062" s="10" t="s">
        <v>3936</v>
      </c>
      <c r="B1062" s="11">
        <v>44428.6546940625</v>
      </c>
      <c r="C1062" s="10" t="s">
        <v>347</v>
      </c>
      <c r="D1062" s="10" t="s">
        <v>348</v>
      </c>
      <c r="E1062" s="10" t="s">
        <v>3429</v>
      </c>
      <c r="F1062" s="10" t="s">
        <v>3937</v>
      </c>
      <c r="G1062" s="10" t="s">
        <v>3938</v>
      </c>
      <c r="H1062" s="11">
        <v>44435.60416666667</v>
      </c>
      <c r="I1062" s="11">
        <v>44435.6875</v>
      </c>
      <c r="J1062" s="10" t="s">
        <v>128</v>
      </c>
      <c r="K1062" s="10" t="s">
        <v>34</v>
      </c>
      <c r="N1062" s="10" t="s">
        <v>35</v>
      </c>
      <c r="V1062" s="14" t="s">
        <v>3939</v>
      </c>
      <c r="W1062" s="15"/>
      <c r="X1062" s="10" t="s">
        <v>37</v>
      </c>
      <c r="Y1062" s="10" t="s">
        <v>0</v>
      </c>
    </row>
    <row r="1063">
      <c r="A1063" s="10" t="s">
        <v>3940</v>
      </c>
      <c r="B1063" s="11">
        <v>44427.51693875</v>
      </c>
      <c r="C1063" s="10" t="s">
        <v>209</v>
      </c>
      <c r="D1063" s="10" t="s">
        <v>210</v>
      </c>
      <c r="E1063" s="10" t="s">
        <v>261</v>
      </c>
      <c r="F1063" s="10" t="s">
        <v>3860</v>
      </c>
      <c r="G1063" s="10" t="s">
        <v>3941</v>
      </c>
      <c r="H1063" s="36">
        <v>44442.4375</v>
      </c>
      <c r="I1063" s="11">
        <v>44442.52083333333</v>
      </c>
      <c r="J1063" s="10" t="s">
        <v>128</v>
      </c>
      <c r="K1063" s="10" t="s">
        <v>34</v>
      </c>
      <c r="N1063" s="10" t="s">
        <v>35</v>
      </c>
      <c r="V1063" s="35" t="s">
        <v>3942</v>
      </c>
      <c r="W1063" s="15"/>
      <c r="X1063" s="10" t="s">
        <v>37</v>
      </c>
      <c r="Y1063" s="10" t="s">
        <v>0</v>
      </c>
    </row>
    <row r="1064">
      <c r="A1064" s="10" t="s">
        <v>3943</v>
      </c>
      <c r="B1064" s="11">
        <v>44428.72862695601</v>
      </c>
      <c r="C1064" s="10" t="s">
        <v>80</v>
      </c>
      <c r="D1064" s="10" t="s">
        <v>81</v>
      </c>
      <c r="E1064" s="10" t="s">
        <v>81</v>
      </c>
      <c r="F1064" s="10" t="s">
        <v>3944</v>
      </c>
      <c r="G1064" s="10" t="s">
        <v>3945</v>
      </c>
      <c r="H1064" s="11">
        <v>44429.60416666667</v>
      </c>
      <c r="I1064" s="11">
        <v>44429.6875</v>
      </c>
      <c r="J1064" s="10" t="s">
        <v>128</v>
      </c>
      <c r="K1064" s="10" t="s">
        <v>34</v>
      </c>
      <c r="N1064" s="10" t="s">
        <v>35</v>
      </c>
      <c r="V1064" s="14" t="s">
        <v>3946</v>
      </c>
      <c r="W1064" s="15"/>
      <c r="X1064" s="10" t="s">
        <v>37</v>
      </c>
      <c r="Y1064" s="10" t="s">
        <v>0</v>
      </c>
    </row>
    <row r="1065">
      <c r="A1065" s="10" t="s">
        <v>3947</v>
      </c>
      <c r="B1065" s="11">
        <v>44427.51705061343</v>
      </c>
      <c r="C1065" s="10" t="s">
        <v>209</v>
      </c>
      <c r="D1065" s="10" t="s">
        <v>210</v>
      </c>
      <c r="E1065" s="10" t="s">
        <v>261</v>
      </c>
      <c r="F1065" s="10" t="s">
        <v>3860</v>
      </c>
      <c r="G1065" s="10" t="s">
        <v>3941</v>
      </c>
      <c r="H1065" s="36">
        <v>44442.4375</v>
      </c>
      <c r="I1065" s="11">
        <v>44442.52083333333</v>
      </c>
      <c r="J1065" s="10" t="s">
        <v>128</v>
      </c>
      <c r="K1065" s="10" t="s">
        <v>34</v>
      </c>
      <c r="N1065" s="10" t="s">
        <v>35</v>
      </c>
      <c r="V1065" s="35" t="s">
        <v>3942</v>
      </c>
      <c r="W1065" s="15"/>
      <c r="X1065" s="10" t="s">
        <v>37</v>
      </c>
      <c r="Y1065" s="10" t="s">
        <v>0</v>
      </c>
    </row>
    <row r="1066">
      <c r="A1066" s="10" t="s">
        <v>3948</v>
      </c>
      <c r="B1066" s="11">
        <v>44434.66139471065</v>
      </c>
      <c r="C1066" s="10" t="s">
        <v>181</v>
      </c>
      <c r="D1066" s="10" t="s">
        <v>69</v>
      </c>
      <c r="E1066" s="10" t="s">
        <v>1879</v>
      </c>
      <c r="F1066" s="10" t="s">
        <v>3949</v>
      </c>
      <c r="G1066" s="10" t="s">
        <v>3950</v>
      </c>
      <c r="H1066" s="36">
        <v>44442.4375</v>
      </c>
      <c r="I1066" s="11">
        <v>44442.4375</v>
      </c>
      <c r="J1066" s="10" t="s">
        <v>73</v>
      </c>
      <c r="K1066" s="10" t="s">
        <v>34</v>
      </c>
      <c r="N1066" s="10" t="s">
        <v>35</v>
      </c>
      <c r="V1066" s="14" t="s">
        <v>3951</v>
      </c>
      <c r="W1066" s="15"/>
      <c r="X1066" s="10" t="s">
        <v>37</v>
      </c>
      <c r="Y1066" s="10" t="s">
        <v>0</v>
      </c>
    </row>
    <row r="1067">
      <c r="A1067" s="10" t="s">
        <v>3952</v>
      </c>
      <c r="B1067" s="11">
        <v>44432.56879559028</v>
      </c>
      <c r="C1067" s="10" t="s">
        <v>160</v>
      </c>
      <c r="D1067" s="10" t="s">
        <v>161</v>
      </c>
      <c r="E1067" s="10" t="s">
        <v>3953</v>
      </c>
      <c r="F1067" s="10" t="s">
        <v>3954</v>
      </c>
      <c r="G1067" s="10" t="s">
        <v>3955</v>
      </c>
      <c r="H1067" s="11">
        <v>44432.52083333333</v>
      </c>
      <c r="I1067" s="11">
        <v>44432.54166666667</v>
      </c>
      <c r="J1067" s="10" t="s">
        <v>73</v>
      </c>
      <c r="K1067" s="10" t="s">
        <v>34</v>
      </c>
      <c r="N1067" s="10" t="s">
        <v>35</v>
      </c>
      <c r="V1067" s="14" t="s">
        <v>3956</v>
      </c>
      <c r="W1067" s="15"/>
      <c r="X1067" s="10" t="s">
        <v>37</v>
      </c>
      <c r="Y1067" s="10" t="s">
        <v>0</v>
      </c>
    </row>
    <row r="1068">
      <c r="A1068" s="10" t="s">
        <v>3957</v>
      </c>
      <c r="B1068" s="11">
        <v>44432.60736922454</v>
      </c>
      <c r="C1068" s="10" t="s">
        <v>160</v>
      </c>
      <c r="D1068" s="10" t="s">
        <v>161</v>
      </c>
      <c r="E1068" s="10" t="s">
        <v>3958</v>
      </c>
      <c r="F1068" s="10" t="s">
        <v>3959</v>
      </c>
      <c r="G1068" s="10" t="s">
        <v>3960</v>
      </c>
      <c r="H1068" s="11">
        <v>44435.60416666667</v>
      </c>
      <c r="I1068" s="11">
        <v>44435.625</v>
      </c>
      <c r="J1068" s="10" t="s">
        <v>33</v>
      </c>
      <c r="K1068" s="10" t="s">
        <v>34</v>
      </c>
      <c r="N1068" s="10" t="s">
        <v>296</v>
      </c>
      <c r="O1068" s="18" t="s">
        <v>3961</v>
      </c>
      <c r="P1068" s="10" t="s">
        <v>296</v>
      </c>
      <c r="Q1068" s="10">
        <v>1.0</v>
      </c>
      <c r="R1068" s="10" t="s">
        <v>35</v>
      </c>
      <c r="T1068" s="10" t="s">
        <v>35</v>
      </c>
      <c r="V1068" s="14" t="s">
        <v>3962</v>
      </c>
      <c r="W1068" s="15"/>
      <c r="X1068" s="10" t="s">
        <v>37</v>
      </c>
      <c r="Y1068" s="10" t="s">
        <v>0</v>
      </c>
    </row>
    <row r="1069">
      <c r="A1069" s="10" t="s">
        <v>3963</v>
      </c>
      <c r="B1069" s="11">
        <v>44432.62356260417</v>
      </c>
      <c r="C1069" s="10" t="s">
        <v>96</v>
      </c>
      <c r="D1069" s="10" t="s">
        <v>97</v>
      </c>
      <c r="E1069" s="10" t="s">
        <v>98</v>
      </c>
      <c r="F1069" s="10" t="s">
        <v>3964</v>
      </c>
      <c r="G1069" s="10" t="s">
        <v>3965</v>
      </c>
      <c r="H1069" s="11">
        <v>44428.72916666667</v>
      </c>
      <c r="I1069" s="11">
        <v>44428.79166666667</v>
      </c>
      <c r="J1069" s="10" t="s">
        <v>128</v>
      </c>
      <c r="K1069" s="10" t="s">
        <v>34</v>
      </c>
      <c r="N1069" s="10" t="s">
        <v>35</v>
      </c>
      <c r="V1069" s="14" t="s">
        <v>3966</v>
      </c>
      <c r="W1069" s="15"/>
      <c r="X1069" s="10" t="s">
        <v>37</v>
      </c>
      <c r="Y1069" s="10" t="s">
        <v>0</v>
      </c>
    </row>
    <row r="1070">
      <c r="A1070" s="10" t="s">
        <v>3967</v>
      </c>
      <c r="B1070" s="11">
        <v>44408.905249375</v>
      </c>
      <c r="C1070" s="10" t="s">
        <v>137</v>
      </c>
      <c r="D1070" s="10" t="s">
        <v>138</v>
      </c>
      <c r="E1070" s="10" t="s">
        <v>3299</v>
      </c>
      <c r="F1070" s="10" t="s">
        <v>921</v>
      </c>
      <c r="G1070" s="10" t="s">
        <v>3968</v>
      </c>
      <c r="H1070" s="36">
        <v>44442.58333333333</v>
      </c>
      <c r="I1070" s="11">
        <v>44442.66666666667</v>
      </c>
      <c r="J1070" s="10" t="s">
        <v>128</v>
      </c>
      <c r="K1070" s="10" t="s">
        <v>34</v>
      </c>
      <c r="N1070" s="10" t="s">
        <v>35</v>
      </c>
      <c r="V1070" s="9"/>
      <c r="W1070" s="13"/>
      <c r="X1070" s="10" t="s">
        <v>37</v>
      </c>
      <c r="Y1070" s="10" t="s">
        <v>0</v>
      </c>
    </row>
    <row r="1071">
      <c r="A1071" s="10" t="s">
        <v>3969</v>
      </c>
      <c r="B1071" s="11">
        <v>44433.50583623843</v>
      </c>
      <c r="C1071" s="10" t="s">
        <v>1740</v>
      </c>
      <c r="D1071" s="10" t="s">
        <v>419</v>
      </c>
      <c r="E1071" s="10" t="s">
        <v>3846</v>
      </c>
      <c r="F1071" s="10" t="s">
        <v>3970</v>
      </c>
      <c r="G1071" s="10" t="s">
        <v>3971</v>
      </c>
      <c r="H1071" s="36">
        <v>44442.60416666667</v>
      </c>
      <c r="I1071" s="11">
        <v>44442.64583333333</v>
      </c>
      <c r="J1071" s="10" t="s">
        <v>128</v>
      </c>
      <c r="K1071" s="10" t="s">
        <v>34</v>
      </c>
      <c r="N1071" s="10" t="s">
        <v>296</v>
      </c>
      <c r="O1071" s="18" t="s">
        <v>3972</v>
      </c>
      <c r="P1071" s="10" t="s">
        <v>296</v>
      </c>
      <c r="Q1071" s="10">
        <v>1.0</v>
      </c>
      <c r="R1071" s="10" t="s">
        <v>35</v>
      </c>
      <c r="T1071" s="10" t="s">
        <v>35</v>
      </c>
      <c r="V1071" s="14" t="s">
        <v>3973</v>
      </c>
      <c r="W1071" s="15"/>
      <c r="X1071" s="10" t="s">
        <v>37</v>
      </c>
      <c r="Y1071" s="10" t="s">
        <v>0</v>
      </c>
    </row>
    <row r="1072">
      <c r="A1072" s="10" t="s">
        <v>3974</v>
      </c>
      <c r="B1072" s="11">
        <v>44433.46607487269</v>
      </c>
      <c r="C1072" s="10" t="s">
        <v>3585</v>
      </c>
      <c r="D1072" s="10" t="s">
        <v>220</v>
      </c>
      <c r="E1072" s="10" t="s">
        <v>3975</v>
      </c>
      <c r="F1072" s="10" t="s">
        <v>3591</v>
      </c>
      <c r="G1072" s="10" t="s">
        <v>3976</v>
      </c>
      <c r="H1072" s="11">
        <v>44434.85416666667</v>
      </c>
      <c r="I1072" s="11">
        <v>44434.89583333333</v>
      </c>
      <c r="J1072" s="10" t="s">
        <v>128</v>
      </c>
      <c r="K1072" s="10" t="s">
        <v>34</v>
      </c>
      <c r="N1072" s="10" t="s">
        <v>35</v>
      </c>
      <c r="V1072" s="14" t="s">
        <v>3977</v>
      </c>
      <c r="W1072" s="15"/>
      <c r="X1072" s="10" t="s">
        <v>37</v>
      </c>
      <c r="Y1072" s="10" t="s">
        <v>0</v>
      </c>
    </row>
    <row r="1073">
      <c r="A1073" s="10" t="s">
        <v>3978</v>
      </c>
      <c r="B1073" s="11">
        <v>44435.746942337966</v>
      </c>
      <c r="C1073" s="10" t="s">
        <v>160</v>
      </c>
      <c r="D1073" s="10" t="s">
        <v>161</v>
      </c>
      <c r="E1073" s="10" t="s">
        <v>3542</v>
      </c>
      <c r="F1073" s="10" t="s">
        <v>3979</v>
      </c>
      <c r="G1073" s="10" t="s">
        <v>3980</v>
      </c>
      <c r="H1073" s="36">
        <v>44442.60416666667</v>
      </c>
      <c r="I1073" s="11">
        <v>44442.694444444445</v>
      </c>
      <c r="J1073" s="10" t="s">
        <v>33</v>
      </c>
      <c r="K1073" s="10" t="s">
        <v>34</v>
      </c>
      <c r="N1073" s="10" t="s">
        <v>296</v>
      </c>
      <c r="O1073" s="18" t="s">
        <v>3981</v>
      </c>
      <c r="P1073" s="10" t="s">
        <v>296</v>
      </c>
      <c r="Q1073" s="10">
        <v>1.0</v>
      </c>
      <c r="R1073" s="10" t="s">
        <v>35</v>
      </c>
      <c r="T1073" s="10" t="s">
        <v>35</v>
      </c>
      <c r="V1073" s="14" t="s">
        <v>3982</v>
      </c>
      <c r="W1073" s="15"/>
      <c r="Y1073" s="10" t="s">
        <v>0</v>
      </c>
    </row>
    <row r="1074">
      <c r="A1074" s="10" t="s">
        <v>3983</v>
      </c>
      <c r="B1074" s="11">
        <v>44434.46364148148</v>
      </c>
      <c r="C1074" s="10" t="s">
        <v>1035</v>
      </c>
      <c r="D1074" s="10" t="s">
        <v>1036</v>
      </c>
      <c r="E1074" s="10" t="s">
        <v>3984</v>
      </c>
      <c r="F1074" s="10" t="s">
        <v>3985</v>
      </c>
      <c r="G1074" s="10" t="s">
        <v>3986</v>
      </c>
      <c r="H1074" s="36">
        <v>44442.6875</v>
      </c>
      <c r="I1074" s="11">
        <v>44442.72916666667</v>
      </c>
      <c r="J1074" s="10" t="s">
        <v>128</v>
      </c>
      <c r="K1074" s="10" t="s">
        <v>34</v>
      </c>
      <c r="N1074" s="10" t="s">
        <v>35</v>
      </c>
      <c r="V1074" s="14" t="s">
        <v>3469</v>
      </c>
      <c r="W1074" s="15"/>
      <c r="X1074" s="10" t="s">
        <v>37</v>
      </c>
      <c r="Y1074" s="10" t="s">
        <v>0</v>
      </c>
    </row>
    <row r="1075">
      <c r="A1075" s="10" t="s">
        <v>3987</v>
      </c>
      <c r="B1075" s="11">
        <v>44435.487285613424</v>
      </c>
      <c r="C1075" s="10" t="s">
        <v>381</v>
      </c>
      <c r="D1075" s="10" t="s">
        <v>382</v>
      </c>
      <c r="E1075" s="10" t="s">
        <v>1487</v>
      </c>
      <c r="F1075" s="10" t="s">
        <v>3988</v>
      </c>
      <c r="G1075" s="10" t="s">
        <v>3989</v>
      </c>
      <c r="H1075" s="36">
        <v>44442.6875</v>
      </c>
      <c r="I1075" s="11">
        <v>44442.72916666667</v>
      </c>
      <c r="J1075" s="10" t="s">
        <v>128</v>
      </c>
      <c r="K1075" s="10" t="s">
        <v>34</v>
      </c>
      <c r="N1075" s="10" t="s">
        <v>35</v>
      </c>
      <c r="V1075" s="14" t="s">
        <v>3990</v>
      </c>
      <c r="W1075" s="15"/>
      <c r="X1075" s="10" t="s">
        <v>37</v>
      </c>
      <c r="Y1075" s="10" t="s">
        <v>0</v>
      </c>
    </row>
    <row r="1076">
      <c r="A1076" s="10" t="s">
        <v>3991</v>
      </c>
      <c r="B1076" s="11">
        <v>44434.66867193287</v>
      </c>
      <c r="C1076" s="10" t="s">
        <v>181</v>
      </c>
      <c r="D1076" s="10" t="s">
        <v>69</v>
      </c>
      <c r="E1076" s="10" t="s">
        <v>1229</v>
      </c>
      <c r="F1076" s="10" t="s">
        <v>3992</v>
      </c>
      <c r="G1076" s="10" t="s">
        <v>3993</v>
      </c>
      <c r="H1076" s="36">
        <v>44440.4375</v>
      </c>
      <c r="I1076" s="11">
        <v>44441.47916666667</v>
      </c>
      <c r="J1076" s="10" t="s">
        <v>43</v>
      </c>
      <c r="K1076" s="10" t="s">
        <v>34</v>
      </c>
      <c r="N1076" s="10" t="s">
        <v>296</v>
      </c>
      <c r="O1076" s="18" t="s">
        <v>3994</v>
      </c>
      <c r="P1076" s="10" t="s">
        <v>35</v>
      </c>
      <c r="R1076" s="10" t="s">
        <v>296</v>
      </c>
      <c r="S1076" s="10">
        <v>1.0</v>
      </c>
      <c r="T1076" s="10" t="s">
        <v>35</v>
      </c>
      <c r="V1076" s="14" t="s">
        <v>3995</v>
      </c>
      <c r="W1076" s="15"/>
      <c r="X1076" s="10" t="s">
        <v>3996</v>
      </c>
      <c r="Y1076" s="10" t="s">
        <v>0</v>
      </c>
    </row>
    <row r="1077">
      <c r="A1077" s="10" t="s">
        <v>3997</v>
      </c>
      <c r="B1077" s="11">
        <v>44437.80766548611</v>
      </c>
      <c r="C1077" s="10" t="s">
        <v>239</v>
      </c>
      <c r="D1077" s="10" t="s">
        <v>240</v>
      </c>
      <c r="E1077" s="10" t="s">
        <v>3998</v>
      </c>
      <c r="F1077" s="10" t="s">
        <v>3999</v>
      </c>
      <c r="G1077" s="10" t="s">
        <v>4000</v>
      </c>
      <c r="H1077" s="11">
        <v>44440.60416666667</v>
      </c>
      <c r="I1077" s="11">
        <v>44440.64583333333</v>
      </c>
      <c r="J1077" s="10" t="s">
        <v>43</v>
      </c>
      <c r="K1077" s="10" t="s">
        <v>34</v>
      </c>
      <c r="N1077" s="10" t="s">
        <v>35</v>
      </c>
      <c r="V1077" s="14" t="s">
        <v>4001</v>
      </c>
      <c r="W1077" s="15"/>
      <c r="X1077" s="10" t="s">
        <v>37</v>
      </c>
      <c r="Y1077" s="10" t="s">
        <v>0</v>
      </c>
    </row>
    <row r="1078">
      <c r="A1078" s="10" t="s">
        <v>4002</v>
      </c>
      <c r="B1078" s="11">
        <v>44433.46547916667</v>
      </c>
      <c r="C1078" s="10" t="s">
        <v>330</v>
      </c>
      <c r="D1078" s="10" t="s">
        <v>331</v>
      </c>
      <c r="E1078" s="10" t="s">
        <v>4003</v>
      </c>
      <c r="F1078" s="10" t="s">
        <v>4004</v>
      </c>
      <c r="G1078" s="10" t="s">
        <v>4005</v>
      </c>
      <c r="H1078" s="36">
        <v>44440.72916666667</v>
      </c>
      <c r="I1078" s="11">
        <v>44440.77083333333</v>
      </c>
      <c r="J1078" s="10" t="s">
        <v>172</v>
      </c>
      <c r="K1078" s="10" t="s">
        <v>34</v>
      </c>
      <c r="N1078" s="10" t="s">
        <v>35</v>
      </c>
      <c r="V1078" s="14" t="s">
        <v>4006</v>
      </c>
      <c r="W1078" s="15"/>
      <c r="X1078" s="10" t="s">
        <v>37</v>
      </c>
      <c r="Y1078" s="10" t="s">
        <v>0</v>
      </c>
    </row>
    <row r="1079">
      <c r="A1079" s="10" t="s">
        <v>4007</v>
      </c>
      <c r="B1079" s="11">
        <v>44435.65341105324</v>
      </c>
      <c r="C1079" s="10" t="s">
        <v>516</v>
      </c>
      <c r="D1079" s="10" t="s">
        <v>511</v>
      </c>
      <c r="E1079" s="10" t="s">
        <v>2164</v>
      </c>
      <c r="F1079" s="10" t="s">
        <v>4008</v>
      </c>
      <c r="G1079" s="10" t="s">
        <v>4009</v>
      </c>
      <c r="H1079" s="36">
        <v>44443.4375</v>
      </c>
      <c r="I1079" s="11">
        <v>44443.52083333333</v>
      </c>
      <c r="J1079" s="10" t="s">
        <v>128</v>
      </c>
      <c r="K1079" s="10" t="s">
        <v>34</v>
      </c>
      <c r="N1079" s="10" t="s">
        <v>35</v>
      </c>
      <c r="V1079" s="14" t="s">
        <v>3717</v>
      </c>
      <c r="W1079" s="15"/>
      <c r="X1079" s="10" t="s">
        <v>37</v>
      </c>
      <c r="Y1079" s="10" t="s">
        <v>0</v>
      </c>
    </row>
    <row r="1080">
      <c r="A1080" s="10" t="s">
        <v>4010</v>
      </c>
      <c r="B1080" s="11">
        <v>44441.510915810184</v>
      </c>
      <c r="C1080" s="10" t="s">
        <v>80</v>
      </c>
      <c r="D1080" s="10" t="s">
        <v>81</v>
      </c>
      <c r="E1080" s="10" t="s">
        <v>2119</v>
      </c>
      <c r="F1080" s="38" t="s">
        <v>4011</v>
      </c>
      <c r="G1080" s="39" t="s">
        <v>4012</v>
      </c>
      <c r="H1080" s="36">
        <v>44445.33333333333</v>
      </c>
      <c r="I1080" s="11">
        <v>44445.375</v>
      </c>
      <c r="J1080" s="10" t="s">
        <v>73</v>
      </c>
      <c r="K1080" s="10" t="s">
        <v>34</v>
      </c>
      <c r="N1080" s="10" t="s">
        <v>35</v>
      </c>
      <c r="V1080" s="40" t="s">
        <v>4013</v>
      </c>
      <c r="W1080" s="15"/>
      <c r="X1080" s="10" t="s">
        <v>37</v>
      </c>
      <c r="Y1080" s="10" t="s">
        <v>0</v>
      </c>
    </row>
    <row r="1081">
      <c r="A1081" s="10" t="s">
        <v>4014</v>
      </c>
      <c r="B1081" s="11">
        <v>44442.49509326389</v>
      </c>
      <c r="C1081" s="10" t="s">
        <v>181</v>
      </c>
      <c r="D1081" s="10" t="s">
        <v>69</v>
      </c>
      <c r="E1081" s="10" t="s">
        <v>4015</v>
      </c>
      <c r="F1081" s="10" t="s">
        <v>4016</v>
      </c>
      <c r="G1081" s="39" t="s">
        <v>4017</v>
      </c>
      <c r="H1081" s="36">
        <v>44445.39583333333</v>
      </c>
      <c r="I1081" s="11">
        <v>44445.4375</v>
      </c>
      <c r="J1081" s="10" t="s">
        <v>128</v>
      </c>
      <c r="K1081" s="10" t="s">
        <v>34</v>
      </c>
      <c r="N1081" s="10" t="s">
        <v>35</v>
      </c>
      <c r="V1081" s="14" t="s">
        <v>4018</v>
      </c>
      <c r="W1081" s="15"/>
      <c r="Y1081" s="10" t="s">
        <v>0</v>
      </c>
    </row>
    <row r="1082">
      <c r="A1082" s="10" t="s">
        <v>4019</v>
      </c>
      <c r="B1082" s="11">
        <v>44435.69213240741</v>
      </c>
      <c r="C1082" s="10" t="s">
        <v>181</v>
      </c>
      <c r="D1082" s="10" t="s">
        <v>69</v>
      </c>
      <c r="E1082" s="10" t="s">
        <v>2100</v>
      </c>
      <c r="F1082" s="10" t="s">
        <v>4020</v>
      </c>
      <c r="G1082" s="10" t="s">
        <v>4021</v>
      </c>
      <c r="H1082" s="36">
        <v>44441.4375</v>
      </c>
      <c r="I1082" s="11">
        <v>44441.47916666667</v>
      </c>
      <c r="J1082" s="10" t="s">
        <v>43</v>
      </c>
      <c r="K1082" s="10" t="s">
        <v>34</v>
      </c>
      <c r="N1082" s="10" t="s">
        <v>296</v>
      </c>
      <c r="O1082" s="18" t="s">
        <v>4022</v>
      </c>
      <c r="P1082" s="10" t="s">
        <v>35</v>
      </c>
      <c r="R1082" s="10" t="s">
        <v>296</v>
      </c>
      <c r="S1082" s="10">
        <v>1.0</v>
      </c>
      <c r="T1082" s="10" t="s">
        <v>35</v>
      </c>
      <c r="V1082" s="14" t="s">
        <v>3995</v>
      </c>
      <c r="W1082" s="15"/>
      <c r="Y1082" s="10" t="s">
        <v>0</v>
      </c>
    </row>
    <row r="1083">
      <c r="A1083" s="10" t="s">
        <v>4023</v>
      </c>
      <c r="B1083" s="11">
        <v>44440.86724894676</v>
      </c>
      <c r="C1083" s="10" t="s">
        <v>181</v>
      </c>
      <c r="D1083" s="10" t="s">
        <v>69</v>
      </c>
      <c r="E1083" s="10" t="s">
        <v>1284</v>
      </c>
      <c r="F1083" s="10" t="s">
        <v>4024</v>
      </c>
      <c r="G1083" s="35" t="s">
        <v>4025</v>
      </c>
      <c r="H1083" s="36">
        <v>44445.54166666667</v>
      </c>
      <c r="I1083" s="11">
        <v>44445.58333333333</v>
      </c>
      <c r="J1083" s="10" t="s">
        <v>128</v>
      </c>
      <c r="K1083" s="10" t="s">
        <v>34</v>
      </c>
      <c r="N1083" s="10" t="s">
        <v>35</v>
      </c>
      <c r="V1083" s="14" t="s">
        <v>4026</v>
      </c>
      <c r="W1083" s="15"/>
      <c r="X1083" s="10" t="s">
        <v>37</v>
      </c>
      <c r="Y1083" s="10" t="s">
        <v>0</v>
      </c>
    </row>
    <row r="1084">
      <c r="A1084" s="10" t="s">
        <v>4027</v>
      </c>
      <c r="B1084" s="11">
        <v>44442.58803917824</v>
      </c>
      <c r="C1084" s="10" t="s">
        <v>181</v>
      </c>
      <c r="D1084" s="10" t="s">
        <v>69</v>
      </c>
      <c r="E1084" s="10" t="s">
        <v>1913</v>
      </c>
      <c r="F1084" s="10" t="s">
        <v>4028</v>
      </c>
      <c r="G1084" s="35" t="s">
        <v>4029</v>
      </c>
      <c r="H1084" s="36">
        <v>44445.60416666667</v>
      </c>
      <c r="I1084" s="11">
        <v>44445.6875</v>
      </c>
      <c r="J1084" s="10" t="s">
        <v>128</v>
      </c>
      <c r="K1084" s="10" t="s">
        <v>34</v>
      </c>
      <c r="N1084" s="10" t="s">
        <v>35</v>
      </c>
      <c r="V1084" s="14" t="s">
        <v>3490</v>
      </c>
      <c r="W1084" s="15"/>
      <c r="Y1084" s="10" t="s">
        <v>0</v>
      </c>
    </row>
    <row r="1085">
      <c r="A1085" s="10" t="s">
        <v>4030</v>
      </c>
      <c r="B1085" s="11">
        <v>44437.809813368054</v>
      </c>
      <c r="C1085" s="10" t="s">
        <v>239</v>
      </c>
      <c r="D1085" s="10" t="s">
        <v>240</v>
      </c>
      <c r="E1085" s="10" t="s">
        <v>4031</v>
      </c>
      <c r="F1085" s="10" t="s">
        <v>4032</v>
      </c>
      <c r="G1085" s="10" t="s">
        <v>4033</v>
      </c>
      <c r="H1085" s="11">
        <v>44441.66666666667</v>
      </c>
      <c r="I1085" s="11">
        <v>44441.70833333333</v>
      </c>
      <c r="J1085" s="10" t="s">
        <v>43</v>
      </c>
      <c r="K1085" s="10" t="s">
        <v>34</v>
      </c>
      <c r="N1085" s="10" t="s">
        <v>35</v>
      </c>
      <c r="V1085" s="14" t="s">
        <v>4001</v>
      </c>
      <c r="W1085" s="15"/>
      <c r="X1085" s="10" t="s">
        <v>37</v>
      </c>
      <c r="Y1085" s="10" t="s">
        <v>0</v>
      </c>
    </row>
    <row r="1086">
      <c r="A1086" s="10" t="s">
        <v>4034</v>
      </c>
      <c r="B1086" s="11">
        <v>44449.59349033565</v>
      </c>
      <c r="C1086" s="10" t="s">
        <v>181</v>
      </c>
      <c r="D1086" s="10" t="s">
        <v>69</v>
      </c>
      <c r="E1086" s="10" t="s">
        <v>3733</v>
      </c>
      <c r="F1086" s="10" t="s">
        <v>3472</v>
      </c>
      <c r="G1086" s="10" t="s">
        <v>4035</v>
      </c>
      <c r="H1086" s="36">
        <v>44452.47916666667</v>
      </c>
      <c r="I1086" s="11">
        <v>44452.52083333333</v>
      </c>
      <c r="J1086" s="10" t="s">
        <v>128</v>
      </c>
      <c r="K1086" s="10" t="s">
        <v>34</v>
      </c>
      <c r="N1086" s="10" t="s">
        <v>35</v>
      </c>
      <c r="V1086" s="14" t="s">
        <v>3658</v>
      </c>
      <c r="W1086" s="15"/>
    </row>
    <row r="1087">
      <c r="A1087" s="10" t="s">
        <v>4036</v>
      </c>
      <c r="B1087" s="11">
        <v>44445.78387991898</v>
      </c>
      <c r="C1087" s="10" t="s">
        <v>181</v>
      </c>
      <c r="D1087" s="10" t="s">
        <v>69</v>
      </c>
      <c r="E1087" s="10" t="s">
        <v>1284</v>
      </c>
      <c r="F1087" s="10" t="s">
        <v>3885</v>
      </c>
      <c r="G1087" s="10" t="s">
        <v>4037</v>
      </c>
      <c r="H1087" s="36">
        <v>44452.54166666667</v>
      </c>
      <c r="I1087" s="11">
        <v>44452.58333333333</v>
      </c>
      <c r="J1087" s="10" t="s">
        <v>128</v>
      </c>
      <c r="K1087" s="10" t="s">
        <v>34</v>
      </c>
      <c r="N1087" s="10" t="s">
        <v>35</v>
      </c>
      <c r="V1087" s="14" t="s">
        <v>3577</v>
      </c>
      <c r="W1087" s="15"/>
      <c r="X1087" s="10" t="s">
        <v>37</v>
      </c>
      <c r="Y1087" s="10" t="s">
        <v>0</v>
      </c>
    </row>
    <row r="1088">
      <c r="A1088" s="10" t="s">
        <v>4038</v>
      </c>
      <c r="B1088" s="11">
        <v>44455.33919384259</v>
      </c>
      <c r="C1088" s="10" t="s">
        <v>80</v>
      </c>
      <c r="D1088" s="10" t="s">
        <v>81</v>
      </c>
      <c r="E1088" s="10" t="s">
        <v>2119</v>
      </c>
      <c r="F1088" s="10" t="s">
        <v>4039</v>
      </c>
      <c r="G1088" s="10" t="s">
        <v>4040</v>
      </c>
      <c r="H1088" s="36">
        <v>44459.33333333333</v>
      </c>
      <c r="I1088" s="11">
        <v>44459.375</v>
      </c>
      <c r="J1088" s="10" t="s">
        <v>73</v>
      </c>
      <c r="K1088" s="10" t="s">
        <v>34</v>
      </c>
      <c r="N1088" s="10" t="s">
        <v>35</v>
      </c>
      <c r="V1088" s="14" t="s">
        <v>4041</v>
      </c>
      <c r="W1088" s="15"/>
      <c r="X1088" s="10" t="s">
        <v>37</v>
      </c>
      <c r="Y1088" s="10" t="s">
        <v>0</v>
      </c>
    </row>
    <row r="1089">
      <c r="A1089" s="10" t="s">
        <v>4042</v>
      </c>
      <c r="B1089" s="11">
        <v>44456.58167238426</v>
      </c>
      <c r="C1089" s="10" t="s">
        <v>181</v>
      </c>
      <c r="D1089" s="10" t="s">
        <v>69</v>
      </c>
      <c r="E1089" s="10" t="s">
        <v>4043</v>
      </c>
      <c r="F1089" s="10" t="s">
        <v>4044</v>
      </c>
      <c r="G1089" s="10" t="s">
        <v>4045</v>
      </c>
      <c r="H1089" s="36">
        <v>44459.35416666667</v>
      </c>
      <c r="I1089" s="11">
        <v>44459.35486111111</v>
      </c>
      <c r="J1089" s="10" t="s">
        <v>73</v>
      </c>
      <c r="K1089" s="10" t="s">
        <v>34</v>
      </c>
      <c r="N1089" s="10" t="s">
        <v>35</v>
      </c>
      <c r="V1089" s="14" t="s">
        <v>4046</v>
      </c>
      <c r="W1089" s="15"/>
    </row>
    <row r="1090">
      <c r="A1090" s="10" t="s">
        <v>4047</v>
      </c>
      <c r="B1090" s="11">
        <v>44463.57166703704</v>
      </c>
      <c r="C1090" s="10" t="s">
        <v>181</v>
      </c>
      <c r="D1090" s="10" t="s">
        <v>69</v>
      </c>
      <c r="E1090" s="10" t="s">
        <v>4048</v>
      </c>
      <c r="F1090" s="10" t="s">
        <v>4049</v>
      </c>
      <c r="G1090" s="10" t="s">
        <v>4050</v>
      </c>
      <c r="H1090" s="41">
        <v>44466.47916666667</v>
      </c>
      <c r="I1090" s="41">
        <v>44466.52083333333</v>
      </c>
      <c r="J1090" s="10" t="s">
        <v>128</v>
      </c>
      <c r="K1090" s="10" t="s">
        <v>34</v>
      </c>
      <c r="N1090" s="10" t="s">
        <v>35</v>
      </c>
      <c r="V1090" s="14" t="s">
        <v>3658</v>
      </c>
      <c r="W1090" s="15"/>
      <c r="X1090" s="10" t="s">
        <v>37</v>
      </c>
      <c r="Y1090" s="10" t="s">
        <v>0</v>
      </c>
    </row>
    <row r="1091">
      <c r="A1091" s="10" t="s">
        <v>4051</v>
      </c>
      <c r="B1091" s="11">
        <v>44463.57076540509</v>
      </c>
      <c r="C1091" s="10" t="s">
        <v>181</v>
      </c>
      <c r="D1091" s="10" t="s">
        <v>69</v>
      </c>
      <c r="E1091" s="10" t="s">
        <v>1284</v>
      </c>
      <c r="F1091" s="10" t="s">
        <v>4052</v>
      </c>
      <c r="G1091" s="10" t="s">
        <v>4053</v>
      </c>
      <c r="H1091" s="41">
        <v>44466.54166666667</v>
      </c>
      <c r="I1091" s="41">
        <v>44466.58333333333</v>
      </c>
      <c r="J1091" s="10" t="s">
        <v>128</v>
      </c>
      <c r="K1091" s="10" t="s">
        <v>34</v>
      </c>
      <c r="N1091" s="10" t="s">
        <v>35</v>
      </c>
      <c r="V1091" s="35" t="s">
        <v>3740</v>
      </c>
      <c r="W1091" s="15"/>
      <c r="X1091" s="10" t="s">
        <v>37</v>
      </c>
      <c r="Y1091" s="10" t="s">
        <v>0</v>
      </c>
    </row>
    <row r="1092">
      <c r="A1092" s="10" t="s">
        <v>4054</v>
      </c>
      <c r="B1092" s="11">
        <v>44466.69582020833</v>
      </c>
      <c r="C1092" s="10" t="s">
        <v>80</v>
      </c>
      <c r="D1092" s="10" t="s">
        <v>81</v>
      </c>
      <c r="E1092" s="10" t="s">
        <v>2119</v>
      </c>
      <c r="F1092" s="10" t="s">
        <v>4055</v>
      </c>
      <c r="G1092" s="10" t="s">
        <v>4056</v>
      </c>
      <c r="H1092" s="42">
        <v>44473.33333333333</v>
      </c>
      <c r="I1092" s="11">
        <v>44473.375</v>
      </c>
      <c r="J1092" s="10" t="s">
        <v>73</v>
      </c>
      <c r="K1092" s="10" t="s">
        <v>34</v>
      </c>
      <c r="N1092" s="10" t="s">
        <v>35</v>
      </c>
      <c r="V1092" s="14" t="s">
        <v>4013</v>
      </c>
      <c r="W1092" s="15"/>
      <c r="X1092" s="10" t="s">
        <v>37</v>
      </c>
      <c r="Y1092" s="10" t="s">
        <v>0</v>
      </c>
    </row>
    <row r="1093">
      <c r="A1093" s="10" t="s">
        <v>4057</v>
      </c>
      <c r="B1093" s="11">
        <v>44408.91188924768</v>
      </c>
      <c r="C1093" s="10" t="s">
        <v>137</v>
      </c>
      <c r="D1093" s="10" t="s">
        <v>138</v>
      </c>
      <c r="E1093" s="10" t="s">
        <v>3299</v>
      </c>
      <c r="F1093" s="10" t="s">
        <v>921</v>
      </c>
      <c r="G1093" s="10" t="s">
        <v>3436</v>
      </c>
      <c r="H1093" s="11">
        <v>44491.58333333333</v>
      </c>
      <c r="I1093" s="11">
        <v>44491.66666666667</v>
      </c>
      <c r="J1093" s="10" t="s">
        <v>128</v>
      </c>
      <c r="K1093" s="10" t="s">
        <v>34</v>
      </c>
      <c r="N1093" s="10" t="s">
        <v>35</v>
      </c>
      <c r="V1093" s="9"/>
      <c r="W1093" s="13"/>
      <c r="X1093" s="10" t="s">
        <v>37</v>
      </c>
      <c r="Y1093" s="10" t="s">
        <v>0</v>
      </c>
    </row>
    <row r="1094">
      <c r="A1094" s="10" t="s">
        <v>4058</v>
      </c>
      <c r="B1094" s="11">
        <v>44484.51037993055</v>
      </c>
      <c r="C1094" s="10" t="s">
        <v>181</v>
      </c>
      <c r="D1094" s="10" t="s">
        <v>69</v>
      </c>
      <c r="E1094" s="10" t="s">
        <v>1879</v>
      </c>
      <c r="F1094" s="10" t="s">
        <v>4059</v>
      </c>
      <c r="G1094" s="10" t="s">
        <v>4060</v>
      </c>
      <c r="H1094" s="11">
        <v>44494.41666666667</v>
      </c>
      <c r="I1094" s="11">
        <v>44494.41736111111</v>
      </c>
      <c r="J1094" s="10" t="s">
        <v>73</v>
      </c>
      <c r="K1094" s="10" t="s">
        <v>34</v>
      </c>
      <c r="N1094" s="10" t="s">
        <v>35</v>
      </c>
      <c r="V1094" s="35" t="s">
        <v>4061</v>
      </c>
      <c r="W1094" s="15"/>
      <c r="X1094" s="10" t="s">
        <v>37</v>
      </c>
      <c r="Y1094" s="10" t="s">
        <v>0</v>
      </c>
    </row>
    <row r="1095">
      <c r="A1095" s="10" t="s">
        <v>4062</v>
      </c>
      <c r="B1095" s="11">
        <v>44491.469822280094</v>
      </c>
      <c r="C1095" s="10" t="s">
        <v>181</v>
      </c>
      <c r="D1095" s="10" t="s">
        <v>69</v>
      </c>
      <c r="E1095" s="10" t="s">
        <v>3733</v>
      </c>
      <c r="F1095" s="10" t="s">
        <v>4063</v>
      </c>
      <c r="G1095" s="10" t="s">
        <v>4064</v>
      </c>
      <c r="H1095" s="11">
        <v>44501.375</v>
      </c>
      <c r="I1095" s="11">
        <v>44501.70833333333</v>
      </c>
      <c r="J1095" s="10" t="s">
        <v>43</v>
      </c>
      <c r="K1095" s="10" t="s">
        <v>34</v>
      </c>
      <c r="N1095" s="10" t="s">
        <v>35</v>
      </c>
      <c r="V1095" s="14" t="s">
        <v>4065</v>
      </c>
      <c r="W1095" s="15"/>
      <c r="X1095" s="10" t="s">
        <v>37</v>
      </c>
      <c r="Y1095" s="10" t="s">
        <v>0</v>
      </c>
    </row>
    <row r="1096">
      <c r="A1096" s="10" t="s">
        <v>4066</v>
      </c>
      <c r="B1096" s="11">
        <v>44408.916146655094</v>
      </c>
      <c r="C1096" s="10" t="s">
        <v>137</v>
      </c>
      <c r="D1096" s="10" t="s">
        <v>138</v>
      </c>
      <c r="E1096" s="10" t="s">
        <v>3299</v>
      </c>
      <c r="F1096" s="10" t="s">
        <v>921</v>
      </c>
      <c r="G1096" s="10" t="s">
        <v>3442</v>
      </c>
      <c r="H1096" s="11">
        <v>44512.58333333333</v>
      </c>
      <c r="I1096" s="11">
        <v>44512.66666666667</v>
      </c>
      <c r="J1096" s="10" t="s">
        <v>128</v>
      </c>
      <c r="K1096" s="10" t="s">
        <v>34</v>
      </c>
      <c r="N1096" s="10" t="s">
        <v>35</v>
      </c>
      <c r="V1096" s="9"/>
      <c r="W1096" s="13"/>
      <c r="X1096" s="10" t="s">
        <v>37</v>
      </c>
      <c r="Y1096" s="10" t="s">
        <v>0</v>
      </c>
    </row>
    <row r="1097">
      <c r="A1097" s="10" t="s">
        <v>4067</v>
      </c>
      <c r="B1097" s="11">
        <v>44408.91666482639</v>
      </c>
      <c r="C1097" s="10" t="s">
        <v>137</v>
      </c>
      <c r="D1097" s="10" t="s">
        <v>138</v>
      </c>
      <c r="E1097" s="10" t="s">
        <v>3299</v>
      </c>
      <c r="F1097" s="10" t="s">
        <v>921</v>
      </c>
      <c r="G1097" s="10" t="s">
        <v>3968</v>
      </c>
      <c r="H1097" s="11">
        <v>44519.58333333333</v>
      </c>
      <c r="I1097" s="11">
        <v>44519.66666666667</v>
      </c>
      <c r="J1097" s="10" t="s">
        <v>128</v>
      </c>
      <c r="K1097" s="10" t="s">
        <v>34</v>
      </c>
      <c r="N1097" s="10" t="s">
        <v>35</v>
      </c>
      <c r="V1097" s="9"/>
      <c r="W1097" s="13"/>
      <c r="X1097" s="10" t="s">
        <v>37</v>
      </c>
      <c r="Y1097" s="10" t="s">
        <v>0</v>
      </c>
    </row>
    <row r="1098">
      <c r="A1098" s="10" t="s">
        <v>4068</v>
      </c>
      <c r="B1098" s="11">
        <v>44519.57741395834</v>
      </c>
      <c r="C1098" s="10" t="s">
        <v>181</v>
      </c>
      <c r="D1098" s="10" t="s">
        <v>69</v>
      </c>
      <c r="E1098" s="10" t="s">
        <v>1179</v>
      </c>
      <c r="F1098" s="10" t="s">
        <v>4028</v>
      </c>
      <c r="G1098" s="10" t="s">
        <v>4069</v>
      </c>
      <c r="H1098" s="11">
        <v>44522.60416666667</v>
      </c>
      <c r="I1098" s="11">
        <v>44522.6875</v>
      </c>
      <c r="J1098" s="10" t="s">
        <v>128</v>
      </c>
      <c r="K1098" s="10" t="s">
        <v>34</v>
      </c>
      <c r="N1098" s="10" t="s">
        <v>35</v>
      </c>
      <c r="V1098" s="14" t="s">
        <v>3490</v>
      </c>
      <c r="W1098" s="15"/>
    </row>
    <row r="1099">
      <c r="A1099" s="10" t="s">
        <v>4070</v>
      </c>
      <c r="B1099" s="11">
        <v>44435.919032129634</v>
      </c>
      <c r="C1099" s="10" t="s">
        <v>671</v>
      </c>
      <c r="D1099" s="10" t="s">
        <v>672</v>
      </c>
      <c r="E1099" s="10" t="s">
        <v>4071</v>
      </c>
      <c r="F1099" s="10" t="s">
        <v>4072</v>
      </c>
      <c r="G1099" s="10" t="s">
        <v>4073</v>
      </c>
      <c r="H1099" s="11">
        <v>44442.60416666667</v>
      </c>
      <c r="I1099" s="11">
        <v>44442.66666666667</v>
      </c>
      <c r="J1099" s="10" t="s">
        <v>128</v>
      </c>
      <c r="K1099" s="10" t="s">
        <v>34</v>
      </c>
      <c r="N1099" s="10" t="s">
        <v>35</v>
      </c>
      <c r="V1099" s="14" t="s">
        <v>3906</v>
      </c>
      <c r="W1099" s="15"/>
      <c r="X1099" s="10" t="s">
        <v>37</v>
      </c>
      <c r="Y1099" s="10" t="s">
        <v>0</v>
      </c>
    </row>
    <row r="1100">
      <c r="A1100" s="10" t="s">
        <v>4074</v>
      </c>
      <c r="B1100" s="11">
        <v>44440.30456541666</v>
      </c>
      <c r="C1100" s="10" t="s">
        <v>137</v>
      </c>
      <c r="D1100" s="10" t="s">
        <v>138</v>
      </c>
      <c r="E1100" s="10" t="s">
        <v>3299</v>
      </c>
      <c r="F1100" s="10" t="s">
        <v>4075</v>
      </c>
      <c r="G1100" s="10" t="s">
        <v>4076</v>
      </c>
      <c r="H1100" s="11">
        <v>44441.6875</v>
      </c>
      <c r="I1100" s="11">
        <v>44441.72916666667</v>
      </c>
      <c r="J1100" s="10" t="s">
        <v>172</v>
      </c>
      <c r="K1100" s="10" t="s">
        <v>34</v>
      </c>
      <c r="N1100" s="10" t="s">
        <v>35</v>
      </c>
      <c r="V1100" s="35" t="s">
        <v>4077</v>
      </c>
      <c r="W1100" s="15"/>
      <c r="X1100" s="10" t="s">
        <v>37</v>
      </c>
      <c r="Y1100" s="10" t="s">
        <v>0</v>
      </c>
    </row>
    <row r="1101">
      <c r="A1101" s="10" t="s">
        <v>4078</v>
      </c>
      <c r="B1101" s="11">
        <v>44436.28982716435</v>
      </c>
      <c r="C1101" s="10" t="s">
        <v>150</v>
      </c>
      <c r="D1101" s="10" t="s">
        <v>151</v>
      </c>
      <c r="E1101" s="10" t="s">
        <v>3772</v>
      </c>
      <c r="F1101" s="10" t="s">
        <v>1662</v>
      </c>
      <c r="G1101" s="10" t="s">
        <v>4079</v>
      </c>
      <c r="H1101" s="11">
        <v>44436.41666666667</v>
      </c>
      <c r="I1101" s="11">
        <v>44436.5</v>
      </c>
      <c r="J1101" s="10" t="s">
        <v>128</v>
      </c>
      <c r="K1101" s="10" t="s">
        <v>34</v>
      </c>
      <c r="N1101" s="10" t="s">
        <v>35</v>
      </c>
      <c r="V1101" s="35" t="s">
        <v>3775</v>
      </c>
      <c r="W1101" s="15" t="s">
        <v>4080</v>
      </c>
      <c r="X1101" s="10" t="s">
        <v>3302</v>
      </c>
      <c r="Y1101" s="10" t="s">
        <v>0</v>
      </c>
    </row>
    <row r="1102">
      <c r="A1102" s="10" t="s">
        <v>4081</v>
      </c>
      <c r="B1102" s="11">
        <v>44435.924432534724</v>
      </c>
      <c r="C1102" s="10" t="s">
        <v>330</v>
      </c>
      <c r="D1102" s="10" t="s">
        <v>331</v>
      </c>
      <c r="E1102" s="10" t="s">
        <v>4082</v>
      </c>
      <c r="F1102" s="10" t="s">
        <v>4083</v>
      </c>
      <c r="G1102" s="10" t="s">
        <v>4084</v>
      </c>
      <c r="H1102" s="11">
        <v>44442.60416666667</v>
      </c>
      <c r="I1102" s="11">
        <v>44442.6875</v>
      </c>
      <c r="J1102" s="10" t="s">
        <v>43</v>
      </c>
      <c r="K1102" s="10" t="s">
        <v>34</v>
      </c>
      <c r="N1102" s="10" t="s">
        <v>296</v>
      </c>
      <c r="O1102" s="18" t="s">
        <v>4085</v>
      </c>
      <c r="P1102" s="10" t="s">
        <v>296</v>
      </c>
      <c r="Q1102" s="10">
        <v>1.0</v>
      </c>
      <c r="R1102" s="10" t="s">
        <v>296</v>
      </c>
      <c r="S1102" s="10">
        <v>1.0</v>
      </c>
      <c r="T1102" s="10" t="s">
        <v>35</v>
      </c>
      <c r="V1102" s="14" t="s">
        <v>4086</v>
      </c>
      <c r="W1102" s="15"/>
      <c r="X1102" s="10" t="s">
        <v>37</v>
      </c>
      <c r="Y1102" s="10" t="s">
        <v>0</v>
      </c>
    </row>
    <row r="1103">
      <c r="A1103" s="10" t="s">
        <v>4087</v>
      </c>
      <c r="B1103" s="11">
        <v>44436.45933282407</v>
      </c>
      <c r="C1103" s="10" t="s">
        <v>671</v>
      </c>
      <c r="D1103" s="10" t="s">
        <v>672</v>
      </c>
      <c r="E1103" s="10" t="s">
        <v>3745</v>
      </c>
      <c r="F1103" s="10" t="s">
        <v>4088</v>
      </c>
      <c r="G1103" s="10" t="s">
        <v>4089</v>
      </c>
      <c r="H1103" s="11">
        <v>44442.60416666667</v>
      </c>
      <c r="I1103" s="11">
        <v>44442.6875</v>
      </c>
      <c r="J1103" s="10" t="s">
        <v>43</v>
      </c>
      <c r="K1103" s="10" t="s">
        <v>34</v>
      </c>
      <c r="N1103" s="10" t="s">
        <v>296</v>
      </c>
      <c r="O1103" s="18" t="s">
        <v>4090</v>
      </c>
      <c r="P1103" s="10" t="s">
        <v>35</v>
      </c>
      <c r="R1103" s="10" t="s">
        <v>296</v>
      </c>
      <c r="S1103" s="10">
        <v>1.0</v>
      </c>
      <c r="T1103" s="10" t="s">
        <v>35</v>
      </c>
      <c r="V1103" s="14" t="s">
        <v>3906</v>
      </c>
      <c r="W1103" s="15"/>
      <c r="X1103" s="10" t="s">
        <v>37</v>
      </c>
      <c r="Y1103" s="10" t="s">
        <v>0</v>
      </c>
    </row>
    <row r="1104">
      <c r="A1104" s="10" t="s">
        <v>4091</v>
      </c>
      <c r="B1104" s="11">
        <v>44436.46061976852</v>
      </c>
      <c r="C1104" s="10" t="s">
        <v>671</v>
      </c>
      <c r="D1104" s="10" t="s">
        <v>672</v>
      </c>
      <c r="E1104" s="10" t="s">
        <v>4092</v>
      </c>
      <c r="F1104" s="10" t="s">
        <v>4093</v>
      </c>
      <c r="G1104" s="10" t="s">
        <v>4094</v>
      </c>
      <c r="H1104" s="11">
        <v>44442.6875</v>
      </c>
      <c r="I1104" s="11">
        <v>44442.64583333333</v>
      </c>
      <c r="J1104" s="10" t="s">
        <v>128</v>
      </c>
      <c r="K1104" s="10" t="s">
        <v>34</v>
      </c>
      <c r="N1104" s="10" t="s">
        <v>35</v>
      </c>
      <c r="V1104" s="14" t="s">
        <v>3906</v>
      </c>
      <c r="W1104" s="15"/>
      <c r="X1104" s="10" t="s">
        <v>37</v>
      </c>
      <c r="Y1104" s="10" t="s">
        <v>0</v>
      </c>
    </row>
    <row r="1105">
      <c r="A1105" s="10" t="s">
        <v>4095</v>
      </c>
      <c r="B1105" s="11">
        <v>44436.46314525463</v>
      </c>
      <c r="C1105" s="10" t="s">
        <v>671</v>
      </c>
      <c r="D1105" s="10" t="s">
        <v>672</v>
      </c>
      <c r="E1105" s="10" t="s">
        <v>3842</v>
      </c>
      <c r="F1105" s="10" t="s">
        <v>4096</v>
      </c>
      <c r="G1105" s="10" t="s">
        <v>4097</v>
      </c>
      <c r="H1105" s="11">
        <v>44441.60416666667</v>
      </c>
      <c r="I1105" s="11">
        <v>44441.64583333333</v>
      </c>
      <c r="J1105" s="10" t="s">
        <v>128</v>
      </c>
      <c r="K1105" s="10" t="s">
        <v>34</v>
      </c>
      <c r="N1105" s="10" t="s">
        <v>35</v>
      </c>
      <c r="V1105" s="14" t="s">
        <v>3906</v>
      </c>
      <c r="W1105" s="15"/>
      <c r="X1105" s="10" t="s">
        <v>37</v>
      </c>
      <c r="Y1105" s="10" t="s">
        <v>0</v>
      </c>
    </row>
    <row r="1106">
      <c r="A1106" s="10" t="s">
        <v>4098</v>
      </c>
      <c r="B1106" s="11">
        <v>44436.472620625005</v>
      </c>
      <c r="C1106" s="10" t="s">
        <v>671</v>
      </c>
      <c r="D1106" s="10" t="s">
        <v>672</v>
      </c>
      <c r="E1106" s="10" t="s">
        <v>1115</v>
      </c>
      <c r="F1106" s="10" t="s">
        <v>4099</v>
      </c>
      <c r="G1106" s="10" t="s">
        <v>4100</v>
      </c>
      <c r="H1106" s="11">
        <v>44442.6875</v>
      </c>
      <c r="I1106" s="11">
        <v>44442.64583333333</v>
      </c>
      <c r="J1106" s="10" t="s">
        <v>128</v>
      </c>
      <c r="K1106" s="10" t="s">
        <v>34</v>
      </c>
      <c r="N1106" s="10" t="s">
        <v>35</v>
      </c>
      <c r="V1106" s="14" t="s">
        <v>3906</v>
      </c>
      <c r="W1106" s="15"/>
      <c r="X1106" s="10" t="s">
        <v>37</v>
      </c>
      <c r="Y1106" s="10" t="s">
        <v>0</v>
      </c>
    </row>
    <row r="1107">
      <c r="A1107" s="10" t="s">
        <v>4101</v>
      </c>
      <c r="B1107" s="11">
        <v>44436.4736328125</v>
      </c>
      <c r="C1107" s="10" t="s">
        <v>671</v>
      </c>
      <c r="D1107" s="10" t="s">
        <v>672</v>
      </c>
      <c r="E1107" s="10" t="s">
        <v>1115</v>
      </c>
      <c r="F1107" s="10" t="s">
        <v>4102</v>
      </c>
      <c r="G1107" s="10" t="s">
        <v>4103</v>
      </c>
      <c r="H1107" s="11">
        <v>44443.58333333333</v>
      </c>
      <c r="I1107" s="11">
        <v>44443.66666666667</v>
      </c>
      <c r="J1107" s="10" t="s">
        <v>128</v>
      </c>
      <c r="K1107" s="10" t="s">
        <v>34</v>
      </c>
      <c r="N1107" s="10" t="s">
        <v>35</v>
      </c>
      <c r="V1107" s="14" t="s">
        <v>3906</v>
      </c>
      <c r="W1107" s="15"/>
      <c r="X1107" s="10" t="s">
        <v>37</v>
      </c>
      <c r="Y1107" s="10" t="s">
        <v>0</v>
      </c>
    </row>
    <row r="1108">
      <c r="A1108" s="10" t="s">
        <v>4104</v>
      </c>
      <c r="B1108" s="11">
        <v>44436.55752396991</v>
      </c>
      <c r="C1108" s="10" t="s">
        <v>418</v>
      </c>
      <c r="D1108" s="10" t="s">
        <v>419</v>
      </c>
      <c r="E1108" s="10" t="s">
        <v>4105</v>
      </c>
      <c r="F1108" s="10" t="s">
        <v>4106</v>
      </c>
      <c r="G1108" s="10" t="s">
        <v>4107</v>
      </c>
      <c r="H1108" s="11">
        <v>44436.625</v>
      </c>
      <c r="I1108" s="11">
        <v>44436.70833333333</v>
      </c>
      <c r="J1108" s="10" t="s">
        <v>128</v>
      </c>
      <c r="K1108" s="10" t="s">
        <v>34</v>
      </c>
      <c r="N1108" s="10" t="s">
        <v>35</v>
      </c>
      <c r="V1108" s="35" t="s">
        <v>4108</v>
      </c>
      <c r="W1108" s="15"/>
      <c r="X1108" s="10" t="s">
        <v>37</v>
      </c>
      <c r="Y1108" s="10" t="s">
        <v>0</v>
      </c>
    </row>
    <row r="1109">
      <c r="A1109" s="10" t="s">
        <v>4109</v>
      </c>
      <c r="B1109" s="11">
        <v>44437.794938067134</v>
      </c>
      <c r="C1109" s="10" t="s">
        <v>239</v>
      </c>
      <c r="D1109" s="10" t="s">
        <v>240</v>
      </c>
      <c r="E1109" s="10" t="s">
        <v>3998</v>
      </c>
      <c r="F1109" s="10" t="s">
        <v>4110</v>
      </c>
      <c r="G1109" s="10" t="s">
        <v>4111</v>
      </c>
      <c r="H1109" s="11">
        <v>44442.66666666667</v>
      </c>
      <c r="I1109" s="11">
        <v>44442.70833333333</v>
      </c>
      <c r="J1109" s="10" t="s">
        <v>73</v>
      </c>
      <c r="K1109" s="10" t="s">
        <v>34</v>
      </c>
      <c r="N1109" s="10" t="s">
        <v>35</v>
      </c>
      <c r="V1109" s="14" t="s">
        <v>4112</v>
      </c>
      <c r="W1109" s="15"/>
      <c r="X1109" s="10" t="s">
        <v>37</v>
      </c>
      <c r="Y1109" s="10" t="s">
        <v>0</v>
      </c>
    </row>
    <row r="1110">
      <c r="A1110" s="10" t="s">
        <v>4113</v>
      </c>
      <c r="B1110" s="11">
        <v>44437.80412042824</v>
      </c>
      <c r="C1110" s="10" t="s">
        <v>160</v>
      </c>
      <c r="D1110" s="10" t="s">
        <v>161</v>
      </c>
      <c r="E1110" s="10" t="s">
        <v>3953</v>
      </c>
      <c r="F1110" s="10" t="s">
        <v>4114</v>
      </c>
      <c r="G1110" s="10" t="s">
        <v>4115</v>
      </c>
      <c r="H1110" s="11">
        <v>44437.79166666667</v>
      </c>
      <c r="I1110" s="11">
        <v>44437.8125</v>
      </c>
      <c r="J1110" s="10" t="s">
        <v>73</v>
      </c>
      <c r="K1110" s="10" t="s">
        <v>34</v>
      </c>
      <c r="N1110" s="10" t="s">
        <v>35</v>
      </c>
      <c r="V1110" s="14" t="s">
        <v>4116</v>
      </c>
      <c r="W1110" s="15"/>
      <c r="X1110" s="10" t="s">
        <v>37</v>
      </c>
      <c r="Y1110" s="10" t="s">
        <v>0</v>
      </c>
    </row>
    <row r="1111">
      <c r="A1111" s="10" t="s">
        <v>4117</v>
      </c>
      <c r="B1111" s="11">
        <v>44441.98392917824</v>
      </c>
      <c r="C1111" s="10" t="s">
        <v>102</v>
      </c>
      <c r="D1111" s="10" t="s">
        <v>103</v>
      </c>
      <c r="E1111" s="10" t="s">
        <v>4118</v>
      </c>
      <c r="F1111" s="10" t="s">
        <v>4119</v>
      </c>
      <c r="G1111" s="10" t="s">
        <v>4120</v>
      </c>
      <c r="H1111" s="11">
        <v>44442.60416666667</v>
      </c>
      <c r="I1111" s="11">
        <v>44442.6875</v>
      </c>
      <c r="J1111" s="10" t="s">
        <v>43</v>
      </c>
      <c r="K1111" s="10" t="s">
        <v>34</v>
      </c>
      <c r="N1111" s="10" t="s">
        <v>296</v>
      </c>
      <c r="O1111" s="18" t="s">
        <v>4121</v>
      </c>
      <c r="P1111" s="10" t="s">
        <v>296</v>
      </c>
      <c r="Q1111" s="10">
        <v>1.0</v>
      </c>
      <c r="R1111" s="10" t="s">
        <v>35</v>
      </c>
      <c r="T1111" s="10" t="s">
        <v>35</v>
      </c>
      <c r="V1111" s="14" t="s">
        <v>3982</v>
      </c>
      <c r="W1111" s="15"/>
      <c r="X1111" s="10" t="s">
        <v>37</v>
      </c>
      <c r="Y1111" s="10" t="s">
        <v>0</v>
      </c>
    </row>
    <row r="1112">
      <c r="A1112" s="10" t="s">
        <v>4122</v>
      </c>
      <c r="B1112" s="11">
        <v>44437.8214031713</v>
      </c>
      <c r="C1112" s="10" t="s">
        <v>96</v>
      </c>
      <c r="D1112" s="10" t="s">
        <v>97</v>
      </c>
      <c r="E1112" s="10" t="s">
        <v>98</v>
      </c>
      <c r="F1112" s="10" t="s">
        <v>4123</v>
      </c>
      <c r="G1112" s="10" t="s">
        <v>4124</v>
      </c>
      <c r="H1112" s="11">
        <v>44442.64583333333</v>
      </c>
      <c r="I1112" s="11">
        <v>44442.70833333333</v>
      </c>
      <c r="J1112" s="10" t="s">
        <v>43</v>
      </c>
      <c r="K1112" s="10" t="s">
        <v>34</v>
      </c>
      <c r="N1112" s="10" t="s">
        <v>296</v>
      </c>
      <c r="O1112" s="18" t="s">
        <v>4125</v>
      </c>
      <c r="P1112" s="10" t="s">
        <v>35</v>
      </c>
      <c r="R1112" s="10" t="s">
        <v>296</v>
      </c>
      <c r="S1112" s="10">
        <v>1.0</v>
      </c>
      <c r="T1112" s="10" t="s">
        <v>35</v>
      </c>
      <c r="V1112" s="14" t="s">
        <v>4126</v>
      </c>
      <c r="W1112" s="15"/>
      <c r="X1112" s="10" t="s">
        <v>37</v>
      </c>
      <c r="Y1112" s="10" t="s">
        <v>0</v>
      </c>
    </row>
    <row r="1113">
      <c r="A1113" s="10" t="s">
        <v>4127</v>
      </c>
      <c r="B1113" s="11">
        <v>44437.81455185185</v>
      </c>
      <c r="C1113" s="10" t="s">
        <v>239</v>
      </c>
      <c r="D1113" s="10" t="s">
        <v>240</v>
      </c>
      <c r="E1113" s="10" t="s">
        <v>3998</v>
      </c>
      <c r="F1113" s="10" t="s">
        <v>4128</v>
      </c>
      <c r="G1113" s="10" t="s">
        <v>4129</v>
      </c>
      <c r="H1113" s="11">
        <v>44418.08333333333</v>
      </c>
      <c r="I1113" s="11">
        <v>44438.5</v>
      </c>
      <c r="J1113" s="10" t="s">
        <v>51</v>
      </c>
      <c r="K1113" s="10" t="s">
        <v>34</v>
      </c>
      <c r="N1113" s="10" t="s">
        <v>35</v>
      </c>
      <c r="V1113" s="14" t="s">
        <v>4130</v>
      </c>
      <c r="W1113" s="15" t="s">
        <v>4131</v>
      </c>
      <c r="X1113" s="10" t="s">
        <v>37</v>
      </c>
      <c r="Y1113" s="10" t="s">
        <v>0</v>
      </c>
    </row>
    <row r="1114">
      <c r="A1114" s="10" t="s">
        <v>4132</v>
      </c>
      <c r="B1114" s="11">
        <v>44437.816610208334</v>
      </c>
      <c r="C1114" s="10" t="s">
        <v>239</v>
      </c>
      <c r="D1114" s="10" t="s">
        <v>240</v>
      </c>
      <c r="E1114" s="10" t="s">
        <v>3998</v>
      </c>
      <c r="F1114" s="10" t="s">
        <v>4133</v>
      </c>
      <c r="G1114" s="10" t="s">
        <v>4134</v>
      </c>
      <c r="H1114" s="11">
        <v>44428.5</v>
      </c>
      <c r="I1114" s="11">
        <v>44444.5</v>
      </c>
      <c r="J1114" s="10" t="s">
        <v>51</v>
      </c>
      <c r="K1114" s="10" t="s">
        <v>34</v>
      </c>
      <c r="N1114" s="10" t="s">
        <v>35</v>
      </c>
      <c r="V1114" s="14" t="s">
        <v>4130</v>
      </c>
      <c r="W1114" s="15"/>
      <c r="X1114" s="10" t="s">
        <v>37</v>
      </c>
      <c r="Y1114" s="10" t="s">
        <v>0</v>
      </c>
    </row>
    <row r="1115">
      <c r="A1115" s="10" t="s">
        <v>4135</v>
      </c>
      <c r="B1115" s="11">
        <v>44427.63551710648</v>
      </c>
      <c r="C1115" s="10" t="s">
        <v>374</v>
      </c>
      <c r="D1115" s="10" t="s">
        <v>375</v>
      </c>
      <c r="E1115" s="10" t="s">
        <v>3452</v>
      </c>
      <c r="F1115" s="10" t="s">
        <v>4136</v>
      </c>
      <c r="G1115" s="10" t="s">
        <v>4137</v>
      </c>
      <c r="H1115" s="36">
        <v>44442.75</v>
      </c>
      <c r="I1115" s="11">
        <v>44442.8125</v>
      </c>
      <c r="J1115" s="10" t="s">
        <v>43</v>
      </c>
      <c r="K1115" s="10" t="s">
        <v>34</v>
      </c>
      <c r="N1115" s="10" t="s">
        <v>296</v>
      </c>
      <c r="O1115" s="18" t="s">
        <v>4138</v>
      </c>
      <c r="P1115" s="10" t="s">
        <v>296</v>
      </c>
      <c r="Q1115" s="10">
        <v>1.0</v>
      </c>
      <c r="R1115" s="10" t="s">
        <v>35</v>
      </c>
      <c r="T1115" s="10" t="s">
        <v>35</v>
      </c>
      <c r="V1115" s="35" t="s">
        <v>4139</v>
      </c>
      <c r="W1115" s="15"/>
      <c r="X1115" s="10" t="s">
        <v>37</v>
      </c>
      <c r="Y1115" s="10" t="s">
        <v>0</v>
      </c>
    </row>
    <row r="1116">
      <c r="A1116" s="10" t="s">
        <v>4140</v>
      </c>
      <c r="B1116" s="11">
        <v>44442.495967407405</v>
      </c>
      <c r="C1116" s="10" t="s">
        <v>181</v>
      </c>
      <c r="D1116" s="10" t="s">
        <v>69</v>
      </c>
      <c r="E1116" s="10" t="s">
        <v>4141</v>
      </c>
      <c r="F1116" s="10" t="s">
        <v>921</v>
      </c>
      <c r="G1116" s="35" t="s">
        <v>4142</v>
      </c>
      <c r="H1116" s="36">
        <v>44445.72916666667</v>
      </c>
      <c r="I1116" s="11">
        <v>44445.77083333333</v>
      </c>
      <c r="J1116" s="10" t="s">
        <v>128</v>
      </c>
      <c r="K1116" s="10" t="s">
        <v>34</v>
      </c>
      <c r="N1116" s="10" t="s">
        <v>35</v>
      </c>
      <c r="V1116" s="14" t="s">
        <v>3554</v>
      </c>
      <c r="W1116" s="15"/>
      <c r="Y1116" s="10" t="s">
        <v>0</v>
      </c>
    </row>
    <row r="1117">
      <c r="A1117" s="10" t="s">
        <v>4143</v>
      </c>
      <c r="B1117" s="11">
        <v>44438.37989858796</v>
      </c>
      <c r="C1117" s="10" t="s">
        <v>209</v>
      </c>
      <c r="D1117" s="10" t="s">
        <v>210</v>
      </c>
      <c r="E1117" s="10" t="s">
        <v>261</v>
      </c>
      <c r="F1117" s="10" t="s">
        <v>4144</v>
      </c>
      <c r="G1117" s="10" t="s">
        <v>4145</v>
      </c>
      <c r="H1117" s="11">
        <v>44439.5625</v>
      </c>
      <c r="I1117" s="11">
        <v>44444.569444444445</v>
      </c>
      <c r="J1117" s="10" t="s">
        <v>51</v>
      </c>
      <c r="K1117" s="10" t="s">
        <v>34</v>
      </c>
      <c r="N1117" s="10" t="s">
        <v>35</v>
      </c>
      <c r="V1117" s="14" t="s">
        <v>4146</v>
      </c>
      <c r="W1117" s="15"/>
      <c r="X1117" s="10" t="s">
        <v>37</v>
      </c>
      <c r="Y1117" s="10" t="s">
        <v>0</v>
      </c>
    </row>
    <row r="1118">
      <c r="A1118" s="10" t="s">
        <v>4147</v>
      </c>
      <c r="B1118" s="11">
        <v>44438.37998100695</v>
      </c>
      <c r="C1118" s="10" t="s">
        <v>209</v>
      </c>
      <c r="D1118" s="10" t="s">
        <v>210</v>
      </c>
      <c r="E1118" s="10" t="s">
        <v>261</v>
      </c>
      <c r="F1118" s="10" t="s">
        <v>4148</v>
      </c>
      <c r="G1118" s="10" t="s">
        <v>4149</v>
      </c>
      <c r="H1118" s="11">
        <v>44439.64583333333</v>
      </c>
      <c r="I1118" s="11">
        <v>44439.65277777778</v>
      </c>
      <c r="J1118" s="10" t="s">
        <v>51</v>
      </c>
      <c r="K1118" s="10" t="s">
        <v>34</v>
      </c>
      <c r="N1118" s="10" t="s">
        <v>35</v>
      </c>
      <c r="V1118" s="14" t="s">
        <v>4146</v>
      </c>
      <c r="W1118" s="15"/>
      <c r="X1118" s="10" t="s">
        <v>37</v>
      </c>
      <c r="Y1118" s="10" t="s">
        <v>0</v>
      </c>
    </row>
    <row r="1119">
      <c r="A1119" s="10" t="s">
        <v>4150</v>
      </c>
      <c r="B1119" s="11">
        <v>44438.38005832176</v>
      </c>
      <c r="C1119" s="10" t="s">
        <v>209</v>
      </c>
      <c r="D1119" s="10" t="s">
        <v>210</v>
      </c>
      <c r="E1119" s="10" t="s">
        <v>261</v>
      </c>
      <c r="F1119" s="10" t="s">
        <v>4148</v>
      </c>
      <c r="G1119" s="10" t="s">
        <v>4151</v>
      </c>
      <c r="H1119" s="11">
        <v>44441.64583333333</v>
      </c>
      <c r="I1119" s="11">
        <v>44441.65277777778</v>
      </c>
      <c r="J1119" s="10" t="s">
        <v>51</v>
      </c>
      <c r="K1119" s="10" t="s">
        <v>34</v>
      </c>
      <c r="N1119" s="10" t="s">
        <v>35</v>
      </c>
      <c r="V1119" s="14" t="s">
        <v>4146</v>
      </c>
      <c r="W1119" s="15"/>
      <c r="X1119" s="10" t="s">
        <v>37</v>
      </c>
      <c r="Y1119" s="10" t="s">
        <v>0</v>
      </c>
    </row>
    <row r="1120">
      <c r="A1120" s="10" t="s">
        <v>4152</v>
      </c>
      <c r="B1120" s="11">
        <v>44438.38017481481</v>
      </c>
      <c r="C1120" s="10" t="s">
        <v>209</v>
      </c>
      <c r="D1120" s="10" t="s">
        <v>210</v>
      </c>
      <c r="E1120" s="10" t="s">
        <v>261</v>
      </c>
      <c r="F1120" s="10" t="s">
        <v>4148</v>
      </c>
      <c r="G1120" s="10" t="s">
        <v>4153</v>
      </c>
      <c r="H1120" s="11">
        <v>44441.65277777778</v>
      </c>
      <c r="I1120" s="11">
        <v>44441.65972222222</v>
      </c>
      <c r="J1120" s="10" t="s">
        <v>51</v>
      </c>
      <c r="K1120" s="10" t="s">
        <v>34</v>
      </c>
      <c r="N1120" s="10" t="s">
        <v>35</v>
      </c>
      <c r="V1120" s="14" t="s">
        <v>4146</v>
      </c>
      <c r="W1120" s="15"/>
      <c r="X1120" s="10" t="s">
        <v>37</v>
      </c>
      <c r="Y1120" s="10" t="s">
        <v>0</v>
      </c>
    </row>
    <row r="1121">
      <c r="A1121" s="10" t="s">
        <v>4154</v>
      </c>
      <c r="B1121" s="11">
        <v>44438.380261053244</v>
      </c>
      <c r="C1121" s="10" t="s">
        <v>209</v>
      </c>
      <c r="D1121" s="10" t="s">
        <v>210</v>
      </c>
      <c r="E1121" s="10" t="s">
        <v>261</v>
      </c>
      <c r="F1121" s="10" t="s">
        <v>4148</v>
      </c>
      <c r="G1121" s="10" t="s">
        <v>4155</v>
      </c>
      <c r="H1121" s="11">
        <v>44442.64583333333</v>
      </c>
      <c r="I1121" s="11">
        <v>44442.65277777778</v>
      </c>
      <c r="J1121" s="10" t="s">
        <v>51</v>
      </c>
      <c r="K1121" s="10" t="s">
        <v>34</v>
      </c>
      <c r="N1121" s="10" t="s">
        <v>35</v>
      </c>
      <c r="V1121" s="14" t="s">
        <v>4146</v>
      </c>
      <c r="W1121" s="15"/>
      <c r="X1121" s="10" t="s">
        <v>37</v>
      </c>
      <c r="Y1121" s="10" t="s">
        <v>0</v>
      </c>
    </row>
    <row r="1122">
      <c r="A1122" s="10" t="s">
        <v>4156</v>
      </c>
      <c r="B1122" s="11">
        <v>44438.3846299537</v>
      </c>
      <c r="C1122" s="10" t="s">
        <v>209</v>
      </c>
      <c r="D1122" s="10" t="s">
        <v>210</v>
      </c>
      <c r="E1122" s="10" t="s">
        <v>261</v>
      </c>
      <c r="F1122" s="10" t="s">
        <v>4157</v>
      </c>
      <c r="G1122" s="10" t="s">
        <v>4158</v>
      </c>
      <c r="H1122" s="11">
        <v>44443.64583333333</v>
      </c>
      <c r="I1122" s="11">
        <v>44443.65277777778</v>
      </c>
      <c r="J1122" s="10" t="s">
        <v>51</v>
      </c>
      <c r="K1122" s="10" t="s">
        <v>34</v>
      </c>
      <c r="N1122" s="10" t="s">
        <v>35</v>
      </c>
      <c r="V1122" s="14" t="s">
        <v>4146</v>
      </c>
      <c r="W1122" s="15"/>
      <c r="X1122" s="10" t="s">
        <v>37</v>
      </c>
      <c r="Y1122" s="10" t="s">
        <v>0</v>
      </c>
    </row>
    <row r="1123">
      <c r="A1123" s="10" t="s">
        <v>4159</v>
      </c>
      <c r="B1123" s="11">
        <v>44438.38472223379</v>
      </c>
      <c r="C1123" s="10" t="s">
        <v>209</v>
      </c>
      <c r="D1123" s="10" t="s">
        <v>210</v>
      </c>
      <c r="E1123" s="10" t="s">
        <v>261</v>
      </c>
      <c r="F1123" s="10" t="s">
        <v>4157</v>
      </c>
      <c r="G1123" s="10" t="s">
        <v>4160</v>
      </c>
      <c r="H1123" s="11">
        <v>44444.64583333333</v>
      </c>
      <c r="I1123" s="11">
        <v>44444.64583333333</v>
      </c>
      <c r="J1123" s="10" t="s">
        <v>51</v>
      </c>
      <c r="K1123" s="10" t="s">
        <v>34</v>
      </c>
      <c r="N1123" s="10" t="s">
        <v>35</v>
      </c>
      <c r="V1123" s="14" t="s">
        <v>4146</v>
      </c>
      <c r="W1123" s="15"/>
      <c r="X1123" s="10" t="s">
        <v>37</v>
      </c>
      <c r="Y1123" s="10" t="s">
        <v>0</v>
      </c>
    </row>
    <row r="1124">
      <c r="A1124" s="10" t="s">
        <v>4161</v>
      </c>
      <c r="B1124" s="11">
        <v>44434.85720540509</v>
      </c>
      <c r="C1124" s="10" t="s">
        <v>1583</v>
      </c>
      <c r="D1124" s="10" t="s">
        <v>505</v>
      </c>
      <c r="E1124" s="10" t="s">
        <v>2059</v>
      </c>
      <c r="F1124" s="10" t="s">
        <v>4162</v>
      </c>
      <c r="G1124" s="10" t="s">
        <v>4163</v>
      </c>
      <c r="H1124" s="36">
        <v>44442.79166666667</v>
      </c>
      <c r="I1124" s="11">
        <v>44442.875</v>
      </c>
      <c r="J1124" s="10" t="s">
        <v>43</v>
      </c>
      <c r="K1124" s="10" t="s">
        <v>34</v>
      </c>
      <c r="N1124" s="10" t="s">
        <v>296</v>
      </c>
      <c r="O1124" s="18" t="s">
        <v>4164</v>
      </c>
      <c r="P1124" s="10" t="s">
        <v>296</v>
      </c>
      <c r="Q1124" s="10">
        <v>1.0</v>
      </c>
      <c r="R1124" s="10" t="s">
        <v>35</v>
      </c>
      <c r="T1124" s="10" t="s">
        <v>35</v>
      </c>
      <c r="V1124" s="14" t="s">
        <v>3427</v>
      </c>
      <c r="W1124" s="15"/>
      <c r="X1124" s="10" t="s">
        <v>37</v>
      </c>
      <c r="Y1124" s="10" t="s">
        <v>0</v>
      </c>
    </row>
    <row r="1125">
      <c r="A1125" s="10" t="s">
        <v>4165</v>
      </c>
      <c r="B1125" s="11">
        <v>44438.389507326385</v>
      </c>
      <c r="C1125" s="10" t="s">
        <v>1583</v>
      </c>
      <c r="D1125" s="10" t="s">
        <v>505</v>
      </c>
      <c r="E1125" s="10" t="s">
        <v>4166</v>
      </c>
      <c r="F1125" s="10" t="s">
        <v>4167</v>
      </c>
      <c r="G1125" s="10" t="s">
        <v>4168</v>
      </c>
      <c r="H1125" s="11">
        <v>44442.79166666667</v>
      </c>
      <c r="I1125" s="11">
        <v>44442.875</v>
      </c>
      <c r="J1125" s="10" t="s">
        <v>43</v>
      </c>
      <c r="K1125" s="10" t="s">
        <v>34</v>
      </c>
      <c r="N1125" s="10" t="s">
        <v>35</v>
      </c>
      <c r="V1125" s="14" t="s">
        <v>3427</v>
      </c>
      <c r="W1125" s="15"/>
      <c r="X1125" s="10" t="s">
        <v>37</v>
      </c>
      <c r="Y1125" s="10" t="s">
        <v>0</v>
      </c>
    </row>
    <row r="1126">
      <c r="A1126" s="10" t="s">
        <v>4169</v>
      </c>
      <c r="B1126" s="11">
        <v>44442.04150811343</v>
      </c>
      <c r="C1126" s="10" t="s">
        <v>347</v>
      </c>
      <c r="D1126" s="10" t="s">
        <v>348</v>
      </c>
      <c r="E1126" s="10" t="s">
        <v>3429</v>
      </c>
      <c r="F1126" s="10" t="s">
        <v>4170</v>
      </c>
      <c r="G1126" s="35" t="s">
        <v>4171</v>
      </c>
      <c r="H1126" s="36">
        <v>44445.4375</v>
      </c>
      <c r="I1126" s="11">
        <v>44445.52083333333</v>
      </c>
      <c r="J1126" s="10" t="s">
        <v>43</v>
      </c>
      <c r="K1126" s="10" t="s">
        <v>34</v>
      </c>
      <c r="N1126" s="10" t="s">
        <v>296</v>
      </c>
      <c r="O1126" s="18" t="s">
        <v>4172</v>
      </c>
      <c r="P1126" s="10" t="s">
        <v>296</v>
      </c>
      <c r="Q1126" s="10">
        <v>4.0</v>
      </c>
      <c r="R1126" s="10" t="s">
        <v>35</v>
      </c>
      <c r="T1126" s="10" t="s">
        <v>35</v>
      </c>
      <c r="V1126" s="40" t="s">
        <v>4173</v>
      </c>
      <c r="W1126" s="15"/>
      <c r="X1126" s="10" t="s">
        <v>37</v>
      </c>
      <c r="Y1126" s="10" t="s">
        <v>0</v>
      </c>
    </row>
    <row r="1127">
      <c r="A1127" s="10" t="s">
        <v>4174</v>
      </c>
      <c r="B1127" s="11">
        <v>44440.86812032407</v>
      </c>
      <c r="C1127" s="10" t="s">
        <v>181</v>
      </c>
      <c r="D1127" s="10" t="s">
        <v>69</v>
      </c>
      <c r="E1127" s="10" t="s">
        <v>4175</v>
      </c>
      <c r="F1127" s="10" t="s">
        <v>4176</v>
      </c>
      <c r="G1127" s="10" t="s">
        <v>4177</v>
      </c>
      <c r="H1127" s="11">
        <v>44450.4375</v>
      </c>
      <c r="I1127" s="11">
        <v>44450.52083333333</v>
      </c>
      <c r="J1127" s="10" t="s">
        <v>128</v>
      </c>
      <c r="K1127" s="10" t="s">
        <v>34</v>
      </c>
      <c r="N1127" s="10" t="s">
        <v>35</v>
      </c>
      <c r="V1127" s="14" t="s">
        <v>4178</v>
      </c>
      <c r="W1127" s="15"/>
      <c r="X1127" s="10" t="s">
        <v>37</v>
      </c>
      <c r="Y1127" s="10" t="s">
        <v>0</v>
      </c>
    </row>
    <row r="1128">
      <c r="A1128" s="10" t="s">
        <v>4179</v>
      </c>
      <c r="B1128" s="11">
        <v>44432.38172518519</v>
      </c>
      <c r="C1128" s="10" t="s">
        <v>209</v>
      </c>
      <c r="D1128" s="10" t="s">
        <v>210</v>
      </c>
      <c r="E1128" s="10" t="s">
        <v>261</v>
      </c>
      <c r="F1128" s="10" t="s">
        <v>2975</v>
      </c>
      <c r="G1128" s="35" t="s">
        <v>4180</v>
      </c>
      <c r="H1128" s="36">
        <v>44446.60416666667</v>
      </c>
      <c r="I1128" s="11">
        <v>44415.66666666667</v>
      </c>
      <c r="J1128" s="10" t="s">
        <v>43</v>
      </c>
      <c r="K1128" s="10" t="s">
        <v>34</v>
      </c>
      <c r="N1128" s="10" t="s">
        <v>296</v>
      </c>
      <c r="O1128" s="18" t="s">
        <v>4181</v>
      </c>
      <c r="P1128" s="10" t="s">
        <v>35</v>
      </c>
      <c r="R1128" s="10" t="s">
        <v>35</v>
      </c>
      <c r="T1128" s="10" t="s">
        <v>296</v>
      </c>
      <c r="U1128" s="10">
        <v>1.0</v>
      </c>
      <c r="V1128" s="14" t="s">
        <v>4182</v>
      </c>
      <c r="W1128" s="15"/>
      <c r="X1128" s="10" t="s">
        <v>37</v>
      </c>
      <c r="Y1128" s="10" t="s">
        <v>0</v>
      </c>
    </row>
    <row r="1129">
      <c r="A1129" s="10" t="s">
        <v>4183</v>
      </c>
      <c r="B1129" s="11">
        <v>44446.423861944444</v>
      </c>
      <c r="C1129" s="10" t="s">
        <v>453</v>
      </c>
      <c r="D1129" s="10" t="s">
        <v>393</v>
      </c>
      <c r="E1129" s="10" t="s">
        <v>4184</v>
      </c>
      <c r="F1129" s="10" t="s">
        <v>4185</v>
      </c>
      <c r="G1129" s="10" t="s">
        <v>4186</v>
      </c>
      <c r="H1129" s="11">
        <v>44447.58333333333</v>
      </c>
      <c r="I1129" s="11">
        <v>44447.66666666667</v>
      </c>
      <c r="J1129" s="10" t="s">
        <v>1333</v>
      </c>
      <c r="K1129" s="10" t="s">
        <v>34</v>
      </c>
      <c r="N1129" s="10" t="s">
        <v>35</v>
      </c>
      <c r="V1129" s="35" t="s">
        <v>4187</v>
      </c>
      <c r="W1129" s="15"/>
      <c r="X1129" s="10" t="s">
        <v>37</v>
      </c>
      <c r="Y1129" s="10" t="s">
        <v>0</v>
      </c>
    </row>
    <row r="1130">
      <c r="A1130" s="10" t="s">
        <v>4188</v>
      </c>
      <c r="B1130" s="11">
        <v>44432.3981774537</v>
      </c>
      <c r="C1130" s="10" t="s">
        <v>209</v>
      </c>
      <c r="D1130" s="10" t="s">
        <v>210</v>
      </c>
      <c r="E1130" s="10" t="s">
        <v>261</v>
      </c>
      <c r="F1130" s="10" t="s">
        <v>4189</v>
      </c>
      <c r="G1130" s="35" t="s">
        <v>4190</v>
      </c>
      <c r="H1130" s="36">
        <v>44447.60416666667</v>
      </c>
      <c r="I1130" s="11">
        <v>44447.66666666667</v>
      </c>
      <c r="J1130" s="10" t="s">
        <v>43</v>
      </c>
      <c r="K1130" s="10" t="s">
        <v>34</v>
      </c>
      <c r="N1130" s="10" t="s">
        <v>296</v>
      </c>
      <c r="O1130" s="18" t="s">
        <v>4191</v>
      </c>
      <c r="P1130" s="10" t="s">
        <v>35</v>
      </c>
      <c r="R1130" s="10" t="s">
        <v>296</v>
      </c>
      <c r="S1130" s="10">
        <v>1.0</v>
      </c>
      <c r="T1130" s="10" t="s">
        <v>296</v>
      </c>
      <c r="U1130" s="10">
        <v>2.0</v>
      </c>
      <c r="V1130" s="14" t="s">
        <v>4192</v>
      </c>
      <c r="W1130" s="15"/>
      <c r="X1130" s="10" t="s">
        <v>37</v>
      </c>
      <c r="Y1130" s="10" t="s">
        <v>0</v>
      </c>
    </row>
    <row r="1131">
      <c r="A1131" s="10" t="s">
        <v>4193</v>
      </c>
      <c r="B1131" s="11">
        <v>44446.902108449074</v>
      </c>
      <c r="C1131" s="10" t="s">
        <v>80</v>
      </c>
      <c r="D1131" s="10" t="s">
        <v>81</v>
      </c>
      <c r="E1131" s="10" t="s">
        <v>4194</v>
      </c>
      <c r="F1131" s="10" t="s">
        <v>4195</v>
      </c>
      <c r="G1131" s="10" t="s">
        <v>4196</v>
      </c>
      <c r="H1131" s="11">
        <v>44447.70833333333</v>
      </c>
      <c r="I1131" s="11">
        <v>44447.75</v>
      </c>
      <c r="J1131" s="10" t="s">
        <v>43</v>
      </c>
      <c r="K1131" s="10" t="s">
        <v>34</v>
      </c>
      <c r="N1131" s="10" t="s">
        <v>296</v>
      </c>
      <c r="O1131" s="18" t="s">
        <v>4197</v>
      </c>
      <c r="P1131" s="10" t="s">
        <v>35</v>
      </c>
      <c r="R1131" s="10" t="s">
        <v>296</v>
      </c>
      <c r="S1131" s="10">
        <v>1.0</v>
      </c>
      <c r="T1131" s="10" t="s">
        <v>35</v>
      </c>
      <c r="V1131" s="14" t="s">
        <v>4198</v>
      </c>
      <c r="W1131" s="15"/>
      <c r="X1131" s="10" t="s">
        <v>37</v>
      </c>
      <c r="Y1131" s="10" t="s">
        <v>0</v>
      </c>
    </row>
    <row r="1132">
      <c r="A1132" s="10" t="s">
        <v>4199</v>
      </c>
      <c r="B1132" s="11">
        <v>44440.938463541665</v>
      </c>
      <c r="C1132" s="10" t="s">
        <v>4200</v>
      </c>
      <c r="D1132" s="10" t="s">
        <v>161</v>
      </c>
      <c r="E1132" s="10" t="s">
        <v>4201</v>
      </c>
      <c r="F1132" s="10" t="s">
        <v>4202</v>
      </c>
      <c r="G1132" s="35" t="s">
        <v>4203</v>
      </c>
      <c r="H1132" s="36">
        <v>44447.77083333333</v>
      </c>
      <c r="I1132" s="11">
        <v>44447.8125</v>
      </c>
      <c r="J1132" s="10" t="s">
        <v>43</v>
      </c>
      <c r="K1132" s="10" t="s">
        <v>34</v>
      </c>
      <c r="N1132" s="10" t="s">
        <v>35</v>
      </c>
      <c r="V1132" s="40" t="s">
        <v>4204</v>
      </c>
      <c r="W1132" s="15"/>
      <c r="X1132" s="10" t="s">
        <v>37</v>
      </c>
      <c r="Y1132" s="10" t="s">
        <v>0</v>
      </c>
    </row>
    <row r="1133">
      <c r="A1133" s="10" t="s">
        <v>4205</v>
      </c>
      <c r="B1133" s="11">
        <v>44441.546192291666</v>
      </c>
      <c r="C1133" s="10" t="s">
        <v>80</v>
      </c>
      <c r="D1133" s="10" t="s">
        <v>81</v>
      </c>
      <c r="E1133" s="10" t="s">
        <v>4206</v>
      </c>
      <c r="F1133" s="10" t="s">
        <v>3979</v>
      </c>
      <c r="G1133" s="10" t="s">
        <v>4207</v>
      </c>
      <c r="H1133" s="11">
        <v>44442.60416666667</v>
      </c>
      <c r="I1133" s="11">
        <v>44442.6875</v>
      </c>
      <c r="J1133" s="10" t="s">
        <v>33</v>
      </c>
      <c r="K1133" s="10" t="s">
        <v>34</v>
      </c>
      <c r="N1133" s="10" t="s">
        <v>296</v>
      </c>
      <c r="O1133" s="18" t="s">
        <v>4208</v>
      </c>
      <c r="P1133" s="10" t="s">
        <v>296</v>
      </c>
      <c r="Q1133" s="10">
        <v>1.0</v>
      </c>
      <c r="R1133" s="10" t="s">
        <v>35</v>
      </c>
      <c r="T1133" s="10" t="s">
        <v>35</v>
      </c>
      <c r="V1133" s="14" t="s">
        <v>3982</v>
      </c>
      <c r="W1133" s="15"/>
      <c r="X1133" s="10" t="s">
        <v>37</v>
      </c>
      <c r="Y1133" s="10" t="s">
        <v>0</v>
      </c>
    </row>
    <row r="1134">
      <c r="A1134" s="10" t="s">
        <v>4209</v>
      </c>
      <c r="B1134" s="11">
        <v>44441.56610135417</v>
      </c>
      <c r="C1134" s="10" t="s">
        <v>4210</v>
      </c>
      <c r="D1134" s="10" t="s">
        <v>4211</v>
      </c>
      <c r="E1134" s="10" t="s">
        <v>4212</v>
      </c>
      <c r="F1134" s="10" t="s">
        <v>4213</v>
      </c>
      <c r="G1134" s="10" t="s">
        <v>4214</v>
      </c>
      <c r="H1134" s="11">
        <v>44442.75</v>
      </c>
      <c r="I1134" s="11">
        <v>44442.79166666667</v>
      </c>
      <c r="J1134" s="10" t="s">
        <v>128</v>
      </c>
      <c r="K1134" s="10" t="s">
        <v>34</v>
      </c>
      <c r="N1134" s="10" t="s">
        <v>35</v>
      </c>
      <c r="V1134" s="35" t="s">
        <v>4215</v>
      </c>
      <c r="W1134" s="15"/>
      <c r="X1134" s="10" t="s">
        <v>37</v>
      </c>
      <c r="Y1134" s="10" t="s">
        <v>0</v>
      </c>
    </row>
    <row r="1135">
      <c r="A1135" s="10" t="s">
        <v>4216</v>
      </c>
      <c r="B1135" s="11">
        <v>44441.56840773148</v>
      </c>
      <c r="C1135" s="10" t="s">
        <v>4217</v>
      </c>
      <c r="D1135" s="10" t="s">
        <v>4211</v>
      </c>
      <c r="E1135" s="10" t="s">
        <v>4212</v>
      </c>
      <c r="F1135" s="10" t="s">
        <v>4213</v>
      </c>
      <c r="G1135" s="10" t="s">
        <v>4218</v>
      </c>
      <c r="H1135" s="11">
        <v>44442.75</v>
      </c>
      <c r="I1135" s="11">
        <v>44442.79166666667</v>
      </c>
      <c r="J1135" s="10" t="s">
        <v>128</v>
      </c>
      <c r="K1135" s="10" t="s">
        <v>34</v>
      </c>
      <c r="N1135" s="10" t="s">
        <v>35</v>
      </c>
      <c r="V1135" s="35" t="s">
        <v>4215</v>
      </c>
      <c r="W1135" s="15"/>
      <c r="X1135" s="10" t="s">
        <v>37</v>
      </c>
      <c r="Y1135" s="10" t="s">
        <v>0</v>
      </c>
    </row>
    <row r="1136">
      <c r="A1136" s="10" t="s">
        <v>4219</v>
      </c>
      <c r="B1136" s="11">
        <v>44440.940970868054</v>
      </c>
      <c r="C1136" s="10" t="s">
        <v>330</v>
      </c>
      <c r="D1136" s="10" t="s">
        <v>331</v>
      </c>
      <c r="E1136" s="10" t="s">
        <v>4220</v>
      </c>
      <c r="F1136" s="10" t="s">
        <v>4221</v>
      </c>
      <c r="G1136" s="35" t="s">
        <v>4203</v>
      </c>
      <c r="H1136" s="36">
        <v>44447.77083333333</v>
      </c>
      <c r="I1136" s="11">
        <v>44447.72916666667</v>
      </c>
      <c r="J1136" s="10" t="s">
        <v>43</v>
      </c>
      <c r="K1136" s="10" t="s">
        <v>34</v>
      </c>
      <c r="N1136" s="10" t="s">
        <v>35</v>
      </c>
      <c r="V1136" s="14" t="s">
        <v>4204</v>
      </c>
      <c r="W1136" s="15"/>
      <c r="X1136" s="10" t="s">
        <v>37</v>
      </c>
      <c r="Y1136" s="10" t="s">
        <v>0</v>
      </c>
    </row>
    <row r="1137">
      <c r="A1137" s="10" t="s">
        <v>4222</v>
      </c>
      <c r="B1137" s="11">
        <v>44440.94240494213</v>
      </c>
      <c r="C1137" s="10" t="s">
        <v>160</v>
      </c>
      <c r="D1137" s="10" t="s">
        <v>161</v>
      </c>
      <c r="E1137" s="10" t="s">
        <v>4223</v>
      </c>
      <c r="F1137" s="10" t="s">
        <v>4202</v>
      </c>
      <c r="G1137" s="35" t="s">
        <v>4203</v>
      </c>
      <c r="H1137" s="36">
        <v>44447.77083333333</v>
      </c>
      <c r="I1137" s="11">
        <v>44447.8125</v>
      </c>
      <c r="J1137" s="10" t="s">
        <v>43</v>
      </c>
      <c r="K1137" s="10" t="s">
        <v>34</v>
      </c>
      <c r="N1137" s="10" t="s">
        <v>35</v>
      </c>
      <c r="V1137" s="14" t="s">
        <v>4204</v>
      </c>
      <c r="W1137" s="15"/>
      <c r="X1137" s="10" t="s">
        <v>37</v>
      </c>
      <c r="Y1137" s="10" t="s">
        <v>0</v>
      </c>
    </row>
    <row r="1138">
      <c r="A1138" s="10" t="s">
        <v>4224</v>
      </c>
      <c r="B1138" s="11">
        <v>44438.36761681713</v>
      </c>
      <c r="C1138" s="10" t="s">
        <v>209</v>
      </c>
      <c r="D1138" s="10" t="s">
        <v>210</v>
      </c>
      <c r="E1138" s="10" t="s">
        <v>261</v>
      </c>
      <c r="F1138" s="10" t="s">
        <v>3075</v>
      </c>
      <c r="G1138" s="35" t="s">
        <v>4225</v>
      </c>
      <c r="H1138" s="36">
        <v>44448.4375</v>
      </c>
      <c r="I1138" s="11">
        <v>44448.52083333333</v>
      </c>
      <c r="J1138" s="10" t="s">
        <v>43</v>
      </c>
      <c r="K1138" s="10" t="s">
        <v>34</v>
      </c>
      <c r="N1138" s="10" t="s">
        <v>296</v>
      </c>
      <c r="O1138" s="18" t="s">
        <v>4226</v>
      </c>
      <c r="P1138" s="10" t="s">
        <v>35</v>
      </c>
      <c r="R1138" s="10" t="s">
        <v>296</v>
      </c>
      <c r="S1138" s="10">
        <v>3.0</v>
      </c>
      <c r="T1138" s="10" t="s">
        <v>35</v>
      </c>
      <c r="V1138" s="14" t="s">
        <v>4227</v>
      </c>
      <c r="W1138" s="15"/>
      <c r="X1138" s="10" t="s">
        <v>37</v>
      </c>
      <c r="Y1138" s="10" t="s">
        <v>0</v>
      </c>
    </row>
    <row r="1139">
      <c r="A1139" s="10" t="s">
        <v>4228</v>
      </c>
      <c r="B1139" s="11">
        <v>44434.69899958333</v>
      </c>
      <c r="C1139" s="10" t="s">
        <v>181</v>
      </c>
      <c r="D1139" s="10" t="s">
        <v>69</v>
      </c>
      <c r="E1139" s="10" t="s">
        <v>4229</v>
      </c>
      <c r="F1139" s="10" t="s">
        <v>4230</v>
      </c>
      <c r="G1139" s="35" t="s">
        <v>3914</v>
      </c>
      <c r="H1139" s="11">
        <v>44449.3125</v>
      </c>
      <c r="I1139" s="11">
        <v>44449.4375</v>
      </c>
      <c r="J1139" s="10" t="s">
        <v>128</v>
      </c>
      <c r="K1139" s="10" t="s">
        <v>61</v>
      </c>
      <c r="L1139" s="10" t="s">
        <v>1334</v>
      </c>
      <c r="N1139" s="10" t="s">
        <v>35</v>
      </c>
      <c r="V1139" s="9"/>
      <c r="W1139" s="13"/>
      <c r="Y1139" s="10" t="s">
        <v>0</v>
      </c>
    </row>
    <row r="1140">
      <c r="A1140" s="10" t="s">
        <v>4231</v>
      </c>
      <c r="B1140" s="11">
        <v>44427.5188942824</v>
      </c>
      <c r="C1140" s="10" t="s">
        <v>209</v>
      </c>
      <c r="D1140" s="10" t="s">
        <v>210</v>
      </c>
      <c r="E1140" s="10" t="s">
        <v>261</v>
      </c>
      <c r="F1140" s="10" t="s">
        <v>3860</v>
      </c>
      <c r="G1140" s="35" t="s">
        <v>4232</v>
      </c>
      <c r="H1140" s="11">
        <v>44449.4375</v>
      </c>
      <c r="I1140" s="11">
        <v>44449.52083333333</v>
      </c>
      <c r="J1140" s="10" t="s">
        <v>128</v>
      </c>
      <c r="K1140" s="10" t="s">
        <v>34</v>
      </c>
      <c r="N1140" s="10" t="s">
        <v>35</v>
      </c>
      <c r="V1140" s="35" t="s">
        <v>3942</v>
      </c>
      <c r="W1140" s="15"/>
      <c r="X1140" s="10" t="s">
        <v>37</v>
      </c>
      <c r="Y1140" s="10" t="s">
        <v>0</v>
      </c>
    </row>
    <row r="1141">
      <c r="A1141" s="10" t="s">
        <v>4233</v>
      </c>
      <c r="B1141" s="11">
        <v>44408.906771643524</v>
      </c>
      <c r="C1141" s="10" t="s">
        <v>137</v>
      </c>
      <c r="D1141" s="10" t="s">
        <v>138</v>
      </c>
      <c r="E1141" s="10" t="s">
        <v>3299</v>
      </c>
      <c r="F1141" s="10" t="s">
        <v>921</v>
      </c>
      <c r="G1141" s="35" t="s">
        <v>3436</v>
      </c>
      <c r="H1141" s="11">
        <v>44449.58333333333</v>
      </c>
      <c r="I1141" s="11">
        <v>44449.66666666667</v>
      </c>
      <c r="J1141" s="10" t="s">
        <v>128</v>
      </c>
      <c r="K1141" s="10" t="s">
        <v>34</v>
      </c>
      <c r="N1141" s="10" t="s">
        <v>35</v>
      </c>
      <c r="V1141" s="9"/>
      <c r="W1141" s="13"/>
      <c r="X1141" s="10" t="s">
        <v>37</v>
      </c>
      <c r="Y1141" s="10" t="s">
        <v>0</v>
      </c>
    </row>
    <row r="1142">
      <c r="A1142" s="10" t="s">
        <v>4234</v>
      </c>
      <c r="B1142" s="11">
        <v>44442.59014971065</v>
      </c>
      <c r="C1142" s="10" t="s">
        <v>181</v>
      </c>
      <c r="D1142" s="10" t="s">
        <v>69</v>
      </c>
      <c r="E1142" s="10" t="s">
        <v>1229</v>
      </c>
      <c r="F1142" s="10" t="s">
        <v>4235</v>
      </c>
      <c r="G1142" s="35" t="s">
        <v>4236</v>
      </c>
      <c r="H1142" s="36">
        <v>44448.4375</v>
      </c>
      <c r="I1142" s="11">
        <v>44448.47916666667</v>
      </c>
      <c r="J1142" s="10" t="s">
        <v>43</v>
      </c>
      <c r="K1142" s="10" t="s">
        <v>34</v>
      </c>
      <c r="N1142" s="10" t="s">
        <v>296</v>
      </c>
      <c r="O1142" s="18" t="s">
        <v>4237</v>
      </c>
      <c r="P1142" s="10" t="s">
        <v>35</v>
      </c>
      <c r="R1142" s="10" t="s">
        <v>296</v>
      </c>
      <c r="S1142" s="10">
        <v>1.0</v>
      </c>
      <c r="T1142" s="10" t="s">
        <v>35</v>
      </c>
      <c r="V1142" s="14" t="s">
        <v>4238</v>
      </c>
      <c r="W1142" s="15"/>
      <c r="Y1142" s="10" t="s">
        <v>0</v>
      </c>
    </row>
    <row r="1143">
      <c r="A1143" s="10" t="s">
        <v>4239</v>
      </c>
      <c r="B1143" s="11">
        <v>44448.41142645833</v>
      </c>
      <c r="C1143" s="10" t="s">
        <v>3304</v>
      </c>
      <c r="D1143" s="10" t="s">
        <v>695</v>
      </c>
      <c r="E1143" s="10" t="s">
        <v>4240</v>
      </c>
      <c r="F1143" s="10" t="s">
        <v>4241</v>
      </c>
      <c r="G1143" s="10" t="s">
        <v>4242</v>
      </c>
      <c r="H1143" s="11">
        <v>44448.47916666667</v>
      </c>
      <c r="I1143" s="11">
        <v>44448.52083333333</v>
      </c>
      <c r="J1143" s="10" t="s">
        <v>43</v>
      </c>
      <c r="K1143" s="10" t="s">
        <v>34</v>
      </c>
      <c r="N1143" s="10" t="s">
        <v>296</v>
      </c>
      <c r="O1143" s="18" t="s">
        <v>4243</v>
      </c>
      <c r="P1143" s="10" t="s">
        <v>296</v>
      </c>
      <c r="Q1143" s="10">
        <v>3.0</v>
      </c>
      <c r="R1143" s="10" t="s">
        <v>35</v>
      </c>
      <c r="T1143" s="10" t="s">
        <v>35</v>
      </c>
      <c r="V1143" s="14" t="s">
        <v>4244</v>
      </c>
      <c r="W1143" s="15"/>
      <c r="X1143" s="10" t="s">
        <v>37</v>
      </c>
      <c r="Y1143" s="10" t="s">
        <v>0</v>
      </c>
    </row>
    <row r="1144">
      <c r="A1144" s="10" t="s">
        <v>4245</v>
      </c>
      <c r="B1144" s="11">
        <v>44442.63835230324</v>
      </c>
      <c r="C1144" s="10" t="s">
        <v>4246</v>
      </c>
      <c r="D1144" s="10" t="s">
        <v>321</v>
      </c>
      <c r="E1144" s="10" t="s">
        <v>4247</v>
      </c>
      <c r="F1144" s="10" t="s">
        <v>4248</v>
      </c>
      <c r="G1144" s="10" t="s">
        <v>4249</v>
      </c>
      <c r="H1144" s="11">
        <v>44442.58333333333</v>
      </c>
      <c r="I1144" s="11">
        <v>44455.75</v>
      </c>
      <c r="J1144" s="10" t="s">
        <v>73</v>
      </c>
      <c r="K1144" s="10" t="s">
        <v>34</v>
      </c>
      <c r="N1144" s="10" t="s">
        <v>35</v>
      </c>
      <c r="V1144" s="14" t="s">
        <v>4250</v>
      </c>
      <c r="W1144" s="15"/>
      <c r="Y1144" s="10" t="s">
        <v>0</v>
      </c>
    </row>
    <row r="1145">
      <c r="A1145" s="10" t="s">
        <v>4251</v>
      </c>
      <c r="B1145" s="11">
        <v>44442.803209317135</v>
      </c>
      <c r="C1145" s="10" t="s">
        <v>160</v>
      </c>
      <c r="D1145" s="10" t="s">
        <v>161</v>
      </c>
      <c r="E1145" s="10" t="s">
        <v>3804</v>
      </c>
      <c r="F1145" s="10" t="s">
        <v>4252</v>
      </c>
      <c r="G1145" s="35" t="s">
        <v>4253</v>
      </c>
      <c r="H1145" s="11">
        <v>44449.60416666667</v>
      </c>
      <c r="I1145" s="11">
        <v>44449.64583333333</v>
      </c>
      <c r="J1145" s="10" t="s">
        <v>33</v>
      </c>
      <c r="K1145" s="10" t="s">
        <v>34</v>
      </c>
      <c r="N1145" s="10" t="s">
        <v>296</v>
      </c>
      <c r="O1145" s="18" t="s">
        <v>4254</v>
      </c>
      <c r="P1145" s="10" t="s">
        <v>296</v>
      </c>
      <c r="Q1145" s="10">
        <v>1.0</v>
      </c>
      <c r="R1145" s="10" t="s">
        <v>35</v>
      </c>
      <c r="T1145" s="10" t="s">
        <v>35</v>
      </c>
      <c r="V1145" s="14" t="s">
        <v>4255</v>
      </c>
      <c r="W1145" s="15"/>
      <c r="X1145" s="10" t="s">
        <v>37</v>
      </c>
      <c r="Y1145" s="10" t="s">
        <v>0</v>
      </c>
    </row>
    <row r="1146">
      <c r="A1146" s="10" t="s">
        <v>4256</v>
      </c>
      <c r="B1146" s="11">
        <v>44443.32673134259</v>
      </c>
      <c r="C1146" s="10" t="s">
        <v>150</v>
      </c>
      <c r="D1146" s="10" t="s">
        <v>151</v>
      </c>
      <c r="E1146" s="10" t="s">
        <v>4257</v>
      </c>
      <c r="F1146" s="10" t="s">
        <v>4258</v>
      </c>
      <c r="G1146" s="10" t="s">
        <v>4259</v>
      </c>
      <c r="H1146" s="11">
        <v>44443.41666666667</v>
      </c>
      <c r="I1146" s="11">
        <v>44443.5</v>
      </c>
      <c r="J1146" s="10" t="s">
        <v>128</v>
      </c>
      <c r="K1146" s="10" t="s">
        <v>34</v>
      </c>
      <c r="N1146" s="10" t="s">
        <v>35</v>
      </c>
      <c r="V1146" s="35" t="s">
        <v>3775</v>
      </c>
      <c r="W1146" s="15"/>
      <c r="X1146" s="10" t="s">
        <v>37</v>
      </c>
      <c r="Y1146" s="10" t="s">
        <v>0</v>
      </c>
    </row>
    <row r="1147">
      <c r="A1147" s="10" t="s">
        <v>4260</v>
      </c>
      <c r="B1147" s="11">
        <v>44443.566542430555</v>
      </c>
      <c r="C1147" s="10" t="s">
        <v>374</v>
      </c>
      <c r="D1147" s="10" t="s">
        <v>375</v>
      </c>
      <c r="E1147" s="10" t="s">
        <v>261</v>
      </c>
      <c r="F1147" s="10" t="s">
        <v>4261</v>
      </c>
      <c r="G1147" s="10" t="s">
        <v>4262</v>
      </c>
      <c r="H1147" s="11">
        <v>44451.8125</v>
      </c>
      <c r="I1147" s="11">
        <v>44451.85416666667</v>
      </c>
      <c r="J1147" s="10" t="s">
        <v>33</v>
      </c>
      <c r="K1147" s="10" t="s">
        <v>34</v>
      </c>
      <c r="N1147" s="10" t="s">
        <v>35</v>
      </c>
      <c r="V1147" s="14" t="s">
        <v>4263</v>
      </c>
      <c r="W1147" s="15"/>
      <c r="X1147" s="10" t="s">
        <v>37</v>
      </c>
      <c r="Y1147" s="10" t="s">
        <v>0</v>
      </c>
    </row>
    <row r="1148">
      <c r="A1148" s="10" t="s">
        <v>4264</v>
      </c>
      <c r="B1148" s="11">
        <v>44449.599581875</v>
      </c>
      <c r="C1148" s="10" t="s">
        <v>181</v>
      </c>
      <c r="D1148" s="10" t="s">
        <v>69</v>
      </c>
      <c r="E1148" s="10" t="s">
        <v>1096</v>
      </c>
      <c r="F1148" s="10" t="s">
        <v>4265</v>
      </c>
      <c r="G1148" s="10" t="s">
        <v>4266</v>
      </c>
      <c r="H1148" s="36">
        <v>44452.60416666667</v>
      </c>
      <c r="I1148" s="11">
        <v>44452.6875</v>
      </c>
      <c r="J1148" s="10" t="s">
        <v>128</v>
      </c>
      <c r="K1148" s="10" t="s">
        <v>34</v>
      </c>
      <c r="N1148" s="10" t="s">
        <v>35</v>
      </c>
      <c r="V1148" s="14" t="s">
        <v>3490</v>
      </c>
      <c r="W1148" s="15"/>
      <c r="X1148" s="10" t="s">
        <v>37</v>
      </c>
      <c r="Y1148" s="10" t="s">
        <v>0</v>
      </c>
    </row>
    <row r="1149">
      <c r="A1149" s="10" t="s">
        <v>4267</v>
      </c>
      <c r="B1149" s="11">
        <v>44444.567736400466</v>
      </c>
      <c r="C1149" s="10" t="s">
        <v>4268</v>
      </c>
      <c r="D1149" s="10" t="s">
        <v>4269</v>
      </c>
      <c r="E1149" s="10" t="s">
        <v>4270</v>
      </c>
      <c r="F1149" s="10" t="s">
        <v>797</v>
      </c>
      <c r="G1149" s="10" t="s">
        <v>4271</v>
      </c>
      <c r="H1149" s="11">
        <v>44436.60416666667</v>
      </c>
      <c r="I1149" s="11">
        <v>44436.64583333333</v>
      </c>
      <c r="J1149" s="10" t="s">
        <v>128</v>
      </c>
      <c r="K1149" s="10" t="s">
        <v>34</v>
      </c>
      <c r="N1149" s="10" t="s">
        <v>35</v>
      </c>
      <c r="V1149" s="14" t="s">
        <v>4272</v>
      </c>
      <c r="W1149" s="15"/>
      <c r="X1149" s="10" t="s">
        <v>37</v>
      </c>
      <c r="Y1149" s="10" t="s">
        <v>0</v>
      </c>
    </row>
    <row r="1150">
      <c r="A1150" s="10" t="s">
        <v>4273</v>
      </c>
      <c r="B1150" s="11">
        <v>44444.58256751158</v>
      </c>
      <c r="C1150" s="10" t="s">
        <v>4268</v>
      </c>
      <c r="D1150" s="10" t="s">
        <v>4269</v>
      </c>
      <c r="E1150" s="10" t="s">
        <v>4274</v>
      </c>
      <c r="F1150" s="10" t="s">
        <v>4275</v>
      </c>
      <c r="G1150" s="10" t="s">
        <v>4276</v>
      </c>
      <c r="H1150" s="11">
        <v>44442.6875</v>
      </c>
      <c r="I1150" s="11">
        <v>44442.72916666667</v>
      </c>
      <c r="J1150" s="10" t="s">
        <v>33</v>
      </c>
      <c r="K1150" s="10" t="s">
        <v>34</v>
      </c>
      <c r="N1150" s="10" t="s">
        <v>296</v>
      </c>
      <c r="O1150" s="18" t="s">
        <v>4277</v>
      </c>
      <c r="P1150" s="10" t="s">
        <v>296</v>
      </c>
      <c r="Q1150" s="10">
        <v>1.0</v>
      </c>
      <c r="R1150" s="10" t="s">
        <v>296</v>
      </c>
      <c r="S1150" s="10">
        <v>1.0</v>
      </c>
      <c r="T1150" s="10" t="s">
        <v>35</v>
      </c>
      <c r="V1150" s="14" t="s">
        <v>4278</v>
      </c>
      <c r="W1150" s="15"/>
      <c r="X1150" s="10" t="s">
        <v>37</v>
      </c>
      <c r="Y1150" s="10" t="s">
        <v>0</v>
      </c>
    </row>
    <row r="1151">
      <c r="A1151" s="10" t="s">
        <v>4279</v>
      </c>
      <c r="B1151" s="11">
        <v>44444.73637758102</v>
      </c>
      <c r="C1151" s="10" t="s">
        <v>3304</v>
      </c>
      <c r="D1151" s="10" t="s">
        <v>695</v>
      </c>
      <c r="E1151" s="10" t="s">
        <v>4240</v>
      </c>
      <c r="F1151" s="10" t="s">
        <v>4280</v>
      </c>
      <c r="G1151" s="10" t="s">
        <v>4281</v>
      </c>
      <c r="H1151" s="11">
        <v>44445.54166666667</v>
      </c>
      <c r="I1151" s="11">
        <v>44445.99930555555</v>
      </c>
      <c r="J1151" s="10" t="s">
        <v>73</v>
      </c>
      <c r="K1151" s="10" t="s">
        <v>34</v>
      </c>
      <c r="N1151" s="10" t="s">
        <v>35</v>
      </c>
      <c r="V1151" s="14" t="s">
        <v>3464</v>
      </c>
      <c r="W1151" s="15"/>
      <c r="X1151" s="10" t="s">
        <v>37</v>
      </c>
      <c r="Y1151" s="10" t="s">
        <v>0</v>
      </c>
    </row>
    <row r="1152">
      <c r="A1152" s="10" t="s">
        <v>4282</v>
      </c>
      <c r="B1152" s="11">
        <v>44444.74146871528</v>
      </c>
      <c r="C1152" s="10" t="s">
        <v>3304</v>
      </c>
      <c r="D1152" s="10" t="s">
        <v>695</v>
      </c>
      <c r="E1152" s="10" t="s">
        <v>4240</v>
      </c>
      <c r="F1152" s="10" t="s">
        <v>4283</v>
      </c>
      <c r="G1152" s="10" t="s">
        <v>4284</v>
      </c>
      <c r="H1152" s="11">
        <v>44447.54166666667</v>
      </c>
      <c r="I1152" s="11">
        <v>44447.99930555555</v>
      </c>
      <c r="J1152" s="10" t="s">
        <v>73</v>
      </c>
      <c r="K1152" s="10" t="s">
        <v>34</v>
      </c>
      <c r="N1152" s="10" t="s">
        <v>35</v>
      </c>
      <c r="V1152" s="14" t="s">
        <v>3464</v>
      </c>
      <c r="W1152" s="15"/>
      <c r="X1152" s="10" t="s">
        <v>37</v>
      </c>
      <c r="Y1152" s="10" t="s">
        <v>0</v>
      </c>
    </row>
    <row r="1153">
      <c r="A1153" s="10" t="s">
        <v>4285</v>
      </c>
      <c r="B1153" s="11">
        <v>44445.04696983796</v>
      </c>
      <c r="C1153" s="10" t="s">
        <v>342</v>
      </c>
      <c r="D1153" s="10" t="s">
        <v>187</v>
      </c>
      <c r="E1153" s="10" t="s">
        <v>188</v>
      </c>
      <c r="F1153" s="10" t="s">
        <v>497</v>
      </c>
      <c r="G1153" s="10" t="s">
        <v>4286</v>
      </c>
      <c r="H1153" s="11">
        <v>44435.60416666667</v>
      </c>
      <c r="I1153" s="11">
        <v>44435.6875</v>
      </c>
      <c r="J1153" s="10" t="s">
        <v>128</v>
      </c>
      <c r="K1153" s="10" t="s">
        <v>34</v>
      </c>
      <c r="N1153" s="10" t="s">
        <v>296</v>
      </c>
      <c r="O1153" s="18" t="s">
        <v>4287</v>
      </c>
      <c r="P1153" s="10" t="s">
        <v>35</v>
      </c>
      <c r="R1153" s="10" t="s">
        <v>35</v>
      </c>
      <c r="T1153" s="10" t="s">
        <v>35</v>
      </c>
      <c r="V1153" s="14" t="s">
        <v>4288</v>
      </c>
      <c r="W1153" s="15"/>
      <c r="X1153" s="10" t="s">
        <v>37</v>
      </c>
      <c r="Y1153" s="10" t="s">
        <v>0</v>
      </c>
    </row>
    <row r="1154">
      <c r="A1154" s="10" t="s">
        <v>4289</v>
      </c>
      <c r="B1154" s="11">
        <v>44445.049063287035</v>
      </c>
      <c r="C1154" s="10" t="s">
        <v>186</v>
      </c>
      <c r="D1154" s="10" t="s">
        <v>187</v>
      </c>
      <c r="E1154" s="10" t="s">
        <v>188</v>
      </c>
      <c r="F1154" s="10" t="s">
        <v>497</v>
      </c>
      <c r="G1154" s="10" t="s">
        <v>4290</v>
      </c>
      <c r="H1154" s="11">
        <v>44435.60416666667</v>
      </c>
      <c r="I1154" s="11">
        <v>44435.6875</v>
      </c>
      <c r="J1154" s="10" t="s">
        <v>128</v>
      </c>
      <c r="K1154" s="10" t="s">
        <v>34</v>
      </c>
      <c r="N1154" s="10" t="s">
        <v>296</v>
      </c>
      <c r="O1154" s="18" t="s">
        <v>4291</v>
      </c>
      <c r="P1154" s="10" t="s">
        <v>35</v>
      </c>
      <c r="R1154" s="10" t="s">
        <v>35</v>
      </c>
      <c r="T1154" s="10" t="s">
        <v>35</v>
      </c>
      <c r="V1154" s="14" t="s">
        <v>4288</v>
      </c>
      <c r="W1154" s="15"/>
      <c r="X1154" s="10" t="s">
        <v>37</v>
      </c>
      <c r="Y1154" s="10" t="s">
        <v>0</v>
      </c>
    </row>
    <row r="1155">
      <c r="A1155" s="10" t="s">
        <v>4292</v>
      </c>
      <c r="B1155" s="11">
        <v>44445.05175829861</v>
      </c>
      <c r="C1155" s="10" t="s">
        <v>186</v>
      </c>
      <c r="D1155" s="10" t="s">
        <v>187</v>
      </c>
      <c r="E1155" s="10" t="s">
        <v>188</v>
      </c>
      <c r="F1155" s="10" t="s">
        <v>4293</v>
      </c>
      <c r="G1155" s="10" t="s">
        <v>4294</v>
      </c>
      <c r="H1155" s="11">
        <v>44433.72916666667</v>
      </c>
      <c r="I1155" s="11">
        <v>44433.8125</v>
      </c>
      <c r="J1155" s="10" t="s">
        <v>128</v>
      </c>
      <c r="K1155" s="10" t="s">
        <v>34</v>
      </c>
      <c r="N1155" s="10" t="s">
        <v>35</v>
      </c>
      <c r="V1155" s="14" t="s">
        <v>4295</v>
      </c>
      <c r="W1155" s="15"/>
      <c r="X1155" s="10" t="s">
        <v>37</v>
      </c>
      <c r="Y1155" s="10" t="s">
        <v>0</v>
      </c>
    </row>
    <row r="1156">
      <c r="A1156" s="10" t="s">
        <v>4296</v>
      </c>
      <c r="B1156" s="11">
        <v>44445.675014016204</v>
      </c>
      <c r="C1156" s="10" t="s">
        <v>330</v>
      </c>
      <c r="D1156" s="10" t="s">
        <v>331</v>
      </c>
      <c r="E1156" s="10" t="s">
        <v>4297</v>
      </c>
      <c r="F1156" s="10" t="s">
        <v>4298</v>
      </c>
      <c r="G1156" s="10" t="s">
        <v>4299</v>
      </c>
      <c r="H1156" s="11">
        <v>44449.60416666667</v>
      </c>
      <c r="I1156" s="11">
        <v>44449.64583333333</v>
      </c>
      <c r="J1156" s="10" t="s">
        <v>128</v>
      </c>
      <c r="K1156" s="10" t="s">
        <v>34</v>
      </c>
      <c r="N1156" s="10" t="s">
        <v>35</v>
      </c>
      <c r="V1156" s="14" t="s">
        <v>4300</v>
      </c>
      <c r="W1156" s="15"/>
      <c r="X1156" s="10" t="s">
        <v>37</v>
      </c>
      <c r="Y1156" s="10" t="s">
        <v>0</v>
      </c>
    </row>
    <row r="1157">
      <c r="A1157" s="10" t="s">
        <v>4301</v>
      </c>
      <c r="B1157" s="11">
        <v>44445.680229722224</v>
      </c>
      <c r="C1157" s="10" t="s">
        <v>330</v>
      </c>
      <c r="D1157" s="10" t="s">
        <v>331</v>
      </c>
      <c r="E1157" s="10" t="s">
        <v>4302</v>
      </c>
      <c r="F1157" s="10" t="s">
        <v>4303</v>
      </c>
      <c r="G1157" s="10" t="s">
        <v>4304</v>
      </c>
      <c r="H1157" s="11">
        <v>44445.52083333333</v>
      </c>
      <c r="I1157" s="11">
        <v>44445.5625</v>
      </c>
      <c r="J1157" s="10" t="s">
        <v>73</v>
      </c>
      <c r="K1157" s="10" t="s">
        <v>34</v>
      </c>
      <c r="N1157" s="10" t="s">
        <v>35</v>
      </c>
      <c r="V1157" s="14" t="s">
        <v>4305</v>
      </c>
      <c r="W1157" s="15"/>
      <c r="X1157" s="10" t="s">
        <v>37</v>
      </c>
      <c r="Y1157" s="10" t="s">
        <v>0</v>
      </c>
    </row>
    <row r="1158">
      <c r="A1158" s="10" t="s">
        <v>4306</v>
      </c>
      <c r="B1158" s="11">
        <v>44445.68977444444</v>
      </c>
      <c r="C1158" s="10" t="s">
        <v>610</v>
      </c>
      <c r="D1158" s="10" t="s">
        <v>611</v>
      </c>
      <c r="E1158" s="10" t="s">
        <v>3448</v>
      </c>
      <c r="F1158" s="10" t="s">
        <v>4307</v>
      </c>
      <c r="G1158" s="10" t="s">
        <v>4308</v>
      </c>
      <c r="H1158" s="11">
        <v>44450.41666666667</v>
      </c>
      <c r="I1158" s="11">
        <v>44450.5</v>
      </c>
      <c r="J1158" s="10" t="s">
        <v>128</v>
      </c>
      <c r="K1158" s="10" t="s">
        <v>34</v>
      </c>
      <c r="N1158" s="10" t="s">
        <v>35</v>
      </c>
      <c r="V1158" s="14" t="s">
        <v>4309</v>
      </c>
      <c r="W1158" s="15"/>
      <c r="X1158" s="10" t="s">
        <v>37</v>
      </c>
      <c r="Y1158" s="10" t="s">
        <v>0</v>
      </c>
    </row>
    <row r="1159">
      <c r="A1159" s="10" t="s">
        <v>4310</v>
      </c>
      <c r="B1159" s="11">
        <v>44445.809502731485</v>
      </c>
      <c r="C1159" s="10" t="s">
        <v>96</v>
      </c>
      <c r="D1159" s="10" t="s">
        <v>97</v>
      </c>
      <c r="E1159" s="10" t="s">
        <v>98</v>
      </c>
      <c r="F1159" s="10" t="s">
        <v>4311</v>
      </c>
      <c r="G1159" s="10" t="s">
        <v>4312</v>
      </c>
      <c r="H1159" s="11">
        <v>44448.6875</v>
      </c>
      <c r="I1159" s="11">
        <v>44448.75</v>
      </c>
      <c r="J1159" s="10" t="s">
        <v>43</v>
      </c>
      <c r="K1159" s="10" t="s">
        <v>34</v>
      </c>
      <c r="N1159" s="10" t="s">
        <v>296</v>
      </c>
      <c r="O1159" s="18" t="s">
        <v>4313</v>
      </c>
      <c r="P1159" s="10" t="s">
        <v>296</v>
      </c>
      <c r="Q1159" s="10">
        <v>1.0</v>
      </c>
      <c r="R1159" s="10" t="s">
        <v>35</v>
      </c>
      <c r="T1159" s="10" t="s">
        <v>35</v>
      </c>
      <c r="V1159" s="14" t="s">
        <v>4314</v>
      </c>
      <c r="W1159" s="15"/>
      <c r="X1159" s="10" t="s">
        <v>37</v>
      </c>
      <c r="Y1159" s="10" t="s">
        <v>0</v>
      </c>
    </row>
    <row r="1160">
      <c r="A1160" s="10" t="s">
        <v>4315</v>
      </c>
      <c r="B1160" s="11">
        <v>44462.600079745374</v>
      </c>
      <c r="C1160" s="10" t="s">
        <v>3304</v>
      </c>
      <c r="D1160" s="10" t="s">
        <v>695</v>
      </c>
      <c r="E1160" s="10" t="s">
        <v>4316</v>
      </c>
      <c r="F1160" s="10" t="s">
        <v>4317</v>
      </c>
      <c r="G1160" s="10" t="s">
        <v>4318</v>
      </c>
      <c r="H1160" s="41">
        <v>44466.5625</v>
      </c>
      <c r="I1160" s="41">
        <v>44466.99930555555</v>
      </c>
      <c r="J1160" s="10" t="s">
        <v>73</v>
      </c>
      <c r="K1160" s="10" t="s">
        <v>34</v>
      </c>
      <c r="N1160" s="10" t="s">
        <v>35</v>
      </c>
      <c r="V1160" s="14" t="s">
        <v>3464</v>
      </c>
      <c r="W1160" s="15"/>
      <c r="X1160" s="10" t="s">
        <v>37</v>
      </c>
      <c r="Y1160" s="10" t="s">
        <v>0</v>
      </c>
    </row>
    <row r="1161">
      <c r="A1161" s="10" t="s">
        <v>4319</v>
      </c>
      <c r="B1161" s="11">
        <v>44468.60171575232</v>
      </c>
      <c r="C1161" s="10" t="s">
        <v>610</v>
      </c>
      <c r="D1161" s="10" t="s">
        <v>611</v>
      </c>
      <c r="E1161" s="10" t="s">
        <v>3531</v>
      </c>
      <c r="F1161" s="10" t="s">
        <v>4320</v>
      </c>
      <c r="G1161" s="10" t="s">
        <v>4321</v>
      </c>
      <c r="H1161" s="42">
        <v>44473.35416666667</v>
      </c>
      <c r="I1161" s="11">
        <v>44473.39583333333</v>
      </c>
      <c r="J1161" s="10" t="s">
        <v>128</v>
      </c>
      <c r="K1161" s="10" t="s">
        <v>34</v>
      </c>
      <c r="N1161" s="10" t="s">
        <v>35</v>
      </c>
      <c r="V1161" s="14" t="s">
        <v>44</v>
      </c>
      <c r="W1161" s="15"/>
      <c r="X1161" s="10" t="s">
        <v>37</v>
      </c>
      <c r="Y1161" s="10" t="s">
        <v>0</v>
      </c>
    </row>
    <row r="1162">
      <c r="A1162" s="10" t="s">
        <v>4322</v>
      </c>
      <c r="B1162" s="11">
        <v>44445.77858997685</v>
      </c>
      <c r="C1162" s="10" t="s">
        <v>181</v>
      </c>
      <c r="D1162" s="10" t="s">
        <v>69</v>
      </c>
      <c r="E1162" s="10" t="s">
        <v>1879</v>
      </c>
      <c r="F1162" s="10" t="s">
        <v>4323</v>
      </c>
      <c r="G1162" s="10" t="s">
        <v>4324</v>
      </c>
      <c r="H1162" s="11">
        <v>44485.41666666667</v>
      </c>
      <c r="I1162" s="11">
        <v>44455.41736111111</v>
      </c>
      <c r="J1162" s="10" t="s">
        <v>73</v>
      </c>
      <c r="K1162" s="10" t="s">
        <v>34</v>
      </c>
      <c r="N1162" s="10" t="s">
        <v>35</v>
      </c>
      <c r="V1162" s="14" t="s">
        <v>4046</v>
      </c>
      <c r="W1162" s="15"/>
      <c r="X1162" s="10" t="s">
        <v>37</v>
      </c>
      <c r="Y1162" s="10" t="s">
        <v>0</v>
      </c>
    </row>
    <row r="1163">
      <c r="A1163" s="10" t="s">
        <v>4325</v>
      </c>
      <c r="B1163" s="11">
        <v>44445.779778993056</v>
      </c>
      <c r="C1163" s="10" t="s">
        <v>181</v>
      </c>
      <c r="D1163" s="10" t="s">
        <v>69</v>
      </c>
      <c r="E1163" s="10" t="s">
        <v>1879</v>
      </c>
      <c r="F1163" s="10" t="s">
        <v>4326</v>
      </c>
      <c r="G1163" s="10" t="s">
        <v>4327</v>
      </c>
      <c r="H1163" s="11">
        <v>44492.41666666667</v>
      </c>
      <c r="I1163" s="11">
        <v>44492.41736111111</v>
      </c>
      <c r="J1163" s="10" t="s">
        <v>73</v>
      </c>
      <c r="K1163" s="10" t="s">
        <v>34</v>
      </c>
      <c r="N1163" s="10" t="s">
        <v>35</v>
      </c>
      <c r="V1163" s="14" t="s">
        <v>4328</v>
      </c>
      <c r="W1163" s="15"/>
      <c r="X1163" s="10" t="s">
        <v>37</v>
      </c>
      <c r="Y1163" s="10" t="s">
        <v>0</v>
      </c>
    </row>
    <row r="1164">
      <c r="A1164" s="10" t="s">
        <v>4329</v>
      </c>
      <c r="B1164" s="11">
        <v>44491.46776850695</v>
      </c>
      <c r="C1164" s="10" t="s">
        <v>181</v>
      </c>
      <c r="D1164" s="10" t="s">
        <v>69</v>
      </c>
      <c r="E1164" s="10" t="s">
        <v>3733</v>
      </c>
      <c r="F1164" s="10" t="s">
        <v>4330</v>
      </c>
      <c r="G1164" s="10" t="s">
        <v>4331</v>
      </c>
      <c r="H1164" s="11">
        <v>44494.47916666667</v>
      </c>
      <c r="I1164" s="11">
        <v>44494.52083333333</v>
      </c>
      <c r="J1164" s="10" t="s">
        <v>128</v>
      </c>
      <c r="K1164" s="10" t="s">
        <v>34</v>
      </c>
      <c r="N1164" s="10" t="s">
        <v>35</v>
      </c>
      <c r="V1164" s="14" t="s">
        <v>3474</v>
      </c>
      <c r="W1164" s="15"/>
      <c r="X1164" s="10" t="s">
        <v>37</v>
      </c>
      <c r="Y1164" s="10" t="s">
        <v>0</v>
      </c>
    </row>
    <row r="1165">
      <c r="A1165" s="10" t="s">
        <v>4332</v>
      </c>
      <c r="B1165" s="11">
        <v>44498.576800208335</v>
      </c>
      <c r="C1165" s="10" t="s">
        <v>181</v>
      </c>
      <c r="D1165" s="10" t="s">
        <v>69</v>
      </c>
      <c r="E1165" s="10" t="s">
        <v>4333</v>
      </c>
      <c r="F1165" s="10" t="s">
        <v>4028</v>
      </c>
      <c r="G1165" s="10" t="s">
        <v>4334</v>
      </c>
      <c r="H1165" s="11">
        <v>44501.375</v>
      </c>
      <c r="I1165" s="11">
        <v>44501.45833333333</v>
      </c>
      <c r="J1165" s="10" t="s">
        <v>128</v>
      </c>
      <c r="K1165" s="10" t="s">
        <v>34</v>
      </c>
      <c r="N1165" s="10" t="s">
        <v>35</v>
      </c>
      <c r="V1165" s="14" t="s">
        <v>3490</v>
      </c>
      <c r="W1165" s="15"/>
      <c r="X1165" s="10" t="s">
        <v>37</v>
      </c>
      <c r="Y1165" s="10" t="s">
        <v>0</v>
      </c>
    </row>
    <row r="1166">
      <c r="A1166" s="10" t="s">
        <v>4335</v>
      </c>
      <c r="B1166" s="11">
        <v>44443.585451921295</v>
      </c>
      <c r="C1166" s="10" t="s">
        <v>374</v>
      </c>
      <c r="D1166" s="10" t="s">
        <v>375</v>
      </c>
      <c r="E1166" s="10" t="s">
        <v>261</v>
      </c>
      <c r="F1166" s="10" t="s">
        <v>4336</v>
      </c>
      <c r="G1166" s="10" t="s">
        <v>4337</v>
      </c>
      <c r="H1166" s="36">
        <v>44452.72916666667</v>
      </c>
      <c r="I1166" s="11">
        <v>44452.77083333333</v>
      </c>
      <c r="J1166" s="10" t="s">
        <v>33</v>
      </c>
      <c r="K1166" s="10" t="s">
        <v>34</v>
      </c>
      <c r="N1166" s="10" t="s">
        <v>35</v>
      </c>
      <c r="V1166" s="14" t="s">
        <v>4338</v>
      </c>
      <c r="W1166" s="15"/>
      <c r="X1166" s="10" t="s">
        <v>37</v>
      </c>
      <c r="Y1166" s="10" t="s">
        <v>0</v>
      </c>
    </row>
    <row r="1167">
      <c r="A1167" s="10" t="s">
        <v>4339</v>
      </c>
      <c r="B1167" s="11">
        <v>44446.92155550926</v>
      </c>
      <c r="C1167" s="10" t="s">
        <v>80</v>
      </c>
      <c r="D1167" s="10" t="s">
        <v>81</v>
      </c>
      <c r="E1167" s="10" t="s">
        <v>4340</v>
      </c>
      <c r="F1167" s="10" t="s">
        <v>4341</v>
      </c>
      <c r="G1167" s="10" t="s">
        <v>4342</v>
      </c>
      <c r="H1167" s="11">
        <v>44449.375</v>
      </c>
      <c r="I1167" s="11">
        <v>44449.4375</v>
      </c>
      <c r="J1167" s="10" t="s">
        <v>43</v>
      </c>
      <c r="K1167" s="10" t="s">
        <v>34</v>
      </c>
      <c r="N1167" s="10" t="s">
        <v>296</v>
      </c>
      <c r="O1167" s="18" t="s">
        <v>4343</v>
      </c>
      <c r="P1167" s="10" t="s">
        <v>296</v>
      </c>
      <c r="Q1167" s="10">
        <v>2.0</v>
      </c>
      <c r="R1167" s="10" t="s">
        <v>35</v>
      </c>
      <c r="T1167" s="10" t="s">
        <v>35</v>
      </c>
      <c r="V1167" s="14" t="s">
        <v>4344</v>
      </c>
      <c r="W1167" s="15"/>
      <c r="X1167" s="10" t="s">
        <v>37</v>
      </c>
      <c r="Y1167" s="10" t="s">
        <v>0</v>
      </c>
    </row>
    <row r="1168">
      <c r="A1168" s="10" t="s">
        <v>4345</v>
      </c>
      <c r="B1168" s="11">
        <v>44445.99160550926</v>
      </c>
      <c r="C1168" s="10" t="s">
        <v>1035</v>
      </c>
      <c r="D1168" s="10" t="s">
        <v>1036</v>
      </c>
      <c r="E1168" s="10" t="s">
        <v>2626</v>
      </c>
      <c r="F1168" s="10" t="s">
        <v>4346</v>
      </c>
      <c r="G1168" s="10" t="s">
        <v>4347</v>
      </c>
      <c r="H1168" s="11">
        <v>44442.6875</v>
      </c>
      <c r="I1168" s="11">
        <v>44442.6875</v>
      </c>
      <c r="J1168" s="10" t="s">
        <v>128</v>
      </c>
      <c r="K1168" s="10" t="s">
        <v>34</v>
      </c>
      <c r="N1168" s="10" t="s">
        <v>35</v>
      </c>
      <c r="V1168" s="14" t="s">
        <v>4348</v>
      </c>
      <c r="W1168" s="15"/>
      <c r="X1168" s="10" t="s">
        <v>37</v>
      </c>
      <c r="Y1168" s="10" t="s">
        <v>0</v>
      </c>
    </row>
    <row r="1169">
      <c r="A1169" s="10" t="s">
        <v>4349</v>
      </c>
      <c r="B1169" s="11">
        <v>44445.99291021991</v>
      </c>
      <c r="C1169" s="10" t="s">
        <v>1035</v>
      </c>
      <c r="D1169" s="10" t="s">
        <v>1036</v>
      </c>
      <c r="E1169" s="10" t="s">
        <v>2626</v>
      </c>
      <c r="F1169" s="10" t="s">
        <v>4350</v>
      </c>
      <c r="G1169" s="10" t="s">
        <v>4351</v>
      </c>
      <c r="H1169" s="11">
        <v>44450.6875</v>
      </c>
      <c r="I1169" s="11">
        <v>44450.72916666667</v>
      </c>
      <c r="J1169" s="10" t="s">
        <v>128</v>
      </c>
      <c r="K1169" s="10" t="s">
        <v>34</v>
      </c>
      <c r="N1169" s="10" t="s">
        <v>35</v>
      </c>
      <c r="V1169" s="14" t="s">
        <v>4348</v>
      </c>
      <c r="W1169" s="15"/>
      <c r="X1169" s="10" t="s">
        <v>37</v>
      </c>
      <c r="Y1169" s="10" t="s">
        <v>0</v>
      </c>
    </row>
    <row r="1170">
      <c r="A1170" s="10" t="s">
        <v>4352</v>
      </c>
      <c r="B1170" s="11">
        <v>44442.568155925925</v>
      </c>
      <c r="C1170" s="10" t="s">
        <v>181</v>
      </c>
      <c r="D1170" s="10" t="s">
        <v>69</v>
      </c>
      <c r="E1170" s="10" t="s">
        <v>4353</v>
      </c>
      <c r="F1170" s="10" t="s">
        <v>4354</v>
      </c>
      <c r="G1170" s="35" t="s">
        <v>4355</v>
      </c>
      <c r="H1170" s="11">
        <v>44449.58333333333</v>
      </c>
      <c r="I1170" s="11">
        <v>44450.54166666667</v>
      </c>
      <c r="J1170" s="10" t="s">
        <v>236</v>
      </c>
      <c r="K1170" s="10" t="s">
        <v>34</v>
      </c>
      <c r="N1170" s="10" t="s">
        <v>296</v>
      </c>
      <c r="O1170" s="18" t="s">
        <v>4356</v>
      </c>
      <c r="P1170" s="10" t="s">
        <v>296</v>
      </c>
      <c r="Q1170" s="10">
        <v>2.0</v>
      </c>
      <c r="R1170" s="10" t="s">
        <v>296</v>
      </c>
      <c r="S1170" s="10">
        <v>6.0</v>
      </c>
      <c r="T1170" s="10" t="s">
        <v>296</v>
      </c>
      <c r="U1170" s="10">
        <v>4.0</v>
      </c>
      <c r="V1170" s="14" t="s">
        <v>4357</v>
      </c>
      <c r="W1170" s="15"/>
      <c r="X1170" s="10" t="s">
        <v>37</v>
      </c>
      <c r="Y1170" s="10" t="s">
        <v>0</v>
      </c>
    </row>
    <row r="1171">
      <c r="A1171" s="10" t="s">
        <v>4358</v>
      </c>
      <c r="B1171" s="11">
        <v>44449.592780520834</v>
      </c>
      <c r="C1171" s="10" t="s">
        <v>181</v>
      </c>
      <c r="D1171" s="10" t="s">
        <v>69</v>
      </c>
      <c r="E1171" s="10" t="s">
        <v>1229</v>
      </c>
      <c r="F1171" s="10" t="s">
        <v>4359</v>
      </c>
      <c r="G1171" s="10" t="s">
        <v>4360</v>
      </c>
      <c r="H1171" s="36">
        <v>44452.72916666667</v>
      </c>
      <c r="I1171" s="11">
        <v>44452.77083333333</v>
      </c>
      <c r="J1171" s="10" t="s">
        <v>128</v>
      </c>
      <c r="K1171" s="10" t="s">
        <v>34</v>
      </c>
      <c r="N1171" s="10" t="s">
        <v>35</v>
      </c>
      <c r="V1171" s="14" t="s">
        <v>4361</v>
      </c>
      <c r="W1171" s="15"/>
      <c r="X1171" s="10" t="s">
        <v>37</v>
      </c>
      <c r="Y1171" s="10" t="s">
        <v>0</v>
      </c>
    </row>
    <row r="1172">
      <c r="A1172" s="10" t="s">
        <v>4362</v>
      </c>
      <c r="B1172" s="11">
        <v>44458.86668083334</v>
      </c>
      <c r="C1172" s="10" t="s">
        <v>581</v>
      </c>
      <c r="D1172" s="10" t="s">
        <v>220</v>
      </c>
      <c r="E1172" s="10" t="s">
        <v>4363</v>
      </c>
      <c r="F1172" s="10" t="s">
        <v>4364</v>
      </c>
      <c r="G1172" s="10" t="s">
        <v>4365</v>
      </c>
      <c r="H1172" s="11">
        <v>44459.4375</v>
      </c>
      <c r="I1172" s="11">
        <v>44459.47916666667</v>
      </c>
      <c r="J1172" s="10" t="s">
        <v>128</v>
      </c>
      <c r="K1172" s="10" t="s">
        <v>34</v>
      </c>
      <c r="N1172" s="10" t="s">
        <v>35</v>
      </c>
      <c r="V1172" s="14" t="s">
        <v>4366</v>
      </c>
      <c r="W1172" s="15"/>
      <c r="X1172" s="10" t="s">
        <v>37</v>
      </c>
      <c r="Y1172" s="10" t="s">
        <v>0</v>
      </c>
    </row>
    <row r="1173">
      <c r="A1173" s="10" t="s">
        <v>4367</v>
      </c>
      <c r="B1173" s="11">
        <v>44463.57489447917</v>
      </c>
      <c r="C1173" s="10" t="s">
        <v>181</v>
      </c>
      <c r="D1173" s="10" t="s">
        <v>69</v>
      </c>
      <c r="E1173" s="10" t="s">
        <v>1096</v>
      </c>
      <c r="F1173" s="10" t="s">
        <v>4265</v>
      </c>
      <c r="G1173" s="10" t="s">
        <v>4368</v>
      </c>
      <c r="H1173" s="41">
        <v>44466.60416666667</v>
      </c>
      <c r="I1173" s="41">
        <v>44466.6875</v>
      </c>
      <c r="J1173" s="10" t="s">
        <v>128</v>
      </c>
      <c r="K1173" s="10" t="s">
        <v>34</v>
      </c>
      <c r="N1173" s="10" t="s">
        <v>35</v>
      </c>
      <c r="V1173" s="14" t="s">
        <v>3490</v>
      </c>
      <c r="W1173" s="15"/>
      <c r="X1173" s="10" t="s">
        <v>37</v>
      </c>
      <c r="Y1173" s="10" t="s">
        <v>0</v>
      </c>
    </row>
    <row r="1174">
      <c r="A1174" s="10" t="s">
        <v>4369</v>
      </c>
      <c r="B1174" s="11">
        <v>44442.51405266204</v>
      </c>
      <c r="C1174" s="10" t="s">
        <v>671</v>
      </c>
      <c r="D1174" s="10" t="s">
        <v>672</v>
      </c>
      <c r="E1174" s="10" t="s">
        <v>3745</v>
      </c>
      <c r="F1174" s="10" t="s">
        <v>4370</v>
      </c>
      <c r="G1174" s="35" t="s">
        <v>4371</v>
      </c>
      <c r="H1174" s="11">
        <v>44449.60416666667</v>
      </c>
      <c r="I1174" s="11">
        <v>44449.6875</v>
      </c>
      <c r="J1174" s="10" t="s">
        <v>43</v>
      </c>
      <c r="K1174" s="10" t="s">
        <v>34</v>
      </c>
      <c r="N1174" s="10" t="s">
        <v>296</v>
      </c>
      <c r="O1174" s="18" t="s">
        <v>4372</v>
      </c>
      <c r="P1174" s="10" t="s">
        <v>35</v>
      </c>
      <c r="R1174" s="10" t="s">
        <v>35</v>
      </c>
      <c r="T1174" s="10" t="s">
        <v>296</v>
      </c>
      <c r="U1174" s="10">
        <v>1.0</v>
      </c>
      <c r="V1174" s="14" t="s">
        <v>3906</v>
      </c>
      <c r="W1174" s="15"/>
      <c r="X1174" s="10" t="s">
        <v>37</v>
      </c>
      <c r="Y1174" s="10" t="s">
        <v>0</v>
      </c>
    </row>
    <row r="1175">
      <c r="A1175" s="10" t="s">
        <v>4373</v>
      </c>
      <c r="B1175" s="11">
        <v>44446.43759199074</v>
      </c>
      <c r="C1175" s="10" t="s">
        <v>209</v>
      </c>
      <c r="D1175" s="10" t="s">
        <v>210</v>
      </c>
      <c r="E1175" s="10" t="s">
        <v>261</v>
      </c>
      <c r="F1175" s="10" t="s">
        <v>4374</v>
      </c>
      <c r="G1175" s="10" t="s">
        <v>4375</v>
      </c>
      <c r="H1175" s="11">
        <v>44485.47916666667</v>
      </c>
      <c r="I1175" s="11">
        <v>44485.52083333333</v>
      </c>
      <c r="J1175" s="10" t="s">
        <v>33</v>
      </c>
      <c r="K1175" s="10" t="s">
        <v>34</v>
      </c>
      <c r="N1175" s="10" t="s">
        <v>35</v>
      </c>
      <c r="V1175" s="14" t="s">
        <v>4376</v>
      </c>
      <c r="W1175" s="15"/>
      <c r="X1175" s="10" t="s">
        <v>37</v>
      </c>
      <c r="Y1175" s="10" t="s">
        <v>0</v>
      </c>
    </row>
    <row r="1176">
      <c r="A1176" s="10" t="s">
        <v>4377</v>
      </c>
      <c r="B1176" s="11">
        <v>44449.5953157176</v>
      </c>
      <c r="C1176" s="10" t="s">
        <v>181</v>
      </c>
      <c r="D1176" s="10" t="s">
        <v>69</v>
      </c>
      <c r="E1176" s="10" t="s">
        <v>3864</v>
      </c>
      <c r="F1176" s="10" t="s">
        <v>4378</v>
      </c>
      <c r="G1176" s="10" t="s">
        <v>4379</v>
      </c>
      <c r="H1176" s="36">
        <v>44452.72916666667</v>
      </c>
      <c r="I1176" s="11">
        <v>44452.77083333333</v>
      </c>
      <c r="J1176" s="10" t="s">
        <v>128</v>
      </c>
      <c r="K1176" s="10" t="s">
        <v>34</v>
      </c>
      <c r="N1176" s="10" t="s">
        <v>35</v>
      </c>
      <c r="V1176" s="14" t="s">
        <v>4380</v>
      </c>
      <c r="W1176" s="15"/>
      <c r="X1176" s="10" t="s">
        <v>37</v>
      </c>
      <c r="Y1176" s="10" t="s">
        <v>0</v>
      </c>
    </row>
    <row r="1177">
      <c r="A1177" s="10" t="s">
        <v>4381</v>
      </c>
      <c r="B1177" s="11">
        <v>44456.56784927083</v>
      </c>
      <c r="C1177" s="10" t="s">
        <v>181</v>
      </c>
      <c r="D1177" s="10" t="s">
        <v>69</v>
      </c>
      <c r="E1177" s="10" t="s">
        <v>3733</v>
      </c>
      <c r="F1177" s="10" t="s">
        <v>4382</v>
      </c>
      <c r="G1177" s="10" t="s">
        <v>4383</v>
      </c>
      <c r="H1177" s="36">
        <v>44459.47916666667</v>
      </c>
      <c r="I1177" s="11">
        <v>44459.52083333333</v>
      </c>
      <c r="J1177" s="10" t="s">
        <v>128</v>
      </c>
      <c r="K1177" s="10" t="s">
        <v>34</v>
      </c>
      <c r="N1177" s="10" t="s">
        <v>35</v>
      </c>
      <c r="V1177" s="14" t="s">
        <v>3658</v>
      </c>
      <c r="W1177" s="15"/>
      <c r="X1177" s="10" t="s">
        <v>37</v>
      </c>
      <c r="Y1177" s="10" t="s">
        <v>0</v>
      </c>
    </row>
    <row r="1178">
      <c r="A1178" s="10" t="s">
        <v>4384</v>
      </c>
      <c r="B1178" s="11">
        <v>44463.56880666666</v>
      </c>
      <c r="C1178" s="10" t="s">
        <v>181</v>
      </c>
      <c r="D1178" s="10" t="s">
        <v>69</v>
      </c>
      <c r="E1178" s="10" t="s">
        <v>4385</v>
      </c>
      <c r="F1178" s="10" t="s">
        <v>4386</v>
      </c>
      <c r="G1178" s="10" t="s">
        <v>4387</v>
      </c>
      <c r="H1178" s="41">
        <v>44466.72916666667</v>
      </c>
      <c r="I1178" s="41">
        <v>44466.77083333333</v>
      </c>
      <c r="J1178" s="10" t="s">
        <v>128</v>
      </c>
      <c r="K1178" s="10" t="s">
        <v>34</v>
      </c>
      <c r="N1178" s="10" t="s">
        <v>35</v>
      </c>
      <c r="V1178" s="14" t="s">
        <v>3554</v>
      </c>
      <c r="W1178" s="15"/>
      <c r="X1178" s="10" t="s">
        <v>37</v>
      </c>
      <c r="Y1178" s="10" t="s">
        <v>0</v>
      </c>
    </row>
    <row r="1179">
      <c r="A1179" s="10" t="s">
        <v>4388</v>
      </c>
      <c r="B1179" s="11">
        <v>44468.622741851854</v>
      </c>
      <c r="C1179" s="10" t="s">
        <v>610</v>
      </c>
      <c r="D1179" s="10" t="s">
        <v>611</v>
      </c>
      <c r="E1179" s="10" t="s">
        <v>3448</v>
      </c>
      <c r="F1179" s="10" t="s">
        <v>4389</v>
      </c>
      <c r="G1179" s="10" t="s">
        <v>4390</v>
      </c>
      <c r="H1179" s="42">
        <v>44473.39583333333</v>
      </c>
      <c r="I1179" s="11">
        <v>44473.4375</v>
      </c>
      <c r="J1179" s="10" t="s">
        <v>128</v>
      </c>
      <c r="K1179" s="10" t="s">
        <v>34</v>
      </c>
      <c r="N1179" s="10" t="s">
        <v>35</v>
      </c>
      <c r="V1179" s="14" t="s">
        <v>44</v>
      </c>
      <c r="W1179" s="15"/>
      <c r="X1179" s="10" t="s">
        <v>37</v>
      </c>
      <c r="Y1179" s="10" t="s">
        <v>0</v>
      </c>
    </row>
    <row r="1180">
      <c r="A1180" s="10" t="s">
        <v>4391</v>
      </c>
      <c r="B1180" s="11">
        <v>44446.45974770833</v>
      </c>
      <c r="C1180" s="10" t="s">
        <v>209</v>
      </c>
      <c r="D1180" s="10" t="s">
        <v>210</v>
      </c>
      <c r="E1180" s="10" t="s">
        <v>261</v>
      </c>
      <c r="F1180" s="10" t="s">
        <v>4392</v>
      </c>
      <c r="G1180" s="10" t="s">
        <v>4393</v>
      </c>
      <c r="H1180" s="11">
        <v>44485.64583333333</v>
      </c>
      <c r="I1180" s="11">
        <v>44485.6875</v>
      </c>
      <c r="J1180" s="10" t="s">
        <v>128</v>
      </c>
      <c r="K1180" s="10" t="s">
        <v>34</v>
      </c>
      <c r="N1180" s="10" t="s">
        <v>35</v>
      </c>
      <c r="V1180" s="14" t="s">
        <v>4394</v>
      </c>
      <c r="W1180" s="15"/>
      <c r="X1180" s="10" t="s">
        <v>37</v>
      </c>
      <c r="Y1180" s="10" t="s">
        <v>0</v>
      </c>
    </row>
    <row r="1181">
      <c r="A1181" s="10" t="s">
        <v>4395</v>
      </c>
      <c r="B1181" s="11">
        <v>44449.59191152778</v>
      </c>
      <c r="C1181" s="10" t="s">
        <v>181</v>
      </c>
      <c r="D1181" s="10" t="s">
        <v>69</v>
      </c>
      <c r="E1181" s="10" t="s">
        <v>4396</v>
      </c>
      <c r="F1181" s="10" t="s">
        <v>4052</v>
      </c>
      <c r="G1181" s="10" t="s">
        <v>4397</v>
      </c>
      <c r="H1181" s="36">
        <v>44452.77083333333</v>
      </c>
      <c r="I1181" s="11">
        <v>44452.85416666667</v>
      </c>
      <c r="J1181" s="10" t="s">
        <v>128</v>
      </c>
      <c r="K1181" s="10" t="s">
        <v>34</v>
      </c>
      <c r="N1181" s="10" t="s">
        <v>35</v>
      </c>
      <c r="V1181" s="14" t="s">
        <v>4398</v>
      </c>
      <c r="W1181" s="15"/>
      <c r="X1181" s="10" t="s">
        <v>37</v>
      </c>
      <c r="Y1181" s="10" t="s">
        <v>0</v>
      </c>
    </row>
    <row r="1182">
      <c r="A1182" s="10" t="s">
        <v>4399</v>
      </c>
      <c r="B1182" s="11">
        <v>44449.626587465274</v>
      </c>
      <c r="C1182" s="10" t="s">
        <v>239</v>
      </c>
      <c r="D1182" s="10" t="s">
        <v>240</v>
      </c>
      <c r="E1182" s="10" t="s">
        <v>4400</v>
      </c>
      <c r="F1182" s="10" t="s">
        <v>4401</v>
      </c>
      <c r="G1182" s="10" t="s">
        <v>4402</v>
      </c>
      <c r="H1182" s="11">
        <v>44449.625</v>
      </c>
      <c r="I1182" s="11">
        <v>44459.85416666667</v>
      </c>
      <c r="J1182" s="10" t="s">
        <v>43</v>
      </c>
      <c r="K1182" s="10" t="s">
        <v>34</v>
      </c>
      <c r="N1182" s="10" t="s">
        <v>35</v>
      </c>
      <c r="V1182" s="35" t="s">
        <v>4403</v>
      </c>
      <c r="W1182" s="15"/>
    </row>
    <row r="1183">
      <c r="A1183" s="10" t="s">
        <v>4404</v>
      </c>
      <c r="B1183" s="11">
        <v>44446.833706157406</v>
      </c>
      <c r="C1183" s="10" t="s">
        <v>671</v>
      </c>
      <c r="D1183" s="10" t="s">
        <v>672</v>
      </c>
      <c r="E1183" s="10" t="s">
        <v>4405</v>
      </c>
      <c r="F1183" s="10" t="s">
        <v>4406</v>
      </c>
      <c r="G1183" s="10" t="s">
        <v>4407</v>
      </c>
      <c r="H1183" s="11">
        <v>44448.52083333333</v>
      </c>
      <c r="I1183" s="11">
        <v>44448.5625</v>
      </c>
      <c r="J1183" s="10" t="s">
        <v>128</v>
      </c>
      <c r="K1183" s="10" t="s">
        <v>34</v>
      </c>
      <c r="N1183" s="10" t="s">
        <v>35</v>
      </c>
      <c r="V1183" s="14" t="s">
        <v>3906</v>
      </c>
      <c r="W1183" s="15"/>
      <c r="X1183" s="10" t="s">
        <v>37</v>
      </c>
      <c r="Y1183" s="10" t="s">
        <v>0</v>
      </c>
    </row>
    <row r="1184">
      <c r="A1184" s="10" t="s">
        <v>4408</v>
      </c>
      <c r="B1184" s="11">
        <v>44447.83849896991</v>
      </c>
      <c r="C1184" s="10" t="s">
        <v>3304</v>
      </c>
      <c r="D1184" s="10" t="s">
        <v>695</v>
      </c>
      <c r="E1184" s="10" t="s">
        <v>4240</v>
      </c>
      <c r="F1184" s="10" t="s">
        <v>4409</v>
      </c>
      <c r="G1184" s="10" t="s">
        <v>4410</v>
      </c>
      <c r="H1184" s="11">
        <v>44449.6875</v>
      </c>
      <c r="I1184" s="11">
        <v>44449.77083333333</v>
      </c>
      <c r="J1184" s="10" t="s">
        <v>43</v>
      </c>
      <c r="K1184" s="10" t="s">
        <v>34</v>
      </c>
      <c r="N1184" s="10" t="s">
        <v>296</v>
      </c>
      <c r="O1184" s="18" t="s">
        <v>4411</v>
      </c>
      <c r="P1184" s="10" t="s">
        <v>296</v>
      </c>
      <c r="Q1184" s="10">
        <v>1.0</v>
      </c>
      <c r="R1184" s="10" t="s">
        <v>35</v>
      </c>
      <c r="T1184" s="10" t="s">
        <v>296</v>
      </c>
      <c r="U1184" s="10">
        <v>1.0</v>
      </c>
      <c r="V1184" s="14" t="s">
        <v>4412</v>
      </c>
      <c r="W1184" s="15"/>
      <c r="X1184" s="10" t="s">
        <v>37</v>
      </c>
      <c r="Y1184" s="10" t="s">
        <v>0</v>
      </c>
    </row>
    <row r="1185">
      <c r="A1185" s="10" t="s">
        <v>4413</v>
      </c>
      <c r="B1185" s="11">
        <v>44447.81135638889</v>
      </c>
      <c r="C1185" s="10" t="s">
        <v>581</v>
      </c>
      <c r="D1185" s="10" t="s">
        <v>220</v>
      </c>
      <c r="E1185" s="10" t="s">
        <v>3606</v>
      </c>
      <c r="F1185" s="10" t="s">
        <v>4414</v>
      </c>
      <c r="G1185" s="10" t="s">
        <v>4415</v>
      </c>
      <c r="H1185" s="11">
        <v>44450.39583333333</v>
      </c>
      <c r="I1185" s="11">
        <v>44450.4375</v>
      </c>
      <c r="J1185" s="10" t="s">
        <v>43</v>
      </c>
      <c r="K1185" s="10" t="s">
        <v>34</v>
      </c>
      <c r="N1185" s="10" t="s">
        <v>35</v>
      </c>
      <c r="V1185" s="14" t="s">
        <v>4416</v>
      </c>
      <c r="W1185" s="15"/>
      <c r="X1185" s="10" t="s">
        <v>37</v>
      </c>
      <c r="Y1185" s="10" t="s">
        <v>0</v>
      </c>
    </row>
    <row r="1186">
      <c r="A1186" s="10" t="s">
        <v>4417</v>
      </c>
      <c r="B1186" s="11">
        <v>44447.4269477662</v>
      </c>
      <c r="C1186" s="10" t="s">
        <v>4268</v>
      </c>
      <c r="D1186" s="10" t="s">
        <v>4269</v>
      </c>
      <c r="E1186" s="10" t="s">
        <v>4274</v>
      </c>
      <c r="F1186" s="10" t="s">
        <v>4418</v>
      </c>
      <c r="G1186" s="10" t="s">
        <v>4419</v>
      </c>
      <c r="H1186" s="11">
        <v>44450.4375</v>
      </c>
      <c r="I1186" s="11">
        <v>44450.47916666667</v>
      </c>
      <c r="J1186" s="10" t="s">
        <v>33</v>
      </c>
      <c r="K1186" s="10" t="s">
        <v>34</v>
      </c>
      <c r="N1186" s="10" t="s">
        <v>296</v>
      </c>
      <c r="O1186" s="18" t="s">
        <v>4420</v>
      </c>
      <c r="P1186" s="10" t="s">
        <v>296</v>
      </c>
      <c r="Q1186" s="10">
        <v>1.0</v>
      </c>
      <c r="R1186" s="10" t="s">
        <v>35</v>
      </c>
      <c r="T1186" s="10" t="s">
        <v>35</v>
      </c>
      <c r="V1186" s="14" t="s">
        <v>4421</v>
      </c>
      <c r="W1186" s="15"/>
      <c r="X1186" s="10" t="s">
        <v>37</v>
      </c>
      <c r="Y1186" s="10" t="s">
        <v>0</v>
      </c>
    </row>
    <row r="1187">
      <c r="A1187" s="10" t="s">
        <v>4422</v>
      </c>
      <c r="B1187" s="11">
        <v>44447.42994638889</v>
      </c>
      <c r="C1187" s="10" t="s">
        <v>4268</v>
      </c>
      <c r="D1187" s="10" t="s">
        <v>4269</v>
      </c>
      <c r="E1187" s="10" t="s">
        <v>4274</v>
      </c>
      <c r="F1187" s="10" t="s">
        <v>4423</v>
      </c>
      <c r="G1187" s="10" t="s">
        <v>4424</v>
      </c>
      <c r="H1187" s="11">
        <v>44449.6875</v>
      </c>
      <c r="I1187" s="11">
        <v>44449.72916666667</v>
      </c>
      <c r="J1187" s="10" t="s">
        <v>128</v>
      </c>
      <c r="K1187" s="10" t="s">
        <v>34</v>
      </c>
      <c r="N1187" s="10" t="s">
        <v>35</v>
      </c>
      <c r="V1187" s="14" t="s">
        <v>4425</v>
      </c>
      <c r="W1187" s="15"/>
      <c r="X1187" s="10" t="s">
        <v>37</v>
      </c>
      <c r="Y1187" s="10" t="s">
        <v>0</v>
      </c>
    </row>
    <row r="1188">
      <c r="A1188" s="10" t="s">
        <v>4426</v>
      </c>
      <c r="B1188" s="11">
        <v>44447.7343196875</v>
      </c>
      <c r="C1188" s="10" t="s">
        <v>581</v>
      </c>
      <c r="D1188" s="10" t="s">
        <v>220</v>
      </c>
      <c r="E1188" s="10" t="s">
        <v>4363</v>
      </c>
      <c r="F1188" s="10" t="s">
        <v>4427</v>
      </c>
      <c r="G1188" s="10" t="s">
        <v>4428</v>
      </c>
      <c r="H1188" s="11">
        <v>44445.5625</v>
      </c>
      <c r="I1188" s="11">
        <v>44445.60416666667</v>
      </c>
      <c r="J1188" s="10" t="s">
        <v>128</v>
      </c>
      <c r="K1188" s="10" t="s">
        <v>34</v>
      </c>
      <c r="N1188" s="10" t="s">
        <v>35</v>
      </c>
      <c r="V1188" s="14" t="s">
        <v>4366</v>
      </c>
      <c r="W1188" s="15"/>
      <c r="X1188" s="10" t="s">
        <v>37</v>
      </c>
      <c r="Y1188" s="10" t="s">
        <v>0</v>
      </c>
    </row>
    <row r="1189">
      <c r="A1189" s="10" t="s">
        <v>4429</v>
      </c>
      <c r="B1189" s="11">
        <v>44447.73638512731</v>
      </c>
      <c r="C1189" s="10" t="s">
        <v>581</v>
      </c>
      <c r="D1189" s="10" t="s">
        <v>220</v>
      </c>
      <c r="E1189" s="10" t="s">
        <v>4363</v>
      </c>
      <c r="F1189" s="10" t="s">
        <v>4430</v>
      </c>
      <c r="G1189" s="10" t="s">
        <v>4431</v>
      </c>
      <c r="H1189" s="11">
        <v>44446.35416666667</v>
      </c>
      <c r="I1189" s="11">
        <v>44446.39583333333</v>
      </c>
      <c r="J1189" s="10" t="s">
        <v>128</v>
      </c>
      <c r="K1189" s="10" t="s">
        <v>34</v>
      </c>
      <c r="N1189" s="10" t="s">
        <v>35</v>
      </c>
      <c r="V1189" s="14" t="s">
        <v>4366</v>
      </c>
      <c r="W1189" s="15"/>
      <c r="X1189" s="10" t="s">
        <v>37</v>
      </c>
      <c r="Y1189" s="10" t="s">
        <v>0</v>
      </c>
    </row>
    <row r="1190">
      <c r="A1190" s="10" t="s">
        <v>4432</v>
      </c>
      <c r="B1190" s="11">
        <v>44447.73982184028</v>
      </c>
      <c r="C1190" s="10" t="s">
        <v>581</v>
      </c>
      <c r="D1190" s="10" t="s">
        <v>220</v>
      </c>
      <c r="E1190" s="10" t="s">
        <v>3586</v>
      </c>
      <c r="F1190" s="10" t="s">
        <v>4433</v>
      </c>
      <c r="G1190" s="10" t="s">
        <v>4434</v>
      </c>
      <c r="H1190" s="11">
        <v>44447.72916666667</v>
      </c>
      <c r="I1190" s="11">
        <v>44447.77083333333</v>
      </c>
      <c r="J1190" s="10" t="s">
        <v>73</v>
      </c>
      <c r="K1190" s="10" t="s">
        <v>34</v>
      </c>
      <c r="N1190" s="10" t="s">
        <v>35</v>
      </c>
      <c r="V1190" s="14" t="s">
        <v>3589</v>
      </c>
      <c r="W1190" s="15"/>
      <c r="X1190" s="10" t="s">
        <v>37</v>
      </c>
      <c r="Y1190" s="10" t="s">
        <v>0</v>
      </c>
    </row>
    <row r="1191">
      <c r="A1191" s="10" t="s">
        <v>4435</v>
      </c>
      <c r="B1191" s="11">
        <v>44447.74315329861</v>
      </c>
      <c r="C1191" s="10" t="s">
        <v>581</v>
      </c>
      <c r="D1191" s="10" t="s">
        <v>220</v>
      </c>
      <c r="E1191" s="10" t="s">
        <v>3606</v>
      </c>
      <c r="F1191" s="10" t="s">
        <v>4436</v>
      </c>
      <c r="G1191" s="10" t="s">
        <v>4437</v>
      </c>
      <c r="H1191" s="11">
        <v>44447.85416666667</v>
      </c>
      <c r="I1191" s="11">
        <v>44447.89583333333</v>
      </c>
      <c r="J1191" s="10" t="s">
        <v>128</v>
      </c>
      <c r="K1191" s="10" t="s">
        <v>34</v>
      </c>
      <c r="N1191" s="10" t="s">
        <v>35</v>
      </c>
      <c r="V1191" s="14" t="s">
        <v>4438</v>
      </c>
      <c r="W1191" s="15"/>
      <c r="X1191" s="10" t="s">
        <v>37</v>
      </c>
      <c r="Y1191" s="10" t="s">
        <v>0</v>
      </c>
    </row>
    <row r="1192">
      <c r="A1192" s="10" t="s">
        <v>4439</v>
      </c>
      <c r="B1192" s="11">
        <v>44447.76606491898</v>
      </c>
      <c r="C1192" s="10" t="s">
        <v>581</v>
      </c>
      <c r="D1192" s="10" t="s">
        <v>220</v>
      </c>
      <c r="E1192" s="10" t="s">
        <v>4440</v>
      </c>
      <c r="F1192" s="10" t="s">
        <v>4441</v>
      </c>
      <c r="G1192" s="10" t="s">
        <v>4442</v>
      </c>
      <c r="H1192" s="11">
        <v>44448.85416666667</v>
      </c>
      <c r="I1192" s="11">
        <v>44448.89583333333</v>
      </c>
      <c r="J1192" s="10" t="s">
        <v>128</v>
      </c>
      <c r="K1192" s="10" t="s">
        <v>34</v>
      </c>
      <c r="N1192" s="10" t="s">
        <v>35</v>
      </c>
      <c r="V1192" s="14" t="s">
        <v>4443</v>
      </c>
      <c r="W1192" s="15"/>
      <c r="X1192" s="10" t="s">
        <v>37</v>
      </c>
      <c r="Y1192" s="10" t="s">
        <v>0</v>
      </c>
    </row>
    <row r="1193">
      <c r="A1193" s="10" t="s">
        <v>4444</v>
      </c>
      <c r="B1193" s="11">
        <v>44447.8058153125</v>
      </c>
      <c r="C1193" s="10" t="s">
        <v>581</v>
      </c>
      <c r="D1193" s="10" t="s">
        <v>220</v>
      </c>
      <c r="E1193" s="10" t="s">
        <v>4445</v>
      </c>
      <c r="F1193" s="10" t="s">
        <v>4446</v>
      </c>
      <c r="G1193" s="10" t="s">
        <v>4447</v>
      </c>
      <c r="H1193" s="11">
        <v>44450.60416666667</v>
      </c>
      <c r="I1193" s="11">
        <v>44450.64583333333</v>
      </c>
      <c r="J1193" s="10" t="s">
        <v>128</v>
      </c>
      <c r="K1193" s="10" t="s">
        <v>34</v>
      </c>
      <c r="N1193" s="10" t="s">
        <v>35</v>
      </c>
      <c r="V1193" s="14" t="s">
        <v>4448</v>
      </c>
      <c r="W1193" s="15"/>
      <c r="X1193" s="10" t="s">
        <v>37</v>
      </c>
      <c r="Y1193" s="10" t="s">
        <v>0</v>
      </c>
    </row>
    <row r="1194">
      <c r="A1194" s="10" t="s">
        <v>4449</v>
      </c>
      <c r="B1194" s="11">
        <v>44446.6439622801</v>
      </c>
      <c r="C1194" s="10" t="s">
        <v>28</v>
      </c>
      <c r="D1194" s="10" t="s">
        <v>29</v>
      </c>
      <c r="E1194" s="10" t="s">
        <v>39</v>
      </c>
      <c r="F1194" s="10" t="s">
        <v>4450</v>
      </c>
      <c r="G1194" s="10" t="s">
        <v>4451</v>
      </c>
      <c r="H1194" s="11">
        <v>44450.41666666667</v>
      </c>
      <c r="I1194" s="11">
        <v>44450.5</v>
      </c>
      <c r="J1194" s="10" t="s">
        <v>43</v>
      </c>
      <c r="K1194" s="10" t="s">
        <v>34</v>
      </c>
      <c r="N1194" s="10" t="s">
        <v>35</v>
      </c>
      <c r="V1194" s="14" t="s">
        <v>4452</v>
      </c>
      <c r="W1194" s="15"/>
      <c r="X1194" s="10" t="s">
        <v>37</v>
      </c>
      <c r="Y1194" s="10" t="s">
        <v>0</v>
      </c>
    </row>
    <row r="1195">
      <c r="A1195" s="10" t="s">
        <v>4453</v>
      </c>
      <c r="B1195" s="11">
        <v>44441.538452395835</v>
      </c>
      <c r="C1195" s="10" t="s">
        <v>209</v>
      </c>
      <c r="D1195" s="10" t="s">
        <v>210</v>
      </c>
      <c r="E1195" s="10" t="s">
        <v>261</v>
      </c>
      <c r="F1195" s="10" t="s">
        <v>3197</v>
      </c>
      <c r="G1195" s="10" t="s">
        <v>4454</v>
      </c>
      <c r="H1195" s="11">
        <v>44450.4375</v>
      </c>
      <c r="I1195" s="11">
        <v>44450.52083333333</v>
      </c>
      <c r="J1195" s="10" t="s">
        <v>43</v>
      </c>
      <c r="K1195" s="10" t="s">
        <v>34</v>
      </c>
      <c r="N1195" s="10" t="s">
        <v>296</v>
      </c>
      <c r="O1195" s="18" t="s">
        <v>4455</v>
      </c>
      <c r="P1195" s="10" t="s">
        <v>35</v>
      </c>
      <c r="R1195" s="10" t="s">
        <v>296</v>
      </c>
      <c r="S1195" s="10">
        <v>1.0</v>
      </c>
      <c r="T1195" s="10" t="s">
        <v>35</v>
      </c>
      <c r="V1195" s="14" t="s">
        <v>4456</v>
      </c>
      <c r="W1195" s="15"/>
      <c r="X1195" s="10" t="s">
        <v>37</v>
      </c>
      <c r="Y1195" s="10" t="s">
        <v>0</v>
      </c>
    </row>
    <row r="1196">
      <c r="A1196" s="10" t="s">
        <v>4457</v>
      </c>
      <c r="B1196" s="11">
        <v>44447.9670521875</v>
      </c>
      <c r="C1196" s="10" t="s">
        <v>4217</v>
      </c>
      <c r="D1196" s="10" t="s">
        <v>4211</v>
      </c>
      <c r="E1196" s="10" t="s">
        <v>4458</v>
      </c>
      <c r="F1196" s="10" t="s">
        <v>4459</v>
      </c>
      <c r="G1196" s="10" t="s">
        <v>4460</v>
      </c>
      <c r="H1196" s="36">
        <v>44452.6875</v>
      </c>
      <c r="I1196" s="11">
        <v>44452.72916666667</v>
      </c>
      <c r="J1196" s="10" t="s">
        <v>43</v>
      </c>
      <c r="K1196" s="10" t="s">
        <v>34</v>
      </c>
      <c r="N1196" s="10" t="s">
        <v>35</v>
      </c>
      <c r="V1196" s="14" t="s">
        <v>4461</v>
      </c>
      <c r="W1196" s="15"/>
      <c r="X1196" s="10" t="s">
        <v>37</v>
      </c>
      <c r="Y1196" s="10" t="s">
        <v>0</v>
      </c>
    </row>
    <row r="1197">
      <c r="A1197" s="10" t="s">
        <v>4462</v>
      </c>
      <c r="B1197" s="11">
        <v>44447.87656179398</v>
      </c>
      <c r="C1197" s="10" t="s">
        <v>330</v>
      </c>
      <c r="D1197" s="10" t="s">
        <v>331</v>
      </c>
      <c r="E1197" s="10" t="s">
        <v>4463</v>
      </c>
      <c r="F1197" s="10" t="s">
        <v>4464</v>
      </c>
      <c r="G1197" s="10" t="s">
        <v>4465</v>
      </c>
      <c r="H1197" s="36">
        <v>44454.77083333333</v>
      </c>
      <c r="I1197" s="11">
        <v>44454.8125</v>
      </c>
      <c r="J1197" s="10" t="s">
        <v>43</v>
      </c>
      <c r="K1197" s="10" t="s">
        <v>34</v>
      </c>
      <c r="N1197" s="10" t="s">
        <v>35</v>
      </c>
      <c r="V1197" s="14" t="s">
        <v>4466</v>
      </c>
      <c r="W1197" s="15"/>
      <c r="X1197" s="10" t="s">
        <v>37</v>
      </c>
      <c r="Y1197" s="10" t="s">
        <v>0</v>
      </c>
    </row>
    <row r="1198">
      <c r="A1198" s="10" t="s">
        <v>4467</v>
      </c>
      <c r="B1198" s="11">
        <v>44447.87842407408</v>
      </c>
      <c r="C1198" s="10" t="s">
        <v>4468</v>
      </c>
      <c r="D1198" s="10" t="s">
        <v>4211</v>
      </c>
      <c r="E1198" s="10" t="s">
        <v>4469</v>
      </c>
      <c r="F1198" s="10" t="s">
        <v>4470</v>
      </c>
      <c r="G1198" s="10" t="s">
        <v>4471</v>
      </c>
      <c r="H1198" s="36">
        <v>44454.77083333333</v>
      </c>
      <c r="I1198" s="11">
        <v>44454.8125</v>
      </c>
      <c r="J1198" s="10" t="s">
        <v>43</v>
      </c>
      <c r="K1198" s="10" t="s">
        <v>34</v>
      </c>
      <c r="N1198" s="10" t="s">
        <v>35</v>
      </c>
      <c r="V1198" s="14" t="s">
        <v>4466</v>
      </c>
      <c r="W1198" s="15"/>
      <c r="X1198" s="10" t="s">
        <v>37</v>
      </c>
      <c r="Y1198" s="10" t="s">
        <v>0</v>
      </c>
    </row>
    <row r="1199">
      <c r="A1199" s="10" t="s">
        <v>4472</v>
      </c>
      <c r="B1199" s="11">
        <v>44449.60656763889</v>
      </c>
      <c r="C1199" s="10" t="s">
        <v>491</v>
      </c>
      <c r="D1199" s="10" t="s">
        <v>492</v>
      </c>
      <c r="E1199" s="10" t="s">
        <v>4473</v>
      </c>
      <c r="F1199" s="10" t="s">
        <v>4474</v>
      </c>
      <c r="G1199" s="10" t="s">
        <v>4475</v>
      </c>
      <c r="H1199" s="36">
        <v>44454.79166666667</v>
      </c>
      <c r="I1199" s="11">
        <v>44454.83333333333</v>
      </c>
      <c r="J1199" s="10" t="s">
        <v>128</v>
      </c>
      <c r="K1199" s="10" t="s">
        <v>34</v>
      </c>
      <c r="N1199" s="10" t="s">
        <v>35</v>
      </c>
      <c r="V1199" s="14" t="s">
        <v>4476</v>
      </c>
      <c r="W1199" s="15"/>
      <c r="X1199" s="10" t="s">
        <v>37</v>
      </c>
      <c r="Y1199" s="10" t="s">
        <v>0</v>
      </c>
    </row>
    <row r="1200">
      <c r="A1200" s="10" t="s">
        <v>4477</v>
      </c>
      <c r="B1200" s="11">
        <v>44447.96268023148</v>
      </c>
      <c r="C1200" s="10" t="s">
        <v>4217</v>
      </c>
      <c r="D1200" s="10" t="s">
        <v>4211</v>
      </c>
      <c r="E1200" s="10" t="s">
        <v>4478</v>
      </c>
      <c r="F1200" s="10" t="s">
        <v>4479</v>
      </c>
      <c r="G1200" s="10" t="s">
        <v>4480</v>
      </c>
      <c r="H1200" s="11">
        <v>44448.58333333333</v>
      </c>
      <c r="I1200" s="11">
        <v>44448.60416666667</v>
      </c>
      <c r="J1200" s="10" t="s">
        <v>128</v>
      </c>
      <c r="K1200" s="10" t="s">
        <v>34</v>
      </c>
      <c r="N1200" s="10" t="s">
        <v>35</v>
      </c>
      <c r="V1200" s="14" t="s">
        <v>4481</v>
      </c>
      <c r="W1200" s="15"/>
      <c r="X1200" s="10" t="s">
        <v>37</v>
      </c>
      <c r="Y1200" s="10" t="s">
        <v>0</v>
      </c>
    </row>
    <row r="1201">
      <c r="A1201" s="10" t="s">
        <v>4482</v>
      </c>
      <c r="B1201" s="11">
        <v>44427.51797108796</v>
      </c>
      <c r="C1201" s="10" t="s">
        <v>209</v>
      </c>
      <c r="D1201" s="10" t="s">
        <v>210</v>
      </c>
      <c r="E1201" s="10" t="s">
        <v>261</v>
      </c>
      <c r="F1201" s="10" t="s">
        <v>3860</v>
      </c>
      <c r="G1201" s="10" t="s">
        <v>4483</v>
      </c>
      <c r="H1201" s="36">
        <v>44456.4375</v>
      </c>
      <c r="I1201" s="11">
        <v>44394.52083333333</v>
      </c>
      <c r="J1201" s="10" t="s">
        <v>128</v>
      </c>
      <c r="K1201" s="10" t="s">
        <v>34</v>
      </c>
      <c r="N1201" s="10" t="s">
        <v>35</v>
      </c>
      <c r="V1201" s="35" t="s">
        <v>3942</v>
      </c>
      <c r="W1201" s="15"/>
      <c r="X1201" s="10" t="s">
        <v>37</v>
      </c>
      <c r="Y1201" s="10" t="s">
        <v>0</v>
      </c>
    </row>
    <row r="1202">
      <c r="A1202" s="10" t="s">
        <v>4484</v>
      </c>
      <c r="B1202" s="11">
        <v>44447.96972527778</v>
      </c>
      <c r="C1202" s="10" t="s">
        <v>4217</v>
      </c>
      <c r="D1202" s="10" t="s">
        <v>4211</v>
      </c>
      <c r="E1202" s="10" t="s">
        <v>4458</v>
      </c>
      <c r="F1202" s="10" t="s">
        <v>4485</v>
      </c>
      <c r="G1202" s="10" t="s">
        <v>4486</v>
      </c>
      <c r="H1202" s="11">
        <v>44449.60416666667</v>
      </c>
      <c r="I1202" s="11">
        <v>44449.64583333333</v>
      </c>
      <c r="J1202" s="10" t="s">
        <v>33</v>
      </c>
      <c r="K1202" s="10" t="s">
        <v>34</v>
      </c>
      <c r="N1202" s="10" t="s">
        <v>35</v>
      </c>
      <c r="V1202" s="14" t="s">
        <v>4487</v>
      </c>
      <c r="W1202" s="15"/>
      <c r="X1202" s="10" t="s">
        <v>37</v>
      </c>
      <c r="Y1202" s="10" t="s">
        <v>0</v>
      </c>
    </row>
    <row r="1203">
      <c r="A1203" s="10" t="s">
        <v>4488</v>
      </c>
      <c r="B1203" s="11">
        <v>44447.926293032404</v>
      </c>
      <c r="C1203" s="10" t="s">
        <v>4217</v>
      </c>
      <c r="D1203" s="10" t="s">
        <v>4211</v>
      </c>
      <c r="E1203" s="10" t="s">
        <v>4469</v>
      </c>
      <c r="F1203" s="10" t="s">
        <v>4470</v>
      </c>
      <c r="G1203" s="10" t="s">
        <v>4471</v>
      </c>
      <c r="H1203" s="36">
        <v>44454.77083333333</v>
      </c>
      <c r="I1203" s="11">
        <v>44454.8125</v>
      </c>
      <c r="J1203" s="10" t="s">
        <v>43</v>
      </c>
      <c r="K1203" s="10" t="s">
        <v>34</v>
      </c>
      <c r="N1203" s="10" t="s">
        <v>35</v>
      </c>
      <c r="V1203" s="14" t="s">
        <v>4466</v>
      </c>
      <c r="W1203" s="15"/>
      <c r="X1203" s="10" t="s">
        <v>37</v>
      </c>
      <c r="Y1203" s="10" t="s">
        <v>0</v>
      </c>
    </row>
    <row r="1204">
      <c r="A1204" s="10" t="s">
        <v>4489</v>
      </c>
      <c r="B1204" s="11">
        <v>44434.66254754629</v>
      </c>
      <c r="C1204" s="10" t="s">
        <v>181</v>
      </c>
      <c r="D1204" s="10" t="s">
        <v>69</v>
      </c>
      <c r="E1204" s="10" t="s">
        <v>1879</v>
      </c>
      <c r="F1204" s="10" t="s">
        <v>4490</v>
      </c>
      <c r="G1204" s="10" t="s">
        <v>4491</v>
      </c>
      <c r="H1204" s="36">
        <v>44456.4375</v>
      </c>
      <c r="I1204" s="11">
        <v>44456.4375</v>
      </c>
      <c r="J1204" s="10" t="s">
        <v>73</v>
      </c>
      <c r="K1204" s="10" t="s">
        <v>34</v>
      </c>
      <c r="N1204" s="10" t="s">
        <v>35</v>
      </c>
      <c r="V1204" s="14" t="s">
        <v>4492</v>
      </c>
      <c r="W1204" s="15"/>
      <c r="X1204" s="10" t="s">
        <v>37</v>
      </c>
      <c r="Y1204" s="10" t="s">
        <v>0</v>
      </c>
    </row>
    <row r="1205">
      <c r="A1205" s="10" t="s">
        <v>4493</v>
      </c>
      <c r="B1205" s="11">
        <v>44498.56334846065</v>
      </c>
      <c r="C1205" s="10" t="s">
        <v>181</v>
      </c>
      <c r="D1205" s="10" t="s">
        <v>69</v>
      </c>
      <c r="E1205" s="10" t="s">
        <v>3733</v>
      </c>
      <c r="F1205" s="10" t="s">
        <v>4494</v>
      </c>
      <c r="G1205" s="10" t="s">
        <v>4495</v>
      </c>
      <c r="H1205" s="11">
        <v>44501.47916666667</v>
      </c>
      <c r="I1205" s="11">
        <v>44501.52083333333</v>
      </c>
      <c r="J1205" s="10" t="s">
        <v>128</v>
      </c>
      <c r="K1205" s="10" t="s">
        <v>34</v>
      </c>
      <c r="N1205" s="10" t="s">
        <v>35</v>
      </c>
      <c r="V1205" s="14" t="s">
        <v>3658</v>
      </c>
      <c r="W1205" s="15"/>
      <c r="X1205" s="10" t="s">
        <v>37</v>
      </c>
      <c r="Y1205" s="10" t="s">
        <v>0</v>
      </c>
    </row>
    <row r="1206">
      <c r="A1206" s="10" t="s">
        <v>4496</v>
      </c>
      <c r="B1206" s="11">
        <v>44454.69033321759</v>
      </c>
      <c r="C1206" s="10" t="s">
        <v>539</v>
      </c>
      <c r="D1206" s="10" t="s">
        <v>540</v>
      </c>
      <c r="E1206" s="10" t="s">
        <v>541</v>
      </c>
      <c r="F1206" s="10" t="s">
        <v>4497</v>
      </c>
      <c r="G1206" s="10" t="s">
        <v>4498</v>
      </c>
      <c r="H1206" s="11">
        <v>44456.29166666667</v>
      </c>
      <c r="I1206" s="11">
        <v>44458.95833333333</v>
      </c>
      <c r="J1206" s="10" t="s">
        <v>43</v>
      </c>
      <c r="K1206" s="10" t="s">
        <v>34</v>
      </c>
      <c r="N1206" s="10" t="s">
        <v>35</v>
      </c>
      <c r="V1206" s="14" t="s">
        <v>4499</v>
      </c>
      <c r="W1206" s="15"/>
      <c r="X1206" s="10" t="s">
        <v>37</v>
      </c>
      <c r="Y1206" s="10" t="s">
        <v>0</v>
      </c>
    </row>
    <row r="1207">
      <c r="A1207" s="10" t="s">
        <v>4500</v>
      </c>
      <c r="B1207" s="11">
        <v>44446.42848782407</v>
      </c>
      <c r="C1207" s="10" t="s">
        <v>209</v>
      </c>
      <c r="D1207" s="10" t="s">
        <v>210</v>
      </c>
      <c r="E1207" s="10" t="s">
        <v>261</v>
      </c>
      <c r="F1207" s="10" t="s">
        <v>4374</v>
      </c>
      <c r="G1207" s="10" t="s">
        <v>4375</v>
      </c>
      <c r="H1207" s="36">
        <v>44456.47916666667</v>
      </c>
      <c r="I1207" s="11">
        <v>44456.52083333333</v>
      </c>
      <c r="J1207" s="10" t="s">
        <v>33</v>
      </c>
      <c r="K1207" s="10" t="s">
        <v>34</v>
      </c>
      <c r="N1207" s="10" t="s">
        <v>35</v>
      </c>
      <c r="V1207" s="14" t="s">
        <v>4376</v>
      </c>
      <c r="W1207" s="15"/>
      <c r="X1207" s="10" t="s">
        <v>37</v>
      </c>
      <c r="Y1207" s="10" t="s">
        <v>0</v>
      </c>
    </row>
    <row r="1208">
      <c r="A1208" s="10" t="s">
        <v>4501</v>
      </c>
      <c r="B1208" s="11">
        <v>44408.907377696756</v>
      </c>
      <c r="C1208" s="10" t="s">
        <v>137</v>
      </c>
      <c r="D1208" s="10" t="s">
        <v>138</v>
      </c>
      <c r="E1208" s="10" t="s">
        <v>3299</v>
      </c>
      <c r="F1208" s="10" t="s">
        <v>921</v>
      </c>
      <c r="G1208" s="10" t="s">
        <v>3440</v>
      </c>
      <c r="H1208" s="36">
        <v>44456.58333333333</v>
      </c>
      <c r="I1208" s="11">
        <v>44456.66666666667</v>
      </c>
      <c r="J1208" s="10" t="s">
        <v>128</v>
      </c>
      <c r="K1208" s="10" t="s">
        <v>34</v>
      </c>
      <c r="N1208" s="10" t="s">
        <v>35</v>
      </c>
      <c r="V1208" s="9"/>
      <c r="W1208" s="13"/>
      <c r="X1208" s="10" t="s">
        <v>37</v>
      </c>
      <c r="Y1208" s="10" t="s">
        <v>0</v>
      </c>
    </row>
    <row r="1209">
      <c r="A1209" s="10" t="s">
        <v>4502</v>
      </c>
      <c r="B1209" s="11">
        <v>44447.92219445602</v>
      </c>
      <c r="C1209" s="10" t="s">
        <v>330</v>
      </c>
      <c r="D1209" s="10" t="s">
        <v>331</v>
      </c>
      <c r="E1209" s="10" t="s">
        <v>4302</v>
      </c>
      <c r="F1209" s="10" t="s">
        <v>4503</v>
      </c>
      <c r="G1209" s="10" t="s">
        <v>4504</v>
      </c>
      <c r="H1209" s="36">
        <v>44456.60416666667</v>
      </c>
      <c r="I1209" s="11">
        <v>44456.6875</v>
      </c>
      <c r="J1209" s="10" t="s">
        <v>43</v>
      </c>
      <c r="K1209" s="10" t="s">
        <v>34</v>
      </c>
      <c r="N1209" s="10" t="s">
        <v>35</v>
      </c>
      <c r="V1209" s="14" t="s">
        <v>4505</v>
      </c>
      <c r="W1209" s="15"/>
      <c r="X1209" s="10" t="s">
        <v>37</v>
      </c>
      <c r="Y1209" s="10" t="s">
        <v>0</v>
      </c>
    </row>
    <row r="1210">
      <c r="A1210" s="10" t="s">
        <v>4506</v>
      </c>
      <c r="B1210" s="11">
        <v>44453.38263876157</v>
      </c>
      <c r="C1210" s="10" t="s">
        <v>671</v>
      </c>
      <c r="D1210" s="10" t="s">
        <v>672</v>
      </c>
      <c r="E1210" s="10" t="s">
        <v>4507</v>
      </c>
      <c r="F1210" s="10" t="s">
        <v>4508</v>
      </c>
      <c r="G1210" s="10" t="s">
        <v>4509</v>
      </c>
      <c r="H1210" s="11">
        <v>44456.60416666667</v>
      </c>
      <c r="I1210" s="11">
        <v>44456.6875</v>
      </c>
      <c r="J1210" s="10" t="s">
        <v>43</v>
      </c>
      <c r="K1210" s="10" t="s">
        <v>34</v>
      </c>
      <c r="N1210" s="10" t="s">
        <v>296</v>
      </c>
      <c r="O1210" s="18" t="s">
        <v>4510</v>
      </c>
      <c r="P1210" s="10" t="s">
        <v>296</v>
      </c>
      <c r="Q1210" s="10">
        <v>1.0</v>
      </c>
      <c r="R1210" s="10" t="s">
        <v>35</v>
      </c>
      <c r="T1210" s="10" t="s">
        <v>35</v>
      </c>
      <c r="V1210" s="14" t="s">
        <v>3906</v>
      </c>
      <c r="W1210" s="15"/>
      <c r="X1210" s="10" t="s">
        <v>37</v>
      </c>
      <c r="Y1210" s="10" t="s">
        <v>0</v>
      </c>
    </row>
    <row r="1211">
      <c r="A1211" s="10" t="s">
        <v>4511</v>
      </c>
      <c r="B1211" s="11">
        <v>44446.488966689816</v>
      </c>
      <c r="C1211" s="10" t="s">
        <v>209</v>
      </c>
      <c r="D1211" s="10" t="s">
        <v>210</v>
      </c>
      <c r="E1211" s="10" t="s">
        <v>261</v>
      </c>
      <c r="F1211" s="10" t="s">
        <v>4512</v>
      </c>
      <c r="G1211" s="10" t="s">
        <v>4513</v>
      </c>
      <c r="H1211" s="36">
        <v>44456.82291666667</v>
      </c>
      <c r="I1211" s="11">
        <v>44456.86458333333</v>
      </c>
      <c r="J1211" s="10" t="s">
        <v>33</v>
      </c>
      <c r="K1211" s="10" t="s">
        <v>34</v>
      </c>
      <c r="N1211" s="10" t="s">
        <v>35</v>
      </c>
      <c r="V1211" s="14" t="s">
        <v>4514</v>
      </c>
      <c r="W1211" s="15"/>
      <c r="X1211" s="10" t="s">
        <v>37</v>
      </c>
      <c r="Y1211" s="10" t="s">
        <v>0</v>
      </c>
    </row>
    <row r="1212">
      <c r="A1212" s="10" t="s">
        <v>4515</v>
      </c>
      <c r="B1212" s="11">
        <v>44445.77026802083</v>
      </c>
      <c r="C1212" s="10" t="s">
        <v>181</v>
      </c>
      <c r="D1212" s="10" t="s">
        <v>69</v>
      </c>
      <c r="E1212" s="10" t="s">
        <v>1879</v>
      </c>
      <c r="F1212" s="10" t="s">
        <v>4516</v>
      </c>
      <c r="G1212" s="10" t="s">
        <v>4517</v>
      </c>
      <c r="H1212" s="36">
        <v>44457.41666666667</v>
      </c>
      <c r="I1212" s="11">
        <v>44457.41736111111</v>
      </c>
      <c r="J1212" s="10" t="s">
        <v>73</v>
      </c>
      <c r="K1212" s="10" t="s">
        <v>34</v>
      </c>
      <c r="N1212" s="10" t="s">
        <v>35</v>
      </c>
      <c r="V1212" s="14" t="s">
        <v>4046</v>
      </c>
      <c r="W1212" s="15"/>
      <c r="X1212" s="10" t="s">
        <v>37</v>
      </c>
      <c r="Y1212" s="10" t="s">
        <v>0</v>
      </c>
    </row>
    <row r="1213">
      <c r="A1213" s="10" t="s">
        <v>4518</v>
      </c>
      <c r="B1213" s="11">
        <v>44446.44957064815</v>
      </c>
      <c r="C1213" s="10" t="s">
        <v>209</v>
      </c>
      <c r="D1213" s="10" t="s">
        <v>210</v>
      </c>
      <c r="E1213" s="10" t="s">
        <v>261</v>
      </c>
      <c r="F1213" s="10" t="s">
        <v>4519</v>
      </c>
      <c r="G1213" s="10" t="s">
        <v>4393</v>
      </c>
      <c r="H1213" s="36">
        <v>44457.64583333333</v>
      </c>
      <c r="I1213" s="11">
        <v>44457.6875</v>
      </c>
      <c r="J1213" s="10" t="s">
        <v>128</v>
      </c>
      <c r="K1213" s="10" t="s">
        <v>34</v>
      </c>
      <c r="N1213" s="10" t="s">
        <v>35</v>
      </c>
      <c r="V1213" s="14" t="s">
        <v>4394</v>
      </c>
      <c r="W1213" s="15"/>
      <c r="X1213" s="10" t="s">
        <v>37</v>
      </c>
      <c r="Y1213" s="10" t="s">
        <v>0</v>
      </c>
    </row>
    <row r="1214">
      <c r="A1214" s="10" t="s">
        <v>4520</v>
      </c>
      <c r="B1214" s="11">
        <v>44448.90311457176</v>
      </c>
      <c r="C1214" s="10" t="s">
        <v>336</v>
      </c>
      <c r="D1214" s="10" t="s">
        <v>337</v>
      </c>
      <c r="E1214" s="10" t="s">
        <v>981</v>
      </c>
      <c r="F1214" s="10" t="s">
        <v>4521</v>
      </c>
      <c r="G1214" s="10" t="s">
        <v>4522</v>
      </c>
      <c r="H1214" s="36">
        <v>44457.6875</v>
      </c>
      <c r="I1214" s="11">
        <v>44457.72916666667</v>
      </c>
      <c r="J1214" s="10" t="s">
        <v>128</v>
      </c>
      <c r="K1214" s="10" t="s">
        <v>34</v>
      </c>
      <c r="N1214" s="10" t="s">
        <v>35</v>
      </c>
      <c r="V1214" s="14" t="s">
        <v>4523</v>
      </c>
      <c r="W1214" s="15"/>
      <c r="X1214" s="10" t="s">
        <v>37</v>
      </c>
      <c r="Y1214" s="10" t="s">
        <v>0</v>
      </c>
    </row>
    <row r="1215">
      <c r="A1215" s="10" t="s">
        <v>4524</v>
      </c>
      <c r="B1215" s="11">
        <v>44449.66235986111</v>
      </c>
      <c r="C1215" s="10" t="s">
        <v>160</v>
      </c>
      <c r="D1215" s="10" t="s">
        <v>161</v>
      </c>
      <c r="E1215" s="10" t="s">
        <v>3953</v>
      </c>
      <c r="F1215" s="10" t="s">
        <v>4525</v>
      </c>
      <c r="G1215" s="10" t="s">
        <v>4526</v>
      </c>
      <c r="H1215" s="11">
        <v>44449.625</v>
      </c>
      <c r="I1215" s="11">
        <v>44449.66666666667</v>
      </c>
      <c r="J1215" s="10" t="s">
        <v>73</v>
      </c>
      <c r="K1215" s="10" t="s">
        <v>34</v>
      </c>
      <c r="N1215" s="10" t="s">
        <v>35</v>
      </c>
      <c r="V1215" s="14" t="s">
        <v>4527</v>
      </c>
      <c r="W1215" s="15"/>
      <c r="X1215" s="10" t="s">
        <v>37</v>
      </c>
      <c r="Y1215" s="10" t="s">
        <v>0</v>
      </c>
    </row>
    <row r="1216">
      <c r="A1216" s="10" t="s">
        <v>4528</v>
      </c>
      <c r="B1216" s="11">
        <v>44449.68335064815</v>
      </c>
      <c r="C1216" s="10" t="s">
        <v>160</v>
      </c>
      <c r="D1216" s="10" t="s">
        <v>161</v>
      </c>
      <c r="E1216" s="10" t="s">
        <v>3804</v>
      </c>
      <c r="F1216" s="10" t="s">
        <v>4529</v>
      </c>
      <c r="G1216" s="10" t="s">
        <v>4530</v>
      </c>
      <c r="H1216" s="36">
        <v>44456.64583333333</v>
      </c>
      <c r="I1216" s="11">
        <v>44456.72916666667</v>
      </c>
      <c r="J1216" s="10" t="s">
        <v>128</v>
      </c>
      <c r="K1216" s="10" t="s">
        <v>34</v>
      </c>
      <c r="N1216" s="10" t="s">
        <v>35</v>
      </c>
      <c r="V1216" s="14" t="s">
        <v>4531</v>
      </c>
      <c r="W1216" s="15"/>
      <c r="X1216" s="10" t="s">
        <v>37</v>
      </c>
      <c r="Y1216" s="10" t="s">
        <v>0</v>
      </c>
    </row>
    <row r="1217">
      <c r="A1217" s="10" t="s">
        <v>4532</v>
      </c>
      <c r="B1217" s="11">
        <v>44450.43653717593</v>
      </c>
      <c r="C1217" s="10" t="s">
        <v>418</v>
      </c>
      <c r="D1217" s="10" t="s">
        <v>419</v>
      </c>
      <c r="E1217" s="10" t="s">
        <v>4533</v>
      </c>
      <c r="F1217" s="10" t="s">
        <v>4534</v>
      </c>
      <c r="G1217" s="10" t="s">
        <v>4535</v>
      </c>
      <c r="H1217" s="11">
        <v>44443.33333333333</v>
      </c>
      <c r="I1217" s="11">
        <v>44443.5</v>
      </c>
      <c r="J1217" s="10" t="s">
        <v>128</v>
      </c>
      <c r="K1217" s="10" t="s">
        <v>34</v>
      </c>
      <c r="N1217" s="10" t="s">
        <v>296</v>
      </c>
      <c r="O1217" s="18" t="s">
        <v>4536</v>
      </c>
      <c r="P1217" s="10" t="s">
        <v>296</v>
      </c>
      <c r="Q1217" s="10">
        <v>1.0</v>
      </c>
      <c r="R1217" s="10" t="s">
        <v>35</v>
      </c>
      <c r="T1217" s="10" t="s">
        <v>35</v>
      </c>
      <c r="V1217" s="35" t="s">
        <v>4537</v>
      </c>
      <c r="W1217" s="15"/>
      <c r="X1217" s="10" t="s">
        <v>37</v>
      </c>
      <c r="Y1217" s="10" t="s">
        <v>0</v>
      </c>
    </row>
    <row r="1218">
      <c r="A1218" s="10" t="s">
        <v>4538</v>
      </c>
      <c r="B1218" s="11">
        <v>44450.44714703703</v>
      </c>
      <c r="C1218" s="10" t="s">
        <v>418</v>
      </c>
      <c r="D1218" s="10" t="s">
        <v>419</v>
      </c>
      <c r="E1218" s="10" t="s">
        <v>4539</v>
      </c>
      <c r="F1218" s="10" t="s">
        <v>4540</v>
      </c>
      <c r="G1218" s="10" t="s">
        <v>4541</v>
      </c>
      <c r="H1218" s="11">
        <v>44450.33333333333</v>
      </c>
      <c r="I1218" s="11">
        <v>44450.5</v>
      </c>
      <c r="J1218" s="10" t="s">
        <v>128</v>
      </c>
      <c r="K1218" s="10" t="s">
        <v>34</v>
      </c>
      <c r="N1218" s="10" t="s">
        <v>296</v>
      </c>
      <c r="O1218" s="18" t="s">
        <v>4542</v>
      </c>
      <c r="P1218" s="10" t="s">
        <v>296</v>
      </c>
      <c r="Q1218" s="10">
        <v>1.0</v>
      </c>
      <c r="R1218" s="10" t="s">
        <v>35</v>
      </c>
      <c r="T1218" s="10" t="s">
        <v>35</v>
      </c>
      <c r="V1218" s="35" t="s">
        <v>4537</v>
      </c>
      <c r="W1218" s="15"/>
      <c r="X1218" s="10" t="s">
        <v>37</v>
      </c>
      <c r="Y1218" s="10" t="s">
        <v>0</v>
      </c>
    </row>
    <row r="1219">
      <c r="A1219" s="10" t="s">
        <v>4543</v>
      </c>
      <c r="B1219" s="11">
        <v>44450.45260329861</v>
      </c>
      <c r="C1219" s="10" t="s">
        <v>418</v>
      </c>
      <c r="D1219" s="10" t="s">
        <v>419</v>
      </c>
      <c r="E1219" s="10" t="s">
        <v>4539</v>
      </c>
      <c r="F1219" s="10" t="s">
        <v>4544</v>
      </c>
      <c r="G1219" s="10" t="s">
        <v>4545</v>
      </c>
      <c r="H1219" s="11">
        <v>44457.33333333333</v>
      </c>
      <c r="I1219" s="11">
        <v>44457.5</v>
      </c>
      <c r="J1219" s="10" t="s">
        <v>128</v>
      </c>
      <c r="K1219" s="10" t="s">
        <v>34</v>
      </c>
      <c r="N1219" s="10" t="s">
        <v>296</v>
      </c>
      <c r="O1219" s="18" t="s">
        <v>4546</v>
      </c>
      <c r="P1219" s="10" t="s">
        <v>296</v>
      </c>
      <c r="Q1219" s="10">
        <v>1.0</v>
      </c>
      <c r="R1219" s="10" t="s">
        <v>35</v>
      </c>
      <c r="T1219" s="10" t="s">
        <v>35</v>
      </c>
      <c r="V1219" s="35" t="s">
        <v>4537</v>
      </c>
      <c r="W1219" s="15"/>
      <c r="X1219" s="10" t="s">
        <v>37</v>
      </c>
      <c r="Y1219" s="10" t="s">
        <v>0</v>
      </c>
    </row>
    <row r="1220">
      <c r="A1220" s="10" t="s">
        <v>4547</v>
      </c>
      <c r="B1220" s="11">
        <v>44456.622584745375</v>
      </c>
      <c r="C1220" s="10" t="s">
        <v>239</v>
      </c>
      <c r="D1220" s="10" t="s">
        <v>240</v>
      </c>
      <c r="E1220" s="10" t="s">
        <v>4548</v>
      </c>
      <c r="F1220" s="10" t="s">
        <v>4549</v>
      </c>
      <c r="G1220" s="10" t="s">
        <v>4550</v>
      </c>
      <c r="H1220" s="36">
        <v>44459.52083333333</v>
      </c>
      <c r="I1220" s="11">
        <v>44459.10416666667</v>
      </c>
      <c r="J1220" s="10" t="s">
        <v>128</v>
      </c>
      <c r="K1220" s="10" t="s">
        <v>34</v>
      </c>
      <c r="N1220" s="10" t="s">
        <v>35</v>
      </c>
      <c r="V1220" s="35" t="s">
        <v>4551</v>
      </c>
      <c r="W1220" s="15"/>
    </row>
    <row r="1221">
      <c r="A1221" s="10" t="s">
        <v>4552</v>
      </c>
      <c r="B1221" s="11">
        <v>44451.65134600694</v>
      </c>
      <c r="C1221" s="10" t="s">
        <v>239</v>
      </c>
      <c r="D1221" s="10" t="s">
        <v>240</v>
      </c>
      <c r="E1221" s="10" t="s">
        <v>3998</v>
      </c>
      <c r="F1221" s="10" t="s">
        <v>4553</v>
      </c>
      <c r="G1221" s="10" t="s">
        <v>4554</v>
      </c>
      <c r="H1221" s="11">
        <v>44441.35416666667</v>
      </c>
      <c r="I1221" s="11">
        <v>44441.39583333333</v>
      </c>
      <c r="J1221" s="10" t="s">
        <v>33</v>
      </c>
      <c r="K1221" s="10" t="s">
        <v>34</v>
      </c>
      <c r="N1221" s="10" t="s">
        <v>35</v>
      </c>
      <c r="V1221" s="14" t="s">
        <v>4555</v>
      </c>
      <c r="W1221" s="15"/>
      <c r="X1221" s="10" t="s">
        <v>37</v>
      </c>
      <c r="Y1221" s="10" t="s">
        <v>0</v>
      </c>
    </row>
    <row r="1222">
      <c r="A1222" s="10" t="s">
        <v>4556</v>
      </c>
      <c r="B1222" s="11">
        <v>44451.6542371875</v>
      </c>
      <c r="C1222" s="10" t="s">
        <v>239</v>
      </c>
      <c r="D1222" s="10" t="s">
        <v>240</v>
      </c>
      <c r="E1222" s="10" t="s">
        <v>4557</v>
      </c>
      <c r="F1222" s="10" t="s">
        <v>4558</v>
      </c>
      <c r="G1222" s="10" t="s">
        <v>4559</v>
      </c>
      <c r="H1222" s="11">
        <v>44448.4375</v>
      </c>
      <c r="I1222" s="11">
        <v>44448.5</v>
      </c>
      <c r="J1222" s="10" t="s">
        <v>128</v>
      </c>
      <c r="K1222" s="10" t="s">
        <v>34</v>
      </c>
      <c r="N1222" s="10" t="s">
        <v>35</v>
      </c>
      <c r="V1222" s="35" t="s">
        <v>4551</v>
      </c>
      <c r="W1222" s="15"/>
      <c r="X1222" s="10" t="s">
        <v>37</v>
      </c>
      <c r="Y1222" s="10" t="s">
        <v>0</v>
      </c>
    </row>
    <row r="1223">
      <c r="A1223" s="10" t="s">
        <v>4560</v>
      </c>
      <c r="B1223" s="11">
        <v>44451.655957152776</v>
      </c>
      <c r="C1223" s="10" t="s">
        <v>239</v>
      </c>
      <c r="D1223" s="10" t="s">
        <v>240</v>
      </c>
      <c r="E1223" s="10" t="s">
        <v>4561</v>
      </c>
      <c r="F1223" s="10" t="s">
        <v>4562</v>
      </c>
      <c r="G1223" s="10" t="s">
        <v>4563</v>
      </c>
      <c r="H1223" s="11">
        <v>44442.64583333333</v>
      </c>
      <c r="I1223" s="11">
        <v>44442.72916666667</v>
      </c>
      <c r="J1223" s="10" t="s">
        <v>33</v>
      </c>
      <c r="K1223" s="10" t="s">
        <v>34</v>
      </c>
      <c r="N1223" s="10" t="s">
        <v>35</v>
      </c>
      <c r="V1223" s="14" t="s">
        <v>4564</v>
      </c>
      <c r="W1223" s="15"/>
      <c r="X1223" s="10" t="s">
        <v>37</v>
      </c>
      <c r="Y1223" s="10" t="s">
        <v>0</v>
      </c>
    </row>
    <row r="1224">
      <c r="A1224" s="10" t="s">
        <v>4565</v>
      </c>
      <c r="B1224" s="11">
        <v>44451.65869034722</v>
      </c>
      <c r="C1224" s="10" t="s">
        <v>239</v>
      </c>
      <c r="D1224" s="10" t="s">
        <v>240</v>
      </c>
      <c r="E1224" s="10" t="s">
        <v>4561</v>
      </c>
      <c r="F1224" s="10" t="s">
        <v>4566</v>
      </c>
      <c r="G1224" s="10" t="s">
        <v>4567</v>
      </c>
      <c r="H1224" s="11">
        <v>44443.60416666667</v>
      </c>
      <c r="I1224" s="11">
        <v>44443.6875</v>
      </c>
      <c r="J1224" s="10" t="s">
        <v>33</v>
      </c>
      <c r="K1224" s="10" t="s">
        <v>34</v>
      </c>
      <c r="N1224" s="10" t="s">
        <v>35</v>
      </c>
      <c r="V1224" s="14" t="s">
        <v>4568</v>
      </c>
      <c r="W1224" s="15"/>
      <c r="X1224" s="10" t="s">
        <v>37</v>
      </c>
      <c r="Y1224" s="10" t="s">
        <v>0</v>
      </c>
    </row>
    <row r="1225">
      <c r="A1225" s="10" t="s">
        <v>4569</v>
      </c>
      <c r="B1225" s="11">
        <v>44451.66118362268</v>
      </c>
      <c r="C1225" s="10" t="s">
        <v>239</v>
      </c>
      <c r="D1225" s="10" t="s">
        <v>240</v>
      </c>
      <c r="E1225" s="10" t="s">
        <v>4561</v>
      </c>
      <c r="F1225" s="10" t="s">
        <v>4570</v>
      </c>
      <c r="G1225" s="10" t="s">
        <v>4571</v>
      </c>
      <c r="H1225" s="11">
        <v>44440.0</v>
      </c>
      <c r="I1225" s="11">
        <v>44469.5</v>
      </c>
      <c r="J1225" s="10" t="s">
        <v>51</v>
      </c>
      <c r="K1225" s="10" t="s">
        <v>34</v>
      </c>
      <c r="N1225" s="10" t="s">
        <v>35</v>
      </c>
      <c r="V1225" s="35" t="s">
        <v>4551</v>
      </c>
      <c r="W1225" s="15"/>
      <c r="X1225" s="10" t="s">
        <v>37</v>
      </c>
      <c r="Y1225" s="10" t="s">
        <v>0</v>
      </c>
    </row>
    <row r="1226">
      <c r="A1226" s="10" t="s">
        <v>4572</v>
      </c>
      <c r="B1226" s="11">
        <v>44451.76036804398</v>
      </c>
      <c r="C1226" s="10" t="s">
        <v>3304</v>
      </c>
      <c r="D1226" s="10" t="s">
        <v>695</v>
      </c>
      <c r="E1226" s="10" t="s">
        <v>4240</v>
      </c>
      <c r="F1226" s="10" t="s">
        <v>4573</v>
      </c>
      <c r="G1226" s="10" t="s">
        <v>4574</v>
      </c>
      <c r="H1226" s="11">
        <v>44452.54166666667</v>
      </c>
      <c r="I1226" s="11">
        <v>44452.99930555555</v>
      </c>
      <c r="J1226" s="10" t="s">
        <v>73</v>
      </c>
      <c r="K1226" s="10" t="s">
        <v>34</v>
      </c>
      <c r="N1226" s="10" t="s">
        <v>296</v>
      </c>
      <c r="O1226" s="18" t="s">
        <v>4575</v>
      </c>
      <c r="P1226" s="10" t="s">
        <v>296</v>
      </c>
      <c r="Q1226" s="10">
        <v>1.0</v>
      </c>
      <c r="R1226" s="10" t="s">
        <v>35</v>
      </c>
      <c r="T1226" s="10" t="s">
        <v>35</v>
      </c>
      <c r="V1226" s="14" t="s">
        <v>4576</v>
      </c>
      <c r="W1226" s="15"/>
      <c r="X1226" s="10" t="s">
        <v>37</v>
      </c>
      <c r="Y1226" s="10" t="s">
        <v>0</v>
      </c>
    </row>
    <row r="1227">
      <c r="A1227" s="10" t="s">
        <v>4577</v>
      </c>
      <c r="B1227" s="11">
        <v>44451.765645775464</v>
      </c>
      <c r="C1227" s="10" t="s">
        <v>3304</v>
      </c>
      <c r="D1227" s="10" t="s">
        <v>695</v>
      </c>
      <c r="E1227" s="10" t="s">
        <v>4240</v>
      </c>
      <c r="F1227" s="10" t="s">
        <v>4578</v>
      </c>
      <c r="G1227" s="10" t="s">
        <v>4579</v>
      </c>
      <c r="H1227" s="11">
        <v>44456.6875</v>
      </c>
      <c r="I1227" s="11">
        <v>44456.72916666667</v>
      </c>
      <c r="J1227" s="10" t="s">
        <v>128</v>
      </c>
      <c r="K1227" s="10" t="s">
        <v>34</v>
      </c>
      <c r="N1227" s="10" t="s">
        <v>35</v>
      </c>
      <c r="V1227" s="14" t="s">
        <v>4580</v>
      </c>
      <c r="W1227" s="15"/>
      <c r="X1227" s="10" t="s">
        <v>37</v>
      </c>
      <c r="Y1227" s="10" t="s">
        <v>0</v>
      </c>
    </row>
    <row r="1228">
      <c r="A1228" s="10" t="s">
        <v>4581</v>
      </c>
      <c r="B1228" s="11">
        <v>44452.44472760417</v>
      </c>
      <c r="C1228" s="10" t="s">
        <v>186</v>
      </c>
      <c r="D1228" s="10" t="s">
        <v>187</v>
      </c>
      <c r="E1228" s="10" t="s">
        <v>1427</v>
      </c>
      <c r="F1228" s="10" t="s">
        <v>4582</v>
      </c>
      <c r="G1228" s="10" t="s">
        <v>4583</v>
      </c>
      <c r="H1228" s="11">
        <v>44445.4375</v>
      </c>
      <c r="I1228" s="11">
        <v>44445.52083333333</v>
      </c>
      <c r="J1228" s="10" t="s">
        <v>128</v>
      </c>
      <c r="K1228" s="10" t="s">
        <v>34</v>
      </c>
      <c r="N1228" s="10" t="s">
        <v>35</v>
      </c>
      <c r="V1228" s="14" t="s">
        <v>4173</v>
      </c>
      <c r="W1228" s="15"/>
      <c r="X1228" s="10" t="s">
        <v>37</v>
      </c>
      <c r="Y1228" s="10" t="s">
        <v>0</v>
      </c>
    </row>
    <row r="1229">
      <c r="A1229" s="10" t="s">
        <v>4584</v>
      </c>
      <c r="B1229" s="11">
        <v>44452.468240312504</v>
      </c>
      <c r="C1229" s="10" t="s">
        <v>186</v>
      </c>
      <c r="D1229" s="10" t="s">
        <v>187</v>
      </c>
      <c r="E1229" s="10" t="s">
        <v>188</v>
      </c>
      <c r="F1229" s="10" t="s">
        <v>4585</v>
      </c>
      <c r="G1229" s="10" t="s">
        <v>4586</v>
      </c>
      <c r="H1229" s="11">
        <v>44441.77083333333</v>
      </c>
      <c r="I1229" s="11">
        <v>44441.85416666667</v>
      </c>
      <c r="J1229" s="10" t="s">
        <v>128</v>
      </c>
      <c r="K1229" s="10" t="s">
        <v>34</v>
      </c>
      <c r="N1229" s="10" t="s">
        <v>35</v>
      </c>
      <c r="V1229" s="14" t="s">
        <v>4587</v>
      </c>
      <c r="W1229" s="15"/>
      <c r="X1229" s="10" t="s">
        <v>37</v>
      </c>
      <c r="Y1229" s="10" t="s">
        <v>0</v>
      </c>
    </row>
    <row r="1230">
      <c r="A1230" s="10" t="s">
        <v>4588</v>
      </c>
      <c r="B1230" s="11">
        <v>44456.62522914352</v>
      </c>
      <c r="C1230" s="10" t="s">
        <v>239</v>
      </c>
      <c r="D1230" s="10" t="s">
        <v>240</v>
      </c>
      <c r="E1230" s="10" t="s">
        <v>4548</v>
      </c>
      <c r="F1230" s="10" t="s">
        <v>4589</v>
      </c>
      <c r="G1230" s="10" t="s">
        <v>4590</v>
      </c>
      <c r="H1230" s="36">
        <v>44459.52083333333</v>
      </c>
      <c r="I1230" s="11">
        <v>44459.60416666667</v>
      </c>
      <c r="J1230" s="10" t="s">
        <v>128</v>
      </c>
      <c r="K1230" s="10" t="s">
        <v>34</v>
      </c>
      <c r="N1230" s="10" t="s">
        <v>35</v>
      </c>
      <c r="V1230" s="35" t="s">
        <v>4551</v>
      </c>
      <c r="W1230" s="15"/>
    </row>
    <row r="1231">
      <c r="A1231" s="10" t="s">
        <v>4591</v>
      </c>
      <c r="B1231" s="11">
        <v>44463.56662442129</v>
      </c>
      <c r="C1231" s="10" t="s">
        <v>181</v>
      </c>
      <c r="D1231" s="10" t="s">
        <v>69</v>
      </c>
      <c r="E1231" s="10" t="s">
        <v>2979</v>
      </c>
      <c r="F1231" s="10" t="s">
        <v>4592</v>
      </c>
      <c r="G1231" s="10" t="s">
        <v>4593</v>
      </c>
      <c r="H1231" s="41">
        <v>44466.79166666667</v>
      </c>
      <c r="I1231" s="41">
        <v>44466.875</v>
      </c>
      <c r="J1231" s="10" t="s">
        <v>128</v>
      </c>
      <c r="K1231" s="10" t="s">
        <v>34</v>
      </c>
      <c r="N1231" s="10" t="s">
        <v>35</v>
      </c>
      <c r="V1231" s="35" t="s">
        <v>3740</v>
      </c>
      <c r="W1231" s="15"/>
      <c r="X1231" s="10" t="s">
        <v>37</v>
      </c>
      <c r="Y1231" s="10" t="s">
        <v>0</v>
      </c>
    </row>
    <row r="1232">
      <c r="A1232" s="10" t="s">
        <v>4594</v>
      </c>
      <c r="B1232" s="11">
        <v>44452.494662916666</v>
      </c>
      <c r="C1232" s="10" t="s">
        <v>610</v>
      </c>
      <c r="D1232" s="10" t="s">
        <v>611</v>
      </c>
      <c r="E1232" s="10" t="s">
        <v>3448</v>
      </c>
      <c r="F1232" s="10" t="s">
        <v>4595</v>
      </c>
      <c r="G1232" s="10" t="s">
        <v>4596</v>
      </c>
      <c r="H1232" s="11">
        <v>44455.70833333333</v>
      </c>
      <c r="I1232" s="11">
        <v>44455.79166666667</v>
      </c>
      <c r="J1232" s="10" t="s">
        <v>128</v>
      </c>
      <c r="K1232" s="10" t="s">
        <v>34</v>
      </c>
      <c r="N1232" s="10" t="s">
        <v>35</v>
      </c>
      <c r="V1232" s="14" t="s">
        <v>4597</v>
      </c>
      <c r="W1232" s="15"/>
      <c r="X1232" s="10" t="s">
        <v>37</v>
      </c>
      <c r="Y1232" s="10" t="s">
        <v>0</v>
      </c>
    </row>
    <row r="1233">
      <c r="A1233" s="10" t="s">
        <v>4598</v>
      </c>
      <c r="B1233" s="11">
        <v>44456.568747199075</v>
      </c>
      <c r="C1233" s="10" t="s">
        <v>181</v>
      </c>
      <c r="D1233" s="10" t="s">
        <v>69</v>
      </c>
      <c r="E1233" s="10" t="s">
        <v>1284</v>
      </c>
      <c r="F1233" s="10" t="s">
        <v>3575</v>
      </c>
      <c r="G1233" s="10" t="s">
        <v>4599</v>
      </c>
      <c r="H1233" s="36">
        <v>44459.54166666667</v>
      </c>
      <c r="I1233" s="11">
        <v>44459.60416666667</v>
      </c>
      <c r="J1233" s="10" t="s">
        <v>128</v>
      </c>
      <c r="K1233" s="10" t="s">
        <v>34</v>
      </c>
      <c r="N1233" s="10" t="s">
        <v>35</v>
      </c>
      <c r="V1233" s="14" t="s">
        <v>4026</v>
      </c>
      <c r="W1233" s="15"/>
    </row>
    <row r="1234">
      <c r="A1234" s="10" t="s">
        <v>4600</v>
      </c>
      <c r="B1234" s="11">
        <v>44453.37811849537</v>
      </c>
      <c r="C1234" s="10" t="s">
        <v>671</v>
      </c>
      <c r="D1234" s="10" t="s">
        <v>672</v>
      </c>
      <c r="E1234" s="10" t="s">
        <v>4601</v>
      </c>
      <c r="F1234" s="10" t="s">
        <v>4008</v>
      </c>
      <c r="G1234" s="10" t="s">
        <v>4602</v>
      </c>
      <c r="H1234" s="11">
        <v>44457.60416666667</v>
      </c>
      <c r="I1234" s="11">
        <v>44457.6875</v>
      </c>
      <c r="J1234" s="10" t="s">
        <v>128</v>
      </c>
      <c r="K1234" s="10" t="s">
        <v>61</v>
      </c>
      <c r="L1234" s="10" t="s">
        <v>1334</v>
      </c>
      <c r="N1234" s="10" t="s">
        <v>35</v>
      </c>
      <c r="V1234" s="9"/>
      <c r="W1234" s="13" t="s">
        <v>4603</v>
      </c>
      <c r="X1234" s="10" t="s">
        <v>2360</v>
      </c>
      <c r="Y1234" s="10" t="s">
        <v>0</v>
      </c>
    </row>
    <row r="1235">
      <c r="A1235" s="10" t="s">
        <v>4604</v>
      </c>
      <c r="B1235" s="11">
        <v>44453.379880381945</v>
      </c>
      <c r="C1235" s="10" t="s">
        <v>671</v>
      </c>
      <c r="D1235" s="10" t="s">
        <v>672</v>
      </c>
      <c r="E1235" s="10" t="s">
        <v>4605</v>
      </c>
      <c r="F1235" s="10" t="s">
        <v>4606</v>
      </c>
      <c r="G1235" s="10" t="s">
        <v>4407</v>
      </c>
      <c r="H1235" s="11">
        <v>44455.52083333333</v>
      </c>
      <c r="I1235" s="11">
        <v>44455.5625</v>
      </c>
      <c r="J1235" s="10" t="s">
        <v>128</v>
      </c>
      <c r="K1235" s="10" t="s">
        <v>34</v>
      </c>
      <c r="N1235" s="10" t="s">
        <v>35</v>
      </c>
      <c r="V1235" s="14" t="s">
        <v>3906</v>
      </c>
      <c r="W1235" s="15"/>
      <c r="X1235" s="10" t="s">
        <v>37</v>
      </c>
      <c r="Y1235" s="10" t="s">
        <v>0</v>
      </c>
    </row>
    <row r="1236">
      <c r="A1236" s="10" t="s">
        <v>4607</v>
      </c>
      <c r="B1236" s="11">
        <v>44449.5975328125</v>
      </c>
      <c r="C1236" s="10" t="s">
        <v>181</v>
      </c>
      <c r="D1236" s="10" t="s">
        <v>69</v>
      </c>
      <c r="E1236" s="10" t="s">
        <v>3551</v>
      </c>
      <c r="F1236" s="10" t="s">
        <v>4608</v>
      </c>
      <c r="G1236" s="10" t="s">
        <v>4609</v>
      </c>
      <c r="H1236" s="36">
        <v>44456.64583333333</v>
      </c>
      <c r="I1236" s="11">
        <v>44456.6875</v>
      </c>
      <c r="J1236" s="10" t="s">
        <v>43</v>
      </c>
      <c r="K1236" s="10" t="s">
        <v>34</v>
      </c>
      <c r="N1236" s="10" t="s">
        <v>296</v>
      </c>
      <c r="O1236" s="18" t="s">
        <v>4610</v>
      </c>
      <c r="P1236" s="10" t="s">
        <v>35</v>
      </c>
      <c r="R1236" s="10" t="s">
        <v>35</v>
      </c>
      <c r="T1236" s="10" t="s">
        <v>296</v>
      </c>
      <c r="U1236" s="10">
        <v>3.0</v>
      </c>
      <c r="V1236" s="37" t="s">
        <v>4611</v>
      </c>
      <c r="W1236" s="15"/>
      <c r="X1236" s="10" t="s">
        <v>37</v>
      </c>
      <c r="Y1236" s="10" t="s">
        <v>0</v>
      </c>
    </row>
    <row r="1237">
      <c r="A1237" s="10" t="s">
        <v>4612</v>
      </c>
      <c r="B1237" s="11">
        <v>44453.4325434375</v>
      </c>
      <c r="C1237" s="10" t="s">
        <v>150</v>
      </c>
      <c r="D1237" s="10" t="s">
        <v>151</v>
      </c>
      <c r="E1237" s="10" t="s">
        <v>4257</v>
      </c>
      <c r="F1237" s="10" t="s">
        <v>4613</v>
      </c>
      <c r="G1237" s="10" t="s">
        <v>4614</v>
      </c>
      <c r="H1237" s="11">
        <v>44457.41666666667</v>
      </c>
      <c r="I1237" s="11">
        <v>44457.5</v>
      </c>
      <c r="J1237" s="10" t="s">
        <v>128</v>
      </c>
      <c r="K1237" s="10" t="s">
        <v>34</v>
      </c>
      <c r="N1237" s="10" t="s">
        <v>35</v>
      </c>
      <c r="V1237" s="35" t="s">
        <v>3775</v>
      </c>
      <c r="W1237" s="15"/>
      <c r="X1237" s="10" t="s">
        <v>37</v>
      </c>
      <c r="Y1237" s="10" t="s">
        <v>0</v>
      </c>
    </row>
    <row r="1238">
      <c r="A1238" s="10" t="s">
        <v>4615</v>
      </c>
      <c r="B1238" s="11">
        <v>44463.67098872685</v>
      </c>
      <c r="C1238" s="10" t="s">
        <v>160</v>
      </c>
      <c r="D1238" s="10" t="s">
        <v>161</v>
      </c>
      <c r="E1238" s="10" t="s">
        <v>3804</v>
      </c>
      <c r="F1238" s="10" t="s">
        <v>4616</v>
      </c>
      <c r="G1238" s="10" t="s">
        <v>4617</v>
      </c>
      <c r="H1238" s="41">
        <v>44467.77083333333</v>
      </c>
      <c r="I1238" s="41">
        <v>44467.8125</v>
      </c>
      <c r="J1238" s="10" t="s">
        <v>128</v>
      </c>
      <c r="K1238" s="10" t="s">
        <v>34</v>
      </c>
      <c r="N1238" s="10" t="s">
        <v>35</v>
      </c>
      <c r="V1238" s="14" t="s">
        <v>4618</v>
      </c>
      <c r="W1238" s="15"/>
      <c r="X1238" s="10" t="s">
        <v>37</v>
      </c>
      <c r="Y1238" s="10" t="s">
        <v>0</v>
      </c>
    </row>
    <row r="1239">
      <c r="A1239" s="10" t="s">
        <v>4619</v>
      </c>
      <c r="B1239" s="11">
        <v>44455.74467303241</v>
      </c>
      <c r="C1239" s="10" t="s">
        <v>96</v>
      </c>
      <c r="D1239" s="10" t="s">
        <v>97</v>
      </c>
      <c r="E1239" s="10" t="s">
        <v>98</v>
      </c>
      <c r="F1239" s="10" t="s">
        <v>4620</v>
      </c>
      <c r="G1239" s="10" t="s">
        <v>4621</v>
      </c>
      <c r="H1239" s="11">
        <v>44456.6875</v>
      </c>
      <c r="I1239" s="11">
        <v>44456.75</v>
      </c>
      <c r="J1239" s="10" t="s">
        <v>43</v>
      </c>
      <c r="K1239" s="10" t="s">
        <v>34</v>
      </c>
      <c r="N1239" s="10" t="s">
        <v>296</v>
      </c>
      <c r="O1239" s="18" t="s">
        <v>4622</v>
      </c>
      <c r="P1239" s="10" t="s">
        <v>296</v>
      </c>
      <c r="Q1239" s="10">
        <v>1.0</v>
      </c>
      <c r="R1239" s="10" t="s">
        <v>35</v>
      </c>
      <c r="T1239" s="10" t="s">
        <v>35</v>
      </c>
      <c r="V1239" s="14" t="s">
        <v>4623</v>
      </c>
      <c r="W1239" s="15"/>
      <c r="X1239" s="10" t="s">
        <v>37</v>
      </c>
      <c r="Y1239" s="10" t="s">
        <v>0</v>
      </c>
    </row>
    <row r="1240">
      <c r="A1240" s="10" t="s">
        <v>4624</v>
      </c>
      <c r="B1240" s="11">
        <v>44455.016946180556</v>
      </c>
      <c r="C1240" s="10" t="s">
        <v>381</v>
      </c>
      <c r="D1240" s="10" t="s">
        <v>382</v>
      </c>
      <c r="E1240" s="10" t="s">
        <v>1487</v>
      </c>
      <c r="F1240" s="10" t="s">
        <v>4625</v>
      </c>
      <c r="G1240" s="10" t="s">
        <v>4626</v>
      </c>
      <c r="H1240" s="11">
        <v>44456.6875</v>
      </c>
      <c r="I1240" s="11">
        <v>44456.72916666667</v>
      </c>
      <c r="J1240" s="10" t="s">
        <v>128</v>
      </c>
      <c r="K1240" s="10" t="s">
        <v>34</v>
      </c>
      <c r="N1240" s="10" t="s">
        <v>35</v>
      </c>
      <c r="V1240" s="14" t="s">
        <v>3990</v>
      </c>
      <c r="W1240" s="15"/>
      <c r="X1240" s="10" t="s">
        <v>37</v>
      </c>
      <c r="Y1240" s="10" t="s">
        <v>0</v>
      </c>
    </row>
    <row r="1241">
      <c r="A1241" s="10" t="s">
        <v>4627</v>
      </c>
      <c r="B1241" s="11">
        <v>44456.947474409724</v>
      </c>
      <c r="C1241" s="10" t="s">
        <v>347</v>
      </c>
      <c r="D1241" s="10" t="s">
        <v>348</v>
      </c>
      <c r="E1241" s="10" t="s">
        <v>3429</v>
      </c>
      <c r="F1241" s="10" t="s">
        <v>4628</v>
      </c>
      <c r="G1241" s="10" t="s">
        <v>4629</v>
      </c>
      <c r="H1241" s="11">
        <v>44459.6875</v>
      </c>
      <c r="I1241" s="11">
        <v>44459.72916666667</v>
      </c>
      <c r="J1241" s="10" t="s">
        <v>51</v>
      </c>
      <c r="K1241" s="10" t="s">
        <v>34</v>
      </c>
      <c r="N1241" s="10" t="s">
        <v>35</v>
      </c>
      <c r="V1241" s="14" t="s">
        <v>4630</v>
      </c>
      <c r="W1241" s="15"/>
      <c r="X1241" s="10" t="s">
        <v>37</v>
      </c>
      <c r="Y1241" s="10" t="s">
        <v>0</v>
      </c>
    </row>
    <row r="1242">
      <c r="A1242" s="10" t="s">
        <v>4631</v>
      </c>
      <c r="B1242" s="11">
        <v>44456.56965868056</v>
      </c>
      <c r="C1242" s="10" t="s">
        <v>181</v>
      </c>
      <c r="D1242" s="10" t="s">
        <v>69</v>
      </c>
      <c r="E1242" s="10" t="s">
        <v>1229</v>
      </c>
      <c r="F1242" s="10" t="s">
        <v>4632</v>
      </c>
      <c r="G1242" s="10" t="s">
        <v>4633</v>
      </c>
      <c r="H1242" s="36">
        <v>44459.72916666667</v>
      </c>
      <c r="I1242" s="11">
        <v>44459.77083333333</v>
      </c>
      <c r="J1242" s="10" t="s">
        <v>128</v>
      </c>
      <c r="K1242" s="10" t="s">
        <v>34</v>
      </c>
      <c r="N1242" s="10" t="s">
        <v>35</v>
      </c>
      <c r="V1242" s="14" t="s">
        <v>4361</v>
      </c>
      <c r="W1242" s="15"/>
      <c r="X1242" s="10" t="s">
        <v>37</v>
      </c>
      <c r="Y1242" s="10" t="s">
        <v>0</v>
      </c>
    </row>
    <row r="1243">
      <c r="A1243" s="10" t="s">
        <v>4634</v>
      </c>
      <c r="B1243" s="11">
        <v>44455.622732812495</v>
      </c>
      <c r="C1243" s="10" t="s">
        <v>239</v>
      </c>
      <c r="D1243" s="10" t="s">
        <v>240</v>
      </c>
      <c r="E1243" s="10" t="s">
        <v>4635</v>
      </c>
      <c r="F1243" s="10" t="s">
        <v>4636</v>
      </c>
      <c r="G1243" s="10" t="s">
        <v>4637</v>
      </c>
      <c r="H1243" s="11">
        <v>44456.77083333333</v>
      </c>
      <c r="I1243" s="11">
        <v>44456.8125</v>
      </c>
      <c r="J1243" s="10" t="s">
        <v>33</v>
      </c>
      <c r="K1243" s="10" t="s">
        <v>34</v>
      </c>
      <c r="N1243" s="10" t="s">
        <v>35</v>
      </c>
      <c r="V1243" s="35" t="s">
        <v>4638</v>
      </c>
      <c r="W1243" s="15"/>
      <c r="X1243" s="10" t="s">
        <v>37</v>
      </c>
      <c r="Y1243" s="10" t="s">
        <v>0</v>
      </c>
    </row>
    <row r="1244">
      <c r="A1244" s="10" t="s">
        <v>4639</v>
      </c>
      <c r="B1244" s="11">
        <v>44455.6244877662</v>
      </c>
      <c r="C1244" s="10" t="s">
        <v>239</v>
      </c>
      <c r="D1244" s="10" t="s">
        <v>240</v>
      </c>
      <c r="E1244" s="10" t="s">
        <v>4561</v>
      </c>
      <c r="F1244" s="10" t="s">
        <v>4640</v>
      </c>
      <c r="G1244" s="10" t="s">
        <v>4641</v>
      </c>
      <c r="H1244" s="11">
        <v>44456.6875</v>
      </c>
      <c r="I1244" s="11">
        <v>44456.77083333333</v>
      </c>
      <c r="J1244" s="10" t="s">
        <v>128</v>
      </c>
      <c r="K1244" s="10" t="s">
        <v>34</v>
      </c>
      <c r="N1244" s="10" t="s">
        <v>35</v>
      </c>
      <c r="V1244" s="14" t="s">
        <v>4642</v>
      </c>
      <c r="W1244" s="15"/>
      <c r="X1244" s="10" t="s">
        <v>37</v>
      </c>
      <c r="Y1244" s="10" t="s">
        <v>0</v>
      </c>
    </row>
    <row r="1245">
      <c r="A1245" s="10" t="s">
        <v>4643</v>
      </c>
      <c r="B1245" s="11">
        <v>44459.87846840278</v>
      </c>
      <c r="C1245" s="10" t="s">
        <v>80</v>
      </c>
      <c r="D1245" s="10" t="s">
        <v>81</v>
      </c>
      <c r="E1245" s="10" t="s">
        <v>4644</v>
      </c>
      <c r="F1245" s="10" t="s">
        <v>4645</v>
      </c>
      <c r="G1245" s="10" t="s">
        <v>4646</v>
      </c>
      <c r="H1245" s="11">
        <v>44461.72916666667</v>
      </c>
      <c r="I1245" s="11">
        <v>44461.6875</v>
      </c>
      <c r="J1245" s="10" t="s">
        <v>43</v>
      </c>
      <c r="K1245" s="10" t="s">
        <v>34</v>
      </c>
      <c r="N1245" s="10" t="s">
        <v>296</v>
      </c>
      <c r="O1245" s="18" t="s">
        <v>4647</v>
      </c>
      <c r="P1245" s="10" t="s">
        <v>296</v>
      </c>
      <c r="Q1245" s="10">
        <v>1.0</v>
      </c>
      <c r="R1245" s="10" t="s">
        <v>35</v>
      </c>
      <c r="T1245" s="10" t="s">
        <v>35</v>
      </c>
      <c r="V1245" s="14" t="s">
        <v>4648</v>
      </c>
      <c r="W1245" s="15"/>
      <c r="X1245" s="10" t="s">
        <v>37</v>
      </c>
      <c r="Y1245" s="10" t="s">
        <v>0</v>
      </c>
    </row>
    <row r="1246">
      <c r="A1246" s="10" t="s">
        <v>4649</v>
      </c>
      <c r="B1246" s="11">
        <v>44456.570494375</v>
      </c>
      <c r="C1246" s="10" t="s">
        <v>181</v>
      </c>
      <c r="D1246" s="10" t="s">
        <v>69</v>
      </c>
      <c r="E1246" s="10" t="s">
        <v>4650</v>
      </c>
      <c r="F1246" s="10" t="s">
        <v>4386</v>
      </c>
      <c r="G1246" s="10" t="s">
        <v>4651</v>
      </c>
      <c r="H1246" s="36">
        <v>44459.72916666667</v>
      </c>
      <c r="I1246" s="11">
        <v>44459.77083333333</v>
      </c>
      <c r="J1246" s="10" t="s">
        <v>128</v>
      </c>
      <c r="K1246" s="10" t="s">
        <v>34</v>
      </c>
      <c r="N1246" s="10" t="s">
        <v>35</v>
      </c>
      <c r="V1246" s="35" t="s">
        <v>4652</v>
      </c>
      <c r="W1246" s="15"/>
      <c r="X1246" s="10" t="s">
        <v>37</v>
      </c>
      <c r="Y1246" s="10" t="s">
        <v>0</v>
      </c>
    </row>
    <row r="1247">
      <c r="A1247" s="10" t="s">
        <v>4653</v>
      </c>
      <c r="B1247" s="11">
        <v>44456.58283681713</v>
      </c>
      <c r="C1247" s="10" t="s">
        <v>181</v>
      </c>
      <c r="D1247" s="10" t="s">
        <v>69</v>
      </c>
      <c r="E1247" s="10" t="s">
        <v>4654</v>
      </c>
      <c r="F1247" s="10" t="s">
        <v>4655</v>
      </c>
      <c r="G1247" s="10" t="s">
        <v>4656</v>
      </c>
      <c r="H1247" s="36">
        <v>44461.52083333333</v>
      </c>
      <c r="I1247" s="11">
        <v>44461.521527777775</v>
      </c>
      <c r="J1247" s="10" t="s">
        <v>73</v>
      </c>
      <c r="K1247" s="10" t="s">
        <v>34</v>
      </c>
      <c r="N1247" s="10" t="s">
        <v>35</v>
      </c>
      <c r="V1247" s="14" t="s">
        <v>4328</v>
      </c>
      <c r="W1247" s="15"/>
      <c r="X1247" s="10" t="s">
        <v>37</v>
      </c>
      <c r="Y1247" s="10" t="s">
        <v>0</v>
      </c>
    </row>
    <row r="1248">
      <c r="A1248" s="10" t="s">
        <v>4657</v>
      </c>
      <c r="B1248" s="11">
        <v>44458.879491678235</v>
      </c>
      <c r="C1248" s="10" t="s">
        <v>581</v>
      </c>
      <c r="D1248" s="10" t="s">
        <v>220</v>
      </c>
      <c r="E1248" s="10" t="s">
        <v>3586</v>
      </c>
      <c r="F1248" s="10" t="s">
        <v>4658</v>
      </c>
      <c r="G1248" s="10" t="s">
        <v>4659</v>
      </c>
      <c r="H1248" s="11">
        <v>44461.52083333333</v>
      </c>
      <c r="I1248" s="11">
        <v>44461.5625</v>
      </c>
      <c r="J1248" s="10" t="s">
        <v>73</v>
      </c>
      <c r="K1248" s="10" t="s">
        <v>34</v>
      </c>
      <c r="N1248" s="10" t="s">
        <v>35</v>
      </c>
      <c r="V1248" s="14" t="s">
        <v>4660</v>
      </c>
      <c r="W1248" s="15"/>
      <c r="X1248" s="10" t="s">
        <v>37</v>
      </c>
      <c r="Y1248" s="10" t="s">
        <v>0</v>
      </c>
    </row>
    <row r="1249">
      <c r="A1249" s="10" t="s">
        <v>4661</v>
      </c>
      <c r="B1249" s="11">
        <v>44455.80771033565</v>
      </c>
      <c r="C1249" s="10" t="s">
        <v>4268</v>
      </c>
      <c r="D1249" s="10" t="s">
        <v>4269</v>
      </c>
      <c r="E1249" s="10" t="s">
        <v>4662</v>
      </c>
      <c r="F1249" s="10" t="s">
        <v>4663</v>
      </c>
      <c r="G1249" s="10" t="s">
        <v>4664</v>
      </c>
      <c r="H1249" s="11">
        <v>44457.47916666667</v>
      </c>
      <c r="I1249" s="11">
        <v>44457.52083333333</v>
      </c>
      <c r="J1249" s="10" t="s">
        <v>33</v>
      </c>
      <c r="K1249" s="10" t="s">
        <v>34</v>
      </c>
      <c r="N1249" s="10" t="s">
        <v>296</v>
      </c>
      <c r="O1249" s="18" t="s">
        <v>4665</v>
      </c>
      <c r="P1249" s="10" t="s">
        <v>296</v>
      </c>
      <c r="Q1249" s="10">
        <v>1.0</v>
      </c>
      <c r="R1249" s="10" t="s">
        <v>35</v>
      </c>
      <c r="T1249" s="10" t="s">
        <v>35</v>
      </c>
      <c r="V1249" s="14" t="s">
        <v>4666</v>
      </c>
      <c r="W1249" s="15"/>
      <c r="X1249" s="10" t="s">
        <v>37</v>
      </c>
      <c r="Y1249" s="10" t="s">
        <v>0</v>
      </c>
    </row>
    <row r="1250">
      <c r="A1250" s="10" t="s">
        <v>4667</v>
      </c>
      <c r="B1250" s="11">
        <v>44456.49150741898</v>
      </c>
      <c r="C1250" s="10" t="s">
        <v>4468</v>
      </c>
      <c r="D1250" s="10" t="s">
        <v>4211</v>
      </c>
      <c r="E1250" s="10" t="s">
        <v>4668</v>
      </c>
      <c r="F1250" s="10" t="s">
        <v>4669</v>
      </c>
      <c r="G1250" s="10" t="s">
        <v>4670</v>
      </c>
      <c r="H1250" s="11">
        <v>44456.47916666667</v>
      </c>
      <c r="I1250" s="11">
        <v>44456.52083333333</v>
      </c>
      <c r="J1250" s="10" t="s">
        <v>128</v>
      </c>
      <c r="K1250" s="10" t="s">
        <v>34</v>
      </c>
      <c r="N1250" s="10" t="s">
        <v>35</v>
      </c>
      <c r="V1250" s="14" t="s">
        <v>4671</v>
      </c>
      <c r="W1250" s="15"/>
      <c r="X1250" s="10" t="s">
        <v>37</v>
      </c>
      <c r="Y1250" s="10" t="s">
        <v>0</v>
      </c>
    </row>
    <row r="1251">
      <c r="A1251" s="10" t="s">
        <v>4672</v>
      </c>
      <c r="B1251" s="11">
        <v>44456.93987944444</v>
      </c>
      <c r="C1251" s="10" t="s">
        <v>347</v>
      </c>
      <c r="D1251" s="10" t="s">
        <v>348</v>
      </c>
      <c r="E1251" s="10" t="s">
        <v>3429</v>
      </c>
      <c r="F1251" s="10" t="s">
        <v>3560</v>
      </c>
      <c r="G1251" s="10" t="s">
        <v>4673</v>
      </c>
      <c r="H1251" s="11">
        <v>44461.8125</v>
      </c>
      <c r="I1251" s="11">
        <v>44461.85416666667</v>
      </c>
      <c r="J1251" s="10" t="s">
        <v>128</v>
      </c>
      <c r="K1251" s="10" t="s">
        <v>34</v>
      </c>
      <c r="N1251" s="10" t="s">
        <v>35</v>
      </c>
      <c r="V1251" s="14" t="s">
        <v>3562</v>
      </c>
      <c r="W1251" s="15"/>
      <c r="X1251" s="10" t="s">
        <v>37</v>
      </c>
      <c r="Y1251" s="10" t="s">
        <v>0</v>
      </c>
    </row>
    <row r="1252">
      <c r="A1252" s="10" t="s">
        <v>4674</v>
      </c>
      <c r="B1252" s="11">
        <v>44452.47400472222</v>
      </c>
      <c r="C1252" s="10" t="s">
        <v>186</v>
      </c>
      <c r="D1252" s="10" t="s">
        <v>187</v>
      </c>
      <c r="E1252" s="10" t="s">
        <v>188</v>
      </c>
      <c r="F1252" s="10" t="s">
        <v>4675</v>
      </c>
      <c r="G1252" s="10" t="s">
        <v>4676</v>
      </c>
      <c r="H1252" s="36">
        <v>44461.83333333333</v>
      </c>
      <c r="I1252" s="11">
        <v>44461.875</v>
      </c>
      <c r="J1252" s="10" t="s">
        <v>128</v>
      </c>
      <c r="K1252" s="10" t="s">
        <v>34</v>
      </c>
      <c r="N1252" s="10" t="s">
        <v>35</v>
      </c>
      <c r="V1252" s="14" t="s">
        <v>4677</v>
      </c>
      <c r="W1252" s="15"/>
      <c r="X1252" s="10" t="s">
        <v>37</v>
      </c>
      <c r="Y1252" s="10" t="s">
        <v>0</v>
      </c>
    </row>
    <row r="1253">
      <c r="A1253" s="10" t="s">
        <v>4678</v>
      </c>
      <c r="B1253" s="11">
        <v>44455.79306409722</v>
      </c>
      <c r="C1253" s="10" t="s">
        <v>516</v>
      </c>
      <c r="D1253" s="10" t="s">
        <v>511</v>
      </c>
      <c r="E1253" s="10" t="s">
        <v>4679</v>
      </c>
      <c r="F1253" s="10" t="s">
        <v>4680</v>
      </c>
      <c r="G1253" s="10" t="s">
        <v>4681</v>
      </c>
      <c r="H1253" s="36">
        <v>44462.0</v>
      </c>
      <c r="I1253" s="11">
        <v>44475.0</v>
      </c>
      <c r="J1253" s="10" t="s">
        <v>51</v>
      </c>
      <c r="K1253" s="10" t="s">
        <v>34</v>
      </c>
      <c r="N1253" s="10" t="s">
        <v>35</v>
      </c>
      <c r="V1253" s="14" t="s">
        <v>4682</v>
      </c>
      <c r="W1253" s="15"/>
      <c r="X1253" s="10" t="s">
        <v>37</v>
      </c>
      <c r="Y1253" s="10" t="s">
        <v>0</v>
      </c>
    </row>
    <row r="1254">
      <c r="A1254" s="10" t="s">
        <v>4683</v>
      </c>
      <c r="B1254" s="11">
        <v>44456.59881913195</v>
      </c>
      <c r="C1254" s="10" t="s">
        <v>4217</v>
      </c>
      <c r="D1254" s="10" t="s">
        <v>4211</v>
      </c>
      <c r="E1254" s="10" t="s">
        <v>4684</v>
      </c>
      <c r="F1254" s="10" t="s">
        <v>4685</v>
      </c>
      <c r="G1254" s="10" t="s">
        <v>4686</v>
      </c>
      <c r="H1254" s="36">
        <v>44462.1875</v>
      </c>
      <c r="I1254" s="11">
        <v>44462.22916666667</v>
      </c>
      <c r="J1254" s="10" t="s">
        <v>43</v>
      </c>
      <c r="K1254" s="10" t="s">
        <v>34</v>
      </c>
      <c r="N1254" s="10" t="s">
        <v>296</v>
      </c>
      <c r="O1254" s="18" t="s">
        <v>4687</v>
      </c>
      <c r="P1254" s="10" t="s">
        <v>35</v>
      </c>
      <c r="R1254" s="10" t="s">
        <v>296</v>
      </c>
      <c r="S1254" s="10">
        <v>1.0</v>
      </c>
      <c r="T1254" s="10" t="s">
        <v>35</v>
      </c>
      <c r="V1254" s="14" t="s">
        <v>4688</v>
      </c>
      <c r="W1254" s="15"/>
      <c r="X1254" s="10" t="s">
        <v>37</v>
      </c>
      <c r="Y1254" s="10" t="s">
        <v>0</v>
      </c>
    </row>
    <row r="1255">
      <c r="A1255" s="10" t="s">
        <v>4689</v>
      </c>
      <c r="B1255" s="11">
        <v>44457.52469482639</v>
      </c>
      <c r="C1255" s="10" t="s">
        <v>4246</v>
      </c>
      <c r="D1255" s="10" t="s">
        <v>321</v>
      </c>
      <c r="E1255" s="10" t="s">
        <v>4690</v>
      </c>
      <c r="F1255" s="10" t="s">
        <v>4691</v>
      </c>
      <c r="G1255" s="10" t="s">
        <v>4692</v>
      </c>
      <c r="H1255" s="11">
        <v>44462.66666666667</v>
      </c>
      <c r="I1255" s="11">
        <v>44462.75</v>
      </c>
      <c r="J1255" s="10" t="s">
        <v>33</v>
      </c>
      <c r="K1255" s="10" t="s">
        <v>61</v>
      </c>
      <c r="L1255" s="10" t="s">
        <v>1334</v>
      </c>
      <c r="N1255" s="10" t="s">
        <v>35</v>
      </c>
      <c r="V1255" s="9"/>
      <c r="W1255" s="13"/>
    </row>
    <row r="1256">
      <c r="A1256" s="10" t="s">
        <v>4693</v>
      </c>
      <c r="B1256" s="11">
        <v>44456.57323203704</v>
      </c>
      <c r="C1256" s="10" t="s">
        <v>4217</v>
      </c>
      <c r="D1256" s="10" t="s">
        <v>4211</v>
      </c>
      <c r="E1256" s="10" t="s">
        <v>4694</v>
      </c>
      <c r="F1256" s="10" t="s">
        <v>4669</v>
      </c>
      <c r="G1256" s="10" t="s">
        <v>4695</v>
      </c>
      <c r="H1256" s="11">
        <v>44456.47916666667</v>
      </c>
      <c r="I1256" s="11">
        <v>44456.52083333333</v>
      </c>
      <c r="J1256" s="10" t="s">
        <v>128</v>
      </c>
      <c r="K1256" s="10" t="s">
        <v>34</v>
      </c>
      <c r="N1256" s="10" t="s">
        <v>35</v>
      </c>
      <c r="V1256" s="14" t="s">
        <v>4671</v>
      </c>
      <c r="W1256" s="15"/>
      <c r="X1256" s="10" t="s">
        <v>37</v>
      </c>
      <c r="Y1256" s="10" t="s">
        <v>0</v>
      </c>
    </row>
    <row r="1257">
      <c r="A1257" s="10" t="s">
        <v>4696</v>
      </c>
      <c r="B1257" s="11">
        <v>44457.52497990741</v>
      </c>
      <c r="C1257" s="10" t="s">
        <v>320</v>
      </c>
      <c r="D1257" s="10" t="s">
        <v>321</v>
      </c>
      <c r="E1257" s="10" t="s">
        <v>4697</v>
      </c>
      <c r="F1257" s="10" t="s">
        <v>4691</v>
      </c>
      <c r="G1257" s="10" t="s">
        <v>4698</v>
      </c>
      <c r="H1257" s="11">
        <v>44462.66666666667</v>
      </c>
      <c r="I1257" s="11">
        <v>44462.75</v>
      </c>
      <c r="J1257" s="10" t="s">
        <v>33</v>
      </c>
      <c r="K1257" s="10" t="s">
        <v>61</v>
      </c>
      <c r="L1257" s="10" t="s">
        <v>1334</v>
      </c>
      <c r="N1257" s="10" t="s">
        <v>35</v>
      </c>
      <c r="V1257" s="9"/>
      <c r="W1257" s="13"/>
    </row>
    <row r="1258">
      <c r="A1258" s="10" t="s">
        <v>4699</v>
      </c>
      <c r="B1258" s="11">
        <v>44455.79477787037</v>
      </c>
      <c r="C1258" s="10" t="s">
        <v>160</v>
      </c>
      <c r="D1258" s="10" t="s">
        <v>161</v>
      </c>
      <c r="E1258" s="10" t="s">
        <v>3804</v>
      </c>
      <c r="F1258" s="10" t="s">
        <v>4700</v>
      </c>
      <c r="G1258" s="10" t="s">
        <v>4701</v>
      </c>
      <c r="H1258" s="36">
        <v>44462.77083333333</v>
      </c>
      <c r="I1258" s="11">
        <v>44462.8125</v>
      </c>
      <c r="J1258" s="10" t="s">
        <v>128</v>
      </c>
      <c r="K1258" s="10" t="s">
        <v>34</v>
      </c>
      <c r="N1258" s="10" t="s">
        <v>35</v>
      </c>
      <c r="V1258" s="14" t="s">
        <v>4702</v>
      </c>
      <c r="W1258" s="15"/>
      <c r="X1258" s="10" t="s">
        <v>37</v>
      </c>
      <c r="Y1258" s="10" t="s">
        <v>0</v>
      </c>
    </row>
    <row r="1259">
      <c r="A1259" s="10" t="s">
        <v>4703</v>
      </c>
      <c r="B1259" s="11">
        <v>44456.58346202546</v>
      </c>
      <c r="C1259" s="10" t="s">
        <v>4217</v>
      </c>
      <c r="D1259" s="10" t="s">
        <v>4211</v>
      </c>
      <c r="E1259" s="10" t="s">
        <v>4704</v>
      </c>
      <c r="F1259" s="10" t="s">
        <v>4705</v>
      </c>
      <c r="G1259" s="10" t="s">
        <v>4706</v>
      </c>
      <c r="H1259" s="11">
        <v>44452.0625</v>
      </c>
      <c r="I1259" s="11">
        <v>44459.10416666667</v>
      </c>
      <c r="J1259" s="10" t="s">
        <v>128</v>
      </c>
      <c r="K1259" s="10" t="s">
        <v>34</v>
      </c>
      <c r="N1259" s="10" t="s">
        <v>35</v>
      </c>
      <c r="V1259" s="14" t="s">
        <v>4707</v>
      </c>
      <c r="W1259" s="15"/>
      <c r="X1259" s="10" t="s">
        <v>37</v>
      </c>
      <c r="Y1259" s="10" t="s">
        <v>0</v>
      </c>
    </row>
    <row r="1260">
      <c r="A1260" s="10" t="s">
        <v>4708</v>
      </c>
      <c r="B1260" s="11">
        <v>44458.88790540509</v>
      </c>
      <c r="C1260" s="10" t="s">
        <v>581</v>
      </c>
      <c r="D1260" s="10" t="s">
        <v>220</v>
      </c>
      <c r="E1260" s="10" t="s">
        <v>4709</v>
      </c>
      <c r="F1260" s="10" t="s">
        <v>3929</v>
      </c>
      <c r="G1260" s="10" t="s">
        <v>4710</v>
      </c>
      <c r="H1260" s="11">
        <v>44462.85416666667</v>
      </c>
      <c r="I1260" s="11">
        <v>44462.89583333333</v>
      </c>
      <c r="J1260" s="10" t="s">
        <v>128</v>
      </c>
      <c r="K1260" s="10" t="s">
        <v>34</v>
      </c>
      <c r="N1260" s="10" t="s">
        <v>35</v>
      </c>
      <c r="V1260" s="14" t="s">
        <v>4711</v>
      </c>
      <c r="W1260" s="15"/>
      <c r="X1260" s="10" t="s">
        <v>37</v>
      </c>
      <c r="Y1260" s="10" t="s">
        <v>0</v>
      </c>
    </row>
    <row r="1261">
      <c r="A1261" s="10" t="s">
        <v>4712</v>
      </c>
      <c r="B1261" s="11">
        <v>44456.58477074074</v>
      </c>
      <c r="C1261" s="10" t="s">
        <v>4217</v>
      </c>
      <c r="D1261" s="10" t="s">
        <v>4211</v>
      </c>
      <c r="E1261" s="10" t="s">
        <v>4704</v>
      </c>
      <c r="F1261" s="10" t="s">
        <v>4705</v>
      </c>
      <c r="G1261" s="10" t="s">
        <v>4706</v>
      </c>
      <c r="H1261" s="36">
        <v>44463.10416666667</v>
      </c>
      <c r="I1261" s="11">
        <v>44463.14583333333</v>
      </c>
      <c r="J1261" s="10" t="s">
        <v>128</v>
      </c>
      <c r="K1261" s="10" t="s">
        <v>34</v>
      </c>
      <c r="N1261" s="10" t="s">
        <v>35</v>
      </c>
      <c r="V1261" s="14" t="s">
        <v>4713</v>
      </c>
      <c r="W1261" s="15"/>
      <c r="X1261" s="10" t="s">
        <v>37</v>
      </c>
      <c r="Y1261" s="10" t="s">
        <v>0</v>
      </c>
    </row>
    <row r="1262">
      <c r="A1262" s="10" t="s">
        <v>4714</v>
      </c>
      <c r="B1262" s="11">
        <v>44456.779840787036</v>
      </c>
      <c r="C1262" s="10" t="s">
        <v>28</v>
      </c>
      <c r="D1262" s="10" t="s">
        <v>29</v>
      </c>
      <c r="E1262" s="10" t="s">
        <v>39</v>
      </c>
      <c r="F1262" s="10" t="s">
        <v>4715</v>
      </c>
      <c r="G1262" s="10" t="s">
        <v>4716</v>
      </c>
      <c r="H1262" s="11">
        <v>44463.27083333333</v>
      </c>
      <c r="I1262" s="11">
        <v>44463.85416666667</v>
      </c>
      <c r="J1262" s="10" t="s">
        <v>51</v>
      </c>
      <c r="K1262" s="10" t="s">
        <v>34</v>
      </c>
      <c r="N1262" s="10" t="s">
        <v>35</v>
      </c>
      <c r="V1262" s="14" t="s">
        <v>4717</v>
      </c>
      <c r="W1262" s="15"/>
      <c r="X1262" s="10" t="s">
        <v>37</v>
      </c>
      <c r="Y1262" s="10" t="s">
        <v>0</v>
      </c>
    </row>
    <row r="1263">
      <c r="A1263" s="10" t="s">
        <v>4718</v>
      </c>
      <c r="B1263" s="11">
        <v>44458.49299809028</v>
      </c>
      <c r="C1263" s="10" t="s">
        <v>80</v>
      </c>
      <c r="D1263" s="10" t="s">
        <v>81</v>
      </c>
      <c r="E1263" s="10" t="s">
        <v>2119</v>
      </c>
      <c r="F1263" s="10" t="s">
        <v>4719</v>
      </c>
      <c r="G1263" s="10" t="s">
        <v>4720</v>
      </c>
      <c r="H1263" s="11">
        <v>44463.33333333333</v>
      </c>
      <c r="I1263" s="11">
        <v>44463.375</v>
      </c>
      <c r="J1263" s="10" t="s">
        <v>73</v>
      </c>
      <c r="K1263" s="10" t="s">
        <v>34</v>
      </c>
      <c r="N1263" s="10" t="s">
        <v>35</v>
      </c>
      <c r="V1263" s="14" t="s">
        <v>4721</v>
      </c>
      <c r="W1263" s="15"/>
      <c r="X1263" s="10" t="s">
        <v>37</v>
      </c>
      <c r="Y1263" s="10" t="s">
        <v>0</v>
      </c>
    </row>
    <row r="1264">
      <c r="A1264" s="10" t="s">
        <v>4722</v>
      </c>
      <c r="B1264" s="11">
        <v>44456.58381871528</v>
      </c>
      <c r="C1264" s="10" t="s">
        <v>181</v>
      </c>
      <c r="D1264" s="10" t="s">
        <v>69</v>
      </c>
      <c r="E1264" s="10" t="s">
        <v>4654</v>
      </c>
      <c r="F1264" s="10" t="s">
        <v>4723</v>
      </c>
      <c r="G1264" s="10" t="s">
        <v>4045</v>
      </c>
      <c r="H1264" s="36">
        <v>44463.375</v>
      </c>
      <c r="I1264" s="11">
        <v>44463.39583333333</v>
      </c>
      <c r="J1264" s="10" t="s">
        <v>73</v>
      </c>
      <c r="K1264" s="10" t="s">
        <v>34</v>
      </c>
      <c r="N1264" s="10" t="s">
        <v>35</v>
      </c>
      <c r="V1264" s="14" t="s">
        <v>4046</v>
      </c>
      <c r="W1264" s="15"/>
      <c r="X1264" s="10" t="s">
        <v>37</v>
      </c>
      <c r="Y1264" s="10" t="s">
        <v>0</v>
      </c>
    </row>
    <row r="1265">
      <c r="A1265" s="10" t="s">
        <v>4724</v>
      </c>
      <c r="B1265" s="11">
        <v>44456.62667449074</v>
      </c>
      <c r="C1265" s="10" t="s">
        <v>239</v>
      </c>
      <c r="D1265" s="10" t="s">
        <v>240</v>
      </c>
      <c r="E1265" s="10" t="s">
        <v>4548</v>
      </c>
      <c r="F1265" s="10" t="s">
        <v>4725</v>
      </c>
      <c r="G1265" s="10" t="s">
        <v>4726</v>
      </c>
      <c r="H1265" s="11">
        <v>44453.8125</v>
      </c>
      <c r="I1265" s="11">
        <v>44453.875</v>
      </c>
      <c r="J1265" s="10" t="s">
        <v>33</v>
      </c>
      <c r="K1265" s="10" t="s">
        <v>34</v>
      </c>
      <c r="N1265" s="10" t="s">
        <v>35</v>
      </c>
      <c r="V1265" s="35" t="s">
        <v>4551</v>
      </c>
      <c r="W1265" s="15"/>
      <c r="X1265" s="10" t="s">
        <v>37</v>
      </c>
      <c r="Y1265" s="10" t="s">
        <v>0</v>
      </c>
    </row>
    <row r="1266">
      <c r="A1266" s="10" t="s">
        <v>4727</v>
      </c>
      <c r="B1266" s="11">
        <v>44456.628527928246</v>
      </c>
      <c r="C1266" s="10" t="s">
        <v>239</v>
      </c>
      <c r="D1266" s="10" t="s">
        <v>240</v>
      </c>
      <c r="E1266" s="10" t="s">
        <v>4548</v>
      </c>
      <c r="F1266" s="10" t="s">
        <v>4728</v>
      </c>
      <c r="G1266" s="10" t="s">
        <v>4729</v>
      </c>
      <c r="H1266" s="11">
        <v>44453.85416666667</v>
      </c>
      <c r="I1266" s="11">
        <v>44453.875</v>
      </c>
      <c r="J1266" s="10" t="s">
        <v>33</v>
      </c>
      <c r="K1266" s="10" t="s">
        <v>34</v>
      </c>
      <c r="N1266" s="10" t="s">
        <v>35</v>
      </c>
      <c r="V1266" s="35" t="s">
        <v>4551</v>
      </c>
      <c r="W1266" s="15"/>
      <c r="X1266" s="10" t="s">
        <v>37</v>
      </c>
      <c r="Y1266" s="10" t="s">
        <v>0</v>
      </c>
    </row>
    <row r="1267">
      <c r="A1267" s="10" t="s">
        <v>4730</v>
      </c>
      <c r="B1267" s="11">
        <v>44456.6292978125</v>
      </c>
      <c r="C1267" s="10" t="s">
        <v>239</v>
      </c>
      <c r="D1267" s="10" t="s">
        <v>240</v>
      </c>
      <c r="E1267" s="10" t="s">
        <v>4548</v>
      </c>
      <c r="F1267" s="10" t="s">
        <v>4731</v>
      </c>
      <c r="G1267" s="10" t="s">
        <v>4732</v>
      </c>
      <c r="H1267" s="11">
        <v>44453.85416666667</v>
      </c>
      <c r="I1267" s="11">
        <v>44453.89583333333</v>
      </c>
      <c r="J1267" s="10" t="s">
        <v>33</v>
      </c>
      <c r="K1267" s="10" t="s">
        <v>34</v>
      </c>
      <c r="N1267" s="10" t="s">
        <v>35</v>
      </c>
      <c r="V1267" s="35" t="s">
        <v>4551</v>
      </c>
      <c r="W1267" s="15"/>
      <c r="X1267" s="10" t="s">
        <v>37</v>
      </c>
      <c r="Y1267" s="10" t="s">
        <v>0</v>
      </c>
    </row>
    <row r="1268">
      <c r="A1268" s="10" t="s">
        <v>4733</v>
      </c>
      <c r="B1268" s="11">
        <v>44456.62990597222</v>
      </c>
      <c r="C1268" s="10" t="s">
        <v>239</v>
      </c>
      <c r="D1268" s="10" t="s">
        <v>240</v>
      </c>
      <c r="E1268" s="10" t="s">
        <v>4548</v>
      </c>
      <c r="F1268" s="10" t="s">
        <v>4734</v>
      </c>
      <c r="G1268" s="10" t="s">
        <v>4735</v>
      </c>
      <c r="H1268" s="11">
        <v>44453.85416666667</v>
      </c>
      <c r="I1268" s="11">
        <v>44453.875</v>
      </c>
      <c r="J1268" s="10" t="s">
        <v>33</v>
      </c>
      <c r="K1268" s="10" t="s">
        <v>34</v>
      </c>
      <c r="N1268" s="10" t="s">
        <v>35</v>
      </c>
      <c r="V1268" s="35" t="s">
        <v>4551</v>
      </c>
      <c r="W1268" s="15"/>
      <c r="X1268" s="10" t="s">
        <v>37</v>
      </c>
      <c r="Y1268" s="10" t="s">
        <v>0</v>
      </c>
    </row>
    <row r="1269">
      <c r="A1269" s="10" t="s">
        <v>4736</v>
      </c>
      <c r="B1269" s="11">
        <v>44456.64528462963</v>
      </c>
      <c r="C1269" s="10" t="s">
        <v>160</v>
      </c>
      <c r="D1269" s="10" t="s">
        <v>161</v>
      </c>
      <c r="E1269" s="10" t="s">
        <v>3953</v>
      </c>
      <c r="F1269" s="10" t="s">
        <v>4737</v>
      </c>
      <c r="G1269" s="10" t="s">
        <v>4738</v>
      </c>
      <c r="H1269" s="11">
        <v>44457.41666666667</v>
      </c>
      <c r="I1269" s="11">
        <v>44456.42708333333</v>
      </c>
      <c r="J1269" s="10" t="s">
        <v>73</v>
      </c>
      <c r="K1269" s="10" t="s">
        <v>34</v>
      </c>
      <c r="N1269" s="10" t="s">
        <v>35</v>
      </c>
      <c r="V1269" s="14" t="s">
        <v>4739</v>
      </c>
      <c r="W1269" s="15"/>
      <c r="X1269" s="10" t="s">
        <v>37</v>
      </c>
      <c r="Y1269" s="10" t="s">
        <v>0</v>
      </c>
    </row>
    <row r="1270">
      <c r="A1270" s="10" t="s">
        <v>4740</v>
      </c>
      <c r="B1270" s="11">
        <v>44427.52168667824</v>
      </c>
      <c r="C1270" s="10" t="s">
        <v>209</v>
      </c>
      <c r="D1270" s="10" t="s">
        <v>210</v>
      </c>
      <c r="E1270" s="10" t="s">
        <v>261</v>
      </c>
      <c r="F1270" s="10" t="s">
        <v>3860</v>
      </c>
      <c r="G1270" s="10" t="s">
        <v>4741</v>
      </c>
      <c r="H1270" s="36">
        <v>44463.4375</v>
      </c>
      <c r="I1270" s="11">
        <v>44463.52083333333</v>
      </c>
      <c r="J1270" s="10" t="s">
        <v>128</v>
      </c>
      <c r="K1270" s="10" t="s">
        <v>34</v>
      </c>
      <c r="N1270" s="10" t="s">
        <v>35</v>
      </c>
      <c r="V1270" s="35" t="s">
        <v>3942</v>
      </c>
      <c r="W1270" s="15"/>
      <c r="X1270" s="10" t="s">
        <v>37</v>
      </c>
      <c r="Y1270" s="10" t="s">
        <v>0</v>
      </c>
    </row>
    <row r="1271">
      <c r="A1271" s="10" t="s">
        <v>4742</v>
      </c>
      <c r="B1271" s="11">
        <v>44459.43478236111</v>
      </c>
      <c r="C1271" s="10" t="s">
        <v>80</v>
      </c>
      <c r="D1271" s="10" t="s">
        <v>81</v>
      </c>
      <c r="E1271" s="10" t="s">
        <v>4743</v>
      </c>
      <c r="F1271" s="10" t="s">
        <v>4744</v>
      </c>
      <c r="G1271" s="10" t="s">
        <v>4745</v>
      </c>
      <c r="H1271" s="11">
        <v>44462.66666666667</v>
      </c>
      <c r="I1271" s="11">
        <v>44462.70833333333</v>
      </c>
      <c r="J1271" s="10" t="s">
        <v>43</v>
      </c>
      <c r="K1271" s="10" t="s">
        <v>34</v>
      </c>
      <c r="N1271" s="10" t="s">
        <v>296</v>
      </c>
      <c r="O1271" s="18" t="s">
        <v>4746</v>
      </c>
      <c r="P1271" s="10" t="s">
        <v>35</v>
      </c>
      <c r="R1271" s="10" t="s">
        <v>296</v>
      </c>
      <c r="S1271" s="10">
        <v>1.0</v>
      </c>
      <c r="T1271" s="10" t="s">
        <v>35</v>
      </c>
      <c r="V1271" s="14" t="s">
        <v>4747</v>
      </c>
      <c r="W1271" s="15"/>
      <c r="X1271" s="10" t="s">
        <v>37</v>
      </c>
      <c r="Y1271" s="10" t="s">
        <v>0</v>
      </c>
    </row>
    <row r="1272">
      <c r="A1272" s="10" t="s">
        <v>4748</v>
      </c>
      <c r="B1272" s="11">
        <v>44458.95025677083</v>
      </c>
      <c r="C1272" s="10" t="s">
        <v>581</v>
      </c>
      <c r="D1272" s="10" t="s">
        <v>220</v>
      </c>
      <c r="E1272" s="10" t="s">
        <v>3606</v>
      </c>
      <c r="F1272" s="10" t="s">
        <v>4749</v>
      </c>
      <c r="G1272" s="10" t="s">
        <v>4750</v>
      </c>
      <c r="H1272" s="11">
        <v>44463.52083333333</v>
      </c>
      <c r="I1272" s="11">
        <v>44463.5625</v>
      </c>
      <c r="J1272" s="10" t="s">
        <v>128</v>
      </c>
      <c r="K1272" s="10" t="s">
        <v>34</v>
      </c>
      <c r="N1272" s="10" t="s">
        <v>35</v>
      </c>
      <c r="V1272" s="14" t="s">
        <v>4751</v>
      </c>
      <c r="W1272" s="15"/>
    </row>
    <row r="1273">
      <c r="A1273" s="10" t="s">
        <v>4752</v>
      </c>
      <c r="B1273" s="11">
        <v>44408.90810434028</v>
      </c>
      <c r="C1273" s="10" t="s">
        <v>137</v>
      </c>
      <c r="D1273" s="10" t="s">
        <v>138</v>
      </c>
      <c r="E1273" s="10" t="s">
        <v>3299</v>
      </c>
      <c r="F1273" s="10" t="s">
        <v>921</v>
      </c>
      <c r="G1273" s="10" t="s">
        <v>3438</v>
      </c>
      <c r="H1273" s="36">
        <v>44463.58333333333</v>
      </c>
      <c r="I1273" s="11">
        <v>44463.66666666667</v>
      </c>
      <c r="J1273" s="10" t="s">
        <v>128</v>
      </c>
      <c r="K1273" s="10" t="s">
        <v>34</v>
      </c>
      <c r="N1273" s="10" t="s">
        <v>35</v>
      </c>
      <c r="V1273" s="9"/>
      <c r="W1273" s="13"/>
      <c r="X1273" s="10" t="s">
        <v>37</v>
      </c>
      <c r="Y1273" s="10" t="s">
        <v>0</v>
      </c>
    </row>
    <row r="1274">
      <c r="A1274" s="10" t="s">
        <v>4753</v>
      </c>
      <c r="B1274" s="11">
        <v>44452.86142277777</v>
      </c>
      <c r="C1274" s="10" t="s">
        <v>418</v>
      </c>
      <c r="D1274" s="10" t="s">
        <v>419</v>
      </c>
      <c r="E1274" s="10" t="s">
        <v>4533</v>
      </c>
      <c r="F1274" s="10" t="s">
        <v>4754</v>
      </c>
      <c r="G1274" s="10" t="s">
        <v>4755</v>
      </c>
      <c r="H1274" s="36">
        <v>44463.4375</v>
      </c>
      <c r="I1274" s="11">
        <v>44463.47916666667</v>
      </c>
      <c r="J1274" s="10" t="s">
        <v>43</v>
      </c>
      <c r="K1274" s="10" t="s">
        <v>34</v>
      </c>
      <c r="N1274" s="10" t="s">
        <v>296</v>
      </c>
      <c r="O1274" s="18" t="s">
        <v>4756</v>
      </c>
      <c r="P1274" s="10" t="s">
        <v>296</v>
      </c>
      <c r="Q1274" s="10">
        <v>1.0</v>
      </c>
      <c r="R1274" s="10" t="s">
        <v>35</v>
      </c>
      <c r="T1274" s="10" t="s">
        <v>35</v>
      </c>
      <c r="V1274" s="14" t="s">
        <v>4757</v>
      </c>
      <c r="W1274" s="15"/>
      <c r="X1274" s="10" t="s">
        <v>37</v>
      </c>
      <c r="Y1274" s="10" t="s">
        <v>0</v>
      </c>
    </row>
    <row r="1275">
      <c r="A1275" s="10" t="s">
        <v>4758</v>
      </c>
      <c r="B1275" s="11">
        <v>44455.01924702546</v>
      </c>
      <c r="C1275" s="10" t="s">
        <v>381</v>
      </c>
      <c r="D1275" s="10" t="s">
        <v>382</v>
      </c>
      <c r="E1275" s="10" t="s">
        <v>1487</v>
      </c>
      <c r="F1275" s="10" t="s">
        <v>4759</v>
      </c>
      <c r="G1275" s="10" t="s">
        <v>4760</v>
      </c>
      <c r="H1275" s="36">
        <v>44463.6875</v>
      </c>
      <c r="I1275" s="11">
        <v>44463.72916666667</v>
      </c>
      <c r="J1275" s="10" t="s">
        <v>128</v>
      </c>
      <c r="K1275" s="10" t="s">
        <v>34</v>
      </c>
      <c r="N1275" s="10" t="s">
        <v>35</v>
      </c>
      <c r="V1275" s="14" t="s">
        <v>3990</v>
      </c>
      <c r="W1275" s="15"/>
      <c r="X1275" s="10" t="s">
        <v>37</v>
      </c>
      <c r="Y1275" s="10" t="s">
        <v>0</v>
      </c>
    </row>
    <row r="1276">
      <c r="A1276" s="10" t="s">
        <v>4761</v>
      </c>
      <c r="B1276" s="11">
        <v>44456.65371829861</v>
      </c>
      <c r="C1276" s="10" t="s">
        <v>4217</v>
      </c>
      <c r="D1276" s="10" t="s">
        <v>4211</v>
      </c>
      <c r="E1276" s="10" t="s">
        <v>4762</v>
      </c>
      <c r="F1276" s="10" t="s">
        <v>4763</v>
      </c>
      <c r="G1276" s="10" t="s">
        <v>4764</v>
      </c>
      <c r="H1276" s="36">
        <v>44464.125</v>
      </c>
      <c r="I1276" s="11">
        <v>44464.16666666667</v>
      </c>
      <c r="J1276" s="10" t="s">
        <v>128</v>
      </c>
      <c r="K1276" s="10" t="s">
        <v>34</v>
      </c>
      <c r="N1276" s="10" t="s">
        <v>35</v>
      </c>
      <c r="V1276" s="14" t="s">
        <v>4765</v>
      </c>
      <c r="W1276" s="15"/>
      <c r="X1276" s="10" t="s">
        <v>37</v>
      </c>
      <c r="Y1276" s="10" t="s">
        <v>0</v>
      </c>
    </row>
    <row r="1277">
      <c r="A1277" s="10" t="s">
        <v>4766</v>
      </c>
      <c r="B1277" s="11">
        <v>44450.45649224537</v>
      </c>
      <c r="C1277" s="10" t="s">
        <v>418</v>
      </c>
      <c r="D1277" s="10" t="s">
        <v>419</v>
      </c>
      <c r="E1277" s="10" t="s">
        <v>4533</v>
      </c>
      <c r="F1277" s="10" t="s">
        <v>4767</v>
      </c>
      <c r="G1277" s="10" t="s">
        <v>4768</v>
      </c>
      <c r="H1277" s="36">
        <v>44464.33333333333</v>
      </c>
      <c r="I1277" s="11">
        <v>44464.5</v>
      </c>
      <c r="J1277" s="10" t="s">
        <v>128</v>
      </c>
      <c r="K1277" s="10" t="s">
        <v>34</v>
      </c>
      <c r="N1277" s="10" t="s">
        <v>296</v>
      </c>
      <c r="O1277" s="18" t="s">
        <v>4769</v>
      </c>
      <c r="P1277" s="10" t="s">
        <v>296</v>
      </c>
      <c r="Q1277" s="10">
        <v>1.0</v>
      </c>
      <c r="R1277" s="10" t="s">
        <v>35</v>
      </c>
      <c r="T1277" s="10" t="s">
        <v>35</v>
      </c>
      <c r="V1277" s="35" t="s">
        <v>4537</v>
      </c>
      <c r="W1277" s="15"/>
      <c r="X1277" s="10" t="s">
        <v>37</v>
      </c>
      <c r="Y1277" s="10" t="s">
        <v>0</v>
      </c>
    </row>
    <row r="1278">
      <c r="A1278" s="10" t="s">
        <v>4770</v>
      </c>
      <c r="B1278" s="11">
        <v>44456.93821738426</v>
      </c>
      <c r="C1278" s="10" t="s">
        <v>347</v>
      </c>
      <c r="D1278" s="10" t="s">
        <v>348</v>
      </c>
      <c r="E1278" s="10" t="s">
        <v>3429</v>
      </c>
      <c r="F1278" s="10" t="s">
        <v>3564</v>
      </c>
      <c r="G1278" s="10" t="s">
        <v>4771</v>
      </c>
      <c r="H1278" s="11">
        <v>44464.4375</v>
      </c>
      <c r="I1278" s="11">
        <v>44464.52083333333</v>
      </c>
      <c r="J1278" s="10" t="s">
        <v>128</v>
      </c>
      <c r="K1278" s="10" t="s">
        <v>34</v>
      </c>
      <c r="N1278" s="10" t="s">
        <v>35</v>
      </c>
      <c r="V1278" s="14" t="s">
        <v>3562</v>
      </c>
      <c r="W1278" s="15"/>
      <c r="X1278" s="10" t="s">
        <v>37</v>
      </c>
      <c r="Y1278" s="10" t="s">
        <v>0</v>
      </c>
    </row>
    <row r="1279">
      <c r="A1279" s="10" t="s">
        <v>4772</v>
      </c>
      <c r="B1279" s="11">
        <v>44446.43331813657</v>
      </c>
      <c r="C1279" s="10" t="s">
        <v>209</v>
      </c>
      <c r="D1279" s="10" t="s">
        <v>210</v>
      </c>
      <c r="E1279" s="10" t="s">
        <v>261</v>
      </c>
      <c r="F1279" s="10" t="s">
        <v>4374</v>
      </c>
      <c r="G1279" s="10" t="s">
        <v>4375</v>
      </c>
      <c r="H1279" s="36">
        <v>44464.47916666667</v>
      </c>
      <c r="I1279" s="11">
        <v>44464.52083333333</v>
      </c>
      <c r="J1279" s="10" t="s">
        <v>33</v>
      </c>
      <c r="K1279" s="10" t="s">
        <v>34</v>
      </c>
      <c r="N1279" s="10" t="s">
        <v>35</v>
      </c>
      <c r="V1279" s="14" t="s">
        <v>4376</v>
      </c>
      <c r="W1279" s="15"/>
      <c r="X1279" s="10" t="s">
        <v>37</v>
      </c>
      <c r="Y1279" s="10" t="s">
        <v>0</v>
      </c>
    </row>
    <row r="1280">
      <c r="A1280" s="10" t="s">
        <v>4773</v>
      </c>
      <c r="B1280" s="11">
        <v>44455.80170940972</v>
      </c>
      <c r="C1280" s="10" t="s">
        <v>160</v>
      </c>
      <c r="D1280" s="10" t="s">
        <v>161</v>
      </c>
      <c r="E1280" s="10" t="s">
        <v>3804</v>
      </c>
      <c r="F1280" s="10" t="s">
        <v>4774</v>
      </c>
      <c r="G1280" s="10" t="s">
        <v>4775</v>
      </c>
      <c r="H1280" s="36">
        <v>44463.60416666667</v>
      </c>
      <c r="I1280" s="11">
        <v>44463.64583333333</v>
      </c>
      <c r="J1280" s="10" t="s">
        <v>43</v>
      </c>
      <c r="K1280" s="10" t="s">
        <v>34</v>
      </c>
      <c r="N1280" s="10" t="s">
        <v>296</v>
      </c>
      <c r="O1280" s="18" t="s">
        <v>4776</v>
      </c>
      <c r="P1280" s="10" t="s">
        <v>35</v>
      </c>
      <c r="R1280" s="10" t="s">
        <v>296</v>
      </c>
      <c r="S1280" s="10">
        <v>1.0</v>
      </c>
      <c r="T1280" s="10" t="s">
        <v>296</v>
      </c>
      <c r="U1280" s="10">
        <v>1.0</v>
      </c>
      <c r="V1280" s="14" t="s">
        <v>4777</v>
      </c>
      <c r="W1280" s="15"/>
      <c r="X1280" s="10" t="s">
        <v>37</v>
      </c>
      <c r="Y1280" s="10" t="s">
        <v>0</v>
      </c>
    </row>
    <row r="1281">
      <c r="A1281" s="10" t="s">
        <v>4778</v>
      </c>
      <c r="B1281" s="11">
        <v>44456.934946284724</v>
      </c>
      <c r="C1281" s="10" t="s">
        <v>347</v>
      </c>
      <c r="D1281" s="10" t="s">
        <v>348</v>
      </c>
      <c r="E1281" s="10" t="s">
        <v>3429</v>
      </c>
      <c r="F1281" s="10" t="s">
        <v>4779</v>
      </c>
      <c r="G1281" s="10" t="s">
        <v>4780</v>
      </c>
      <c r="H1281" s="11">
        <v>44464.60416666667</v>
      </c>
      <c r="I1281" s="11">
        <v>44464.6875</v>
      </c>
      <c r="J1281" s="10" t="s">
        <v>128</v>
      </c>
      <c r="K1281" s="10" t="s">
        <v>34</v>
      </c>
      <c r="N1281" s="10" t="s">
        <v>35</v>
      </c>
      <c r="V1281" s="14" t="s">
        <v>4781</v>
      </c>
      <c r="W1281" s="15"/>
      <c r="X1281" s="10" t="s">
        <v>37</v>
      </c>
      <c r="Y1281" s="10" t="s">
        <v>0</v>
      </c>
    </row>
    <row r="1282">
      <c r="A1282" s="10" t="s">
        <v>4782</v>
      </c>
      <c r="B1282" s="11">
        <v>44446.453665243054</v>
      </c>
      <c r="C1282" s="10" t="s">
        <v>209</v>
      </c>
      <c r="D1282" s="10" t="s">
        <v>210</v>
      </c>
      <c r="E1282" s="10" t="s">
        <v>261</v>
      </c>
      <c r="F1282" s="10" t="s">
        <v>4519</v>
      </c>
      <c r="G1282" s="10" t="s">
        <v>4393</v>
      </c>
      <c r="H1282" s="36">
        <v>44464.64583333333</v>
      </c>
      <c r="I1282" s="11">
        <v>44464.6875</v>
      </c>
      <c r="J1282" s="10" t="s">
        <v>128</v>
      </c>
      <c r="K1282" s="10" t="s">
        <v>34</v>
      </c>
      <c r="N1282" s="10" t="s">
        <v>35</v>
      </c>
      <c r="V1282" s="14" t="s">
        <v>4394</v>
      </c>
      <c r="W1282" s="15"/>
      <c r="X1282" s="10" t="s">
        <v>37</v>
      </c>
      <c r="Y1282" s="10" t="s">
        <v>0</v>
      </c>
    </row>
    <row r="1283">
      <c r="A1283" s="10" t="s">
        <v>4783</v>
      </c>
      <c r="B1283" s="11">
        <v>44456.8151153125</v>
      </c>
      <c r="C1283" s="10" t="s">
        <v>3916</v>
      </c>
      <c r="D1283" s="10" t="s">
        <v>3917</v>
      </c>
      <c r="E1283" s="10" t="s">
        <v>3918</v>
      </c>
      <c r="F1283" s="10" t="s">
        <v>4784</v>
      </c>
      <c r="G1283" s="10" t="s">
        <v>4785</v>
      </c>
      <c r="H1283" s="11">
        <v>44464.75</v>
      </c>
      <c r="I1283" s="11">
        <v>44464.83333333333</v>
      </c>
      <c r="J1283" s="10" t="s">
        <v>128</v>
      </c>
      <c r="K1283" s="10" t="s">
        <v>34</v>
      </c>
      <c r="N1283" s="10" t="s">
        <v>35</v>
      </c>
      <c r="V1283" s="14" t="s">
        <v>4786</v>
      </c>
      <c r="W1283" s="15"/>
      <c r="X1283" s="10" t="s">
        <v>37</v>
      </c>
      <c r="Y1283" s="10" t="s">
        <v>0</v>
      </c>
    </row>
    <row r="1284">
      <c r="A1284" s="10" t="s">
        <v>4787</v>
      </c>
      <c r="B1284" s="11">
        <v>44456.566951747685</v>
      </c>
      <c r="C1284" s="10" t="s">
        <v>181</v>
      </c>
      <c r="D1284" s="10" t="s">
        <v>69</v>
      </c>
      <c r="E1284" s="10" t="s">
        <v>2979</v>
      </c>
      <c r="F1284" s="10" t="s">
        <v>4788</v>
      </c>
      <c r="G1284" s="10" t="s">
        <v>4789</v>
      </c>
      <c r="H1284" s="36">
        <v>44464.60416666667</v>
      </c>
      <c r="I1284" s="11">
        <v>44464.70833333333</v>
      </c>
      <c r="J1284" s="10" t="s">
        <v>43</v>
      </c>
      <c r="K1284" s="10" t="s">
        <v>34</v>
      </c>
      <c r="N1284" s="10" t="s">
        <v>296</v>
      </c>
      <c r="O1284" s="18" t="s">
        <v>4790</v>
      </c>
      <c r="P1284" s="10" t="s">
        <v>296</v>
      </c>
      <c r="Q1284" s="10">
        <v>1.0</v>
      </c>
      <c r="R1284" s="10" t="s">
        <v>296</v>
      </c>
      <c r="S1284" s="10">
        <v>1.0</v>
      </c>
      <c r="T1284" s="10" t="s">
        <v>35</v>
      </c>
      <c r="V1284" s="14" t="s">
        <v>4791</v>
      </c>
      <c r="W1284" s="15"/>
      <c r="X1284" s="10" t="s">
        <v>37</v>
      </c>
      <c r="Y1284" s="10" t="s">
        <v>0</v>
      </c>
    </row>
    <row r="1285">
      <c r="A1285" s="10" t="s">
        <v>4792</v>
      </c>
      <c r="B1285" s="11">
        <v>44459.69510452547</v>
      </c>
      <c r="C1285" s="10" t="s">
        <v>160</v>
      </c>
      <c r="D1285" s="10" t="s">
        <v>161</v>
      </c>
      <c r="E1285" s="10" t="s">
        <v>3953</v>
      </c>
      <c r="F1285" s="10" t="s">
        <v>4793</v>
      </c>
      <c r="G1285" s="10" t="s">
        <v>4794</v>
      </c>
      <c r="H1285" s="11">
        <v>44460.66666666667</v>
      </c>
      <c r="I1285" s="11">
        <v>44460.67708333333</v>
      </c>
      <c r="J1285" s="10" t="s">
        <v>73</v>
      </c>
      <c r="K1285" s="10" t="s">
        <v>34</v>
      </c>
      <c r="N1285" s="10" t="s">
        <v>35</v>
      </c>
      <c r="V1285" s="14" t="s">
        <v>4739</v>
      </c>
      <c r="W1285" s="15"/>
      <c r="X1285" s="10" t="s">
        <v>37</v>
      </c>
      <c r="Y1285" s="10" t="s">
        <v>0</v>
      </c>
    </row>
    <row r="1286">
      <c r="A1286" s="10" t="s">
        <v>4795</v>
      </c>
      <c r="B1286" s="11">
        <v>44459.69906951389</v>
      </c>
      <c r="C1286" s="10" t="s">
        <v>160</v>
      </c>
      <c r="D1286" s="10" t="s">
        <v>161</v>
      </c>
      <c r="E1286" s="10" t="s">
        <v>3953</v>
      </c>
      <c r="F1286" s="10" t="s">
        <v>4796</v>
      </c>
      <c r="G1286" s="10" t="s">
        <v>4797</v>
      </c>
      <c r="H1286" s="11">
        <v>44464.66666666667</v>
      </c>
      <c r="I1286" s="11">
        <v>44464.67708333333</v>
      </c>
      <c r="J1286" s="10" t="s">
        <v>73</v>
      </c>
      <c r="K1286" s="10" t="s">
        <v>34</v>
      </c>
      <c r="N1286" s="10" t="s">
        <v>35</v>
      </c>
      <c r="V1286" s="14" t="s">
        <v>4739</v>
      </c>
      <c r="W1286" s="15"/>
      <c r="X1286" s="10" t="s">
        <v>37</v>
      </c>
      <c r="Y1286" s="10" t="s">
        <v>0</v>
      </c>
    </row>
    <row r="1287">
      <c r="A1287" s="10" t="s">
        <v>4798</v>
      </c>
      <c r="B1287" s="11">
        <v>44465.50966112268</v>
      </c>
      <c r="C1287" s="10" t="s">
        <v>4217</v>
      </c>
      <c r="D1287" s="10" t="s">
        <v>4211</v>
      </c>
      <c r="E1287" s="10" t="s">
        <v>4799</v>
      </c>
      <c r="F1287" s="10" t="s">
        <v>4800</v>
      </c>
      <c r="G1287" s="10" t="s">
        <v>4801</v>
      </c>
      <c r="H1287" s="11">
        <v>44466.72916666667</v>
      </c>
      <c r="I1287" s="11">
        <v>44466.77083333333</v>
      </c>
      <c r="J1287" s="10" t="s">
        <v>43</v>
      </c>
      <c r="K1287" s="10" t="s">
        <v>34</v>
      </c>
      <c r="N1287" s="10" t="s">
        <v>35</v>
      </c>
      <c r="V1287" s="14" t="s">
        <v>4802</v>
      </c>
      <c r="W1287" s="15"/>
      <c r="X1287" s="10" t="s">
        <v>37</v>
      </c>
      <c r="Y1287" s="10" t="s">
        <v>0</v>
      </c>
    </row>
    <row r="1288">
      <c r="A1288" s="10" t="s">
        <v>4803</v>
      </c>
      <c r="B1288" s="11">
        <v>44463.893340821756</v>
      </c>
      <c r="C1288" s="10" t="s">
        <v>581</v>
      </c>
      <c r="D1288" s="10" t="s">
        <v>220</v>
      </c>
      <c r="E1288" s="10" t="s">
        <v>3586</v>
      </c>
      <c r="F1288" s="10" t="s">
        <v>4804</v>
      </c>
      <c r="G1288" s="10" t="s">
        <v>4805</v>
      </c>
      <c r="H1288" s="41">
        <v>44468.47916666667</v>
      </c>
      <c r="I1288" s="41">
        <v>44468.52083333333</v>
      </c>
      <c r="J1288" s="10" t="s">
        <v>73</v>
      </c>
      <c r="K1288" s="10" t="s">
        <v>34</v>
      </c>
      <c r="N1288" s="10" t="s">
        <v>35</v>
      </c>
      <c r="V1288" s="14" t="s">
        <v>4660</v>
      </c>
      <c r="W1288" s="15"/>
    </row>
    <row r="1289">
      <c r="A1289" s="10" t="s">
        <v>4806</v>
      </c>
      <c r="B1289" s="11">
        <v>44460.746705439815</v>
      </c>
      <c r="C1289" s="10" t="s">
        <v>3304</v>
      </c>
      <c r="D1289" s="10" t="s">
        <v>695</v>
      </c>
      <c r="E1289" s="10" t="s">
        <v>4807</v>
      </c>
      <c r="F1289" s="10" t="s">
        <v>4808</v>
      </c>
      <c r="G1289" s="10" t="s">
        <v>4809</v>
      </c>
      <c r="H1289" s="11">
        <v>44460.77083333333</v>
      </c>
      <c r="I1289" s="11">
        <v>44460.8125</v>
      </c>
      <c r="J1289" s="10" t="s">
        <v>33</v>
      </c>
      <c r="K1289" s="10" t="s">
        <v>34</v>
      </c>
      <c r="N1289" s="10" t="s">
        <v>35</v>
      </c>
      <c r="V1289" s="14" t="s">
        <v>4810</v>
      </c>
      <c r="W1289" s="15"/>
      <c r="X1289" s="10" t="s">
        <v>37</v>
      </c>
      <c r="Y1289" s="10" t="s">
        <v>0</v>
      </c>
    </row>
    <row r="1290">
      <c r="A1290" s="10" t="s">
        <v>4811</v>
      </c>
      <c r="B1290" s="11">
        <v>44461.4703533912</v>
      </c>
      <c r="C1290" s="10" t="s">
        <v>671</v>
      </c>
      <c r="D1290" s="10" t="s">
        <v>672</v>
      </c>
      <c r="E1290" s="10" t="s">
        <v>4812</v>
      </c>
      <c r="F1290" s="10" t="s">
        <v>4813</v>
      </c>
      <c r="G1290" s="10" t="s">
        <v>4814</v>
      </c>
      <c r="H1290" s="11">
        <v>44463.9375</v>
      </c>
      <c r="I1290" s="11">
        <v>44463.97916666667</v>
      </c>
      <c r="J1290" s="10" t="s">
        <v>128</v>
      </c>
      <c r="K1290" s="10" t="s">
        <v>34</v>
      </c>
      <c r="N1290" s="10" t="s">
        <v>35</v>
      </c>
      <c r="V1290" s="14" t="s">
        <v>3906</v>
      </c>
      <c r="W1290" s="15"/>
      <c r="X1290" s="10" t="s">
        <v>37</v>
      </c>
      <c r="Y1290" s="10" t="s">
        <v>0</v>
      </c>
    </row>
    <row r="1291">
      <c r="A1291" s="10" t="s">
        <v>4815</v>
      </c>
      <c r="B1291" s="11">
        <v>44461.471321122684</v>
      </c>
      <c r="C1291" s="10" t="s">
        <v>671</v>
      </c>
      <c r="D1291" s="10" t="s">
        <v>672</v>
      </c>
      <c r="E1291" s="10" t="s">
        <v>4816</v>
      </c>
      <c r="F1291" s="10" t="s">
        <v>4817</v>
      </c>
      <c r="G1291" s="10" t="s">
        <v>4407</v>
      </c>
      <c r="H1291" s="11">
        <v>44462.52083333333</v>
      </c>
      <c r="I1291" s="11">
        <v>44462.5625</v>
      </c>
      <c r="J1291" s="10" t="s">
        <v>128</v>
      </c>
      <c r="K1291" s="10" t="s">
        <v>34</v>
      </c>
      <c r="N1291" s="10" t="s">
        <v>35</v>
      </c>
      <c r="V1291" s="14" t="s">
        <v>3906</v>
      </c>
      <c r="W1291" s="15"/>
      <c r="X1291" s="10" t="s">
        <v>37</v>
      </c>
      <c r="Y1291" s="10" t="s">
        <v>0</v>
      </c>
    </row>
    <row r="1292">
      <c r="A1292" s="10" t="s">
        <v>4818</v>
      </c>
      <c r="B1292" s="11">
        <v>44462.58940442129</v>
      </c>
      <c r="C1292" s="10" t="s">
        <v>3304</v>
      </c>
      <c r="D1292" s="10" t="s">
        <v>695</v>
      </c>
      <c r="E1292" s="10" t="s">
        <v>4316</v>
      </c>
      <c r="F1292" s="10" t="s">
        <v>4819</v>
      </c>
      <c r="G1292" s="10" t="s">
        <v>4820</v>
      </c>
      <c r="H1292" s="11">
        <v>44463.4375</v>
      </c>
      <c r="I1292" s="11">
        <v>44463.5</v>
      </c>
      <c r="J1292" s="10" t="s">
        <v>33</v>
      </c>
      <c r="K1292" s="10" t="s">
        <v>34</v>
      </c>
      <c r="N1292" s="10" t="s">
        <v>296</v>
      </c>
      <c r="O1292" s="18" t="s">
        <v>4821</v>
      </c>
      <c r="P1292" s="10" t="s">
        <v>296</v>
      </c>
      <c r="Q1292" s="10">
        <v>1.0</v>
      </c>
      <c r="R1292" s="10" t="s">
        <v>35</v>
      </c>
      <c r="T1292" s="10" t="s">
        <v>35</v>
      </c>
      <c r="V1292" s="14" t="s">
        <v>4822</v>
      </c>
      <c r="W1292" s="15"/>
      <c r="X1292" s="10" t="s">
        <v>37</v>
      </c>
      <c r="Y1292" s="10" t="s">
        <v>0</v>
      </c>
    </row>
    <row r="1293">
      <c r="A1293" s="10" t="s">
        <v>4823</v>
      </c>
      <c r="B1293" s="11">
        <v>44463.6097715625</v>
      </c>
      <c r="C1293" s="10" t="s">
        <v>181</v>
      </c>
      <c r="D1293" s="10" t="s">
        <v>69</v>
      </c>
      <c r="E1293" s="10" t="s">
        <v>4824</v>
      </c>
      <c r="F1293" s="10" t="s">
        <v>4825</v>
      </c>
      <c r="G1293" s="10" t="s">
        <v>4826</v>
      </c>
      <c r="H1293" s="41">
        <v>44468.58333333333</v>
      </c>
      <c r="I1293" s="41">
        <v>44468.64583333333</v>
      </c>
      <c r="J1293" s="10" t="s">
        <v>43</v>
      </c>
      <c r="K1293" s="10" t="s">
        <v>34</v>
      </c>
      <c r="N1293" s="10" t="s">
        <v>296</v>
      </c>
      <c r="O1293" s="18" t="s">
        <v>4827</v>
      </c>
      <c r="P1293" s="10" t="s">
        <v>35</v>
      </c>
      <c r="R1293" s="10" t="s">
        <v>35</v>
      </c>
      <c r="T1293" s="10" t="s">
        <v>296</v>
      </c>
      <c r="U1293" s="10">
        <v>1.0</v>
      </c>
      <c r="V1293" s="14" t="s">
        <v>4828</v>
      </c>
      <c r="W1293" s="15"/>
      <c r="X1293" s="10" t="s">
        <v>37</v>
      </c>
      <c r="Y1293" s="10" t="s">
        <v>0</v>
      </c>
    </row>
    <row r="1294">
      <c r="A1294" s="10" t="s">
        <v>4829</v>
      </c>
      <c r="B1294" s="11">
        <v>44468.79429284722</v>
      </c>
      <c r="C1294" s="10" t="s">
        <v>80</v>
      </c>
      <c r="D1294" s="10" t="s">
        <v>81</v>
      </c>
      <c r="E1294" s="10" t="s">
        <v>4830</v>
      </c>
      <c r="F1294" s="10" t="s">
        <v>4831</v>
      </c>
      <c r="G1294" s="10" t="s">
        <v>4832</v>
      </c>
      <c r="H1294" s="11">
        <v>44468.77083333333</v>
      </c>
      <c r="I1294" s="11">
        <v>44468.8125</v>
      </c>
      <c r="J1294" s="10" t="s">
        <v>43</v>
      </c>
      <c r="K1294" s="10" t="s">
        <v>34</v>
      </c>
      <c r="N1294" s="10" t="s">
        <v>296</v>
      </c>
      <c r="O1294" s="18" t="s">
        <v>4833</v>
      </c>
      <c r="P1294" s="10" t="s">
        <v>296</v>
      </c>
      <c r="Q1294" s="10">
        <v>2.0</v>
      </c>
      <c r="R1294" s="10" t="s">
        <v>35</v>
      </c>
      <c r="T1294" s="10" t="s">
        <v>35</v>
      </c>
      <c r="V1294" s="14" t="s">
        <v>4834</v>
      </c>
      <c r="W1294" s="15" t="s">
        <v>4835</v>
      </c>
      <c r="X1294" s="10" t="s">
        <v>37</v>
      </c>
      <c r="Y1294" s="10" t="s">
        <v>0</v>
      </c>
    </row>
    <row r="1295">
      <c r="A1295" s="10" t="s">
        <v>4836</v>
      </c>
      <c r="B1295" s="11">
        <v>44434.665026400464</v>
      </c>
      <c r="C1295" s="10" t="s">
        <v>181</v>
      </c>
      <c r="D1295" s="10" t="s">
        <v>69</v>
      </c>
      <c r="E1295" s="10" t="s">
        <v>4396</v>
      </c>
      <c r="F1295" s="10" t="s">
        <v>4837</v>
      </c>
      <c r="G1295" s="10" t="s">
        <v>4838</v>
      </c>
      <c r="H1295" s="41">
        <v>44469.0</v>
      </c>
      <c r="I1295" s="41">
        <v>44444.99930555555</v>
      </c>
      <c r="J1295" s="10" t="s">
        <v>43</v>
      </c>
      <c r="K1295" s="10" t="s">
        <v>34</v>
      </c>
      <c r="N1295" s="10" t="s">
        <v>35</v>
      </c>
      <c r="V1295" s="35" t="s">
        <v>3740</v>
      </c>
      <c r="W1295" s="15"/>
      <c r="X1295" s="10" t="s">
        <v>3302</v>
      </c>
      <c r="Y1295" s="10" t="s">
        <v>0</v>
      </c>
    </row>
    <row r="1296">
      <c r="A1296" s="10" t="s">
        <v>4839</v>
      </c>
      <c r="B1296" s="11">
        <v>44463.408728842594</v>
      </c>
      <c r="C1296" s="10" t="s">
        <v>209</v>
      </c>
      <c r="D1296" s="10" t="s">
        <v>210</v>
      </c>
      <c r="E1296" s="10" t="s">
        <v>4840</v>
      </c>
      <c r="F1296" s="10" t="s">
        <v>4512</v>
      </c>
      <c r="G1296" s="10" t="s">
        <v>4841</v>
      </c>
      <c r="H1296" s="11">
        <v>44484.78125</v>
      </c>
      <c r="I1296" s="11">
        <v>44484.82291666667</v>
      </c>
      <c r="J1296" s="10" t="s">
        <v>33</v>
      </c>
      <c r="K1296" s="10" t="s">
        <v>34</v>
      </c>
      <c r="N1296" s="10" t="s">
        <v>35</v>
      </c>
      <c r="V1296" s="14" t="s">
        <v>4514</v>
      </c>
      <c r="W1296" s="15"/>
      <c r="X1296" s="10" t="s">
        <v>37</v>
      </c>
      <c r="Y1296" s="10" t="s">
        <v>0</v>
      </c>
    </row>
    <row r="1297">
      <c r="A1297" s="10" t="s">
        <v>4842</v>
      </c>
      <c r="B1297" s="11">
        <v>44519.55662725694</v>
      </c>
      <c r="C1297" s="10" t="s">
        <v>181</v>
      </c>
      <c r="D1297" s="10" t="s">
        <v>69</v>
      </c>
      <c r="E1297" s="10" t="s">
        <v>3864</v>
      </c>
      <c r="F1297" s="10" t="s">
        <v>4386</v>
      </c>
      <c r="G1297" s="10" t="s">
        <v>4843</v>
      </c>
      <c r="H1297" s="11">
        <v>44522.72916666667</v>
      </c>
      <c r="I1297" s="11">
        <v>44522.77083333333</v>
      </c>
      <c r="J1297" s="10" t="s">
        <v>128</v>
      </c>
      <c r="K1297" s="10" t="s">
        <v>34</v>
      </c>
      <c r="N1297" s="10" t="s">
        <v>35</v>
      </c>
      <c r="V1297" s="35" t="s">
        <v>4844</v>
      </c>
      <c r="W1297" s="15"/>
    </row>
    <row r="1298">
      <c r="A1298" s="10" t="s">
        <v>4845</v>
      </c>
      <c r="B1298" s="11">
        <v>44453.75529475695</v>
      </c>
      <c r="C1298" s="10" t="s">
        <v>239</v>
      </c>
      <c r="D1298" s="10" t="s">
        <v>240</v>
      </c>
      <c r="E1298" s="10" t="s">
        <v>4846</v>
      </c>
      <c r="F1298" s="10" t="s">
        <v>4847</v>
      </c>
      <c r="G1298" s="10" t="s">
        <v>4848</v>
      </c>
      <c r="H1298" s="41">
        <v>44469.0</v>
      </c>
      <c r="I1298" s="41">
        <v>44476.0</v>
      </c>
      <c r="J1298" s="10" t="s">
        <v>51</v>
      </c>
      <c r="K1298" s="10" t="s">
        <v>34</v>
      </c>
      <c r="N1298" s="10" t="s">
        <v>35</v>
      </c>
      <c r="V1298" s="35" t="s">
        <v>4551</v>
      </c>
      <c r="W1298" s="15"/>
      <c r="X1298" s="10" t="s">
        <v>37</v>
      </c>
      <c r="Y1298" s="10" t="s">
        <v>0</v>
      </c>
    </row>
    <row r="1299">
      <c r="A1299" s="10" t="s">
        <v>4849</v>
      </c>
      <c r="B1299" s="11">
        <v>44463.8807627662</v>
      </c>
      <c r="C1299" s="10" t="s">
        <v>581</v>
      </c>
      <c r="D1299" s="10" t="s">
        <v>220</v>
      </c>
      <c r="E1299" s="10" t="s">
        <v>4709</v>
      </c>
      <c r="F1299" s="10" t="s">
        <v>3765</v>
      </c>
      <c r="G1299" s="10" t="s">
        <v>4850</v>
      </c>
      <c r="H1299" s="41">
        <v>44469.85416666667</v>
      </c>
      <c r="I1299" s="41">
        <v>44469.89583333333</v>
      </c>
      <c r="J1299" s="10" t="s">
        <v>128</v>
      </c>
      <c r="K1299" s="10" t="s">
        <v>34</v>
      </c>
      <c r="N1299" s="10" t="s">
        <v>35</v>
      </c>
      <c r="V1299" s="14" t="s">
        <v>4851</v>
      </c>
      <c r="W1299" s="15"/>
    </row>
    <row r="1300">
      <c r="A1300" s="10" t="s">
        <v>4852</v>
      </c>
      <c r="B1300" s="11">
        <v>44460.44637428241</v>
      </c>
      <c r="C1300" s="10" t="s">
        <v>975</v>
      </c>
      <c r="D1300" s="10" t="s">
        <v>976</v>
      </c>
      <c r="E1300" s="10" t="s">
        <v>976</v>
      </c>
      <c r="F1300" s="10" t="s">
        <v>4853</v>
      </c>
      <c r="G1300" s="10" t="s">
        <v>4854</v>
      </c>
      <c r="H1300" s="41">
        <v>44470.39583333333</v>
      </c>
      <c r="I1300" s="41">
        <v>44519.4375</v>
      </c>
      <c r="J1300" s="10" t="s">
        <v>128</v>
      </c>
      <c r="K1300" s="10" t="s">
        <v>34</v>
      </c>
      <c r="N1300" s="10" t="s">
        <v>35</v>
      </c>
      <c r="V1300" s="35" t="s">
        <v>3740</v>
      </c>
      <c r="W1300" s="15"/>
      <c r="X1300" s="10" t="s">
        <v>37</v>
      </c>
      <c r="Y1300" s="10" t="s">
        <v>0</v>
      </c>
    </row>
    <row r="1301">
      <c r="A1301" s="10" t="s">
        <v>4855</v>
      </c>
      <c r="B1301" s="11">
        <v>44408.91060134259</v>
      </c>
      <c r="C1301" s="10" t="s">
        <v>137</v>
      </c>
      <c r="D1301" s="10" t="s">
        <v>138</v>
      </c>
      <c r="E1301" s="10" t="s">
        <v>3299</v>
      </c>
      <c r="F1301" s="10" t="s">
        <v>921</v>
      </c>
      <c r="G1301" s="10" t="s">
        <v>3442</v>
      </c>
      <c r="H1301" s="41">
        <v>44470.58333333333</v>
      </c>
      <c r="I1301" s="41">
        <v>44470.66666666667</v>
      </c>
      <c r="J1301" s="10" t="s">
        <v>128</v>
      </c>
      <c r="K1301" s="10" t="s">
        <v>34</v>
      </c>
      <c r="N1301" s="10" t="s">
        <v>35</v>
      </c>
      <c r="V1301" s="9"/>
      <c r="W1301" s="13"/>
      <c r="X1301" s="10" t="s">
        <v>37</v>
      </c>
      <c r="Y1301" s="10" t="s">
        <v>0</v>
      </c>
    </row>
    <row r="1302">
      <c r="A1302" s="10" t="s">
        <v>4856</v>
      </c>
      <c r="B1302" s="11">
        <v>44467.58795221065</v>
      </c>
      <c r="C1302" s="10" t="s">
        <v>694</v>
      </c>
      <c r="D1302" s="10" t="s">
        <v>695</v>
      </c>
      <c r="E1302" s="10" t="s">
        <v>4316</v>
      </c>
      <c r="F1302" s="10" t="s">
        <v>4857</v>
      </c>
      <c r="G1302" s="10" t="s">
        <v>4858</v>
      </c>
      <c r="H1302" s="11">
        <v>44469.65972222222</v>
      </c>
      <c r="I1302" s="11">
        <v>44469.6875</v>
      </c>
      <c r="J1302" s="10" t="s">
        <v>43</v>
      </c>
      <c r="K1302" s="10" t="s">
        <v>34</v>
      </c>
      <c r="N1302" s="10" t="s">
        <v>296</v>
      </c>
      <c r="O1302" s="18" t="s">
        <v>4859</v>
      </c>
      <c r="P1302" s="10" t="s">
        <v>296</v>
      </c>
      <c r="Q1302" s="10">
        <v>1.0</v>
      </c>
      <c r="R1302" s="10" t="s">
        <v>35</v>
      </c>
      <c r="T1302" s="10" t="s">
        <v>35</v>
      </c>
      <c r="V1302" s="14" t="s">
        <v>4860</v>
      </c>
      <c r="W1302" s="15"/>
      <c r="X1302" s="10" t="s">
        <v>37</v>
      </c>
      <c r="Y1302" s="10" t="s">
        <v>0</v>
      </c>
    </row>
    <row r="1303">
      <c r="A1303" s="10" t="s">
        <v>4861</v>
      </c>
      <c r="B1303" s="11">
        <v>44463.39663611111</v>
      </c>
      <c r="C1303" s="10" t="s">
        <v>209</v>
      </c>
      <c r="D1303" s="10" t="s">
        <v>210</v>
      </c>
      <c r="E1303" s="10" t="s">
        <v>4840</v>
      </c>
      <c r="F1303" s="10" t="s">
        <v>4512</v>
      </c>
      <c r="G1303" s="10" t="s">
        <v>4862</v>
      </c>
      <c r="H1303" s="41">
        <v>44470.78125</v>
      </c>
      <c r="I1303" s="41">
        <v>44470.82291666667</v>
      </c>
      <c r="J1303" s="10" t="s">
        <v>33</v>
      </c>
      <c r="K1303" s="10" t="s">
        <v>34</v>
      </c>
      <c r="N1303" s="10" t="s">
        <v>35</v>
      </c>
      <c r="V1303" s="14" t="s">
        <v>4514</v>
      </c>
      <c r="W1303" s="15"/>
      <c r="X1303" s="10" t="s">
        <v>37</v>
      </c>
      <c r="Y1303" s="10" t="s">
        <v>0</v>
      </c>
    </row>
    <row r="1304">
      <c r="A1304" s="10" t="s">
        <v>4863</v>
      </c>
      <c r="B1304" s="11">
        <v>44445.77143583333</v>
      </c>
      <c r="C1304" s="10" t="s">
        <v>181</v>
      </c>
      <c r="D1304" s="10" t="s">
        <v>69</v>
      </c>
      <c r="E1304" s="10" t="s">
        <v>1879</v>
      </c>
      <c r="F1304" s="10" t="s">
        <v>4864</v>
      </c>
      <c r="G1304" s="10" t="s">
        <v>4865</v>
      </c>
      <c r="H1304" s="41">
        <v>44471.41666666667</v>
      </c>
      <c r="I1304" s="41">
        <v>44471.41736111111</v>
      </c>
      <c r="J1304" s="10" t="s">
        <v>73</v>
      </c>
      <c r="K1304" s="10" t="s">
        <v>34</v>
      </c>
      <c r="N1304" s="10" t="s">
        <v>35</v>
      </c>
      <c r="V1304" s="14" t="s">
        <v>4046</v>
      </c>
      <c r="W1304" s="15"/>
      <c r="X1304" s="10" t="s">
        <v>37</v>
      </c>
      <c r="Y1304" s="10" t="s">
        <v>0</v>
      </c>
    </row>
    <row r="1305">
      <c r="A1305" s="10" t="s">
        <v>4866</v>
      </c>
      <c r="B1305" s="11">
        <v>44463.64867086806</v>
      </c>
      <c r="C1305" s="10" t="s">
        <v>160</v>
      </c>
      <c r="D1305" s="10" t="s">
        <v>161</v>
      </c>
      <c r="E1305" s="10" t="s">
        <v>3953</v>
      </c>
      <c r="F1305" s="10" t="s">
        <v>4867</v>
      </c>
      <c r="G1305" s="10" t="s">
        <v>4868</v>
      </c>
      <c r="H1305" s="11">
        <v>44464.625</v>
      </c>
      <c r="I1305" s="11">
        <v>44464.64583333333</v>
      </c>
      <c r="J1305" s="10" t="s">
        <v>73</v>
      </c>
      <c r="K1305" s="10" t="s">
        <v>34</v>
      </c>
      <c r="N1305" s="10" t="s">
        <v>35</v>
      </c>
      <c r="V1305" s="14" t="s">
        <v>4739</v>
      </c>
      <c r="W1305" s="15"/>
      <c r="X1305" s="10" t="s">
        <v>37</v>
      </c>
      <c r="Y1305" s="10" t="s">
        <v>0</v>
      </c>
    </row>
    <row r="1306">
      <c r="A1306" s="10" t="s">
        <v>4869</v>
      </c>
      <c r="B1306" s="11">
        <v>44446.434868171295</v>
      </c>
      <c r="C1306" s="10" t="s">
        <v>209</v>
      </c>
      <c r="D1306" s="10" t="s">
        <v>210</v>
      </c>
      <c r="E1306" s="10" t="s">
        <v>4840</v>
      </c>
      <c r="F1306" s="10" t="s">
        <v>4374</v>
      </c>
      <c r="G1306" s="10" t="s">
        <v>4375</v>
      </c>
      <c r="H1306" s="41">
        <v>44471.47916666667</v>
      </c>
      <c r="I1306" s="41">
        <v>44471.52083333333</v>
      </c>
      <c r="J1306" s="10" t="s">
        <v>33</v>
      </c>
      <c r="K1306" s="10" t="s">
        <v>34</v>
      </c>
      <c r="N1306" s="10" t="s">
        <v>35</v>
      </c>
      <c r="V1306" s="14" t="s">
        <v>4376</v>
      </c>
      <c r="W1306" s="15"/>
      <c r="X1306" s="10" t="s">
        <v>37</v>
      </c>
      <c r="Y1306" s="10" t="s">
        <v>0</v>
      </c>
    </row>
    <row r="1307">
      <c r="A1307" s="10" t="s">
        <v>4870</v>
      </c>
      <c r="B1307" s="11">
        <v>44446.4566294213</v>
      </c>
      <c r="C1307" s="10" t="s">
        <v>209</v>
      </c>
      <c r="D1307" s="10" t="s">
        <v>210</v>
      </c>
      <c r="E1307" s="10" t="s">
        <v>261</v>
      </c>
      <c r="F1307" s="10" t="s">
        <v>4519</v>
      </c>
      <c r="G1307" s="10" t="s">
        <v>4393</v>
      </c>
      <c r="H1307" s="41">
        <v>44471.64583333333</v>
      </c>
      <c r="I1307" s="41">
        <v>44471.6875</v>
      </c>
      <c r="J1307" s="10" t="s">
        <v>128</v>
      </c>
      <c r="K1307" s="10" t="s">
        <v>34</v>
      </c>
      <c r="N1307" s="10" t="s">
        <v>35</v>
      </c>
      <c r="V1307" s="14" t="s">
        <v>4394</v>
      </c>
      <c r="W1307" s="15"/>
      <c r="X1307" s="10" t="s">
        <v>37</v>
      </c>
      <c r="Y1307" s="10" t="s">
        <v>0</v>
      </c>
    </row>
    <row r="1308">
      <c r="A1308" s="10" t="s">
        <v>4871</v>
      </c>
      <c r="B1308" s="11">
        <v>44452.47559119213</v>
      </c>
      <c r="C1308" s="10" t="s">
        <v>186</v>
      </c>
      <c r="D1308" s="10" t="s">
        <v>187</v>
      </c>
      <c r="E1308" s="10" t="s">
        <v>188</v>
      </c>
      <c r="F1308" s="10" t="s">
        <v>4872</v>
      </c>
      <c r="G1308" s="10" t="s">
        <v>4676</v>
      </c>
      <c r="H1308" s="41">
        <v>44471.83333333333</v>
      </c>
      <c r="I1308" s="41">
        <v>44472.33333333333</v>
      </c>
      <c r="J1308" s="10" t="s">
        <v>128</v>
      </c>
      <c r="K1308" s="10" t="s">
        <v>34</v>
      </c>
      <c r="N1308" s="10" t="s">
        <v>35</v>
      </c>
      <c r="V1308" s="14" t="s">
        <v>4677</v>
      </c>
      <c r="W1308" s="15"/>
      <c r="X1308" s="10" t="s">
        <v>37</v>
      </c>
      <c r="Y1308" s="10" t="s">
        <v>0</v>
      </c>
    </row>
    <row r="1309">
      <c r="A1309" s="10" t="s">
        <v>4873</v>
      </c>
      <c r="B1309" s="11">
        <v>44464.38285350695</v>
      </c>
      <c r="C1309" s="10" t="s">
        <v>150</v>
      </c>
      <c r="D1309" s="10" t="s">
        <v>151</v>
      </c>
      <c r="E1309" s="10" t="s">
        <v>4257</v>
      </c>
      <c r="F1309" s="10" t="s">
        <v>4613</v>
      </c>
      <c r="G1309" s="10" t="s">
        <v>4874</v>
      </c>
      <c r="H1309" s="11">
        <v>44464.41666666667</v>
      </c>
      <c r="I1309" s="11">
        <v>44464.5</v>
      </c>
      <c r="J1309" s="10" t="s">
        <v>128</v>
      </c>
      <c r="K1309" s="10" t="s">
        <v>34</v>
      </c>
      <c r="N1309" s="10" t="s">
        <v>35</v>
      </c>
      <c r="V1309" s="35" t="s">
        <v>3775</v>
      </c>
      <c r="W1309" s="15"/>
    </row>
    <row r="1310">
      <c r="A1310" s="10" t="s">
        <v>4875</v>
      </c>
      <c r="B1310" s="11">
        <v>44463.56984244213</v>
      </c>
      <c r="C1310" s="10" t="s">
        <v>181</v>
      </c>
      <c r="D1310" s="10" t="s">
        <v>69</v>
      </c>
      <c r="E1310" s="10" t="s">
        <v>1284</v>
      </c>
      <c r="F1310" s="10" t="s">
        <v>4876</v>
      </c>
      <c r="G1310" s="10" t="s">
        <v>4877</v>
      </c>
      <c r="H1310" s="41">
        <v>44470.60416666667</v>
      </c>
      <c r="I1310" s="41">
        <v>44470.6875</v>
      </c>
      <c r="J1310" s="10" t="s">
        <v>43</v>
      </c>
      <c r="K1310" s="10" t="s">
        <v>61</v>
      </c>
      <c r="L1310" s="10" t="s">
        <v>1334</v>
      </c>
      <c r="N1310" s="10" t="s">
        <v>35</v>
      </c>
      <c r="V1310" s="9"/>
      <c r="W1310" s="13"/>
      <c r="X1310" s="10" t="s">
        <v>3302</v>
      </c>
      <c r="Y1310" s="10" t="s">
        <v>0</v>
      </c>
    </row>
    <row r="1311">
      <c r="A1311" s="10" t="s">
        <v>4878</v>
      </c>
      <c r="B1311" s="11">
        <v>44465.71120092593</v>
      </c>
      <c r="C1311" s="10" t="s">
        <v>239</v>
      </c>
      <c r="D1311" s="10" t="s">
        <v>240</v>
      </c>
      <c r="E1311" s="10" t="s">
        <v>4548</v>
      </c>
      <c r="F1311" s="10" t="s">
        <v>4879</v>
      </c>
      <c r="G1311" s="10" t="s">
        <v>4880</v>
      </c>
      <c r="H1311" s="11">
        <v>44465.60416666667</v>
      </c>
      <c r="I1311" s="11">
        <v>44465.66666666667</v>
      </c>
      <c r="J1311" s="10" t="s">
        <v>33</v>
      </c>
      <c r="K1311" s="10" t="s">
        <v>34</v>
      </c>
      <c r="N1311" s="10" t="s">
        <v>35</v>
      </c>
      <c r="V1311" s="14" t="s">
        <v>4881</v>
      </c>
      <c r="W1311" s="15"/>
      <c r="X1311" s="10" t="s">
        <v>37</v>
      </c>
      <c r="Y1311" s="10" t="s">
        <v>0</v>
      </c>
    </row>
    <row r="1312">
      <c r="A1312" s="10" t="s">
        <v>4882</v>
      </c>
      <c r="B1312" s="11">
        <v>44468.62474508102</v>
      </c>
      <c r="C1312" s="10" t="s">
        <v>610</v>
      </c>
      <c r="D1312" s="10" t="s">
        <v>611</v>
      </c>
      <c r="E1312" s="10" t="s">
        <v>3448</v>
      </c>
      <c r="F1312" s="10" t="s">
        <v>4883</v>
      </c>
      <c r="G1312" s="10" t="s">
        <v>4884</v>
      </c>
      <c r="H1312" s="42">
        <v>44473.4375</v>
      </c>
      <c r="I1312" s="11">
        <v>44473.52083333333</v>
      </c>
      <c r="J1312" s="10" t="s">
        <v>128</v>
      </c>
      <c r="K1312" s="10" t="s">
        <v>34</v>
      </c>
      <c r="N1312" s="10" t="s">
        <v>35</v>
      </c>
      <c r="V1312" s="14" t="s">
        <v>44</v>
      </c>
      <c r="W1312" s="15"/>
      <c r="X1312" s="10" t="s">
        <v>37</v>
      </c>
      <c r="Y1312" s="10" t="s">
        <v>0</v>
      </c>
    </row>
    <row r="1313">
      <c r="A1313" s="10" t="s">
        <v>4885</v>
      </c>
      <c r="B1313" s="11">
        <v>44467.391186354165</v>
      </c>
      <c r="C1313" s="10" t="s">
        <v>539</v>
      </c>
      <c r="D1313" s="10" t="s">
        <v>540</v>
      </c>
      <c r="E1313" s="10" t="s">
        <v>4886</v>
      </c>
      <c r="F1313" s="10" t="s">
        <v>2553</v>
      </c>
      <c r="G1313" s="10" t="s">
        <v>4887</v>
      </c>
      <c r="H1313" s="11">
        <v>44468.72916666667</v>
      </c>
      <c r="I1313" s="11">
        <v>44468.77083333333</v>
      </c>
      <c r="J1313" s="10" t="s">
        <v>128</v>
      </c>
      <c r="K1313" s="10" t="s">
        <v>34</v>
      </c>
      <c r="N1313" s="10" t="s">
        <v>35</v>
      </c>
      <c r="V1313" s="14" t="s">
        <v>4888</v>
      </c>
      <c r="W1313" s="15"/>
      <c r="X1313" s="10" t="s">
        <v>37</v>
      </c>
      <c r="Y1313" s="10" t="s">
        <v>0</v>
      </c>
    </row>
    <row r="1314">
      <c r="A1314" s="10" t="s">
        <v>4889</v>
      </c>
      <c r="B1314" s="11">
        <v>44467.44320846065</v>
      </c>
      <c r="C1314" s="10" t="s">
        <v>160</v>
      </c>
      <c r="D1314" s="10" t="s">
        <v>161</v>
      </c>
      <c r="E1314" s="10" t="s">
        <v>3953</v>
      </c>
      <c r="F1314" s="10" t="s">
        <v>4890</v>
      </c>
      <c r="G1314" s="10" t="s">
        <v>4891</v>
      </c>
      <c r="H1314" s="11">
        <v>44467.66666666667</v>
      </c>
      <c r="I1314" s="11">
        <v>44467.67708333333</v>
      </c>
      <c r="J1314" s="10" t="s">
        <v>73</v>
      </c>
      <c r="K1314" s="10" t="s">
        <v>34</v>
      </c>
      <c r="N1314" s="10" t="s">
        <v>35</v>
      </c>
      <c r="V1314" s="14" t="s">
        <v>4739</v>
      </c>
      <c r="W1314" s="15"/>
      <c r="X1314" s="10" t="s">
        <v>37</v>
      </c>
      <c r="Y1314" s="10" t="s">
        <v>0</v>
      </c>
    </row>
    <row r="1315">
      <c r="A1315" s="10" t="s">
        <v>4892</v>
      </c>
      <c r="B1315" s="11">
        <v>44467.51249591435</v>
      </c>
      <c r="C1315" s="10" t="s">
        <v>160</v>
      </c>
      <c r="D1315" s="10" t="s">
        <v>161</v>
      </c>
      <c r="E1315" s="10" t="s">
        <v>3953</v>
      </c>
      <c r="F1315" s="10" t="s">
        <v>4893</v>
      </c>
      <c r="G1315" s="10" t="s">
        <v>4894</v>
      </c>
      <c r="H1315" s="11">
        <v>44467.6875</v>
      </c>
      <c r="I1315" s="11">
        <v>44470.6875</v>
      </c>
      <c r="J1315" s="10" t="s">
        <v>51</v>
      </c>
      <c r="K1315" s="10" t="s">
        <v>34</v>
      </c>
      <c r="N1315" s="10" t="s">
        <v>35</v>
      </c>
      <c r="V1315" s="14" t="s">
        <v>4739</v>
      </c>
      <c r="W1315" s="15"/>
      <c r="X1315" s="10" t="s">
        <v>37</v>
      </c>
      <c r="Y1315" s="10" t="s">
        <v>0</v>
      </c>
    </row>
    <row r="1316">
      <c r="A1316" s="10" t="s">
        <v>4895</v>
      </c>
      <c r="B1316" s="11">
        <v>44467.59406974537</v>
      </c>
      <c r="C1316" s="10" t="s">
        <v>694</v>
      </c>
      <c r="D1316" s="10" t="s">
        <v>695</v>
      </c>
      <c r="E1316" s="10" t="s">
        <v>4316</v>
      </c>
      <c r="F1316" s="10" t="s">
        <v>4896</v>
      </c>
      <c r="G1316" s="10" t="s">
        <v>4897</v>
      </c>
      <c r="H1316" s="11">
        <v>44470.6875</v>
      </c>
      <c r="I1316" s="11">
        <v>44470.72916666667</v>
      </c>
      <c r="J1316" s="10" t="s">
        <v>43</v>
      </c>
      <c r="K1316" s="10" t="s">
        <v>34</v>
      </c>
      <c r="N1316" s="10" t="s">
        <v>296</v>
      </c>
      <c r="O1316" s="18" t="s">
        <v>4898</v>
      </c>
      <c r="P1316" s="10" t="s">
        <v>296</v>
      </c>
      <c r="Q1316" s="10">
        <v>1.0</v>
      </c>
      <c r="R1316" s="10" t="s">
        <v>35</v>
      </c>
      <c r="T1316" s="10" t="s">
        <v>35</v>
      </c>
      <c r="V1316" s="14" t="s">
        <v>4899</v>
      </c>
      <c r="W1316" s="15"/>
      <c r="X1316" s="10" t="s">
        <v>37</v>
      </c>
      <c r="Y1316" s="10" t="s">
        <v>0</v>
      </c>
    </row>
    <row r="1317">
      <c r="A1317" s="10" t="s">
        <v>4900</v>
      </c>
      <c r="B1317" s="11">
        <v>44469.65395202546</v>
      </c>
      <c r="C1317" s="10" t="s">
        <v>28</v>
      </c>
      <c r="D1317" s="10" t="s">
        <v>29</v>
      </c>
      <c r="E1317" s="10" t="s">
        <v>39</v>
      </c>
      <c r="F1317" s="10" t="s">
        <v>4901</v>
      </c>
      <c r="G1317" s="10" t="s">
        <v>4902</v>
      </c>
      <c r="H1317" s="42">
        <v>44473.35416666667</v>
      </c>
      <c r="I1317" s="11">
        <v>44473.39583333333</v>
      </c>
      <c r="J1317" s="10" t="s">
        <v>43</v>
      </c>
      <c r="K1317" s="10" t="s">
        <v>34</v>
      </c>
      <c r="N1317" s="10" t="s">
        <v>35</v>
      </c>
      <c r="V1317" s="14" t="s">
        <v>44</v>
      </c>
      <c r="W1317" s="15"/>
      <c r="X1317" s="10" t="s">
        <v>37</v>
      </c>
      <c r="Y1317" s="10" t="s">
        <v>0</v>
      </c>
    </row>
    <row r="1318">
      <c r="A1318" s="10" t="s">
        <v>4903</v>
      </c>
      <c r="B1318" s="11">
        <v>44469.65610342592</v>
      </c>
      <c r="C1318" s="10" t="s">
        <v>28</v>
      </c>
      <c r="D1318" s="10" t="s">
        <v>29</v>
      </c>
      <c r="E1318" s="10" t="s">
        <v>39</v>
      </c>
      <c r="F1318" s="10" t="s">
        <v>4904</v>
      </c>
      <c r="G1318" s="10" t="s">
        <v>4905</v>
      </c>
      <c r="H1318" s="42">
        <v>44473.39583333333</v>
      </c>
      <c r="I1318" s="11">
        <v>44473.4375</v>
      </c>
      <c r="J1318" s="10" t="s">
        <v>43</v>
      </c>
      <c r="K1318" s="10" t="s">
        <v>34</v>
      </c>
      <c r="N1318" s="10" t="s">
        <v>35</v>
      </c>
      <c r="V1318" s="14" t="s">
        <v>44</v>
      </c>
      <c r="W1318" s="15"/>
      <c r="X1318" s="10" t="s">
        <v>37</v>
      </c>
      <c r="Y1318" s="10" t="s">
        <v>0</v>
      </c>
    </row>
    <row r="1319">
      <c r="A1319" s="10" t="s">
        <v>4906</v>
      </c>
      <c r="B1319" s="11">
        <v>44468.464385740735</v>
      </c>
      <c r="C1319" s="10" t="s">
        <v>336</v>
      </c>
      <c r="D1319" s="10" t="s">
        <v>337</v>
      </c>
      <c r="E1319" s="10" t="s">
        <v>4907</v>
      </c>
      <c r="F1319" s="10" t="s">
        <v>4908</v>
      </c>
      <c r="G1319" s="10" t="s">
        <v>4909</v>
      </c>
      <c r="H1319" s="11">
        <v>44470.77083333333</v>
      </c>
      <c r="I1319" s="11">
        <v>44470.8125</v>
      </c>
      <c r="J1319" s="10" t="s">
        <v>73</v>
      </c>
      <c r="K1319" s="10" t="s">
        <v>34</v>
      </c>
      <c r="N1319" s="10" t="s">
        <v>35</v>
      </c>
      <c r="V1319" s="14" t="s">
        <v>4910</v>
      </c>
      <c r="W1319" s="15"/>
      <c r="X1319" s="10" t="s">
        <v>37</v>
      </c>
      <c r="Y1319" s="10" t="s">
        <v>0</v>
      </c>
    </row>
    <row r="1320">
      <c r="A1320" s="10" t="s">
        <v>4911</v>
      </c>
      <c r="B1320" s="11">
        <v>44470.608560127315</v>
      </c>
      <c r="C1320" s="10" t="s">
        <v>181</v>
      </c>
      <c r="D1320" s="10" t="s">
        <v>69</v>
      </c>
      <c r="E1320" s="10" t="s">
        <v>3733</v>
      </c>
      <c r="F1320" s="10" t="s">
        <v>4049</v>
      </c>
      <c r="G1320" s="10" t="s">
        <v>4912</v>
      </c>
      <c r="H1320" s="42">
        <v>44473.47916666667</v>
      </c>
      <c r="I1320" s="11">
        <v>44473.52083333333</v>
      </c>
      <c r="J1320" s="10" t="s">
        <v>128</v>
      </c>
      <c r="K1320" s="10" t="s">
        <v>34</v>
      </c>
      <c r="N1320" s="10" t="s">
        <v>35</v>
      </c>
      <c r="V1320" s="14" t="s">
        <v>3474</v>
      </c>
      <c r="W1320" s="15"/>
      <c r="X1320" s="10" t="s">
        <v>37</v>
      </c>
      <c r="Y1320" s="10" t="s">
        <v>0</v>
      </c>
    </row>
    <row r="1321">
      <c r="A1321" s="10" t="s">
        <v>4913</v>
      </c>
      <c r="B1321" s="11">
        <v>44470.60946344907</v>
      </c>
      <c r="C1321" s="10" t="s">
        <v>181</v>
      </c>
      <c r="D1321" s="10" t="s">
        <v>69</v>
      </c>
      <c r="E1321" s="10" t="s">
        <v>1284</v>
      </c>
      <c r="F1321" s="10" t="s">
        <v>4914</v>
      </c>
      <c r="G1321" s="10" t="s">
        <v>4915</v>
      </c>
      <c r="H1321" s="42">
        <v>44473.54166666667</v>
      </c>
      <c r="I1321" s="11">
        <v>44473.58333333333</v>
      </c>
      <c r="J1321" s="10" t="s">
        <v>128</v>
      </c>
      <c r="K1321" s="10" t="s">
        <v>34</v>
      </c>
      <c r="N1321" s="10" t="s">
        <v>35</v>
      </c>
      <c r="V1321" s="14" t="s">
        <v>4026</v>
      </c>
      <c r="W1321" s="15"/>
      <c r="X1321" s="10" t="s">
        <v>37</v>
      </c>
      <c r="Y1321" s="10" t="s">
        <v>0</v>
      </c>
    </row>
    <row r="1322">
      <c r="A1322" s="10" t="s">
        <v>4916</v>
      </c>
      <c r="B1322" s="11">
        <v>44468.626683888884</v>
      </c>
      <c r="C1322" s="10" t="s">
        <v>610</v>
      </c>
      <c r="D1322" s="10" t="s">
        <v>611</v>
      </c>
      <c r="E1322" s="10" t="s">
        <v>3448</v>
      </c>
      <c r="F1322" s="10" t="s">
        <v>4917</v>
      </c>
      <c r="G1322" s="10" t="s">
        <v>4884</v>
      </c>
      <c r="H1322" s="42">
        <v>44473.60416666667</v>
      </c>
      <c r="I1322" s="11">
        <v>44473.64583333333</v>
      </c>
      <c r="J1322" s="10" t="s">
        <v>128</v>
      </c>
      <c r="K1322" s="10" t="s">
        <v>34</v>
      </c>
      <c r="N1322" s="10" t="s">
        <v>35</v>
      </c>
      <c r="V1322" s="14" t="s">
        <v>44</v>
      </c>
      <c r="W1322" s="15"/>
      <c r="X1322" s="10" t="s">
        <v>37</v>
      </c>
      <c r="Y1322" s="10" t="s">
        <v>0</v>
      </c>
    </row>
    <row r="1323">
      <c r="A1323" s="10" t="s">
        <v>4918</v>
      </c>
      <c r="B1323" s="11">
        <v>44470.97931587963</v>
      </c>
      <c r="C1323" s="10" t="s">
        <v>347</v>
      </c>
      <c r="D1323" s="10" t="s">
        <v>348</v>
      </c>
      <c r="E1323" s="10" t="s">
        <v>4919</v>
      </c>
      <c r="F1323" s="10" t="s">
        <v>4920</v>
      </c>
      <c r="G1323" s="10" t="s">
        <v>4921</v>
      </c>
      <c r="H1323" s="42">
        <v>44473.39583333333</v>
      </c>
      <c r="I1323" s="11">
        <v>44473.47916666667</v>
      </c>
      <c r="J1323" s="10" t="s">
        <v>43</v>
      </c>
      <c r="K1323" s="10" t="s">
        <v>34</v>
      </c>
      <c r="N1323" s="10" t="s">
        <v>296</v>
      </c>
      <c r="O1323" s="18" t="s">
        <v>4922</v>
      </c>
      <c r="P1323" s="10" t="s">
        <v>35</v>
      </c>
      <c r="R1323" s="10" t="s">
        <v>296</v>
      </c>
      <c r="S1323" s="10">
        <v>1.0</v>
      </c>
      <c r="T1323" s="10" t="s">
        <v>35</v>
      </c>
      <c r="V1323" s="14" t="s">
        <v>4923</v>
      </c>
      <c r="W1323" s="15"/>
      <c r="X1323" s="10" t="s">
        <v>37</v>
      </c>
      <c r="Y1323" s="10" t="s">
        <v>0</v>
      </c>
    </row>
    <row r="1324">
      <c r="A1324" s="10" t="s">
        <v>4924</v>
      </c>
      <c r="B1324" s="11">
        <v>44470.61271777778</v>
      </c>
      <c r="C1324" s="10" t="s">
        <v>181</v>
      </c>
      <c r="D1324" s="10" t="s">
        <v>69</v>
      </c>
      <c r="E1324" s="10" t="s">
        <v>4333</v>
      </c>
      <c r="F1324" s="10" t="s">
        <v>4925</v>
      </c>
      <c r="G1324" s="10" t="s">
        <v>4926</v>
      </c>
      <c r="H1324" s="42">
        <v>44473.60416666667</v>
      </c>
      <c r="I1324" s="11">
        <v>44473.6875</v>
      </c>
      <c r="J1324" s="10" t="s">
        <v>128</v>
      </c>
      <c r="K1324" s="10" t="s">
        <v>34</v>
      </c>
      <c r="N1324" s="10" t="s">
        <v>35</v>
      </c>
      <c r="V1324" s="14" t="s">
        <v>3490</v>
      </c>
      <c r="W1324" s="15"/>
      <c r="X1324" s="10" t="s">
        <v>37</v>
      </c>
      <c r="Y1324" s="10" t="s">
        <v>0</v>
      </c>
    </row>
    <row r="1325">
      <c r="A1325" s="10" t="s">
        <v>4927</v>
      </c>
      <c r="B1325" s="11">
        <v>44468.628545196756</v>
      </c>
      <c r="C1325" s="10" t="s">
        <v>610</v>
      </c>
      <c r="D1325" s="10" t="s">
        <v>611</v>
      </c>
      <c r="E1325" s="10" t="s">
        <v>3448</v>
      </c>
      <c r="F1325" s="10" t="s">
        <v>4928</v>
      </c>
      <c r="G1325" s="10" t="s">
        <v>4884</v>
      </c>
      <c r="H1325" s="42">
        <v>44473.64583333333</v>
      </c>
      <c r="I1325" s="11">
        <v>44473.72916666667</v>
      </c>
      <c r="J1325" s="10" t="s">
        <v>128</v>
      </c>
      <c r="K1325" s="10" t="s">
        <v>34</v>
      </c>
      <c r="N1325" s="10" t="s">
        <v>35</v>
      </c>
      <c r="V1325" s="14" t="s">
        <v>44</v>
      </c>
      <c r="W1325" s="15"/>
      <c r="X1325" s="10" t="s">
        <v>37</v>
      </c>
      <c r="Y1325" s="10" t="s">
        <v>0</v>
      </c>
    </row>
    <row r="1326">
      <c r="A1326" s="10" t="s">
        <v>4929</v>
      </c>
      <c r="B1326" s="11">
        <v>44469.65732517361</v>
      </c>
      <c r="C1326" s="10" t="s">
        <v>28</v>
      </c>
      <c r="D1326" s="10" t="s">
        <v>29</v>
      </c>
      <c r="E1326" s="10" t="s">
        <v>4930</v>
      </c>
      <c r="F1326" s="10" t="s">
        <v>4931</v>
      </c>
      <c r="G1326" s="10" t="s">
        <v>4932</v>
      </c>
      <c r="H1326" s="42">
        <v>44473.4375</v>
      </c>
      <c r="I1326" s="11">
        <v>44473.52083333333</v>
      </c>
      <c r="J1326" s="10" t="s">
        <v>43</v>
      </c>
      <c r="K1326" s="10" t="s">
        <v>34</v>
      </c>
      <c r="N1326" s="10" t="s">
        <v>35</v>
      </c>
      <c r="V1326" s="14" t="s">
        <v>44</v>
      </c>
      <c r="W1326" s="15"/>
      <c r="X1326" s="10" t="s">
        <v>37</v>
      </c>
      <c r="Y1326" s="10" t="s">
        <v>0</v>
      </c>
    </row>
    <row r="1327">
      <c r="A1327" s="10" t="s">
        <v>4933</v>
      </c>
      <c r="B1327" s="11">
        <v>44470.61021508102</v>
      </c>
      <c r="C1327" s="10" t="s">
        <v>181</v>
      </c>
      <c r="D1327" s="10" t="s">
        <v>69</v>
      </c>
      <c r="E1327" s="10" t="s">
        <v>3864</v>
      </c>
      <c r="F1327" s="10" t="s">
        <v>4386</v>
      </c>
      <c r="G1327" s="10" t="s">
        <v>4843</v>
      </c>
      <c r="H1327" s="42">
        <v>44473.72916666667</v>
      </c>
      <c r="I1327" s="11">
        <v>44473.77083333333</v>
      </c>
      <c r="J1327" s="10" t="s">
        <v>128</v>
      </c>
      <c r="K1327" s="10" t="s">
        <v>34</v>
      </c>
      <c r="N1327" s="10" t="s">
        <v>35</v>
      </c>
      <c r="V1327" s="35" t="s">
        <v>4934</v>
      </c>
      <c r="W1327" s="15"/>
      <c r="X1327" s="10" t="s">
        <v>37</v>
      </c>
      <c r="Y1327" s="10" t="s">
        <v>0</v>
      </c>
    </row>
    <row r="1328">
      <c r="A1328" s="10" t="s">
        <v>4935</v>
      </c>
      <c r="B1328" s="11">
        <v>44469.70733655093</v>
      </c>
      <c r="C1328" s="10" t="s">
        <v>671</v>
      </c>
      <c r="D1328" s="10" t="s">
        <v>672</v>
      </c>
      <c r="E1328" s="10" t="s">
        <v>4936</v>
      </c>
      <c r="F1328" s="10" t="s">
        <v>4937</v>
      </c>
      <c r="G1328" s="10" t="s">
        <v>4938</v>
      </c>
      <c r="H1328" s="42">
        <v>44473.9375</v>
      </c>
      <c r="I1328" s="11">
        <v>44473.97916666667</v>
      </c>
      <c r="J1328" s="10" t="s">
        <v>128</v>
      </c>
      <c r="K1328" s="10" t="s">
        <v>34</v>
      </c>
      <c r="N1328" s="10" t="s">
        <v>35</v>
      </c>
      <c r="V1328" s="14" t="s">
        <v>3906</v>
      </c>
      <c r="W1328" s="15"/>
      <c r="X1328" s="10" t="s">
        <v>37</v>
      </c>
      <c r="Y1328" s="10" t="s">
        <v>0</v>
      </c>
    </row>
    <row r="1329">
      <c r="A1329" s="10" t="s">
        <v>4939</v>
      </c>
      <c r="B1329" s="11">
        <v>44468.63330203704</v>
      </c>
      <c r="C1329" s="10" t="s">
        <v>610</v>
      </c>
      <c r="D1329" s="10" t="s">
        <v>611</v>
      </c>
      <c r="E1329" s="10" t="s">
        <v>3448</v>
      </c>
      <c r="F1329" s="10" t="s">
        <v>4940</v>
      </c>
      <c r="G1329" s="10" t="s">
        <v>4884</v>
      </c>
      <c r="H1329" s="42">
        <v>44474.35416666667</v>
      </c>
      <c r="I1329" s="11">
        <v>44474.4375</v>
      </c>
      <c r="J1329" s="10" t="s">
        <v>128</v>
      </c>
      <c r="K1329" s="10" t="s">
        <v>34</v>
      </c>
      <c r="N1329" s="10" t="s">
        <v>35</v>
      </c>
      <c r="V1329" s="14" t="s">
        <v>44</v>
      </c>
      <c r="W1329" s="15"/>
      <c r="X1329" s="10" t="s">
        <v>37</v>
      </c>
      <c r="Y1329" s="10" t="s">
        <v>0</v>
      </c>
    </row>
    <row r="1330">
      <c r="A1330" s="10" t="s">
        <v>4941</v>
      </c>
      <c r="B1330" s="11">
        <v>44469.65826261574</v>
      </c>
      <c r="C1330" s="10" t="s">
        <v>28</v>
      </c>
      <c r="D1330" s="10" t="s">
        <v>29</v>
      </c>
      <c r="E1330" s="10" t="s">
        <v>4930</v>
      </c>
      <c r="F1330" s="10" t="s">
        <v>4942</v>
      </c>
      <c r="G1330" s="10" t="s">
        <v>4932</v>
      </c>
      <c r="H1330" s="42">
        <v>44473.60416666667</v>
      </c>
      <c r="I1330" s="11">
        <v>44473.64583333333</v>
      </c>
      <c r="J1330" s="10" t="s">
        <v>43</v>
      </c>
      <c r="K1330" s="10" t="s">
        <v>34</v>
      </c>
      <c r="N1330" s="10" t="s">
        <v>35</v>
      </c>
      <c r="V1330" s="14" t="s">
        <v>44</v>
      </c>
      <c r="W1330" s="15"/>
      <c r="X1330" s="10" t="s">
        <v>37</v>
      </c>
      <c r="Y1330" s="10" t="s">
        <v>0</v>
      </c>
    </row>
    <row r="1331">
      <c r="A1331" s="10" t="s">
        <v>4943</v>
      </c>
      <c r="B1331" s="11">
        <v>44468.635811608794</v>
      </c>
      <c r="C1331" s="10" t="s">
        <v>610</v>
      </c>
      <c r="D1331" s="10" t="s">
        <v>611</v>
      </c>
      <c r="E1331" s="10" t="s">
        <v>3448</v>
      </c>
      <c r="F1331" s="10" t="s">
        <v>4944</v>
      </c>
      <c r="G1331" s="10" t="s">
        <v>4884</v>
      </c>
      <c r="H1331" s="42">
        <v>44474.4375</v>
      </c>
      <c r="I1331" s="11">
        <v>44474.47916666667</v>
      </c>
      <c r="J1331" s="10" t="s">
        <v>128</v>
      </c>
      <c r="K1331" s="10" t="s">
        <v>34</v>
      </c>
      <c r="N1331" s="10" t="s">
        <v>35</v>
      </c>
      <c r="V1331" s="14" t="s">
        <v>44</v>
      </c>
      <c r="W1331" s="15"/>
      <c r="X1331" s="10" t="s">
        <v>37</v>
      </c>
      <c r="Y1331" s="10" t="s">
        <v>0</v>
      </c>
    </row>
    <row r="1332">
      <c r="A1332" s="10" t="s">
        <v>4945</v>
      </c>
      <c r="B1332" s="11">
        <v>44469.65932663194</v>
      </c>
      <c r="C1332" s="10" t="s">
        <v>28</v>
      </c>
      <c r="D1332" s="10" t="s">
        <v>29</v>
      </c>
      <c r="E1332" s="10" t="s">
        <v>4930</v>
      </c>
      <c r="F1332" s="10" t="s">
        <v>4946</v>
      </c>
      <c r="G1332" s="10" t="s">
        <v>4932</v>
      </c>
      <c r="H1332" s="42">
        <v>44473.64583333333</v>
      </c>
      <c r="I1332" s="11">
        <v>44473.72916666667</v>
      </c>
      <c r="J1332" s="10" t="s">
        <v>43</v>
      </c>
      <c r="K1332" s="10" t="s">
        <v>34</v>
      </c>
      <c r="N1332" s="10" t="s">
        <v>35</v>
      </c>
      <c r="V1332" s="14" t="s">
        <v>44</v>
      </c>
      <c r="W1332" s="15"/>
      <c r="X1332" s="10" t="s">
        <v>37</v>
      </c>
      <c r="Y1332" s="10" t="s">
        <v>0</v>
      </c>
    </row>
    <row r="1333">
      <c r="A1333" s="10" t="s">
        <v>4947</v>
      </c>
      <c r="B1333" s="11">
        <v>44468.63793509259</v>
      </c>
      <c r="C1333" s="10" t="s">
        <v>610</v>
      </c>
      <c r="D1333" s="10" t="s">
        <v>611</v>
      </c>
      <c r="E1333" s="10" t="s">
        <v>3448</v>
      </c>
      <c r="F1333" s="10" t="s">
        <v>4948</v>
      </c>
      <c r="G1333" s="10" t="s">
        <v>4884</v>
      </c>
      <c r="H1333" s="42">
        <v>44474.60416666667</v>
      </c>
      <c r="I1333" s="11">
        <v>44474.6875</v>
      </c>
      <c r="J1333" s="10" t="s">
        <v>128</v>
      </c>
      <c r="K1333" s="10" t="s">
        <v>34</v>
      </c>
      <c r="N1333" s="10" t="s">
        <v>35</v>
      </c>
      <c r="V1333" s="14" t="s">
        <v>44</v>
      </c>
      <c r="W1333" s="15"/>
      <c r="X1333" s="10" t="s">
        <v>37</v>
      </c>
      <c r="Y1333" s="10" t="s">
        <v>0</v>
      </c>
    </row>
    <row r="1334">
      <c r="A1334" s="10" t="s">
        <v>4949</v>
      </c>
      <c r="B1334" s="11">
        <v>44472.99816780092</v>
      </c>
      <c r="C1334" s="10" t="s">
        <v>4217</v>
      </c>
      <c r="D1334" s="10" t="s">
        <v>4211</v>
      </c>
      <c r="E1334" s="10" t="s">
        <v>4950</v>
      </c>
      <c r="F1334" s="10" t="s">
        <v>4800</v>
      </c>
      <c r="G1334" s="10" t="s">
        <v>4951</v>
      </c>
      <c r="H1334" s="11">
        <v>44473.72916666667</v>
      </c>
      <c r="I1334" s="11">
        <v>44473.77083333333</v>
      </c>
      <c r="J1334" s="10" t="s">
        <v>43</v>
      </c>
      <c r="K1334" s="10" t="s">
        <v>34</v>
      </c>
      <c r="N1334" s="10" t="s">
        <v>35</v>
      </c>
      <c r="V1334" s="14" t="s">
        <v>4952</v>
      </c>
      <c r="W1334" s="15"/>
      <c r="X1334" s="10" t="s">
        <v>37</v>
      </c>
      <c r="Y1334" s="10" t="s">
        <v>0</v>
      </c>
    </row>
    <row r="1335">
      <c r="A1335" s="10" t="s">
        <v>4953</v>
      </c>
      <c r="B1335" s="11">
        <v>44468.64119672454</v>
      </c>
      <c r="C1335" s="10" t="s">
        <v>610</v>
      </c>
      <c r="D1335" s="10" t="s">
        <v>611</v>
      </c>
      <c r="E1335" s="10" t="s">
        <v>3448</v>
      </c>
      <c r="F1335" s="10" t="s">
        <v>4954</v>
      </c>
      <c r="G1335" s="10" t="s">
        <v>4884</v>
      </c>
      <c r="H1335" s="42">
        <v>44475.4375</v>
      </c>
      <c r="I1335" s="11">
        <v>44475.52083333333</v>
      </c>
      <c r="J1335" s="10" t="s">
        <v>128</v>
      </c>
      <c r="K1335" s="10" t="s">
        <v>34</v>
      </c>
      <c r="N1335" s="10" t="s">
        <v>35</v>
      </c>
      <c r="V1335" s="14" t="s">
        <v>44</v>
      </c>
      <c r="W1335" s="15"/>
      <c r="X1335" s="10" t="s">
        <v>37</v>
      </c>
      <c r="Y1335" s="10" t="s">
        <v>0</v>
      </c>
    </row>
    <row r="1336">
      <c r="A1336" s="10" t="s">
        <v>4955</v>
      </c>
      <c r="B1336" s="11">
        <v>44469.661017349536</v>
      </c>
      <c r="C1336" s="10" t="s">
        <v>28</v>
      </c>
      <c r="D1336" s="10" t="s">
        <v>29</v>
      </c>
      <c r="E1336" s="10" t="s">
        <v>4930</v>
      </c>
      <c r="F1336" s="10" t="s">
        <v>4956</v>
      </c>
      <c r="G1336" s="10" t="s">
        <v>4932</v>
      </c>
      <c r="H1336" s="42">
        <v>44474.35416666667</v>
      </c>
      <c r="I1336" s="11">
        <v>44474.4375</v>
      </c>
      <c r="J1336" s="10" t="s">
        <v>43</v>
      </c>
      <c r="K1336" s="10" t="s">
        <v>34</v>
      </c>
      <c r="N1336" s="10" t="s">
        <v>35</v>
      </c>
      <c r="V1336" s="14" t="s">
        <v>44</v>
      </c>
      <c r="W1336" s="15"/>
      <c r="X1336" s="10" t="s">
        <v>37</v>
      </c>
      <c r="Y1336" s="10" t="s">
        <v>0</v>
      </c>
    </row>
    <row r="1337">
      <c r="A1337" s="10" t="s">
        <v>4957</v>
      </c>
      <c r="B1337" s="11">
        <v>44469.66208908564</v>
      </c>
      <c r="C1337" s="10" t="s">
        <v>28</v>
      </c>
      <c r="D1337" s="10" t="s">
        <v>29</v>
      </c>
      <c r="E1337" s="10" t="s">
        <v>4930</v>
      </c>
      <c r="F1337" s="10" t="s">
        <v>4958</v>
      </c>
      <c r="G1337" s="10" t="s">
        <v>4932</v>
      </c>
      <c r="H1337" s="42">
        <v>44474.4375</v>
      </c>
      <c r="I1337" s="11">
        <v>44474.47916666667</v>
      </c>
      <c r="J1337" s="10" t="s">
        <v>43</v>
      </c>
      <c r="K1337" s="10" t="s">
        <v>34</v>
      </c>
      <c r="N1337" s="10" t="s">
        <v>35</v>
      </c>
      <c r="V1337" s="14" t="s">
        <v>44</v>
      </c>
      <c r="W1337" s="15"/>
      <c r="X1337" s="10" t="s">
        <v>37</v>
      </c>
      <c r="Y1337" s="10" t="s">
        <v>0</v>
      </c>
    </row>
    <row r="1338">
      <c r="A1338" s="10" t="s">
        <v>4959</v>
      </c>
      <c r="B1338" s="11">
        <v>44469.66304526621</v>
      </c>
      <c r="C1338" s="10" t="s">
        <v>28</v>
      </c>
      <c r="D1338" s="10" t="s">
        <v>29</v>
      </c>
      <c r="E1338" s="10" t="s">
        <v>4930</v>
      </c>
      <c r="F1338" s="10" t="s">
        <v>4960</v>
      </c>
      <c r="G1338" s="10" t="s">
        <v>4932</v>
      </c>
      <c r="H1338" s="42">
        <v>44474.60416666667</v>
      </c>
      <c r="I1338" s="11">
        <v>44474.6875</v>
      </c>
      <c r="J1338" s="10" t="s">
        <v>43</v>
      </c>
      <c r="K1338" s="10" t="s">
        <v>34</v>
      </c>
      <c r="N1338" s="10" t="s">
        <v>35</v>
      </c>
      <c r="V1338" s="14" t="s">
        <v>44</v>
      </c>
      <c r="W1338" s="15"/>
      <c r="X1338" s="10" t="s">
        <v>37</v>
      </c>
      <c r="Y1338" s="10" t="s">
        <v>0</v>
      </c>
    </row>
    <row r="1339">
      <c r="A1339" s="10" t="s">
        <v>4961</v>
      </c>
      <c r="B1339" s="11">
        <v>44468.644946053246</v>
      </c>
      <c r="C1339" s="10" t="s">
        <v>610</v>
      </c>
      <c r="D1339" s="10" t="s">
        <v>611</v>
      </c>
      <c r="E1339" s="10" t="s">
        <v>3448</v>
      </c>
      <c r="F1339" s="10" t="s">
        <v>4962</v>
      </c>
      <c r="G1339" s="10" t="s">
        <v>4884</v>
      </c>
      <c r="H1339" s="42">
        <v>44475.60416666667</v>
      </c>
      <c r="I1339" s="11">
        <v>44475.6875</v>
      </c>
      <c r="J1339" s="10" t="s">
        <v>128</v>
      </c>
      <c r="K1339" s="10" t="s">
        <v>34</v>
      </c>
      <c r="N1339" s="10" t="s">
        <v>35</v>
      </c>
      <c r="V1339" s="14" t="s">
        <v>44</v>
      </c>
      <c r="W1339" s="15"/>
      <c r="X1339" s="10" t="s">
        <v>37</v>
      </c>
      <c r="Y1339" s="10" t="s">
        <v>0</v>
      </c>
    </row>
    <row r="1340">
      <c r="A1340" s="10" t="s">
        <v>4963</v>
      </c>
      <c r="B1340" s="11">
        <v>44469.663960659724</v>
      </c>
      <c r="C1340" s="10" t="s">
        <v>28</v>
      </c>
      <c r="D1340" s="10" t="s">
        <v>29</v>
      </c>
      <c r="E1340" s="10" t="s">
        <v>4930</v>
      </c>
      <c r="F1340" s="10" t="s">
        <v>4964</v>
      </c>
      <c r="G1340" s="10" t="s">
        <v>4932</v>
      </c>
      <c r="H1340" s="42">
        <v>44475.4375</v>
      </c>
      <c r="I1340" s="11">
        <v>44475.52083333333</v>
      </c>
      <c r="J1340" s="10" t="s">
        <v>43</v>
      </c>
      <c r="K1340" s="10" t="s">
        <v>34</v>
      </c>
      <c r="N1340" s="10" t="s">
        <v>35</v>
      </c>
      <c r="V1340" s="14" t="s">
        <v>44</v>
      </c>
      <c r="W1340" s="15"/>
      <c r="X1340" s="10" t="s">
        <v>37</v>
      </c>
      <c r="Y1340" s="10" t="s">
        <v>0</v>
      </c>
    </row>
    <row r="1341">
      <c r="A1341" s="10" t="s">
        <v>4965</v>
      </c>
      <c r="B1341" s="11">
        <v>44468.65694998842</v>
      </c>
      <c r="C1341" s="10" t="s">
        <v>610</v>
      </c>
      <c r="D1341" s="10" t="s">
        <v>611</v>
      </c>
      <c r="E1341" s="10" t="s">
        <v>3448</v>
      </c>
      <c r="F1341" s="10" t="s">
        <v>4966</v>
      </c>
      <c r="G1341" s="10" t="s">
        <v>4884</v>
      </c>
      <c r="H1341" s="42">
        <v>44476.35416666667</v>
      </c>
      <c r="I1341" s="11">
        <v>44476.4375</v>
      </c>
      <c r="J1341" s="10" t="s">
        <v>128</v>
      </c>
      <c r="K1341" s="10" t="s">
        <v>34</v>
      </c>
      <c r="N1341" s="10" t="s">
        <v>35</v>
      </c>
      <c r="V1341" s="14" t="s">
        <v>44</v>
      </c>
      <c r="W1341" s="15"/>
      <c r="X1341" s="10" t="s">
        <v>37</v>
      </c>
      <c r="Y1341" s="10" t="s">
        <v>0</v>
      </c>
    </row>
    <row r="1342">
      <c r="A1342" s="10" t="s">
        <v>4967</v>
      </c>
      <c r="B1342" s="11">
        <v>44469.664898483796</v>
      </c>
      <c r="C1342" s="10" t="s">
        <v>28</v>
      </c>
      <c r="D1342" s="10" t="s">
        <v>29</v>
      </c>
      <c r="E1342" s="10" t="s">
        <v>4930</v>
      </c>
      <c r="F1342" s="10" t="s">
        <v>4968</v>
      </c>
      <c r="G1342" s="10" t="s">
        <v>4932</v>
      </c>
      <c r="H1342" s="42">
        <v>44475.60416666667</v>
      </c>
      <c r="I1342" s="11">
        <v>44475.6875</v>
      </c>
      <c r="J1342" s="10" t="s">
        <v>43</v>
      </c>
      <c r="K1342" s="10" t="s">
        <v>34</v>
      </c>
      <c r="N1342" s="10" t="s">
        <v>35</v>
      </c>
      <c r="V1342" s="14" t="s">
        <v>44</v>
      </c>
      <c r="W1342" s="15"/>
      <c r="X1342" s="10" t="s">
        <v>37</v>
      </c>
      <c r="Y1342" s="10" t="s">
        <v>0</v>
      </c>
    </row>
    <row r="1343">
      <c r="A1343" s="10" t="s">
        <v>4969</v>
      </c>
      <c r="B1343" s="11">
        <v>44468.660726180555</v>
      </c>
      <c r="C1343" s="10" t="s">
        <v>610</v>
      </c>
      <c r="D1343" s="10" t="s">
        <v>611</v>
      </c>
      <c r="E1343" s="10" t="s">
        <v>3448</v>
      </c>
      <c r="F1343" s="10" t="s">
        <v>4970</v>
      </c>
      <c r="G1343" s="10" t="s">
        <v>4971</v>
      </c>
      <c r="H1343" s="42">
        <v>44476.4375</v>
      </c>
      <c r="I1343" s="11">
        <v>44476.47916666667</v>
      </c>
      <c r="J1343" s="10" t="s">
        <v>128</v>
      </c>
      <c r="K1343" s="10" t="s">
        <v>34</v>
      </c>
      <c r="N1343" s="10" t="s">
        <v>35</v>
      </c>
      <c r="V1343" s="14" t="s">
        <v>44</v>
      </c>
      <c r="W1343" s="15"/>
      <c r="X1343" s="10" t="s">
        <v>37</v>
      </c>
      <c r="Y1343" s="10" t="s">
        <v>0</v>
      </c>
    </row>
    <row r="1344">
      <c r="A1344" s="10" t="s">
        <v>4972</v>
      </c>
      <c r="B1344" s="11">
        <v>44469.66600146991</v>
      </c>
      <c r="C1344" s="10" t="s">
        <v>28</v>
      </c>
      <c r="D1344" s="10" t="s">
        <v>29</v>
      </c>
      <c r="E1344" s="10" t="s">
        <v>4930</v>
      </c>
      <c r="F1344" s="10" t="s">
        <v>4973</v>
      </c>
      <c r="G1344" s="10" t="s">
        <v>4932</v>
      </c>
      <c r="H1344" s="42">
        <v>44476.35416666667</v>
      </c>
      <c r="I1344" s="11">
        <v>44476.4375</v>
      </c>
      <c r="J1344" s="10" t="s">
        <v>43</v>
      </c>
      <c r="K1344" s="10" t="s">
        <v>34</v>
      </c>
      <c r="N1344" s="10" t="s">
        <v>35</v>
      </c>
      <c r="V1344" s="14" t="s">
        <v>44</v>
      </c>
      <c r="W1344" s="15"/>
      <c r="X1344" s="10" t="s">
        <v>37</v>
      </c>
      <c r="Y1344" s="10" t="s">
        <v>0</v>
      </c>
    </row>
    <row r="1345">
      <c r="A1345" s="10" t="s">
        <v>4974</v>
      </c>
      <c r="B1345" s="11">
        <v>44468.6619903588</v>
      </c>
      <c r="C1345" s="10" t="s">
        <v>610</v>
      </c>
      <c r="D1345" s="10" t="s">
        <v>611</v>
      </c>
      <c r="E1345" s="10" t="s">
        <v>3448</v>
      </c>
      <c r="F1345" s="10" t="s">
        <v>4975</v>
      </c>
      <c r="G1345" s="10" t="s">
        <v>4884</v>
      </c>
      <c r="H1345" s="42">
        <v>44476.47916666667</v>
      </c>
      <c r="I1345" s="11">
        <v>44476.52083333333</v>
      </c>
      <c r="J1345" s="10" t="s">
        <v>128</v>
      </c>
      <c r="K1345" s="10" t="s">
        <v>34</v>
      </c>
      <c r="N1345" s="10" t="s">
        <v>35</v>
      </c>
      <c r="V1345" s="14" t="s">
        <v>44</v>
      </c>
      <c r="W1345" s="15"/>
      <c r="X1345" s="10" t="s">
        <v>37</v>
      </c>
      <c r="Y1345" s="10" t="s">
        <v>0</v>
      </c>
    </row>
    <row r="1346">
      <c r="A1346" s="10" t="s">
        <v>4976</v>
      </c>
      <c r="B1346" s="11">
        <v>44469.666937222224</v>
      </c>
      <c r="C1346" s="10" t="s">
        <v>28</v>
      </c>
      <c r="D1346" s="10" t="s">
        <v>29</v>
      </c>
      <c r="E1346" s="10" t="s">
        <v>4930</v>
      </c>
      <c r="F1346" s="10" t="s">
        <v>4970</v>
      </c>
      <c r="G1346" s="10" t="s">
        <v>4932</v>
      </c>
      <c r="H1346" s="42">
        <v>44476.4375</v>
      </c>
      <c r="I1346" s="11">
        <v>44476.47916666667</v>
      </c>
      <c r="J1346" s="10" t="s">
        <v>43</v>
      </c>
      <c r="K1346" s="10" t="s">
        <v>34</v>
      </c>
      <c r="N1346" s="10" t="s">
        <v>35</v>
      </c>
      <c r="V1346" s="14" t="s">
        <v>44</v>
      </c>
      <c r="W1346" s="15"/>
      <c r="X1346" s="10" t="s">
        <v>37</v>
      </c>
      <c r="Y1346" s="10" t="s">
        <v>0</v>
      </c>
    </row>
    <row r="1347">
      <c r="A1347" s="10" t="s">
        <v>4977</v>
      </c>
      <c r="B1347" s="11">
        <v>44468.663174421294</v>
      </c>
      <c r="C1347" s="10" t="s">
        <v>610</v>
      </c>
      <c r="D1347" s="10" t="s">
        <v>611</v>
      </c>
      <c r="E1347" s="10" t="s">
        <v>3448</v>
      </c>
      <c r="F1347" s="10" t="s">
        <v>4978</v>
      </c>
      <c r="G1347" s="10" t="s">
        <v>4979</v>
      </c>
      <c r="H1347" s="42">
        <v>44476.60416666667</v>
      </c>
      <c r="I1347" s="11">
        <v>44476.6875</v>
      </c>
      <c r="J1347" s="10" t="s">
        <v>128</v>
      </c>
      <c r="K1347" s="10" t="s">
        <v>34</v>
      </c>
      <c r="N1347" s="10" t="s">
        <v>35</v>
      </c>
      <c r="V1347" s="14" t="s">
        <v>44</v>
      </c>
      <c r="W1347" s="15"/>
      <c r="X1347" s="10" t="s">
        <v>37</v>
      </c>
      <c r="Y1347" s="10" t="s">
        <v>0</v>
      </c>
    </row>
    <row r="1348">
      <c r="A1348" s="10" t="s">
        <v>4980</v>
      </c>
      <c r="B1348" s="11">
        <v>44469.66778753472</v>
      </c>
      <c r="C1348" s="10" t="s">
        <v>28</v>
      </c>
      <c r="D1348" s="10" t="s">
        <v>29</v>
      </c>
      <c r="E1348" s="10" t="s">
        <v>4930</v>
      </c>
      <c r="F1348" s="10" t="s">
        <v>4981</v>
      </c>
      <c r="G1348" s="10" t="s">
        <v>4932</v>
      </c>
      <c r="H1348" s="42">
        <v>44476.47916666667</v>
      </c>
      <c r="I1348" s="11">
        <v>44476.52083333333</v>
      </c>
      <c r="J1348" s="10" t="s">
        <v>43</v>
      </c>
      <c r="K1348" s="10" t="s">
        <v>34</v>
      </c>
      <c r="N1348" s="10" t="s">
        <v>35</v>
      </c>
      <c r="V1348" s="14" t="s">
        <v>44</v>
      </c>
      <c r="W1348" s="15"/>
      <c r="X1348" s="10" t="s">
        <v>37</v>
      </c>
      <c r="Y1348" s="10" t="s">
        <v>0</v>
      </c>
    </row>
    <row r="1349">
      <c r="A1349" s="10" t="s">
        <v>4982</v>
      </c>
      <c r="B1349" s="11">
        <v>44469.66862335648</v>
      </c>
      <c r="C1349" s="10" t="s">
        <v>28</v>
      </c>
      <c r="D1349" s="10" t="s">
        <v>29</v>
      </c>
      <c r="E1349" s="10" t="s">
        <v>4930</v>
      </c>
      <c r="F1349" s="10" t="s">
        <v>4983</v>
      </c>
      <c r="G1349" s="10" t="s">
        <v>4932</v>
      </c>
      <c r="H1349" s="42">
        <v>44476.60416666667</v>
      </c>
      <c r="I1349" s="11">
        <v>44476.6875</v>
      </c>
      <c r="J1349" s="10" t="s">
        <v>43</v>
      </c>
      <c r="K1349" s="10" t="s">
        <v>34</v>
      </c>
      <c r="N1349" s="10" t="s">
        <v>35</v>
      </c>
      <c r="V1349" s="43" t="s">
        <v>44</v>
      </c>
      <c r="W1349" s="15"/>
      <c r="X1349" s="10" t="s">
        <v>37</v>
      </c>
      <c r="Y1349" s="10" t="s">
        <v>0</v>
      </c>
    </row>
    <row r="1350">
      <c r="A1350" s="10" t="s">
        <v>4984</v>
      </c>
      <c r="B1350" s="11">
        <v>44470.61483399305</v>
      </c>
      <c r="C1350" s="10" t="s">
        <v>610</v>
      </c>
      <c r="D1350" s="10" t="s">
        <v>611</v>
      </c>
      <c r="E1350" s="10" t="s">
        <v>3531</v>
      </c>
      <c r="F1350" s="10" t="s">
        <v>4985</v>
      </c>
      <c r="G1350" s="10" t="s">
        <v>4979</v>
      </c>
      <c r="H1350" s="42">
        <v>44477.35416666667</v>
      </c>
      <c r="I1350" s="11">
        <v>44477.4375</v>
      </c>
      <c r="J1350" s="10" t="s">
        <v>128</v>
      </c>
      <c r="K1350" s="10" t="s">
        <v>34</v>
      </c>
      <c r="N1350" s="10" t="s">
        <v>35</v>
      </c>
      <c r="V1350" s="14" t="s">
        <v>44</v>
      </c>
      <c r="W1350" s="15"/>
      <c r="X1350" s="10" t="s">
        <v>37</v>
      </c>
      <c r="Y1350" s="10" t="s">
        <v>0</v>
      </c>
    </row>
    <row r="1351">
      <c r="A1351" s="10" t="s">
        <v>4986</v>
      </c>
      <c r="B1351" s="11">
        <v>44469.66974744213</v>
      </c>
      <c r="C1351" s="10" t="s">
        <v>28</v>
      </c>
      <c r="D1351" s="10" t="s">
        <v>29</v>
      </c>
      <c r="E1351" s="10" t="s">
        <v>4930</v>
      </c>
      <c r="F1351" s="10" t="s">
        <v>4987</v>
      </c>
      <c r="G1351" s="10" t="s">
        <v>4932</v>
      </c>
      <c r="H1351" s="42">
        <v>44476.6875</v>
      </c>
      <c r="I1351" s="11">
        <v>44476.77083333333</v>
      </c>
      <c r="J1351" s="10" t="s">
        <v>43</v>
      </c>
      <c r="K1351" s="10" t="s">
        <v>34</v>
      </c>
      <c r="N1351" s="10" t="s">
        <v>35</v>
      </c>
      <c r="V1351" s="14" t="s">
        <v>44</v>
      </c>
      <c r="W1351" s="15"/>
      <c r="X1351" s="10" t="s">
        <v>37</v>
      </c>
      <c r="Y1351" s="10" t="s">
        <v>0</v>
      </c>
    </row>
    <row r="1352">
      <c r="A1352" s="10" t="s">
        <v>4988</v>
      </c>
      <c r="B1352" s="11">
        <v>44468.66663565973</v>
      </c>
      <c r="C1352" s="10" t="s">
        <v>610</v>
      </c>
      <c r="D1352" s="10" t="s">
        <v>611</v>
      </c>
      <c r="E1352" s="10" t="s">
        <v>3531</v>
      </c>
      <c r="F1352" s="10" t="s">
        <v>4989</v>
      </c>
      <c r="G1352" s="10" t="s">
        <v>4979</v>
      </c>
      <c r="H1352" s="42">
        <v>44477.4375</v>
      </c>
      <c r="I1352" s="11">
        <v>44477.52083333333</v>
      </c>
      <c r="J1352" s="10" t="s">
        <v>128</v>
      </c>
      <c r="K1352" s="10" t="s">
        <v>34</v>
      </c>
      <c r="N1352" s="10" t="s">
        <v>35</v>
      </c>
      <c r="V1352" s="14" t="s">
        <v>44</v>
      </c>
      <c r="W1352" s="15"/>
      <c r="X1352" s="10" t="s">
        <v>37</v>
      </c>
      <c r="Y1352" s="10" t="s">
        <v>0</v>
      </c>
    </row>
    <row r="1353">
      <c r="A1353" s="10" t="s">
        <v>4990</v>
      </c>
      <c r="B1353" s="11">
        <v>44470.62493769676</v>
      </c>
      <c r="C1353" s="10" t="s">
        <v>28</v>
      </c>
      <c r="D1353" s="10" t="s">
        <v>29</v>
      </c>
      <c r="E1353" s="10" t="s">
        <v>4930</v>
      </c>
      <c r="F1353" s="10" t="s">
        <v>4991</v>
      </c>
      <c r="G1353" s="10" t="s">
        <v>4932</v>
      </c>
      <c r="H1353" s="42">
        <v>44477.35416666667</v>
      </c>
      <c r="I1353" s="11">
        <v>44477.4375</v>
      </c>
      <c r="J1353" s="10" t="s">
        <v>43</v>
      </c>
      <c r="K1353" s="10" t="s">
        <v>34</v>
      </c>
      <c r="N1353" s="10" t="s">
        <v>35</v>
      </c>
      <c r="V1353" s="14" t="s">
        <v>44</v>
      </c>
      <c r="W1353" s="15"/>
      <c r="X1353" s="10" t="s">
        <v>37</v>
      </c>
      <c r="Y1353" s="10" t="s">
        <v>0</v>
      </c>
    </row>
    <row r="1354">
      <c r="A1354" s="10" t="s">
        <v>4992</v>
      </c>
      <c r="B1354" s="11">
        <v>44469.67114892361</v>
      </c>
      <c r="C1354" s="10" t="s">
        <v>28</v>
      </c>
      <c r="D1354" s="10" t="s">
        <v>29</v>
      </c>
      <c r="E1354" s="10" t="s">
        <v>4930</v>
      </c>
      <c r="F1354" s="10" t="s">
        <v>4993</v>
      </c>
      <c r="G1354" s="10" t="s">
        <v>4932</v>
      </c>
      <c r="H1354" s="42">
        <v>44477.4375</v>
      </c>
      <c r="I1354" s="11">
        <v>44477.52083333333</v>
      </c>
      <c r="J1354" s="10" t="s">
        <v>43</v>
      </c>
      <c r="K1354" s="10" t="s">
        <v>34</v>
      </c>
      <c r="N1354" s="10" t="s">
        <v>35</v>
      </c>
      <c r="V1354" s="14" t="s">
        <v>44</v>
      </c>
      <c r="W1354" s="15"/>
      <c r="X1354" s="10" t="s">
        <v>37</v>
      </c>
      <c r="Y1354" s="10" t="s">
        <v>0</v>
      </c>
    </row>
    <row r="1355">
      <c r="A1355" s="10" t="s">
        <v>4994</v>
      </c>
      <c r="B1355" s="11">
        <v>44470.9920156713</v>
      </c>
      <c r="C1355" s="10" t="s">
        <v>347</v>
      </c>
      <c r="D1355" s="10" t="s">
        <v>348</v>
      </c>
      <c r="E1355" s="10" t="s">
        <v>3429</v>
      </c>
      <c r="F1355" s="10" t="s">
        <v>4995</v>
      </c>
      <c r="G1355" s="10" t="s">
        <v>4996</v>
      </c>
      <c r="H1355" s="42">
        <v>44477.4375</v>
      </c>
      <c r="I1355" s="11">
        <v>44477.5</v>
      </c>
      <c r="J1355" s="10" t="s">
        <v>43</v>
      </c>
      <c r="K1355" s="10" t="s">
        <v>61</v>
      </c>
      <c r="L1355" s="10" t="s">
        <v>4997</v>
      </c>
      <c r="N1355" s="10" t="s">
        <v>35</v>
      </c>
      <c r="V1355" s="9"/>
      <c r="W1355" s="13"/>
      <c r="X1355" s="10" t="s">
        <v>3302</v>
      </c>
      <c r="Y1355" s="10" t="s">
        <v>0</v>
      </c>
    </row>
    <row r="1356">
      <c r="A1356" s="10" t="s">
        <v>4998</v>
      </c>
      <c r="B1356" s="11">
        <v>44408.911431053246</v>
      </c>
      <c r="C1356" s="10" t="s">
        <v>137</v>
      </c>
      <c r="D1356" s="10" t="s">
        <v>138</v>
      </c>
      <c r="E1356" s="10" t="s">
        <v>3299</v>
      </c>
      <c r="F1356" s="10" t="s">
        <v>921</v>
      </c>
      <c r="G1356" s="10" t="s">
        <v>3968</v>
      </c>
      <c r="H1356" s="42">
        <v>44477.58333333333</v>
      </c>
      <c r="I1356" s="11">
        <v>44477.66666666667</v>
      </c>
      <c r="J1356" s="10" t="s">
        <v>128</v>
      </c>
      <c r="K1356" s="10" t="s">
        <v>34</v>
      </c>
      <c r="N1356" s="10" t="s">
        <v>35</v>
      </c>
      <c r="V1356" s="9"/>
      <c r="W1356" s="13"/>
      <c r="X1356" s="10" t="s">
        <v>37</v>
      </c>
      <c r="Y1356" s="10" t="s">
        <v>0</v>
      </c>
    </row>
    <row r="1357">
      <c r="A1357" s="10" t="s">
        <v>4999</v>
      </c>
      <c r="B1357" s="11">
        <v>44469.70573686343</v>
      </c>
      <c r="C1357" s="10" t="s">
        <v>671</v>
      </c>
      <c r="D1357" s="10" t="s">
        <v>672</v>
      </c>
      <c r="E1357" s="10" t="s">
        <v>4936</v>
      </c>
      <c r="F1357" s="10" t="s">
        <v>5000</v>
      </c>
      <c r="G1357" s="10" t="s">
        <v>5001</v>
      </c>
      <c r="H1357" s="11">
        <v>44470.72916666667</v>
      </c>
      <c r="I1357" s="11">
        <v>44470.77083333333</v>
      </c>
      <c r="J1357" s="10" t="s">
        <v>128</v>
      </c>
      <c r="K1357" s="10" t="s">
        <v>34</v>
      </c>
      <c r="N1357" s="10" t="s">
        <v>35</v>
      </c>
      <c r="V1357" s="14" t="s">
        <v>3906</v>
      </c>
      <c r="W1357" s="15"/>
      <c r="X1357" s="10" t="s">
        <v>37</v>
      </c>
      <c r="Y1357" s="10" t="s">
        <v>0</v>
      </c>
    </row>
    <row r="1358">
      <c r="A1358" s="10" t="s">
        <v>5002</v>
      </c>
      <c r="B1358" s="11">
        <v>44468.67015266204</v>
      </c>
      <c r="C1358" s="10" t="s">
        <v>610</v>
      </c>
      <c r="D1358" s="10" t="s">
        <v>611</v>
      </c>
      <c r="E1358" s="10" t="s">
        <v>3531</v>
      </c>
      <c r="F1358" s="10" t="s">
        <v>5003</v>
      </c>
      <c r="G1358" s="10" t="s">
        <v>4884</v>
      </c>
      <c r="H1358" s="42">
        <v>44477.60416666667</v>
      </c>
      <c r="I1358" s="11">
        <v>44477.72916666667</v>
      </c>
      <c r="J1358" s="10" t="s">
        <v>128</v>
      </c>
      <c r="K1358" s="10" t="s">
        <v>34</v>
      </c>
      <c r="N1358" s="10" t="s">
        <v>35</v>
      </c>
      <c r="V1358" s="14" t="s">
        <v>44</v>
      </c>
      <c r="W1358" s="15"/>
      <c r="X1358" s="10" t="s">
        <v>37</v>
      </c>
      <c r="Y1358" s="10" t="s">
        <v>0</v>
      </c>
    </row>
    <row r="1359">
      <c r="A1359" s="10" t="s">
        <v>5004</v>
      </c>
      <c r="B1359" s="11">
        <v>44470.70634201389</v>
      </c>
      <c r="C1359" s="10" t="s">
        <v>694</v>
      </c>
      <c r="D1359" s="10" t="s">
        <v>695</v>
      </c>
      <c r="E1359" s="10" t="s">
        <v>4316</v>
      </c>
      <c r="F1359" s="10" t="s">
        <v>5005</v>
      </c>
      <c r="G1359" s="10" t="s">
        <v>5006</v>
      </c>
      <c r="H1359" s="42">
        <v>44477.54166666667</v>
      </c>
      <c r="I1359" s="11">
        <v>44477.625</v>
      </c>
      <c r="J1359" s="10" t="s">
        <v>43</v>
      </c>
      <c r="K1359" s="10" t="s">
        <v>34</v>
      </c>
      <c r="N1359" s="10" t="s">
        <v>296</v>
      </c>
      <c r="O1359" s="18" t="s">
        <v>5007</v>
      </c>
      <c r="P1359" s="10" t="s">
        <v>296</v>
      </c>
      <c r="Q1359" s="10">
        <v>1.0</v>
      </c>
      <c r="R1359" s="10" t="s">
        <v>296</v>
      </c>
      <c r="S1359" s="10">
        <v>1.0</v>
      </c>
      <c r="T1359" s="10" t="s">
        <v>35</v>
      </c>
      <c r="V1359" s="37" t="s">
        <v>4810</v>
      </c>
      <c r="W1359" s="15"/>
      <c r="X1359" s="10" t="s">
        <v>37</v>
      </c>
      <c r="Y1359" s="10" t="s">
        <v>0</v>
      </c>
    </row>
    <row r="1360">
      <c r="A1360" s="10" t="s">
        <v>5008</v>
      </c>
      <c r="B1360" s="11">
        <v>44469.67286277778</v>
      </c>
      <c r="C1360" s="10" t="s">
        <v>28</v>
      </c>
      <c r="D1360" s="10" t="s">
        <v>29</v>
      </c>
      <c r="E1360" s="10" t="s">
        <v>4930</v>
      </c>
      <c r="F1360" s="10" t="s">
        <v>5009</v>
      </c>
      <c r="G1360" s="10" t="s">
        <v>4932</v>
      </c>
      <c r="H1360" s="11">
        <v>44477.60416666667</v>
      </c>
      <c r="I1360" s="11">
        <v>44477.72916666667</v>
      </c>
      <c r="J1360" s="10" t="s">
        <v>43</v>
      </c>
      <c r="K1360" s="10" t="s">
        <v>34</v>
      </c>
      <c r="N1360" s="10" t="s">
        <v>35</v>
      </c>
      <c r="V1360" s="14" t="s">
        <v>44</v>
      </c>
      <c r="W1360" s="15"/>
      <c r="X1360" s="10" t="s">
        <v>37</v>
      </c>
      <c r="Y1360" s="10" t="s">
        <v>0</v>
      </c>
    </row>
    <row r="1361">
      <c r="A1361" s="10" t="s">
        <v>5010</v>
      </c>
      <c r="B1361" s="11">
        <v>44470.99570905093</v>
      </c>
      <c r="C1361" s="10" t="s">
        <v>330</v>
      </c>
      <c r="D1361" s="10" t="s">
        <v>331</v>
      </c>
      <c r="E1361" s="10" t="s">
        <v>5011</v>
      </c>
      <c r="F1361" s="10" t="s">
        <v>5012</v>
      </c>
      <c r="G1361" s="10" t="s">
        <v>5013</v>
      </c>
      <c r="H1361" s="11">
        <v>44477.60416666667</v>
      </c>
      <c r="I1361" s="11">
        <v>44477.6875</v>
      </c>
      <c r="J1361" s="10" t="s">
        <v>43</v>
      </c>
      <c r="K1361" s="10" t="s">
        <v>34</v>
      </c>
      <c r="N1361" s="10" t="s">
        <v>35</v>
      </c>
      <c r="V1361" s="14" t="s">
        <v>5014</v>
      </c>
      <c r="W1361" s="44"/>
      <c r="X1361" s="10" t="s">
        <v>37</v>
      </c>
      <c r="Y1361" s="10" t="s">
        <v>0</v>
      </c>
    </row>
    <row r="1362">
      <c r="A1362" s="10" t="s">
        <v>5015</v>
      </c>
      <c r="B1362" s="11">
        <v>44468.67132277778</v>
      </c>
      <c r="C1362" s="10" t="s">
        <v>610</v>
      </c>
      <c r="D1362" s="10" t="s">
        <v>611</v>
      </c>
      <c r="E1362" s="10" t="s">
        <v>3531</v>
      </c>
      <c r="F1362" s="10" t="s">
        <v>5016</v>
      </c>
      <c r="G1362" s="10" t="s">
        <v>5017</v>
      </c>
      <c r="H1362" s="11">
        <v>44477.72916666667</v>
      </c>
      <c r="I1362" s="11">
        <v>44477.77083333333</v>
      </c>
      <c r="J1362" s="10" t="s">
        <v>128</v>
      </c>
      <c r="K1362" s="10" t="s">
        <v>34</v>
      </c>
      <c r="N1362" s="10" t="s">
        <v>35</v>
      </c>
      <c r="V1362" s="14" t="s">
        <v>44</v>
      </c>
      <c r="W1362" s="15"/>
      <c r="X1362" s="10" t="s">
        <v>37</v>
      </c>
      <c r="Y1362" s="10" t="s">
        <v>0</v>
      </c>
    </row>
    <row r="1363">
      <c r="A1363" s="10" t="s">
        <v>5018</v>
      </c>
      <c r="B1363" s="11">
        <v>44470.96244924769</v>
      </c>
      <c r="C1363" s="10" t="s">
        <v>347</v>
      </c>
      <c r="D1363" s="10" t="s">
        <v>348</v>
      </c>
      <c r="E1363" s="10" t="s">
        <v>5019</v>
      </c>
      <c r="F1363" s="10" t="s">
        <v>5020</v>
      </c>
      <c r="G1363" s="10" t="s">
        <v>5021</v>
      </c>
      <c r="H1363" s="11">
        <v>44477.625</v>
      </c>
      <c r="I1363" s="11">
        <v>44477.70833333333</v>
      </c>
      <c r="J1363" s="10" t="s">
        <v>43</v>
      </c>
      <c r="K1363" s="10" t="s">
        <v>34</v>
      </c>
      <c r="N1363" s="10" t="s">
        <v>296</v>
      </c>
      <c r="O1363" s="18" t="s">
        <v>5022</v>
      </c>
      <c r="P1363" s="10" t="s">
        <v>35</v>
      </c>
      <c r="R1363" s="10" t="s">
        <v>35</v>
      </c>
      <c r="T1363" s="10" t="s">
        <v>296</v>
      </c>
      <c r="U1363" s="10">
        <v>1.0</v>
      </c>
      <c r="V1363" s="14" t="s">
        <v>5023</v>
      </c>
      <c r="W1363" s="15"/>
      <c r="X1363" s="10" t="s">
        <v>37</v>
      </c>
      <c r="Y1363" s="10" t="s">
        <v>0</v>
      </c>
    </row>
    <row r="1364">
      <c r="A1364" s="10" t="s">
        <v>5024</v>
      </c>
      <c r="B1364" s="11">
        <v>44463.39792523148</v>
      </c>
      <c r="C1364" s="10" t="s">
        <v>209</v>
      </c>
      <c r="D1364" s="10" t="s">
        <v>210</v>
      </c>
      <c r="E1364" s="10" t="s">
        <v>261</v>
      </c>
      <c r="F1364" s="10" t="s">
        <v>4512</v>
      </c>
      <c r="G1364" s="10" t="s">
        <v>4841</v>
      </c>
      <c r="H1364" s="11">
        <v>44477.78125</v>
      </c>
      <c r="I1364" s="11">
        <v>44477.82291666667</v>
      </c>
      <c r="J1364" s="10" t="s">
        <v>33</v>
      </c>
      <c r="K1364" s="10" t="s">
        <v>34</v>
      </c>
      <c r="N1364" s="10" t="s">
        <v>35</v>
      </c>
      <c r="V1364" s="14" t="s">
        <v>4514</v>
      </c>
      <c r="W1364" s="15"/>
      <c r="X1364" s="10" t="s">
        <v>37</v>
      </c>
      <c r="Y1364" s="10" t="s">
        <v>0</v>
      </c>
    </row>
    <row r="1365">
      <c r="A1365" s="10" t="s">
        <v>5025</v>
      </c>
      <c r="B1365" s="11">
        <v>44470.65732621528</v>
      </c>
      <c r="C1365" s="10" t="s">
        <v>160</v>
      </c>
      <c r="D1365" s="10" t="s">
        <v>161</v>
      </c>
      <c r="E1365" s="10" t="s">
        <v>3953</v>
      </c>
      <c r="F1365" s="10" t="s">
        <v>5026</v>
      </c>
      <c r="G1365" s="10" t="s">
        <v>5027</v>
      </c>
      <c r="H1365" s="11">
        <v>44471.66666666667</v>
      </c>
      <c r="I1365" s="11">
        <v>44471.67708333333</v>
      </c>
      <c r="J1365" s="10" t="s">
        <v>73</v>
      </c>
      <c r="K1365" s="10" t="s">
        <v>34</v>
      </c>
      <c r="N1365" s="10" t="s">
        <v>35</v>
      </c>
      <c r="V1365" s="14" t="s">
        <v>4739</v>
      </c>
      <c r="W1365" s="15"/>
      <c r="X1365" s="10" t="s">
        <v>37</v>
      </c>
      <c r="Y1365" s="10" t="s">
        <v>0</v>
      </c>
    </row>
    <row r="1366">
      <c r="A1366" s="10" t="s">
        <v>5028</v>
      </c>
      <c r="B1366" s="11">
        <v>44445.77562163194</v>
      </c>
      <c r="C1366" s="10" t="s">
        <v>181</v>
      </c>
      <c r="D1366" s="10" t="s">
        <v>69</v>
      </c>
      <c r="E1366" s="10" t="s">
        <v>1879</v>
      </c>
      <c r="F1366" s="10" t="s">
        <v>5029</v>
      </c>
      <c r="G1366" s="10" t="s">
        <v>5030</v>
      </c>
      <c r="H1366" s="11">
        <v>44478.41666666667</v>
      </c>
      <c r="I1366" s="11">
        <v>44478.41736111111</v>
      </c>
      <c r="J1366" s="10" t="s">
        <v>73</v>
      </c>
      <c r="K1366" s="10" t="s">
        <v>34</v>
      </c>
      <c r="N1366" s="10" t="s">
        <v>35</v>
      </c>
      <c r="V1366" s="14" t="s">
        <v>4046</v>
      </c>
      <c r="W1366" s="15"/>
      <c r="X1366" s="10" t="s">
        <v>37</v>
      </c>
      <c r="Y1366" s="10" t="s">
        <v>0</v>
      </c>
    </row>
    <row r="1367">
      <c r="A1367" s="10" t="s">
        <v>5031</v>
      </c>
      <c r="B1367" s="11">
        <v>44491.471382013886</v>
      </c>
      <c r="C1367" s="10" t="s">
        <v>181</v>
      </c>
      <c r="D1367" s="10" t="s">
        <v>69</v>
      </c>
      <c r="E1367" s="10" t="s">
        <v>1179</v>
      </c>
      <c r="F1367" s="10" t="s">
        <v>5032</v>
      </c>
      <c r="G1367" s="10" t="s">
        <v>5033</v>
      </c>
      <c r="H1367" s="11">
        <v>44494.60416666667</v>
      </c>
      <c r="I1367" s="11">
        <v>44494.6875</v>
      </c>
      <c r="J1367" s="10" t="s">
        <v>128</v>
      </c>
      <c r="K1367" s="10" t="s">
        <v>34</v>
      </c>
      <c r="N1367" s="10" t="s">
        <v>35</v>
      </c>
      <c r="V1367" s="14" t="s">
        <v>3490</v>
      </c>
      <c r="W1367" s="15"/>
      <c r="X1367" s="10" t="s">
        <v>37</v>
      </c>
      <c r="Y1367" s="10" t="s">
        <v>0</v>
      </c>
    </row>
    <row r="1368">
      <c r="A1368" s="10" t="s">
        <v>5034</v>
      </c>
      <c r="B1368" s="11">
        <v>44470.88618070602</v>
      </c>
      <c r="C1368" s="10" t="s">
        <v>150</v>
      </c>
      <c r="D1368" s="10" t="s">
        <v>151</v>
      </c>
      <c r="E1368" s="10" t="s">
        <v>4257</v>
      </c>
      <c r="F1368" s="10" t="s">
        <v>4613</v>
      </c>
      <c r="G1368" s="10" t="s">
        <v>5035</v>
      </c>
      <c r="H1368" s="11">
        <v>44471.41666666667</v>
      </c>
      <c r="I1368" s="11">
        <v>44471.5</v>
      </c>
      <c r="J1368" s="10" t="s">
        <v>128</v>
      </c>
      <c r="K1368" s="10" t="s">
        <v>34</v>
      </c>
      <c r="N1368" s="10" t="s">
        <v>35</v>
      </c>
      <c r="V1368" s="35" t="s">
        <v>3775</v>
      </c>
      <c r="W1368" s="15"/>
      <c r="X1368" s="10" t="s">
        <v>37</v>
      </c>
      <c r="Y1368" s="10" t="s">
        <v>0</v>
      </c>
    </row>
    <row r="1369">
      <c r="A1369" s="10" t="s">
        <v>5036</v>
      </c>
      <c r="B1369" s="11">
        <v>44470.887910185185</v>
      </c>
      <c r="C1369" s="10" t="s">
        <v>150</v>
      </c>
      <c r="D1369" s="10" t="s">
        <v>151</v>
      </c>
      <c r="E1369" s="10" t="s">
        <v>4257</v>
      </c>
      <c r="F1369" s="10" t="s">
        <v>5037</v>
      </c>
      <c r="G1369" s="10" t="s">
        <v>5038</v>
      </c>
      <c r="H1369" s="11">
        <v>44472.25</v>
      </c>
      <c r="I1369" s="11">
        <v>44477.99930555555</v>
      </c>
      <c r="J1369" s="10" t="s">
        <v>51</v>
      </c>
      <c r="K1369" s="10" t="s">
        <v>34</v>
      </c>
      <c r="N1369" s="10" t="s">
        <v>35</v>
      </c>
      <c r="V1369" s="35" t="s">
        <v>3775</v>
      </c>
      <c r="W1369" s="15"/>
      <c r="X1369" s="10" t="s">
        <v>37</v>
      </c>
      <c r="Y1369" s="10" t="s">
        <v>0</v>
      </c>
    </row>
    <row r="1370">
      <c r="A1370" s="10" t="s">
        <v>5039</v>
      </c>
      <c r="B1370" s="11">
        <v>44471.006026793984</v>
      </c>
      <c r="C1370" s="10" t="s">
        <v>347</v>
      </c>
      <c r="D1370" s="10" t="s">
        <v>348</v>
      </c>
      <c r="E1370" s="10" t="s">
        <v>3429</v>
      </c>
      <c r="F1370" s="10" t="s">
        <v>3564</v>
      </c>
      <c r="G1370" s="10" t="s">
        <v>4771</v>
      </c>
      <c r="H1370" s="11">
        <v>44478.4375</v>
      </c>
      <c r="I1370" s="11">
        <v>44478.52083333333</v>
      </c>
      <c r="J1370" s="10" t="s">
        <v>128</v>
      </c>
      <c r="K1370" s="10" t="s">
        <v>34</v>
      </c>
      <c r="N1370" s="10" t="s">
        <v>35</v>
      </c>
      <c r="V1370" s="14" t="s">
        <v>3562</v>
      </c>
      <c r="W1370" s="15"/>
      <c r="X1370" s="10" t="s">
        <v>37</v>
      </c>
      <c r="Y1370" s="10" t="s">
        <v>0</v>
      </c>
    </row>
    <row r="1371">
      <c r="A1371" s="10" t="s">
        <v>5040</v>
      </c>
      <c r="B1371" s="11">
        <v>44446.435731562495</v>
      </c>
      <c r="C1371" s="10" t="s">
        <v>209</v>
      </c>
      <c r="D1371" s="10" t="s">
        <v>210</v>
      </c>
      <c r="E1371" s="10" t="s">
        <v>261</v>
      </c>
      <c r="F1371" s="10" t="s">
        <v>4374</v>
      </c>
      <c r="G1371" s="10" t="s">
        <v>4375</v>
      </c>
      <c r="H1371" s="11">
        <v>44478.47916666667</v>
      </c>
      <c r="I1371" s="11">
        <v>44478.52083333333</v>
      </c>
      <c r="J1371" s="10" t="s">
        <v>33</v>
      </c>
      <c r="K1371" s="10" t="s">
        <v>34</v>
      </c>
      <c r="N1371" s="10" t="s">
        <v>35</v>
      </c>
      <c r="V1371" s="14" t="s">
        <v>4376</v>
      </c>
      <c r="W1371" s="15"/>
      <c r="X1371" s="10" t="s">
        <v>37</v>
      </c>
      <c r="Y1371" s="10" t="s">
        <v>0</v>
      </c>
    </row>
    <row r="1372">
      <c r="A1372" s="10" t="s">
        <v>5041</v>
      </c>
      <c r="B1372" s="11">
        <v>44469.6736906713</v>
      </c>
      <c r="C1372" s="10" t="s">
        <v>28</v>
      </c>
      <c r="D1372" s="10" t="s">
        <v>29</v>
      </c>
      <c r="E1372" s="10" t="s">
        <v>4930</v>
      </c>
      <c r="F1372" s="10" t="s">
        <v>5042</v>
      </c>
      <c r="G1372" s="10" t="s">
        <v>5043</v>
      </c>
      <c r="H1372" s="11">
        <v>44477.72916666667</v>
      </c>
      <c r="I1372" s="11">
        <v>44477.77083333333</v>
      </c>
      <c r="J1372" s="10" t="s">
        <v>43</v>
      </c>
      <c r="K1372" s="10" t="s">
        <v>34</v>
      </c>
      <c r="N1372" s="10" t="s">
        <v>35</v>
      </c>
      <c r="V1372" s="14" t="s">
        <v>44</v>
      </c>
      <c r="W1372" s="15"/>
      <c r="X1372" s="10" t="s">
        <v>37</v>
      </c>
      <c r="Y1372" s="10" t="s">
        <v>0</v>
      </c>
    </row>
    <row r="1373">
      <c r="A1373" s="10" t="s">
        <v>5044</v>
      </c>
      <c r="B1373" s="11">
        <v>44446.45871707176</v>
      </c>
      <c r="C1373" s="10" t="s">
        <v>209</v>
      </c>
      <c r="D1373" s="10" t="s">
        <v>210</v>
      </c>
      <c r="E1373" s="10" t="s">
        <v>261</v>
      </c>
      <c r="F1373" s="10" t="s">
        <v>4519</v>
      </c>
      <c r="G1373" s="10" t="s">
        <v>4393</v>
      </c>
      <c r="H1373" s="11">
        <v>44478.64583333333</v>
      </c>
      <c r="I1373" s="11">
        <v>44478.6875</v>
      </c>
      <c r="J1373" s="10" t="s">
        <v>128</v>
      </c>
      <c r="K1373" s="10" t="s">
        <v>34</v>
      </c>
      <c r="N1373" s="10" t="s">
        <v>35</v>
      </c>
      <c r="V1373" s="14" t="s">
        <v>5045</v>
      </c>
      <c r="W1373" s="15"/>
      <c r="X1373" s="10" t="s">
        <v>37</v>
      </c>
      <c r="Y1373" s="10" t="s">
        <v>0</v>
      </c>
    </row>
    <row r="1374">
      <c r="A1374" s="10" t="s">
        <v>5046</v>
      </c>
      <c r="B1374" s="11">
        <v>44471.00130650463</v>
      </c>
      <c r="C1374" s="10" t="s">
        <v>347</v>
      </c>
      <c r="D1374" s="10" t="s">
        <v>348</v>
      </c>
      <c r="E1374" s="10" t="s">
        <v>3809</v>
      </c>
      <c r="F1374" s="10" t="s">
        <v>5047</v>
      </c>
      <c r="G1374" s="10" t="s">
        <v>5048</v>
      </c>
      <c r="H1374" s="11">
        <v>44471.60416666667</v>
      </c>
      <c r="I1374" s="11">
        <v>44471.6875</v>
      </c>
      <c r="J1374" s="10" t="s">
        <v>128</v>
      </c>
      <c r="K1374" s="10" t="s">
        <v>34</v>
      </c>
      <c r="N1374" s="10" t="s">
        <v>35</v>
      </c>
      <c r="V1374" s="14" t="s">
        <v>5049</v>
      </c>
      <c r="W1374" s="15"/>
      <c r="X1374" s="10" t="s">
        <v>37</v>
      </c>
      <c r="Y1374" s="10" t="s">
        <v>0</v>
      </c>
    </row>
    <row r="1375">
      <c r="A1375" s="10" t="s">
        <v>5050</v>
      </c>
      <c r="B1375" s="11">
        <v>44448.906469699075</v>
      </c>
      <c r="C1375" s="10" t="s">
        <v>336</v>
      </c>
      <c r="D1375" s="10" t="s">
        <v>337</v>
      </c>
      <c r="E1375" s="10" t="s">
        <v>981</v>
      </c>
      <c r="F1375" s="10" t="s">
        <v>5051</v>
      </c>
      <c r="G1375" s="10" t="s">
        <v>5052</v>
      </c>
      <c r="H1375" s="11">
        <v>44478.6875</v>
      </c>
      <c r="I1375" s="11">
        <v>44478.72916666667</v>
      </c>
      <c r="J1375" s="10" t="s">
        <v>128</v>
      </c>
      <c r="K1375" s="10" t="s">
        <v>34</v>
      </c>
      <c r="N1375" s="10" t="s">
        <v>35</v>
      </c>
      <c r="V1375" s="14" t="s">
        <v>4523</v>
      </c>
      <c r="W1375" s="15"/>
      <c r="X1375" s="10" t="s">
        <v>37</v>
      </c>
      <c r="Y1375" s="10" t="s">
        <v>0</v>
      </c>
    </row>
    <row r="1376">
      <c r="A1376" s="10" t="s">
        <v>5053</v>
      </c>
      <c r="B1376" s="11">
        <v>44471.53013835648</v>
      </c>
      <c r="C1376" s="10" t="s">
        <v>336</v>
      </c>
      <c r="D1376" s="10" t="s">
        <v>337</v>
      </c>
      <c r="E1376" s="10" t="s">
        <v>5054</v>
      </c>
      <c r="F1376" s="10" t="s">
        <v>5055</v>
      </c>
      <c r="G1376" s="10" t="s">
        <v>5056</v>
      </c>
      <c r="H1376" s="11">
        <v>44478.72916666667</v>
      </c>
      <c r="I1376" s="11">
        <v>44478.77083333333</v>
      </c>
      <c r="J1376" s="10" t="s">
        <v>128</v>
      </c>
      <c r="K1376" s="10" t="s">
        <v>34</v>
      </c>
      <c r="N1376" s="10" t="s">
        <v>35</v>
      </c>
      <c r="V1376" s="14" t="s">
        <v>5057</v>
      </c>
      <c r="W1376" s="15" t="s">
        <v>5058</v>
      </c>
      <c r="X1376" s="10" t="s">
        <v>37</v>
      </c>
      <c r="Y1376" s="10" t="s">
        <v>0</v>
      </c>
    </row>
    <row r="1377">
      <c r="A1377" s="10" t="s">
        <v>5059</v>
      </c>
      <c r="B1377" s="11">
        <v>44472.54177957176</v>
      </c>
      <c r="C1377" s="10" t="s">
        <v>239</v>
      </c>
      <c r="D1377" s="10" t="s">
        <v>240</v>
      </c>
      <c r="E1377" s="10" t="s">
        <v>4561</v>
      </c>
      <c r="F1377" s="10" t="s">
        <v>5060</v>
      </c>
      <c r="G1377" s="10" t="s">
        <v>5061</v>
      </c>
      <c r="H1377" s="11">
        <v>44445.0</v>
      </c>
      <c r="I1377" s="11">
        <v>44469.0</v>
      </c>
      <c r="J1377" s="10" t="s">
        <v>128</v>
      </c>
      <c r="K1377" s="10" t="s">
        <v>34</v>
      </c>
      <c r="N1377" s="10" t="s">
        <v>35</v>
      </c>
      <c r="V1377" s="14" t="s">
        <v>5062</v>
      </c>
      <c r="W1377" s="15" t="s">
        <v>5058</v>
      </c>
      <c r="X1377" s="10" t="s">
        <v>37</v>
      </c>
      <c r="Y1377" s="10" t="s">
        <v>0</v>
      </c>
    </row>
    <row r="1378">
      <c r="A1378" s="10" t="s">
        <v>5063</v>
      </c>
      <c r="B1378" s="11">
        <v>44487.78374349537</v>
      </c>
      <c r="C1378" s="10" t="s">
        <v>4217</v>
      </c>
      <c r="D1378" s="10" t="s">
        <v>4211</v>
      </c>
      <c r="E1378" s="10" t="s">
        <v>4950</v>
      </c>
      <c r="F1378" s="10" t="s">
        <v>5064</v>
      </c>
      <c r="G1378" s="10" t="s">
        <v>5065</v>
      </c>
      <c r="H1378" s="11">
        <v>44494.72916666667</v>
      </c>
      <c r="I1378" s="11">
        <v>44494.77083333333</v>
      </c>
      <c r="J1378" s="10" t="s">
        <v>43</v>
      </c>
      <c r="K1378" s="10" t="s">
        <v>34</v>
      </c>
      <c r="N1378" s="10" t="s">
        <v>35</v>
      </c>
      <c r="V1378" s="14" t="s">
        <v>5066</v>
      </c>
      <c r="W1378" s="15" t="s">
        <v>5058</v>
      </c>
      <c r="X1378" s="10" t="s">
        <v>37</v>
      </c>
      <c r="Y1378" s="10" t="s">
        <v>0</v>
      </c>
    </row>
    <row r="1379">
      <c r="A1379" s="10" t="s">
        <v>5067</v>
      </c>
      <c r="B1379" s="11">
        <v>44477.69752241898</v>
      </c>
      <c r="C1379" s="10" t="s">
        <v>96</v>
      </c>
      <c r="D1379" s="10" t="s">
        <v>97</v>
      </c>
      <c r="E1379" s="10" t="s">
        <v>98</v>
      </c>
      <c r="F1379" s="10" t="s">
        <v>5068</v>
      </c>
      <c r="G1379" s="10" t="s">
        <v>5069</v>
      </c>
      <c r="H1379" s="11">
        <v>44477.72916666667</v>
      </c>
      <c r="I1379" s="11">
        <v>44477.79166666667</v>
      </c>
      <c r="J1379" s="10" t="s">
        <v>43</v>
      </c>
      <c r="K1379" s="10" t="s">
        <v>34</v>
      </c>
      <c r="N1379" s="10" t="s">
        <v>35</v>
      </c>
      <c r="V1379" s="14" t="s">
        <v>5070</v>
      </c>
      <c r="W1379" s="15" t="s">
        <v>5058</v>
      </c>
      <c r="X1379" s="10" t="s">
        <v>37</v>
      </c>
      <c r="Y1379" s="10" t="s">
        <v>0</v>
      </c>
    </row>
    <row r="1380">
      <c r="A1380" s="10" t="s">
        <v>5071</v>
      </c>
      <c r="B1380" s="11">
        <v>44473.675556180555</v>
      </c>
      <c r="C1380" s="10" t="s">
        <v>137</v>
      </c>
      <c r="D1380" s="10" t="s">
        <v>138</v>
      </c>
      <c r="E1380" s="10" t="s">
        <v>3299</v>
      </c>
      <c r="F1380" s="10" t="s">
        <v>5072</v>
      </c>
      <c r="G1380" s="10" t="s">
        <v>5073</v>
      </c>
      <c r="H1380" s="11">
        <v>44487.4375</v>
      </c>
      <c r="I1380" s="11">
        <v>44487.47916666667</v>
      </c>
      <c r="J1380" s="10" t="s">
        <v>128</v>
      </c>
      <c r="K1380" s="10" t="s">
        <v>34</v>
      </c>
      <c r="N1380" s="10" t="s">
        <v>35</v>
      </c>
      <c r="V1380" s="35" t="s">
        <v>5074</v>
      </c>
      <c r="W1380" s="15"/>
      <c r="X1380" s="10" t="s">
        <v>37</v>
      </c>
      <c r="Y1380" s="10" t="s">
        <v>0</v>
      </c>
    </row>
    <row r="1381">
      <c r="A1381" s="10" t="s">
        <v>5075</v>
      </c>
      <c r="B1381" s="11">
        <v>44473.765218113425</v>
      </c>
      <c r="C1381" s="10" t="s">
        <v>581</v>
      </c>
      <c r="D1381" s="10" t="s">
        <v>220</v>
      </c>
      <c r="E1381" s="10" t="s">
        <v>3586</v>
      </c>
      <c r="F1381" s="10" t="s">
        <v>5076</v>
      </c>
      <c r="G1381" s="10" t="s">
        <v>5077</v>
      </c>
      <c r="H1381" s="11">
        <v>44474.4375</v>
      </c>
      <c r="I1381" s="11">
        <v>44474.47916666667</v>
      </c>
      <c r="J1381" s="10" t="s">
        <v>73</v>
      </c>
      <c r="K1381" s="10" t="s">
        <v>34</v>
      </c>
      <c r="N1381" s="10" t="s">
        <v>35</v>
      </c>
      <c r="V1381" s="14" t="s">
        <v>4660</v>
      </c>
      <c r="W1381" s="15"/>
      <c r="X1381" s="10" t="s">
        <v>37</v>
      </c>
      <c r="Y1381" s="10" t="s">
        <v>0</v>
      </c>
    </row>
    <row r="1382">
      <c r="A1382" s="10" t="s">
        <v>5078</v>
      </c>
      <c r="B1382" s="11">
        <v>44473.76777561342</v>
      </c>
      <c r="C1382" s="10" t="s">
        <v>581</v>
      </c>
      <c r="D1382" s="10" t="s">
        <v>220</v>
      </c>
      <c r="E1382" s="10" t="s">
        <v>3606</v>
      </c>
      <c r="F1382" s="10" t="s">
        <v>5079</v>
      </c>
      <c r="G1382" s="10" t="s">
        <v>5080</v>
      </c>
      <c r="H1382" s="11">
        <v>44477.4375</v>
      </c>
      <c r="I1382" s="11">
        <v>44477.47916666667</v>
      </c>
      <c r="J1382" s="10" t="s">
        <v>128</v>
      </c>
      <c r="K1382" s="10" t="s">
        <v>34</v>
      </c>
      <c r="N1382" s="10" t="s">
        <v>35</v>
      </c>
      <c r="V1382" s="14" t="s">
        <v>5081</v>
      </c>
      <c r="W1382" s="15"/>
      <c r="X1382" s="10" t="s">
        <v>37</v>
      </c>
      <c r="Y1382" s="10" t="s">
        <v>0</v>
      </c>
    </row>
    <row r="1383">
      <c r="A1383" s="10" t="s">
        <v>5082</v>
      </c>
      <c r="B1383" s="11">
        <v>44473.774003530096</v>
      </c>
      <c r="C1383" s="10" t="s">
        <v>581</v>
      </c>
      <c r="D1383" s="10" t="s">
        <v>220</v>
      </c>
      <c r="E1383" s="10" t="s">
        <v>5083</v>
      </c>
      <c r="F1383" s="10" t="s">
        <v>3765</v>
      </c>
      <c r="G1383" s="10" t="s">
        <v>5084</v>
      </c>
      <c r="H1383" s="11">
        <v>44476.35416666667</v>
      </c>
      <c r="I1383" s="11">
        <v>44476.39583333333</v>
      </c>
      <c r="J1383" s="10" t="s">
        <v>128</v>
      </c>
      <c r="K1383" s="10" t="s">
        <v>34</v>
      </c>
      <c r="N1383" s="10" t="s">
        <v>35</v>
      </c>
      <c r="V1383" s="14" t="s">
        <v>5085</v>
      </c>
      <c r="W1383" s="15"/>
      <c r="X1383" s="10" t="s">
        <v>37</v>
      </c>
      <c r="Y1383" s="10" t="s">
        <v>0</v>
      </c>
    </row>
    <row r="1384">
      <c r="A1384" s="10" t="s">
        <v>5086</v>
      </c>
      <c r="B1384" s="11">
        <v>44474.42810506944</v>
      </c>
      <c r="C1384" s="10" t="s">
        <v>80</v>
      </c>
      <c r="D1384" s="10" t="s">
        <v>81</v>
      </c>
      <c r="E1384" s="10" t="s">
        <v>5087</v>
      </c>
      <c r="F1384" s="10" t="s">
        <v>5088</v>
      </c>
      <c r="G1384" s="10" t="s">
        <v>5089</v>
      </c>
      <c r="H1384" s="11">
        <v>44480.33333333333</v>
      </c>
      <c r="I1384" s="11">
        <v>44481.33333333333</v>
      </c>
      <c r="J1384" s="10" t="s">
        <v>73</v>
      </c>
      <c r="K1384" s="10" t="s">
        <v>34</v>
      </c>
      <c r="N1384" s="10" t="s">
        <v>35</v>
      </c>
      <c r="V1384" s="14" t="s">
        <v>4721</v>
      </c>
      <c r="W1384" s="15"/>
      <c r="X1384" s="10" t="s">
        <v>37</v>
      </c>
      <c r="Y1384" s="10" t="s">
        <v>0</v>
      </c>
    </row>
    <row r="1385">
      <c r="A1385" s="10" t="s">
        <v>5090</v>
      </c>
      <c r="B1385" s="11">
        <v>44474.74110775463</v>
      </c>
      <c r="C1385" s="10" t="s">
        <v>160</v>
      </c>
      <c r="D1385" s="10" t="s">
        <v>161</v>
      </c>
      <c r="E1385" s="10" t="s">
        <v>3953</v>
      </c>
      <c r="F1385" s="10" t="s">
        <v>5091</v>
      </c>
      <c r="G1385" s="10" t="s">
        <v>5092</v>
      </c>
      <c r="H1385" s="11">
        <v>44475.66666666667</v>
      </c>
      <c r="I1385" s="11">
        <v>44475.6875</v>
      </c>
      <c r="J1385" s="10" t="s">
        <v>73</v>
      </c>
      <c r="K1385" s="10" t="s">
        <v>34</v>
      </c>
      <c r="N1385" s="10" t="s">
        <v>35</v>
      </c>
      <c r="V1385" s="14" t="s">
        <v>4739</v>
      </c>
      <c r="W1385" s="15"/>
      <c r="X1385" s="10" t="s">
        <v>37</v>
      </c>
      <c r="Y1385" s="10" t="s">
        <v>0</v>
      </c>
    </row>
    <row r="1386">
      <c r="A1386" s="10" t="s">
        <v>5093</v>
      </c>
      <c r="B1386" s="11">
        <v>44475.38233237268</v>
      </c>
      <c r="C1386" s="10" t="s">
        <v>4268</v>
      </c>
      <c r="D1386" s="10" t="s">
        <v>4269</v>
      </c>
      <c r="E1386" s="10" t="s">
        <v>5094</v>
      </c>
      <c r="F1386" s="10" t="s">
        <v>5095</v>
      </c>
      <c r="G1386" s="10" t="s">
        <v>5096</v>
      </c>
      <c r="H1386" s="11">
        <v>44477.6875</v>
      </c>
      <c r="I1386" s="11">
        <v>44477.77083333333</v>
      </c>
      <c r="J1386" s="10" t="s">
        <v>33</v>
      </c>
      <c r="K1386" s="10" t="s">
        <v>34</v>
      </c>
      <c r="N1386" s="10" t="s">
        <v>35</v>
      </c>
      <c r="V1386" s="14" t="s">
        <v>5097</v>
      </c>
      <c r="W1386" s="15"/>
      <c r="X1386" s="10" t="s">
        <v>37</v>
      </c>
      <c r="Y1386" s="10" t="s">
        <v>0</v>
      </c>
    </row>
    <row r="1387">
      <c r="A1387" s="10" t="s">
        <v>5098</v>
      </c>
      <c r="B1387" s="11">
        <v>44475.49900334491</v>
      </c>
      <c r="C1387" s="10" t="s">
        <v>1035</v>
      </c>
      <c r="D1387" s="10" t="s">
        <v>1036</v>
      </c>
      <c r="E1387" s="10" t="s">
        <v>5099</v>
      </c>
      <c r="F1387" s="10" t="s">
        <v>5100</v>
      </c>
      <c r="G1387" s="10" t="s">
        <v>5101</v>
      </c>
      <c r="H1387" s="11">
        <v>44475.41666666667</v>
      </c>
      <c r="I1387" s="11">
        <v>44475.45694444445</v>
      </c>
      <c r="J1387" s="10" t="s">
        <v>128</v>
      </c>
      <c r="K1387" s="10" t="s">
        <v>34</v>
      </c>
      <c r="N1387" s="10" t="s">
        <v>296</v>
      </c>
      <c r="O1387" s="18" t="s">
        <v>5102</v>
      </c>
      <c r="P1387" s="10" t="s">
        <v>35</v>
      </c>
      <c r="R1387" s="10" t="s">
        <v>296</v>
      </c>
      <c r="S1387" s="10">
        <v>1.0</v>
      </c>
      <c r="T1387" s="10" t="s">
        <v>35</v>
      </c>
      <c r="V1387" s="14" t="s">
        <v>3469</v>
      </c>
      <c r="W1387" s="15"/>
      <c r="X1387" s="10" t="s">
        <v>37</v>
      </c>
      <c r="Y1387" s="10" t="s">
        <v>0</v>
      </c>
    </row>
    <row r="1388">
      <c r="A1388" s="10" t="s">
        <v>5103</v>
      </c>
      <c r="B1388" s="11">
        <v>44475.501663194445</v>
      </c>
      <c r="C1388" s="10" t="s">
        <v>1035</v>
      </c>
      <c r="D1388" s="10" t="s">
        <v>1036</v>
      </c>
      <c r="E1388" s="10" t="s">
        <v>5104</v>
      </c>
      <c r="F1388" s="10" t="s">
        <v>5105</v>
      </c>
      <c r="G1388" s="10" t="s">
        <v>5106</v>
      </c>
      <c r="H1388" s="11">
        <v>44477.1875</v>
      </c>
      <c r="I1388" s="11">
        <v>44477.22916666667</v>
      </c>
      <c r="J1388" s="10" t="s">
        <v>128</v>
      </c>
      <c r="K1388" s="10" t="s">
        <v>34</v>
      </c>
      <c r="N1388" s="10" t="s">
        <v>35</v>
      </c>
      <c r="V1388" s="14" t="s">
        <v>3469</v>
      </c>
      <c r="W1388" s="15"/>
      <c r="X1388" s="10" t="s">
        <v>37</v>
      </c>
      <c r="Y1388" s="10" t="s">
        <v>0</v>
      </c>
    </row>
    <row r="1389">
      <c r="A1389" s="10" t="s">
        <v>5107</v>
      </c>
      <c r="B1389" s="11">
        <v>44476.47706928241</v>
      </c>
      <c r="C1389" s="10" t="s">
        <v>181</v>
      </c>
      <c r="D1389" s="10" t="s">
        <v>69</v>
      </c>
      <c r="E1389" s="10" t="s">
        <v>4175</v>
      </c>
      <c r="F1389" s="10" t="s">
        <v>5108</v>
      </c>
      <c r="G1389" s="10" t="s">
        <v>5109</v>
      </c>
      <c r="H1389" s="11">
        <v>44480.33333333333</v>
      </c>
      <c r="I1389" s="11">
        <v>44545.33333333333</v>
      </c>
      <c r="J1389" s="10" t="s">
        <v>73</v>
      </c>
      <c r="K1389" s="10" t="s">
        <v>34</v>
      </c>
      <c r="N1389" s="10" t="s">
        <v>35</v>
      </c>
      <c r="V1389" s="14" t="s">
        <v>4065</v>
      </c>
      <c r="W1389" s="15"/>
      <c r="X1389" s="10" t="s">
        <v>37</v>
      </c>
      <c r="Y1389" s="10" t="s">
        <v>0</v>
      </c>
    </row>
    <row r="1390">
      <c r="A1390" s="10" t="s">
        <v>5110</v>
      </c>
      <c r="B1390" s="11">
        <v>44476.47876041666</v>
      </c>
      <c r="C1390" s="10" t="s">
        <v>181</v>
      </c>
      <c r="D1390" s="10" t="s">
        <v>69</v>
      </c>
      <c r="E1390" s="10" t="s">
        <v>4175</v>
      </c>
      <c r="F1390" s="10" t="s">
        <v>5111</v>
      </c>
      <c r="G1390" s="10" t="s">
        <v>5112</v>
      </c>
      <c r="H1390" s="11">
        <v>44480.33333333333</v>
      </c>
      <c r="I1390" s="11">
        <v>44545.33333333333</v>
      </c>
      <c r="J1390" s="10" t="s">
        <v>73</v>
      </c>
      <c r="K1390" s="10" t="s">
        <v>34</v>
      </c>
      <c r="N1390" s="10" t="s">
        <v>35</v>
      </c>
      <c r="V1390" s="14" t="s">
        <v>4065</v>
      </c>
      <c r="W1390" s="15"/>
      <c r="X1390" s="10" t="s">
        <v>37</v>
      </c>
      <c r="Y1390" s="10" t="s">
        <v>0</v>
      </c>
    </row>
    <row r="1391">
      <c r="A1391" s="10" t="s">
        <v>5113</v>
      </c>
      <c r="B1391" s="11">
        <v>44476.479396319446</v>
      </c>
      <c r="C1391" s="10" t="s">
        <v>181</v>
      </c>
      <c r="D1391" s="10" t="s">
        <v>69</v>
      </c>
      <c r="E1391" s="10" t="s">
        <v>4175</v>
      </c>
      <c r="F1391" s="10" t="s">
        <v>5114</v>
      </c>
      <c r="G1391" s="10" t="s">
        <v>5115</v>
      </c>
      <c r="H1391" s="11">
        <v>44480.33333333333</v>
      </c>
      <c r="I1391" s="11">
        <v>44545.33333333333</v>
      </c>
      <c r="J1391" s="10" t="s">
        <v>73</v>
      </c>
      <c r="K1391" s="10" t="s">
        <v>34</v>
      </c>
      <c r="N1391" s="10" t="s">
        <v>35</v>
      </c>
      <c r="V1391" s="14" t="s">
        <v>4065</v>
      </c>
      <c r="W1391" s="15"/>
      <c r="X1391" s="10" t="s">
        <v>37</v>
      </c>
      <c r="Y1391" s="10" t="s">
        <v>0</v>
      </c>
    </row>
    <row r="1392">
      <c r="A1392" s="10" t="s">
        <v>5116</v>
      </c>
      <c r="B1392" s="11">
        <v>44476.4802699537</v>
      </c>
      <c r="C1392" s="10" t="s">
        <v>181</v>
      </c>
      <c r="D1392" s="10" t="s">
        <v>69</v>
      </c>
      <c r="E1392" s="10" t="s">
        <v>4175</v>
      </c>
      <c r="F1392" s="10" t="s">
        <v>5117</v>
      </c>
      <c r="G1392" s="10" t="s">
        <v>5118</v>
      </c>
      <c r="H1392" s="11">
        <v>44480.33333333333</v>
      </c>
      <c r="I1392" s="11">
        <v>44545.33333333333</v>
      </c>
      <c r="J1392" s="10" t="s">
        <v>73</v>
      </c>
      <c r="K1392" s="10" t="s">
        <v>34</v>
      </c>
      <c r="N1392" s="10" t="s">
        <v>35</v>
      </c>
      <c r="V1392" s="14" t="s">
        <v>4065</v>
      </c>
      <c r="W1392" s="15"/>
      <c r="X1392" s="10" t="s">
        <v>37</v>
      </c>
      <c r="Y1392" s="10" t="s">
        <v>0</v>
      </c>
    </row>
    <row r="1393">
      <c r="A1393" s="10" t="s">
        <v>5119</v>
      </c>
      <c r="B1393" s="11">
        <v>44467.9578804051</v>
      </c>
      <c r="C1393" s="10" t="s">
        <v>137</v>
      </c>
      <c r="D1393" s="10" t="s">
        <v>138</v>
      </c>
      <c r="E1393" s="10" t="s">
        <v>3299</v>
      </c>
      <c r="F1393" s="10" t="s">
        <v>5120</v>
      </c>
      <c r="G1393" s="10" t="s">
        <v>5121</v>
      </c>
      <c r="H1393" s="11">
        <v>44478.625</v>
      </c>
      <c r="I1393" s="11">
        <v>44478.75</v>
      </c>
      <c r="J1393" s="10" t="s">
        <v>43</v>
      </c>
      <c r="K1393" s="10" t="s">
        <v>34</v>
      </c>
      <c r="N1393" s="10" t="s">
        <v>35</v>
      </c>
      <c r="V1393" s="35" t="s">
        <v>5122</v>
      </c>
      <c r="W1393" s="15"/>
      <c r="X1393" s="10" t="s">
        <v>37</v>
      </c>
      <c r="Y1393" s="10" t="s">
        <v>0</v>
      </c>
    </row>
    <row r="1394">
      <c r="A1394" s="10" t="s">
        <v>5123</v>
      </c>
      <c r="B1394" s="11">
        <v>44476.60354748843</v>
      </c>
      <c r="C1394" s="10" t="s">
        <v>3521</v>
      </c>
      <c r="D1394" s="10" t="s">
        <v>69</v>
      </c>
      <c r="E1394" s="10" t="s">
        <v>3864</v>
      </c>
      <c r="F1394" s="10" t="s">
        <v>5124</v>
      </c>
      <c r="G1394" s="10" t="s">
        <v>5125</v>
      </c>
      <c r="H1394" s="11">
        <v>44484.47916666667</v>
      </c>
      <c r="I1394" s="11">
        <v>44484.52083333333</v>
      </c>
      <c r="J1394" s="10" t="s">
        <v>43</v>
      </c>
      <c r="K1394" s="10" t="s">
        <v>34</v>
      </c>
      <c r="N1394" s="10" t="s">
        <v>296</v>
      </c>
      <c r="O1394" s="18" t="s">
        <v>5126</v>
      </c>
      <c r="P1394" s="10" t="s">
        <v>35</v>
      </c>
      <c r="R1394" s="10" t="s">
        <v>35</v>
      </c>
      <c r="T1394" s="10" t="s">
        <v>296</v>
      </c>
      <c r="U1394" s="10">
        <v>2.0</v>
      </c>
      <c r="V1394" s="14" t="s">
        <v>5127</v>
      </c>
      <c r="W1394" s="15"/>
      <c r="X1394" s="10" t="s">
        <v>37</v>
      </c>
      <c r="Y1394" s="10" t="s">
        <v>0</v>
      </c>
    </row>
    <row r="1395">
      <c r="A1395" s="10" t="s">
        <v>5128</v>
      </c>
      <c r="B1395" s="11">
        <v>44477.476020277776</v>
      </c>
      <c r="C1395" s="10" t="s">
        <v>4217</v>
      </c>
      <c r="D1395" s="10" t="s">
        <v>4211</v>
      </c>
      <c r="E1395" s="10" t="s">
        <v>5129</v>
      </c>
      <c r="F1395" s="10" t="s">
        <v>5130</v>
      </c>
      <c r="G1395" s="10" t="s">
        <v>5131</v>
      </c>
      <c r="H1395" s="11">
        <v>44477.60416666667</v>
      </c>
      <c r="I1395" s="11">
        <v>44477.64583333333</v>
      </c>
      <c r="J1395" s="10" t="s">
        <v>128</v>
      </c>
      <c r="K1395" s="10" t="s">
        <v>34</v>
      </c>
      <c r="N1395" s="10" t="s">
        <v>35</v>
      </c>
      <c r="V1395" s="14" t="s">
        <v>5132</v>
      </c>
      <c r="W1395" s="15"/>
      <c r="X1395" s="10" t="s">
        <v>37</v>
      </c>
      <c r="Y1395" s="10" t="s">
        <v>0</v>
      </c>
    </row>
    <row r="1396">
      <c r="A1396" s="10" t="s">
        <v>5133</v>
      </c>
      <c r="B1396" s="11">
        <v>44477.51340729167</v>
      </c>
      <c r="C1396" s="10" t="s">
        <v>719</v>
      </c>
      <c r="D1396" s="10" t="s">
        <v>161</v>
      </c>
      <c r="E1396" s="10" t="s">
        <v>5134</v>
      </c>
      <c r="F1396" s="10" t="s">
        <v>5135</v>
      </c>
      <c r="G1396" s="10" t="s">
        <v>5136</v>
      </c>
      <c r="H1396" s="11">
        <v>44478.66666666667</v>
      </c>
      <c r="I1396" s="11">
        <v>44478.6875</v>
      </c>
      <c r="J1396" s="10" t="s">
        <v>73</v>
      </c>
      <c r="K1396" s="10" t="s">
        <v>34</v>
      </c>
      <c r="N1396" s="10" t="s">
        <v>35</v>
      </c>
      <c r="V1396" s="14" t="s">
        <v>4739</v>
      </c>
      <c r="W1396" s="15"/>
      <c r="X1396" s="10" t="s">
        <v>37</v>
      </c>
      <c r="Y1396" s="10" t="s">
        <v>0</v>
      </c>
    </row>
    <row r="1397">
      <c r="A1397" s="10" t="s">
        <v>5137</v>
      </c>
      <c r="B1397" s="11">
        <v>44477.63145716435</v>
      </c>
      <c r="C1397" s="10" t="s">
        <v>694</v>
      </c>
      <c r="D1397" s="10" t="s">
        <v>695</v>
      </c>
      <c r="E1397" s="10" t="s">
        <v>4316</v>
      </c>
      <c r="F1397" s="10" t="s">
        <v>5138</v>
      </c>
      <c r="G1397" s="10" t="s">
        <v>5139</v>
      </c>
      <c r="H1397" s="11">
        <v>44479.58333333333</v>
      </c>
      <c r="I1397" s="11">
        <v>44479.99930555555</v>
      </c>
      <c r="J1397" s="10" t="s">
        <v>73</v>
      </c>
      <c r="K1397" s="10" t="s">
        <v>34</v>
      </c>
      <c r="N1397" s="10" t="s">
        <v>35</v>
      </c>
      <c r="V1397" s="14" t="s">
        <v>3464</v>
      </c>
      <c r="W1397" s="15"/>
      <c r="X1397" s="10" t="s">
        <v>37</v>
      </c>
      <c r="Y1397" s="10" t="s">
        <v>0</v>
      </c>
    </row>
    <row r="1398">
      <c r="A1398" s="10" t="s">
        <v>5140</v>
      </c>
      <c r="B1398" s="11">
        <v>44477.63382497685</v>
      </c>
      <c r="C1398" s="10" t="s">
        <v>694</v>
      </c>
      <c r="D1398" s="10" t="s">
        <v>695</v>
      </c>
      <c r="E1398" s="10" t="s">
        <v>4316</v>
      </c>
      <c r="F1398" s="10" t="s">
        <v>5141</v>
      </c>
      <c r="G1398" s="10" t="s">
        <v>5142</v>
      </c>
      <c r="H1398" s="11">
        <v>44481.58333333333</v>
      </c>
      <c r="I1398" s="11">
        <v>44481.99930555555</v>
      </c>
      <c r="J1398" s="10" t="s">
        <v>73</v>
      </c>
      <c r="K1398" s="10" t="s">
        <v>34</v>
      </c>
      <c r="N1398" s="10" t="s">
        <v>35</v>
      </c>
      <c r="V1398" s="14" t="s">
        <v>3464</v>
      </c>
      <c r="W1398" s="15"/>
      <c r="X1398" s="10" t="s">
        <v>37</v>
      </c>
      <c r="Y1398" s="10" t="s">
        <v>0</v>
      </c>
    </row>
    <row r="1399">
      <c r="A1399" s="10" t="s">
        <v>5143</v>
      </c>
      <c r="B1399" s="11">
        <v>44476.60442320602</v>
      </c>
      <c r="C1399" s="10" t="s">
        <v>181</v>
      </c>
      <c r="D1399" s="10" t="s">
        <v>69</v>
      </c>
      <c r="E1399" s="10" t="s">
        <v>3864</v>
      </c>
      <c r="F1399" s="10" t="s">
        <v>5124</v>
      </c>
      <c r="G1399" s="10" t="s">
        <v>5125</v>
      </c>
      <c r="H1399" s="11">
        <v>44484.47916666667</v>
      </c>
      <c r="I1399" s="11">
        <v>44484.52083333333</v>
      </c>
      <c r="J1399" s="10" t="s">
        <v>43</v>
      </c>
      <c r="K1399" s="10" t="s">
        <v>34</v>
      </c>
      <c r="N1399" s="10" t="s">
        <v>296</v>
      </c>
      <c r="O1399" s="18" t="s">
        <v>5144</v>
      </c>
      <c r="P1399" s="10" t="s">
        <v>35</v>
      </c>
      <c r="R1399" s="10" t="s">
        <v>35</v>
      </c>
      <c r="T1399" s="10" t="s">
        <v>296</v>
      </c>
      <c r="U1399" s="10">
        <v>2.0</v>
      </c>
      <c r="V1399" s="14" t="s">
        <v>5127</v>
      </c>
      <c r="W1399" s="15"/>
      <c r="X1399" s="10" t="s">
        <v>37</v>
      </c>
      <c r="Y1399" s="10" t="s">
        <v>0</v>
      </c>
    </row>
    <row r="1400">
      <c r="A1400" s="10" t="s">
        <v>5145</v>
      </c>
      <c r="B1400" s="11">
        <v>44477.67792289352</v>
      </c>
      <c r="C1400" s="10" t="s">
        <v>374</v>
      </c>
      <c r="D1400" s="10" t="s">
        <v>375</v>
      </c>
      <c r="E1400" s="10" t="s">
        <v>261</v>
      </c>
      <c r="F1400" s="10" t="s">
        <v>5146</v>
      </c>
      <c r="G1400" s="10" t="s">
        <v>5147</v>
      </c>
      <c r="H1400" s="11">
        <v>44486.6875</v>
      </c>
      <c r="I1400" s="11">
        <v>44486.72916666667</v>
      </c>
      <c r="J1400" s="10" t="s">
        <v>128</v>
      </c>
      <c r="K1400" s="10" t="s">
        <v>34</v>
      </c>
      <c r="N1400" s="10" t="s">
        <v>35</v>
      </c>
      <c r="V1400" s="14" t="s">
        <v>5148</v>
      </c>
      <c r="W1400" s="15"/>
      <c r="X1400" s="10" t="s">
        <v>37</v>
      </c>
      <c r="Y1400" s="10" t="s">
        <v>0</v>
      </c>
    </row>
    <row r="1401">
      <c r="A1401" s="10" t="s">
        <v>5149</v>
      </c>
      <c r="B1401" s="11">
        <v>44477.68233106482</v>
      </c>
      <c r="C1401" s="10" t="s">
        <v>374</v>
      </c>
      <c r="D1401" s="10" t="s">
        <v>375</v>
      </c>
      <c r="E1401" s="10" t="s">
        <v>5150</v>
      </c>
      <c r="F1401" s="10" t="s">
        <v>5151</v>
      </c>
      <c r="G1401" s="10" t="s">
        <v>5152</v>
      </c>
      <c r="H1401" s="11">
        <v>44487.64583333333</v>
      </c>
      <c r="I1401" s="11">
        <v>44487.6875</v>
      </c>
      <c r="J1401" s="10" t="s">
        <v>128</v>
      </c>
      <c r="K1401" s="10" t="s">
        <v>34</v>
      </c>
      <c r="N1401" s="10" t="s">
        <v>35</v>
      </c>
      <c r="V1401" s="14" t="s">
        <v>5153</v>
      </c>
      <c r="W1401" s="15"/>
      <c r="X1401" s="10" t="s">
        <v>37</v>
      </c>
      <c r="Y1401" s="10" t="s">
        <v>0</v>
      </c>
    </row>
    <row r="1402">
      <c r="A1402" s="10" t="s">
        <v>5154</v>
      </c>
      <c r="B1402" s="11">
        <v>44477.697054606484</v>
      </c>
      <c r="C1402" s="10" t="s">
        <v>160</v>
      </c>
      <c r="D1402" s="10" t="s">
        <v>161</v>
      </c>
      <c r="E1402" s="10" t="s">
        <v>3953</v>
      </c>
      <c r="F1402" s="10" t="s">
        <v>5155</v>
      </c>
      <c r="G1402" s="10" t="s">
        <v>5156</v>
      </c>
      <c r="H1402" s="11">
        <v>44479.66666666667</v>
      </c>
      <c r="I1402" s="11">
        <v>44479.6875</v>
      </c>
      <c r="J1402" s="10" t="s">
        <v>73</v>
      </c>
      <c r="K1402" s="10" t="s">
        <v>34</v>
      </c>
      <c r="N1402" s="10" t="s">
        <v>35</v>
      </c>
      <c r="V1402" s="14" t="s">
        <v>4739</v>
      </c>
      <c r="W1402" s="15"/>
      <c r="X1402" s="10" t="s">
        <v>37</v>
      </c>
      <c r="Y1402" s="10" t="s">
        <v>0</v>
      </c>
    </row>
    <row r="1403">
      <c r="A1403" s="10" t="s">
        <v>5157</v>
      </c>
      <c r="B1403" s="11">
        <v>44477.721485092596</v>
      </c>
      <c r="C1403" s="10" t="s">
        <v>330</v>
      </c>
      <c r="D1403" s="10" t="s">
        <v>331</v>
      </c>
      <c r="E1403" s="10" t="s">
        <v>4302</v>
      </c>
      <c r="F1403" s="10" t="s">
        <v>5158</v>
      </c>
      <c r="G1403" s="10" t="s">
        <v>5159</v>
      </c>
      <c r="H1403" s="11">
        <v>44484.60416666667</v>
      </c>
      <c r="I1403" s="11">
        <v>44484.6875</v>
      </c>
      <c r="J1403" s="10" t="s">
        <v>43</v>
      </c>
      <c r="K1403" s="10" t="s">
        <v>34</v>
      </c>
      <c r="N1403" s="10" t="s">
        <v>35</v>
      </c>
      <c r="V1403" s="14" t="s">
        <v>5160</v>
      </c>
      <c r="W1403" s="15"/>
      <c r="X1403" s="10" t="s">
        <v>37</v>
      </c>
      <c r="Y1403" s="10" t="s">
        <v>0</v>
      </c>
    </row>
    <row r="1404">
      <c r="A1404" s="10" t="s">
        <v>5161</v>
      </c>
      <c r="B1404" s="11">
        <v>44477.704128020836</v>
      </c>
      <c r="C1404" s="10" t="s">
        <v>719</v>
      </c>
      <c r="D1404" s="10" t="s">
        <v>161</v>
      </c>
      <c r="E1404" s="10" t="s">
        <v>3953</v>
      </c>
      <c r="F1404" s="10" t="s">
        <v>5162</v>
      </c>
      <c r="G1404" s="10" t="s">
        <v>5163</v>
      </c>
      <c r="H1404" s="11">
        <v>44487.41666666667</v>
      </c>
      <c r="I1404" s="11">
        <v>44486.75</v>
      </c>
      <c r="J1404" s="10" t="s">
        <v>51</v>
      </c>
      <c r="K1404" s="10" t="s">
        <v>34</v>
      </c>
      <c r="N1404" s="10" t="s">
        <v>35</v>
      </c>
      <c r="V1404" s="14" t="s">
        <v>4739</v>
      </c>
      <c r="W1404" s="15"/>
      <c r="X1404" s="10" t="s">
        <v>37</v>
      </c>
      <c r="Y1404" s="10" t="s">
        <v>0</v>
      </c>
    </row>
    <row r="1405">
      <c r="A1405" s="10" t="s">
        <v>5164</v>
      </c>
      <c r="B1405" s="11">
        <v>44477.72518016204</v>
      </c>
      <c r="C1405" s="10" t="s">
        <v>330</v>
      </c>
      <c r="D1405" s="10" t="s">
        <v>331</v>
      </c>
      <c r="E1405" s="10" t="s">
        <v>4302</v>
      </c>
      <c r="F1405" s="10" t="s">
        <v>5158</v>
      </c>
      <c r="G1405" s="10" t="s">
        <v>5165</v>
      </c>
      <c r="H1405" s="11">
        <v>44491.60416666667</v>
      </c>
      <c r="I1405" s="11">
        <v>44491.6875</v>
      </c>
      <c r="J1405" s="10" t="s">
        <v>43</v>
      </c>
      <c r="K1405" s="10" t="s">
        <v>34</v>
      </c>
      <c r="N1405" s="10" t="s">
        <v>35</v>
      </c>
      <c r="V1405" s="14" t="s">
        <v>5160</v>
      </c>
      <c r="W1405" s="15"/>
      <c r="X1405" s="10" t="s">
        <v>37</v>
      </c>
      <c r="Y1405" s="10" t="s">
        <v>0</v>
      </c>
    </row>
    <row r="1406">
      <c r="A1406" s="10" t="s">
        <v>5166</v>
      </c>
      <c r="B1406" s="11">
        <v>44484.50746998843</v>
      </c>
      <c r="C1406" s="10" t="s">
        <v>181</v>
      </c>
      <c r="D1406" s="10" t="s">
        <v>69</v>
      </c>
      <c r="E1406" s="10" t="s">
        <v>1284</v>
      </c>
      <c r="F1406" s="10" t="s">
        <v>5167</v>
      </c>
      <c r="G1406" s="10" t="s">
        <v>5168</v>
      </c>
      <c r="H1406" s="11">
        <v>44491.60416666667</v>
      </c>
      <c r="I1406" s="11">
        <v>44491.66666666667</v>
      </c>
      <c r="J1406" s="10" t="s">
        <v>43</v>
      </c>
      <c r="K1406" s="10" t="s">
        <v>34</v>
      </c>
      <c r="N1406" s="10" t="s">
        <v>35</v>
      </c>
      <c r="V1406" s="14" t="s">
        <v>5169</v>
      </c>
      <c r="W1406" s="15"/>
      <c r="X1406" s="10" t="s">
        <v>37</v>
      </c>
      <c r="Y1406" s="10" t="s">
        <v>0</v>
      </c>
    </row>
    <row r="1407">
      <c r="A1407" s="10" t="s">
        <v>5170</v>
      </c>
      <c r="B1407" s="11">
        <v>44481.66666876157</v>
      </c>
      <c r="C1407" s="10" t="s">
        <v>239</v>
      </c>
      <c r="D1407" s="10" t="s">
        <v>240</v>
      </c>
      <c r="E1407" s="10" t="s">
        <v>4561</v>
      </c>
      <c r="F1407" s="10" t="s">
        <v>5171</v>
      </c>
      <c r="G1407" s="10" t="s">
        <v>5172</v>
      </c>
      <c r="H1407" s="11">
        <v>44481.41666666667</v>
      </c>
      <c r="I1407" s="11">
        <v>44481.915972222225</v>
      </c>
      <c r="J1407" s="10" t="s">
        <v>128</v>
      </c>
      <c r="K1407" s="10" t="s">
        <v>34</v>
      </c>
      <c r="N1407" s="10" t="s">
        <v>35</v>
      </c>
      <c r="V1407" s="35" t="s">
        <v>4551</v>
      </c>
      <c r="W1407" s="15"/>
      <c r="X1407" s="10" t="s">
        <v>37</v>
      </c>
      <c r="Y1407" s="10" t="s">
        <v>0</v>
      </c>
    </row>
    <row r="1408">
      <c r="A1408" s="10" t="s">
        <v>5173</v>
      </c>
      <c r="B1408" s="11">
        <v>44483.48200721065</v>
      </c>
      <c r="C1408" s="10" t="s">
        <v>610</v>
      </c>
      <c r="D1408" s="10" t="s">
        <v>611</v>
      </c>
      <c r="E1408" s="10" t="s">
        <v>3531</v>
      </c>
      <c r="F1408" s="10" t="s">
        <v>5174</v>
      </c>
      <c r="G1408" s="10" t="s">
        <v>5175</v>
      </c>
      <c r="H1408" s="11">
        <v>44491.4375</v>
      </c>
      <c r="I1408" s="11">
        <v>44491.5</v>
      </c>
      <c r="J1408" s="10" t="s">
        <v>128</v>
      </c>
      <c r="K1408" s="10" t="s">
        <v>34</v>
      </c>
      <c r="N1408" s="10" t="s">
        <v>35</v>
      </c>
      <c r="V1408" s="14" t="s">
        <v>5176</v>
      </c>
      <c r="W1408" s="15"/>
      <c r="X1408" s="10" t="s">
        <v>37</v>
      </c>
      <c r="Y1408" s="10" t="s">
        <v>0</v>
      </c>
    </row>
    <row r="1409">
      <c r="A1409" s="10" t="s">
        <v>5177</v>
      </c>
      <c r="B1409" s="11">
        <v>44477.674966527775</v>
      </c>
      <c r="C1409" s="10" t="s">
        <v>374</v>
      </c>
      <c r="D1409" s="10" t="s">
        <v>375</v>
      </c>
      <c r="E1409" s="10" t="s">
        <v>261</v>
      </c>
      <c r="F1409" s="10" t="s">
        <v>5178</v>
      </c>
      <c r="G1409" s="10" t="s">
        <v>5179</v>
      </c>
      <c r="H1409" s="11">
        <v>44491.66666666667</v>
      </c>
      <c r="I1409" s="11">
        <v>44491.70833333333</v>
      </c>
      <c r="J1409" s="10" t="s">
        <v>43</v>
      </c>
      <c r="K1409" s="10" t="s">
        <v>34</v>
      </c>
      <c r="N1409" s="10" t="s">
        <v>296</v>
      </c>
      <c r="O1409" s="18" t="s">
        <v>5180</v>
      </c>
      <c r="P1409" s="10" t="s">
        <v>296</v>
      </c>
      <c r="Q1409" s="10">
        <v>1.0</v>
      </c>
      <c r="R1409" s="10" t="s">
        <v>35</v>
      </c>
      <c r="T1409" s="10" t="s">
        <v>35</v>
      </c>
      <c r="V1409" s="14" t="s">
        <v>5181</v>
      </c>
      <c r="W1409" s="15"/>
      <c r="X1409" s="10" t="s">
        <v>37</v>
      </c>
      <c r="Y1409" s="10" t="s">
        <v>0</v>
      </c>
    </row>
    <row r="1410">
      <c r="A1410" s="10" t="s">
        <v>5182</v>
      </c>
      <c r="B1410" s="11">
        <v>44484.50889246528</v>
      </c>
      <c r="C1410" s="10" t="s">
        <v>181</v>
      </c>
      <c r="D1410" s="10" t="s">
        <v>69</v>
      </c>
      <c r="E1410" s="10" t="s">
        <v>4175</v>
      </c>
      <c r="F1410" s="10" t="s">
        <v>5183</v>
      </c>
      <c r="G1410" s="10" t="s">
        <v>5184</v>
      </c>
      <c r="H1410" s="11">
        <v>44487.33333333333</v>
      </c>
      <c r="I1410" s="11">
        <v>44487.33333333333</v>
      </c>
      <c r="J1410" s="10" t="s">
        <v>73</v>
      </c>
      <c r="K1410" s="10" t="s">
        <v>34</v>
      </c>
      <c r="N1410" s="10" t="s">
        <v>35</v>
      </c>
      <c r="V1410" s="14" t="s">
        <v>4065</v>
      </c>
      <c r="W1410" s="15"/>
      <c r="X1410" s="10" t="s">
        <v>37</v>
      </c>
      <c r="Y1410" s="10" t="s">
        <v>0</v>
      </c>
    </row>
    <row r="1411">
      <c r="A1411" s="10" t="s">
        <v>5185</v>
      </c>
      <c r="B1411" s="11">
        <v>44484.509684247685</v>
      </c>
      <c r="C1411" s="10" t="s">
        <v>181</v>
      </c>
      <c r="D1411" s="10" t="s">
        <v>69</v>
      </c>
      <c r="E1411" s="10" t="s">
        <v>1879</v>
      </c>
      <c r="F1411" s="10" t="s">
        <v>5186</v>
      </c>
      <c r="G1411" s="10" t="s">
        <v>5187</v>
      </c>
      <c r="H1411" s="11">
        <v>44489.41666666667</v>
      </c>
      <c r="I1411" s="11">
        <v>44489.41736111111</v>
      </c>
      <c r="J1411" s="10" t="s">
        <v>73</v>
      </c>
      <c r="K1411" s="10" t="s">
        <v>34</v>
      </c>
      <c r="N1411" s="10" t="s">
        <v>35</v>
      </c>
      <c r="V1411" s="14" t="s">
        <v>5188</v>
      </c>
      <c r="W1411" s="15"/>
      <c r="X1411" s="10" t="s">
        <v>37</v>
      </c>
      <c r="Y1411" s="10" t="s">
        <v>0</v>
      </c>
    </row>
    <row r="1412">
      <c r="A1412" s="10" t="s">
        <v>5189</v>
      </c>
      <c r="B1412" s="11">
        <v>44491.46858326389</v>
      </c>
      <c r="C1412" s="10" t="s">
        <v>181</v>
      </c>
      <c r="D1412" s="10" t="s">
        <v>69</v>
      </c>
      <c r="E1412" s="10" t="s">
        <v>5190</v>
      </c>
      <c r="F1412" s="10" t="s">
        <v>4386</v>
      </c>
      <c r="G1412" s="10" t="s">
        <v>5191</v>
      </c>
      <c r="H1412" s="11">
        <v>44494.72916666667</v>
      </c>
      <c r="I1412" s="11">
        <v>44494.77083333333</v>
      </c>
      <c r="J1412" s="10" t="s">
        <v>128</v>
      </c>
      <c r="K1412" s="10" t="s">
        <v>34</v>
      </c>
      <c r="N1412" s="10" t="s">
        <v>35</v>
      </c>
      <c r="V1412" s="35" t="s">
        <v>4934</v>
      </c>
      <c r="W1412" s="15"/>
      <c r="X1412" s="10" t="s">
        <v>37</v>
      </c>
      <c r="Y1412" s="10" t="s">
        <v>0</v>
      </c>
    </row>
    <row r="1413">
      <c r="A1413" s="10" t="s">
        <v>5192</v>
      </c>
      <c r="B1413" s="11">
        <v>44491.46583221065</v>
      </c>
      <c r="C1413" s="10" t="s">
        <v>181</v>
      </c>
      <c r="D1413" s="10" t="s">
        <v>69</v>
      </c>
      <c r="E1413" s="10" t="s">
        <v>4396</v>
      </c>
      <c r="F1413" s="10" t="s">
        <v>5193</v>
      </c>
      <c r="G1413" s="10" t="s">
        <v>5194</v>
      </c>
      <c r="H1413" s="11">
        <v>44494.77083333333</v>
      </c>
      <c r="I1413" s="11">
        <v>44494.79166666667</v>
      </c>
      <c r="J1413" s="10" t="s">
        <v>128</v>
      </c>
      <c r="K1413" s="10" t="s">
        <v>34</v>
      </c>
      <c r="N1413" s="10" t="s">
        <v>35</v>
      </c>
      <c r="V1413" s="14" t="s">
        <v>5195</v>
      </c>
      <c r="W1413" s="15"/>
      <c r="X1413" s="10" t="s">
        <v>37</v>
      </c>
      <c r="Y1413" s="10" t="s">
        <v>0</v>
      </c>
    </row>
    <row r="1414">
      <c r="A1414" s="10" t="s">
        <v>5196</v>
      </c>
      <c r="B1414" s="11">
        <v>44491.46698943287</v>
      </c>
      <c r="C1414" s="10" t="s">
        <v>181</v>
      </c>
      <c r="D1414" s="10" t="s">
        <v>69</v>
      </c>
      <c r="E1414" s="10" t="s">
        <v>4396</v>
      </c>
      <c r="F1414" s="10" t="s">
        <v>5197</v>
      </c>
      <c r="G1414" s="10" t="s">
        <v>5198</v>
      </c>
      <c r="H1414" s="11">
        <v>44494.79166666667</v>
      </c>
      <c r="I1414" s="11">
        <v>44494.83333333333</v>
      </c>
      <c r="J1414" s="10" t="s">
        <v>128</v>
      </c>
      <c r="K1414" s="10" t="s">
        <v>34</v>
      </c>
      <c r="N1414" s="10" t="s">
        <v>35</v>
      </c>
      <c r="V1414" s="14" t="s">
        <v>5199</v>
      </c>
      <c r="W1414" s="15"/>
      <c r="X1414" s="10" t="s">
        <v>37</v>
      </c>
      <c r="Y1414" s="10" t="s">
        <v>0</v>
      </c>
    </row>
    <row r="1415">
      <c r="A1415" s="10" t="s">
        <v>5200</v>
      </c>
      <c r="B1415" s="11">
        <v>44484.51482658565</v>
      </c>
      <c r="C1415" s="10" t="s">
        <v>181</v>
      </c>
      <c r="D1415" s="10" t="s">
        <v>69</v>
      </c>
      <c r="E1415" s="10" t="s">
        <v>5201</v>
      </c>
      <c r="F1415" s="10" t="s">
        <v>5202</v>
      </c>
      <c r="G1415" s="10" t="s">
        <v>5203</v>
      </c>
      <c r="H1415" s="11">
        <v>44492.45833333333</v>
      </c>
      <c r="I1415" s="11">
        <v>44492.52083333333</v>
      </c>
      <c r="J1415" s="10" t="s">
        <v>43</v>
      </c>
      <c r="K1415" s="10" t="s">
        <v>34</v>
      </c>
      <c r="N1415" s="10" t="s">
        <v>296</v>
      </c>
      <c r="O1415" s="18" t="s">
        <v>5204</v>
      </c>
      <c r="P1415" s="10" t="s">
        <v>35</v>
      </c>
      <c r="R1415" s="10" t="s">
        <v>296</v>
      </c>
      <c r="S1415" s="10">
        <v>1.0</v>
      </c>
      <c r="T1415" s="10" t="s">
        <v>35</v>
      </c>
      <c r="V1415" s="14" t="s">
        <v>5205</v>
      </c>
      <c r="W1415" s="15"/>
      <c r="X1415" s="10" t="s">
        <v>37</v>
      </c>
      <c r="Y1415" s="10" t="s">
        <v>0</v>
      </c>
    </row>
    <row r="1416">
      <c r="A1416" s="10" t="s">
        <v>5206</v>
      </c>
      <c r="B1416" s="11">
        <v>44484.68114853009</v>
      </c>
      <c r="C1416" s="10" t="s">
        <v>160</v>
      </c>
      <c r="D1416" s="10" t="s">
        <v>161</v>
      </c>
      <c r="E1416" s="10" t="s">
        <v>5207</v>
      </c>
      <c r="F1416" s="10" t="s">
        <v>5208</v>
      </c>
      <c r="G1416" s="10" t="s">
        <v>5209</v>
      </c>
      <c r="H1416" s="11">
        <v>44484.75</v>
      </c>
      <c r="I1416" s="11">
        <v>44484.75</v>
      </c>
      <c r="J1416" s="10" t="s">
        <v>73</v>
      </c>
      <c r="K1416" s="10" t="s">
        <v>34</v>
      </c>
      <c r="N1416" s="10" t="s">
        <v>35</v>
      </c>
      <c r="V1416" s="14" t="s">
        <v>4739</v>
      </c>
      <c r="W1416" s="15"/>
      <c r="X1416" s="10" t="s">
        <v>37</v>
      </c>
      <c r="Y1416" s="10" t="s">
        <v>0</v>
      </c>
    </row>
    <row r="1417">
      <c r="A1417" s="10" t="s">
        <v>5210</v>
      </c>
      <c r="B1417" s="11">
        <v>44484.718949155096</v>
      </c>
      <c r="C1417" s="10" t="s">
        <v>160</v>
      </c>
      <c r="D1417" s="10" t="s">
        <v>161</v>
      </c>
      <c r="E1417" s="10" t="s">
        <v>5211</v>
      </c>
      <c r="F1417" s="10" t="s">
        <v>5212</v>
      </c>
      <c r="G1417" s="10" t="s">
        <v>5213</v>
      </c>
      <c r="H1417" s="11">
        <v>44485.66666666667</v>
      </c>
      <c r="I1417" s="11">
        <v>44485.66666666667</v>
      </c>
      <c r="J1417" s="10" t="s">
        <v>73</v>
      </c>
      <c r="K1417" s="10" t="s">
        <v>34</v>
      </c>
      <c r="N1417" s="10" t="s">
        <v>35</v>
      </c>
      <c r="V1417" s="14" t="s">
        <v>4739</v>
      </c>
      <c r="W1417" s="15"/>
      <c r="X1417" s="10" t="s">
        <v>37</v>
      </c>
      <c r="Y1417" s="10" t="s">
        <v>0</v>
      </c>
    </row>
    <row r="1418">
      <c r="A1418" s="10" t="s">
        <v>5214</v>
      </c>
      <c r="B1418" s="11">
        <v>44484.720887800926</v>
      </c>
      <c r="C1418" s="10" t="s">
        <v>160</v>
      </c>
      <c r="D1418" s="10" t="s">
        <v>161</v>
      </c>
      <c r="E1418" s="10" t="s">
        <v>5207</v>
      </c>
      <c r="F1418" s="10" t="s">
        <v>5215</v>
      </c>
      <c r="G1418" s="10" t="s">
        <v>5216</v>
      </c>
      <c r="H1418" s="11">
        <v>44486.75</v>
      </c>
      <c r="I1418" s="11">
        <v>44486.75</v>
      </c>
      <c r="J1418" s="10" t="s">
        <v>73</v>
      </c>
      <c r="K1418" s="10" t="s">
        <v>34</v>
      </c>
      <c r="N1418" s="10" t="s">
        <v>35</v>
      </c>
      <c r="V1418" s="14" t="s">
        <v>4739</v>
      </c>
      <c r="W1418" s="15"/>
      <c r="X1418" s="10" t="s">
        <v>37</v>
      </c>
      <c r="Y1418" s="10" t="s">
        <v>0</v>
      </c>
    </row>
    <row r="1419">
      <c r="A1419" s="10" t="s">
        <v>5217</v>
      </c>
      <c r="B1419" s="11">
        <v>44485.353597905094</v>
      </c>
      <c r="C1419" s="10" t="s">
        <v>150</v>
      </c>
      <c r="D1419" s="10" t="s">
        <v>151</v>
      </c>
      <c r="E1419" s="10" t="s">
        <v>4257</v>
      </c>
      <c r="F1419" s="10" t="s">
        <v>4613</v>
      </c>
      <c r="G1419" s="10" t="s">
        <v>5218</v>
      </c>
      <c r="H1419" s="11">
        <v>44485.41666666667</v>
      </c>
      <c r="I1419" s="11">
        <v>44485.5</v>
      </c>
      <c r="J1419" s="10" t="s">
        <v>128</v>
      </c>
      <c r="K1419" s="10" t="s">
        <v>34</v>
      </c>
      <c r="N1419" s="10" t="s">
        <v>35</v>
      </c>
      <c r="V1419" s="35" t="s">
        <v>3775</v>
      </c>
      <c r="W1419" s="15"/>
      <c r="X1419" s="10" t="s">
        <v>37</v>
      </c>
      <c r="Y1419" s="10" t="s">
        <v>0</v>
      </c>
    </row>
    <row r="1420">
      <c r="A1420" s="10" t="s">
        <v>5219</v>
      </c>
      <c r="B1420" s="11">
        <v>44488.47600952546</v>
      </c>
      <c r="C1420" s="10" t="s">
        <v>137</v>
      </c>
      <c r="D1420" s="10" t="s">
        <v>138</v>
      </c>
      <c r="E1420" s="10" t="s">
        <v>3299</v>
      </c>
      <c r="F1420" s="10" t="s">
        <v>5220</v>
      </c>
      <c r="G1420" s="10" t="s">
        <v>5221</v>
      </c>
      <c r="H1420" s="11">
        <v>44492.58333333333</v>
      </c>
      <c r="I1420" s="11">
        <v>44492.66666666667</v>
      </c>
      <c r="J1420" s="10" t="s">
        <v>43</v>
      </c>
      <c r="K1420" s="10" t="s">
        <v>34</v>
      </c>
      <c r="N1420" s="10" t="s">
        <v>35</v>
      </c>
      <c r="V1420" s="35" t="s">
        <v>5222</v>
      </c>
      <c r="W1420" s="15"/>
      <c r="X1420" s="10" t="s">
        <v>37</v>
      </c>
      <c r="Y1420" s="10" t="s">
        <v>5223</v>
      </c>
    </row>
    <row r="1421">
      <c r="A1421" s="10" t="s">
        <v>5224</v>
      </c>
      <c r="B1421" s="11">
        <v>44485.97889133102</v>
      </c>
      <c r="C1421" s="10" t="s">
        <v>347</v>
      </c>
      <c r="D1421" s="10" t="s">
        <v>348</v>
      </c>
      <c r="E1421" s="10" t="s">
        <v>3429</v>
      </c>
      <c r="F1421" s="10" t="s">
        <v>5225</v>
      </c>
      <c r="G1421" s="10" t="s">
        <v>5226</v>
      </c>
      <c r="H1421" s="11">
        <v>44492.60416666667</v>
      </c>
      <c r="I1421" s="11">
        <v>44492.6875</v>
      </c>
      <c r="J1421" s="10" t="s">
        <v>43</v>
      </c>
      <c r="K1421" s="10" t="s">
        <v>34</v>
      </c>
      <c r="N1421" s="10" t="s">
        <v>35</v>
      </c>
      <c r="V1421" s="14" t="s">
        <v>5227</v>
      </c>
      <c r="W1421" s="15"/>
      <c r="X1421" s="10" t="s">
        <v>37</v>
      </c>
      <c r="Y1421" s="10" t="s">
        <v>0</v>
      </c>
    </row>
    <row r="1422">
      <c r="A1422" s="10" t="s">
        <v>5228</v>
      </c>
      <c r="B1422" s="11">
        <v>44494.39732292824</v>
      </c>
      <c r="C1422" s="10" t="s">
        <v>160</v>
      </c>
      <c r="D1422" s="10" t="s">
        <v>161</v>
      </c>
      <c r="E1422" s="10" t="s">
        <v>5207</v>
      </c>
      <c r="F1422" s="10" t="s">
        <v>5229</v>
      </c>
      <c r="G1422" s="10" t="s">
        <v>5230</v>
      </c>
      <c r="H1422" s="11">
        <v>44495.33333333333</v>
      </c>
      <c r="I1422" s="11">
        <v>44502.49930555555</v>
      </c>
      <c r="J1422" s="10" t="s">
        <v>51</v>
      </c>
      <c r="K1422" s="10" t="s">
        <v>34</v>
      </c>
      <c r="N1422" s="10" t="s">
        <v>35</v>
      </c>
      <c r="V1422" s="14" t="s">
        <v>5231</v>
      </c>
      <c r="W1422" s="15"/>
      <c r="X1422" s="10" t="s">
        <v>37</v>
      </c>
      <c r="Y1422" s="10" t="s">
        <v>0</v>
      </c>
    </row>
    <row r="1423">
      <c r="A1423" s="10" t="s">
        <v>5232</v>
      </c>
      <c r="B1423" s="11">
        <v>44488.5281230324</v>
      </c>
      <c r="C1423" s="10" t="s">
        <v>5233</v>
      </c>
      <c r="D1423" s="10" t="s">
        <v>161</v>
      </c>
      <c r="E1423" s="10" t="s">
        <v>5207</v>
      </c>
      <c r="F1423" s="10" t="s">
        <v>5234</v>
      </c>
      <c r="G1423" s="10" t="s">
        <v>5235</v>
      </c>
      <c r="H1423" s="11">
        <v>44488.58333333333</v>
      </c>
      <c r="I1423" s="11">
        <v>44488.58333333333</v>
      </c>
      <c r="J1423" s="10" t="s">
        <v>73</v>
      </c>
      <c r="K1423" s="10" t="s">
        <v>34</v>
      </c>
      <c r="N1423" s="10" t="s">
        <v>35</v>
      </c>
      <c r="V1423" s="14" t="s">
        <v>4739</v>
      </c>
      <c r="W1423" s="15"/>
      <c r="X1423" s="10" t="s">
        <v>37</v>
      </c>
      <c r="Y1423" s="10" t="s">
        <v>0</v>
      </c>
    </row>
    <row r="1424">
      <c r="A1424" s="10" t="s">
        <v>5236</v>
      </c>
      <c r="B1424" s="11">
        <v>44488.53048615741</v>
      </c>
      <c r="C1424" s="10" t="s">
        <v>160</v>
      </c>
      <c r="D1424" s="10" t="s">
        <v>161</v>
      </c>
      <c r="E1424" s="10" t="s">
        <v>5207</v>
      </c>
      <c r="F1424" s="10" t="s">
        <v>5237</v>
      </c>
      <c r="G1424" s="10" t="s">
        <v>5238</v>
      </c>
      <c r="H1424" s="11">
        <v>44488.58333333333</v>
      </c>
      <c r="I1424" s="11">
        <v>44488.58333333333</v>
      </c>
      <c r="J1424" s="10" t="s">
        <v>73</v>
      </c>
      <c r="K1424" s="10" t="s">
        <v>34</v>
      </c>
      <c r="N1424" s="10" t="s">
        <v>35</v>
      </c>
      <c r="V1424" s="14" t="s">
        <v>4739</v>
      </c>
      <c r="W1424" s="15"/>
      <c r="X1424" s="10" t="s">
        <v>37</v>
      </c>
      <c r="Y1424" s="10" t="s">
        <v>0</v>
      </c>
    </row>
    <row r="1425">
      <c r="A1425" s="10" t="s">
        <v>5239</v>
      </c>
      <c r="B1425" s="11">
        <v>44488.5762059375</v>
      </c>
      <c r="C1425" s="10" t="s">
        <v>610</v>
      </c>
      <c r="D1425" s="10" t="s">
        <v>611</v>
      </c>
      <c r="E1425" s="10" t="s">
        <v>3531</v>
      </c>
      <c r="F1425" s="10" t="s">
        <v>5240</v>
      </c>
      <c r="G1425" s="10" t="s">
        <v>5241</v>
      </c>
      <c r="H1425" s="11">
        <v>44491.4375</v>
      </c>
      <c r="I1425" s="11">
        <v>44491.5</v>
      </c>
      <c r="J1425" s="10" t="s">
        <v>128</v>
      </c>
      <c r="K1425" s="10" t="s">
        <v>34</v>
      </c>
      <c r="N1425" s="10" t="s">
        <v>35</v>
      </c>
      <c r="V1425" s="14" t="s">
        <v>5176</v>
      </c>
      <c r="W1425" s="15"/>
      <c r="X1425" s="10" t="s">
        <v>37</v>
      </c>
      <c r="Y1425" s="10" t="s">
        <v>0</v>
      </c>
    </row>
    <row r="1426">
      <c r="A1426" s="10" t="s">
        <v>5242</v>
      </c>
      <c r="B1426" s="11">
        <v>44488.580872314815</v>
      </c>
      <c r="C1426" s="10" t="s">
        <v>610</v>
      </c>
      <c r="D1426" s="10" t="s">
        <v>611</v>
      </c>
      <c r="E1426" s="10" t="s">
        <v>3531</v>
      </c>
      <c r="F1426" s="10" t="s">
        <v>5243</v>
      </c>
      <c r="G1426" s="10" t="s">
        <v>5244</v>
      </c>
      <c r="H1426" s="11">
        <v>44490.625</v>
      </c>
      <c r="I1426" s="11">
        <v>44490.70833333333</v>
      </c>
      <c r="J1426" s="10" t="s">
        <v>128</v>
      </c>
      <c r="K1426" s="10" t="s">
        <v>34</v>
      </c>
      <c r="N1426" s="10" t="s">
        <v>35</v>
      </c>
      <c r="V1426" s="14" t="s">
        <v>5245</v>
      </c>
      <c r="W1426" s="15"/>
      <c r="X1426" s="10" t="s">
        <v>37</v>
      </c>
      <c r="Y1426" s="10" t="s">
        <v>0</v>
      </c>
    </row>
    <row r="1427">
      <c r="A1427" s="10" t="s">
        <v>5246</v>
      </c>
      <c r="B1427" s="11">
        <v>44490.43625328704</v>
      </c>
      <c r="C1427" s="10" t="s">
        <v>239</v>
      </c>
      <c r="D1427" s="10" t="s">
        <v>240</v>
      </c>
      <c r="E1427" s="10" t="s">
        <v>4561</v>
      </c>
      <c r="F1427" s="10" t="s">
        <v>5247</v>
      </c>
      <c r="G1427" s="10" t="s">
        <v>5248</v>
      </c>
      <c r="H1427" s="11">
        <v>44496.0</v>
      </c>
      <c r="I1427" s="11">
        <v>44500.5</v>
      </c>
      <c r="J1427" s="10" t="s">
        <v>51</v>
      </c>
      <c r="K1427" s="10" t="s">
        <v>34</v>
      </c>
      <c r="N1427" s="10" t="s">
        <v>35</v>
      </c>
      <c r="V1427" s="35" t="s">
        <v>4537</v>
      </c>
      <c r="W1427" s="15"/>
      <c r="X1427" s="10" t="s">
        <v>37</v>
      </c>
      <c r="Y1427" s="10" t="s">
        <v>0</v>
      </c>
    </row>
    <row r="1428">
      <c r="A1428" s="10" t="s">
        <v>5249</v>
      </c>
      <c r="B1428" s="11">
        <v>44488.69223043982</v>
      </c>
      <c r="C1428" s="10" t="s">
        <v>209</v>
      </c>
      <c r="D1428" s="10" t="s">
        <v>210</v>
      </c>
      <c r="E1428" s="10" t="s">
        <v>261</v>
      </c>
      <c r="F1428" s="10" t="s">
        <v>5250</v>
      </c>
      <c r="G1428" s="10" t="s">
        <v>5251</v>
      </c>
      <c r="H1428" s="11">
        <v>44490.52083333333</v>
      </c>
      <c r="I1428" s="11">
        <v>44502.521527777775</v>
      </c>
      <c r="J1428" s="10" t="s">
        <v>51</v>
      </c>
      <c r="K1428" s="10" t="s">
        <v>34</v>
      </c>
      <c r="N1428" s="10" t="s">
        <v>35</v>
      </c>
      <c r="V1428" s="14" t="s">
        <v>4146</v>
      </c>
      <c r="W1428" s="15"/>
      <c r="X1428" s="10" t="s">
        <v>37</v>
      </c>
      <c r="Y1428" s="10" t="s">
        <v>0</v>
      </c>
    </row>
    <row r="1429">
      <c r="A1429" s="10" t="s">
        <v>5252</v>
      </c>
      <c r="B1429" s="11">
        <v>44488.69545353009</v>
      </c>
      <c r="C1429" s="10" t="s">
        <v>209</v>
      </c>
      <c r="D1429" s="10" t="s">
        <v>210</v>
      </c>
      <c r="E1429" s="10" t="s">
        <v>261</v>
      </c>
      <c r="F1429" s="10" t="s">
        <v>5250</v>
      </c>
      <c r="G1429" s="10" t="s">
        <v>5253</v>
      </c>
      <c r="H1429" s="11">
        <v>44491.5</v>
      </c>
      <c r="I1429" s="11">
        <v>44491.50069444445</v>
      </c>
      <c r="J1429" s="10" t="s">
        <v>73</v>
      </c>
      <c r="K1429" s="10" t="s">
        <v>34</v>
      </c>
      <c r="N1429" s="10" t="s">
        <v>35</v>
      </c>
      <c r="V1429" s="14" t="s">
        <v>4146</v>
      </c>
      <c r="W1429" s="15"/>
      <c r="X1429" s="10" t="s">
        <v>37</v>
      </c>
      <c r="Y1429" s="10" t="s">
        <v>0</v>
      </c>
    </row>
    <row r="1430">
      <c r="A1430" s="10" t="s">
        <v>5254</v>
      </c>
      <c r="B1430" s="11">
        <v>44488.70890819444</v>
      </c>
      <c r="C1430" s="10" t="s">
        <v>209</v>
      </c>
      <c r="D1430" s="10" t="s">
        <v>210</v>
      </c>
      <c r="E1430" s="10" t="s">
        <v>261</v>
      </c>
      <c r="F1430" s="10" t="s">
        <v>5250</v>
      </c>
      <c r="G1430" s="10" t="s">
        <v>5255</v>
      </c>
      <c r="H1430" s="11">
        <v>44491.5</v>
      </c>
      <c r="I1430" s="11">
        <v>44491.50069444445</v>
      </c>
      <c r="J1430" s="10" t="s">
        <v>73</v>
      </c>
      <c r="K1430" s="10" t="s">
        <v>34</v>
      </c>
      <c r="N1430" s="10" t="s">
        <v>35</v>
      </c>
      <c r="V1430" s="14" t="s">
        <v>4146</v>
      </c>
      <c r="W1430" s="15"/>
      <c r="X1430" s="10" t="s">
        <v>37</v>
      </c>
      <c r="Y1430" s="10" t="s">
        <v>0</v>
      </c>
    </row>
    <row r="1431">
      <c r="A1431" s="10" t="s">
        <v>5256</v>
      </c>
      <c r="B1431" s="11">
        <v>44488.71711592593</v>
      </c>
      <c r="C1431" s="10" t="s">
        <v>209</v>
      </c>
      <c r="D1431" s="10" t="s">
        <v>210</v>
      </c>
      <c r="E1431" s="10" t="s">
        <v>261</v>
      </c>
      <c r="F1431" s="10" t="s">
        <v>5257</v>
      </c>
      <c r="G1431" s="10" t="s">
        <v>5258</v>
      </c>
      <c r="H1431" s="11">
        <v>44492.5</v>
      </c>
      <c r="I1431" s="11">
        <v>44492.50069444445</v>
      </c>
      <c r="J1431" s="10" t="s">
        <v>73</v>
      </c>
      <c r="K1431" s="10" t="s">
        <v>34</v>
      </c>
      <c r="N1431" s="10" t="s">
        <v>35</v>
      </c>
      <c r="V1431" s="14" t="s">
        <v>4146</v>
      </c>
      <c r="W1431" s="15"/>
      <c r="X1431" s="10" t="s">
        <v>37</v>
      </c>
      <c r="Y1431" s="10" t="s">
        <v>0</v>
      </c>
    </row>
    <row r="1432">
      <c r="A1432" s="10" t="s">
        <v>5259</v>
      </c>
      <c r="B1432" s="11">
        <v>44489.69506790509</v>
      </c>
      <c r="C1432" s="10" t="s">
        <v>3304</v>
      </c>
      <c r="D1432" s="10" t="s">
        <v>695</v>
      </c>
      <c r="E1432" s="10" t="s">
        <v>4316</v>
      </c>
      <c r="F1432" s="10" t="s">
        <v>5260</v>
      </c>
      <c r="G1432" s="10" t="s">
        <v>5261</v>
      </c>
      <c r="H1432" s="11">
        <v>44491.58333333333</v>
      </c>
      <c r="I1432" s="11">
        <v>44491.99930555555</v>
      </c>
      <c r="J1432" s="10" t="s">
        <v>73</v>
      </c>
      <c r="K1432" s="10" t="s">
        <v>34</v>
      </c>
      <c r="N1432" s="10" t="s">
        <v>296</v>
      </c>
      <c r="O1432" s="18" t="s">
        <v>5262</v>
      </c>
      <c r="P1432" s="10" t="s">
        <v>296</v>
      </c>
      <c r="Q1432" s="10">
        <v>1.0</v>
      </c>
      <c r="R1432" s="10" t="s">
        <v>35</v>
      </c>
      <c r="T1432" s="10" t="s">
        <v>35</v>
      </c>
      <c r="V1432" s="14" t="s">
        <v>3464</v>
      </c>
      <c r="W1432" s="15"/>
      <c r="X1432" s="10" t="s">
        <v>37</v>
      </c>
      <c r="Y1432" s="10" t="s">
        <v>0</v>
      </c>
    </row>
    <row r="1433">
      <c r="A1433" s="10" t="s">
        <v>5263</v>
      </c>
      <c r="B1433" s="11">
        <v>44489.81746369213</v>
      </c>
      <c r="C1433" s="10" t="s">
        <v>160</v>
      </c>
      <c r="D1433" s="10" t="s">
        <v>161</v>
      </c>
      <c r="E1433" s="10" t="s">
        <v>5264</v>
      </c>
      <c r="F1433" s="10" t="s">
        <v>5265</v>
      </c>
      <c r="G1433" s="10" t="s">
        <v>5266</v>
      </c>
      <c r="H1433" s="11">
        <v>44491.66666666667</v>
      </c>
      <c r="I1433" s="11">
        <v>44491.66666666667</v>
      </c>
      <c r="J1433" s="10" t="s">
        <v>73</v>
      </c>
      <c r="K1433" s="10" t="s">
        <v>34</v>
      </c>
      <c r="N1433" s="10" t="s">
        <v>35</v>
      </c>
      <c r="V1433" s="14" t="s">
        <v>5231</v>
      </c>
      <c r="W1433" s="15"/>
      <c r="X1433" s="10" t="s">
        <v>37</v>
      </c>
      <c r="Y1433" s="10" t="s">
        <v>0</v>
      </c>
    </row>
    <row r="1434">
      <c r="A1434" s="10" t="s">
        <v>5267</v>
      </c>
      <c r="B1434" s="11">
        <v>44490.428298831015</v>
      </c>
      <c r="C1434" s="10" t="s">
        <v>239</v>
      </c>
      <c r="D1434" s="10" t="s">
        <v>240</v>
      </c>
      <c r="E1434" s="10" t="s">
        <v>4561</v>
      </c>
      <c r="F1434" s="10" t="s">
        <v>5268</v>
      </c>
      <c r="G1434" s="10" t="s">
        <v>5269</v>
      </c>
      <c r="H1434" s="11">
        <v>44482.58333333333</v>
      </c>
      <c r="I1434" s="11">
        <v>44482.75</v>
      </c>
      <c r="J1434" s="10" t="s">
        <v>128</v>
      </c>
      <c r="K1434" s="10" t="s">
        <v>34</v>
      </c>
      <c r="N1434" s="10" t="s">
        <v>35</v>
      </c>
      <c r="V1434" s="35" t="s">
        <v>4537</v>
      </c>
      <c r="W1434" s="15"/>
      <c r="X1434" s="10" t="s">
        <v>37</v>
      </c>
      <c r="Y1434" s="10" t="s">
        <v>0</v>
      </c>
    </row>
    <row r="1435">
      <c r="A1435" s="10" t="s">
        <v>5270</v>
      </c>
      <c r="B1435" s="11">
        <v>44490.43014231481</v>
      </c>
      <c r="C1435" s="10" t="s">
        <v>239</v>
      </c>
      <c r="D1435" s="10" t="s">
        <v>240</v>
      </c>
      <c r="E1435" s="10" t="s">
        <v>4561</v>
      </c>
      <c r="F1435" s="10" t="s">
        <v>5271</v>
      </c>
      <c r="G1435" s="10" t="s">
        <v>5272</v>
      </c>
      <c r="H1435" s="11">
        <v>44483.33333333333</v>
      </c>
      <c r="I1435" s="11">
        <v>44483.75</v>
      </c>
      <c r="J1435" s="10" t="s">
        <v>128</v>
      </c>
      <c r="K1435" s="10" t="s">
        <v>34</v>
      </c>
      <c r="N1435" s="10" t="s">
        <v>35</v>
      </c>
      <c r="V1435" s="35" t="s">
        <v>4537</v>
      </c>
      <c r="W1435" s="15"/>
      <c r="X1435" s="10" t="s">
        <v>37</v>
      </c>
      <c r="Y1435" s="10" t="s">
        <v>0</v>
      </c>
    </row>
    <row r="1436">
      <c r="A1436" s="10" t="s">
        <v>5273</v>
      </c>
      <c r="B1436" s="11">
        <v>44490.43203196759</v>
      </c>
      <c r="C1436" s="10" t="s">
        <v>239</v>
      </c>
      <c r="D1436" s="10" t="s">
        <v>240</v>
      </c>
      <c r="E1436" s="10" t="s">
        <v>4561</v>
      </c>
      <c r="F1436" s="10" t="s">
        <v>5274</v>
      </c>
      <c r="G1436" s="10" t="s">
        <v>5275</v>
      </c>
      <c r="H1436" s="11">
        <v>44484.8125</v>
      </c>
      <c r="I1436" s="11">
        <v>44484.89583333333</v>
      </c>
      <c r="J1436" s="10" t="s">
        <v>128</v>
      </c>
      <c r="K1436" s="10" t="s">
        <v>34</v>
      </c>
      <c r="N1436" s="10" t="s">
        <v>35</v>
      </c>
      <c r="V1436" s="14" t="s">
        <v>5276</v>
      </c>
      <c r="W1436" s="15"/>
      <c r="X1436" s="10" t="s">
        <v>37</v>
      </c>
      <c r="Y1436" s="10" t="s">
        <v>0</v>
      </c>
    </row>
    <row r="1437">
      <c r="A1437" s="10" t="s">
        <v>5277</v>
      </c>
      <c r="B1437" s="11">
        <v>44490.43355707176</v>
      </c>
      <c r="C1437" s="10" t="s">
        <v>239</v>
      </c>
      <c r="D1437" s="10" t="s">
        <v>240</v>
      </c>
      <c r="E1437" s="10" t="s">
        <v>4561</v>
      </c>
      <c r="F1437" s="10" t="s">
        <v>5278</v>
      </c>
      <c r="G1437" s="10" t="s">
        <v>5279</v>
      </c>
      <c r="H1437" s="11">
        <v>44491.47916666667</v>
      </c>
      <c r="I1437" s="11">
        <v>44491.60416666667</v>
      </c>
      <c r="J1437" s="10" t="s">
        <v>128</v>
      </c>
      <c r="K1437" s="10" t="s">
        <v>34</v>
      </c>
      <c r="N1437" s="10" t="s">
        <v>35</v>
      </c>
      <c r="V1437" s="35" t="s">
        <v>5280</v>
      </c>
      <c r="W1437" s="15"/>
      <c r="X1437" s="10" t="s">
        <v>37</v>
      </c>
      <c r="Y1437" s="10" t="s">
        <v>0</v>
      </c>
    </row>
    <row r="1438">
      <c r="A1438" s="10" t="s">
        <v>5281</v>
      </c>
      <c r="B1438" s="11">
        <v>44490.43480668982</v>
      </c>
      <c r="C1438" s="10" t="s">
        <v>239</v>
      </c>
      <c r="D1438" s="10" t="s">
        <v>240</v>
      </c>
      <c r="E1438" s="10" t="s">
        <v>4561</v>
      </c>
      <c r="F1438" s="10" t="s">
        <v>5282</v>
      </c>
      <c r="G1438" s="10" t="s">
        <v>5283</v>
      </c>
      <c r="H1438" s="11">
        <v>44492.58333333333</v>
      </c>
      <c r="I1438" s="11">
        <v>44492.70833333333</v>
      </c>
      <c r="J1438" s="10" t="s">
        <v>128</v>
      </c>
      <c r="K1438" s="10" t="s">
        <v>34</v>
      </c>
      <c r="N1438" s="10" t="s">
        <v>35</v>
      </c>
      <c r="V1438" s="35" t="s">
        <v>4537</v>
      </c>
      <c r="W1438" s="15"/>
      <c r="X1438" s="10" t="s">
        <v>37</v>
      </c>
      <c r="Y1438" s="10" t="s">
        <v>0</v>
      </c>
    </row>
    <row r="1439">
      <c r="A1439" s="10" t="s">
        <v>5284</v>
      </c>
      <c r="B1439" s="11">
        <v>44484.51121059028</v>
      </c>
      <c r="C1439" s="10" t="s">
        <v>181</v>
      </c>
      <c r="D1439" s="10" t="s">
        <v>69</v>
      </c>
      <c r="E1439" s="10" t="s">
        <v>1879</v>
      </c>
      <c r="F1439" s="10" t="s">
        <v>5285</v>
      </c>
      <c r="G1439" s="10" t="s">
        <v>5286</v>
      </c>
      <c r="H1439" s="11">
        <v>44496.41666666667</v>
      </c>
      <c r="I1439" s="11">
        <v>44496.41736111111</v>
      </c>
      <c r="J1439" s="10" t="s">
        <v>73</v>
      </c>
      <c r="K1439" s="10" t="s">
        <v>34</v>
      </c>
      <c r="N1439" s="10" t="s">
        <v>35</v>
      </c>
      <c r="V1439" s="14" t="s">
        <v>5188</v>
      </c>
      <c r="W1439" s="15"/>
      <c r="X1439" s="10" t="s">
        <v>37</v>
      </c>
      <c r="Y1439" s="10" t="s">
        <v>0</v>
      </c>
    </row>
    <row r="1440">
      <c r="A1440" s="10" t="s">
        <v>5287</v>
      </c>
      <c r="B1440" s="11">
        <v>44490.43768383102</v>
      </c>
      <c r="C1440" s="10" t="s">
        <v>239</v>
      </c>
      <c r="D1440" s="10" t="s">
        <v>240</v>
      </c>
      <c r="E1440" s="10" t="s">
        <v>4561</v>
      </c>
      <c r="F1440" s="10" t="s">
        <v>5288</v>
      </c>
      <c r="G1440" s="10" t="s">
        <v>5289</v>
      </c>
      <c r="H1440" s="11">
        <v>44488.5</v>
      </c>
      <c r="I1440" s="11">
        <v>44493.5</v>
      </c>
      <c r="J1440" s="10" t="s">
        <v>128</v>
      </c>
      <c r="K1440" s="10" t="s">
        <v>34</v>
      </c>
      <c r="N1440" s="10" t="s">
        <v>35</v>
      </c>
      <c r="V1440" s="35" t="s">
        <v>4537</v>
      </c>
      <c r="W1440" s="15"/>
      <c r="X1440" s="10" t="s">
        <v>37</v>
      </c>
      <c r="Y1440" s="10" t="s">
        <v>0</v>
      </c>
    </row>
    <row r="1441">
      <c r="A1441" s="10" t="s">
        <v>5290</v>
      </c>
      <c r="B1441" s="11">
        <v>44490.43927717593</v>
      </c>
      <c r="C1441" s="10" t="s">
        <v>239</v>
      </c>
      <c r="D1441" s="10" t="s">
        <v>240</v>
      </c>
      <c r="E1441" s="10" t="s">
        <v>4561</v>
      </c>
      <c r="F1441" s="10" t="s">
        <v>5291</v>
      </c>
      <c r="G1441" s="10" t="s">
        <v>5292</v>
      </c>
      <c r="H1441" s="11">
        <v>44484.75</v>
      </c>
      <c r="I1441" s="11">
        <v>44486.5</v>
      </c>
      <c r="J1441" s="10" t="s">
        <v>43</v>
      </c>
      <c r="K1441" s="10" t="s">
        <v>34</v>
      </c>
      <c r="N1441" s="10" t="s">
        <v>35</v>
      </c>
      <c r="V1441" s="35" t="s">
        <v>4537</v>
      </c>
      <c r="W1441" s="15"/>
      <c r="X1441" s="10" t="s">
        <v>37</v>
      </c>
      <c r="Y1441" s="10" t="s">
        <v>0</v>
      </c>
    </row>
    <row r="1442">
      <c r="A1442" s="10" t="s">
        <v>5293</v>
      </c>
      <c r="B1442" s="11">
        <v>44490.755318275464</v>
      </c>
      <c r="C1442" s="10" t="s">
        <v>671</v>
      </c>
      <c r="D1442" s="10" t="s">
        <v>672</v>
      </c>
      <c r="E1442" s="10" t="s">
        <v>5294</v>
      </c>
      <c r="F1442" s="10" t="s">
        <v>5295</v>
      </c>
      <c r="G1442" s="10" t="s">
        <v>4407</v>
      </c>
      <c r="H1442" s="11">
        <v>44497.52083333333</v>
      </c>
      <c r="I1442" s="11">
        <v>44497.5625</v>
      </c>
      <c r="J1442" s="10" t="s">
        <v>128</v>
      </c>
      <c r="K1442" s="10" t="s">
        <v>34</v>
      </c>
      <c r="N1442" s="10" t="s">
        <v>35</v>
      </c>
      <c r="V1442" s="14" t="s">
        <v>3906</v>
      </c>
      <c r="W1442" s="15"/>
      <c r="X1442" s="10" t="s">
        <v>37</v>
      </c>
      <c r="Y1442" s="10" t="s">
        <v>0</v>
      </c>
    </row>
    <row r="1443">
      <c r="A1443" s="10" t="s">
        <v>5296</v>
      </c>
      <c r="B1443" s="11">
        <v>44490.64834447917</v>
      </c>
      <c r="C1443" s="10" t="s">
        <v>160</v>
      </c>
      <c r="D1443" s="10" t="s">
        <v>161</v>
      </c>
      <c r="E1443" s="10" t="s">
        <v>3804</v>
      </c>
      <c r="F1443" s="10" t="s">
        <v>5297</v>
      </c>
      <c r="G1443" s="10" t="s">
        <v>5298</v>
      </c>
      <c r="H1443" s="11">
        <v>44497.72916666667</v>
      </c>
      <c r="I1443" s="11">
        <v>44497.77083333333</v>
      </c>
      <c r="J1443" s="10" t="s">
        <v>1333</v>
      </c>
      <c r="K1443" s="10" t="s">
        <v>34</v>
      </c>
      <c r="N1443" s="10" t="s">
        <v>296</v>
      </c>
      <c r="O1443" s="18" t="s">
        <v>5299</v>
      </c>
      <c r="P1443" s="10" t="s">
        <v>35</v>
      </c>
      <c r="R1443" s="10" t="s">
        <v>296</v>
      </c>
      <c r="S1443" s="10">
        <v>2.0</v>
      </c>
      <c r="T1443" s="10" t="s">
        <v>35</v>
      </c>
      <c r="V1443" s="14" t="s">
        <v>5300</v>
      </c>
      <c r="W1443" s="15"/>
      <c r="X1443" s="10" t="s">
        <v>37</v>
      </c>
      <c r="Y1443" s="10" t="s">
        <v>0</v>
      </c>
    </row>
    <row r="1444">
      <c r="A1444" s="10" t="s">
        <v>5301</v>
      </c>
      <c r="B1444" s="11">
        <v>44472.54286840278</v>
      </c>
      <c r="C1444" s="10" t="s">
        <v>239</v>
      </c>
      <c r="D1444" s="10" t="s">
        <v>240</v>
      </c>
      <c r="E1444" s="10" t="s">
        <v>4561</v>
      </c>
      <c r="F1444" s="10" t="s">
        <v>4640</v>
      </c>
      <c r="G1444" s="10" t="s">
        <v>5302</v>
      </c>
      <c r="H1444" s="11">
        <v>44498.0</v>
      </c>
      <c r="I1444" s="11">
        <v>44479.0</v>
      </c>
      <c r="J1444" s="10" t="s">
        <v>128</v>
      </c>
      <c r="K1444" s="10" t="s">
        <v>34</v>
      </c>
      <c r="N1444" s="10" t="s">
        <v>35</v>
      </c>
      <c r="V1444" s="35" t="s">
        <v>4551</v>
      </c>
      <c r="W1444" s="15"/>
      <c r="X1444" s="10" t="s">
        <v>37</v>
      </c>
      <c r="Y1444" s="10" t="s">
        <v>0</v>
      </c>
    </row>
    <row r="1445">
      <c r="A1445" s="10" t="s">
        <v>5303</v>
      </c>
      <c r="B1445" s="11">
        <v>44491.56598084491</v>
      </c>
      <c r="C1445" s="10" t="s">
        <v>3304</v>
      </c>
      <c r="D1445" s="10" t="s">
        <v>695</v>
      </c>
      <c r="E1445" s="10" t="s">
        <v>4316</v>
      </c>
      <c r="F1445" s="10" t="s">
        <v>5304</v>
      </c>
      <c r="G1445" s="10" t="s">
        <v>5305</v>
      </c>
      <c r="H1445" s="11">
        <v>44498.375</v>
      </c>
      <c r="I1445" s="11">
        <v>44498.45833333333</v>
      </c>
      <c r="J1445" s="10" t="s">
        <v>43</v>
      </c>
      <c r="K1445" s="10" t="s">
        <v>34</v>
      </c>
      <c r="N1445" s="10" t="s">
        <v>296</v>
      </c>
      <c r="O1445" s="18" t="s">
        <v>5306</v>
      </c>
      <c r="P1445" s="10" t="s">
        <v>296</v>
      </c>
      <c r="Q1445" s="10">
        <v>1.0</v>
      </c>
      <c r="R1445" s="10" t="s">
        <v>35</v>
      </c>
      <c r="T1445" s="10" t="s">
        <v>35</v>
      </c>
      <c r="V1445" s="14" t="s">
        <v>5307</v>
      </c>
      <c r="W1445" s="15"/>
      <c r="X1445" s="10" t="s">
        <v>37</v>
      </c>
      <c r="Y1445" s="10" t="s">
        <v>0</v>
      </c>
    </row>
    <row r="1446">
      <c r="A1446" s="10" t="s">
        <v>5308</v>
      </c>
      <c r="B1446" s="11">
        <v>44484.51203513889</v>
      </c>
      <c r="C1446" s="10" t="s">
        <v>181</v>
      </c>
      <c r="D1446" s="10" t="s">
        <v>69</v>
      </c>
      <c r="E1446" s="10" t="s">
        <v>1879</v>
      </c>
      <c r="F1446" s="10" t="s">
        <v>5309</v>
      </c>
      <c r="G1446" s="10" t="s">
        <v>5310</v>
      </c>
      <c r="H1446" s="11">
        <v>44498.41666666667</v>
      </c>
      <c r="I1446" s="11">
        <v>44498.41736111111</v>
      </c>
      <c r="J1446" s="10" t="s">
        <v>73</v>
      </c>
      <c r="K1446" s="10" t="s">
        <v>34</v>
      </c>
      <c r="N1446" s="10" t="s">
        <v>35</v>
      </c>
      <c r="V1446" s="35" t="s">
        <v>4061</v>
      </c>
      <c r="W1446" s="15"/>
      <c r="X1446" s="10" t="s">
        <v>37</v>
      </c>
      <c r="Y1446" s="10" t="s">
        <v>0</v>
      </c>
    </row>
    <row r="1447">
      <c r="A1447" s="10" t="s">
        <v>5311</v>
      </c>
      <c r="B1447" s="11">
        <v>44408.91288940972</v>
      </c>
      <c r="C1447" s="10" t="s">
        <v>137</v>
      </c>
      <c r="D1447" s="10" t="s">
        <v>138</v>
      </c>
      <c r="E1447" s="10" t="s">
        <v>3299</v>
      </c>
      <c r="F1447" s="10" t="s">
        <v>921</v>
      </c>
      <c r="G1447" s="10" t="s">
        <v>3440</v>
      </c>
      <c r="H1447" s="11">
        <v>44498.58333333333</v>
      </c>
      <c r="I1447" s="11">
        <v>44406.66666666667</v>
      </c>
      <c r="J1447" s="10" t="s">
        <v>128</v>
      </c>
      <c r="K1447" s="10" t="s">
        <v>34</v>
      </c>
      <c r="N1447" s="10" t="s">
        <v>35</v>
      </c>
      <c r="V1447" s="9"/>
      <c r="W1447" s="13"/>
      <c r="X1447" s="10" t="s">
        <v>37</v>
      </c>
      <c r="Y1447" s="10" t="s">
        <v>0</v>
      </c>
    </row>
    <row r="1448">
      <c r="A1448" s="10" t="s">
        <v>5312</v>
      </c>
      <c r="B1448" s="11">
        <v>44470.834648993055</v>
      </c>
      <c r="C1448" s="10" t="s">
        <v>4268</v>
      </c>
      <c r="D1448" s="10" t="s">
        <v>4269</v>
      </c>
      <c r="E1448" s="10" t="s">
        <v>5313</v>
      </c>
      <c r="F1448" s="10" t="s">
        <v>5314</v>
      </c>
      <c r="G1448" s="10" t="s">
        <v>5315</v>
      </c>
      <c r="H1448" s="11">
        <v>44498.60416666667</v>
      </c>
      <c r="I1448" s="11">
        <v>44499.5</v>
      </c>
      <c r="J1448" s="10" t="s">
        <v>128</v>
      </c>
      <c r="K1448" s="10" t="s">
        <v>61</v>
      </c>
      <c r="L1448" s="10" t="s">
        <v>4997</v>
      </c>
      <c r="N1448" s="10" t="s">
        <v>35</v>
      </c>
      <c r="V1448" s="9"/>
      <c r="W1448" s="13"/>
      <c r="X1448" s="10" t="s">
        <v>3302</v>
      </c>
      <c r="Y1448" s="10" t="s">
        <v>0</v>
      </c>
    </row>
    <row r="1449">
      <c r="A1449" s="10" t="s">
        <v>5316</v>
      </c>
      <c r="B1449" s="11">
        <v>44498.61308837963</v>
      </c>
      <c r="C1449" s="10" t="s">
        <v>181</v>
      </c>
      <c r="D1449" s="10" t="s">
        <v>69</v>
      </c>
      <c r="E1449" s="10" t="s">
        <v>4175</v>
      </c>
      <c r="F1449" s="10" t="s">
        <v>5317</v>
      </c>
      <c r="G1449" s="10" t="s">
        <v>5318</v>
      </c>
      <c r="H1449" s="11">
        <v>44502.33333333333</v>
      </c>
      <c r="I1449" s="11">
        <v>44502.334027777775</v>
      </c>
      <c r="J1449" s="10" t="s">
        <v>73</v>
      </c>
      <c r="K1449" s="10" t="s">
        <v>34</v>
      </c>
      <c r="N1449" s="10" t="s">
        <v>35</v>
      </c>
      <c r="V1449" s="14" t="s">
        <v>5319</v>
      </c>
      <c r="W1449" s="15"/>
      <c r="X1449" s="10" t="s">
        <v>37</v>
      </c>
      <c r="Y1449" s="10" t="s">
        <v>0</v>
      </c>
    </row>
    <row r="1450">
      <c r="A1450" s="10" t="s">
        <v>5320</v>
      </c>
      <c r="B1450" s="11">
        <v>44445.78060511574</v>
      </c>
      <c r="C1450" s="10" t="s">
        <v>181</v>
      </c>
      <c r="D1450" s="10" t="s">
        <v>69</v>
      </c>
      <c r="E1450" s="10" t="s">
        <v>1879</v>
      </c>
      <c r="F1450" s="10" t="s">
        <v>5321</v>
      </c>
      <c r="G1450" s="10" t="s">
        <v>5322</v>
      </c>
      <c r="H1450" s="11">
        <v>44499.41666666667</v>
      </c>
      <c r="I1450" s="11">
        <v>44499.41736111111</v>
      </c>
      <c r="J1450" s="10" t="s">
        <v>73</v>
      </c>
      <c r="K1450" s="10" t="s">
        <v>34</v>
      </c>
      <c r="N1450" s="10" t="s">
        <v>35</v>
      </c>
      <c r="V1450" s="14" t="s">
        <v>4328</v>
      </c>
      <c r="W1450" s="15"/>
      <c r="X1450" s="10" t="s">
        <v>37</v>
      </c>
      <c r="Y1450" s="10" t="s">
        <v>0</v>
      </c>
    </row>
    <row r="1451">
      <c r="A1451" s="10" t="s">
        <v>5323</v>
      </c>
      <c r="B1451" s="11">
        <v>44490.75976880787</v>
      </c>
      <c r="C1451" s="10" t="s">
        <v>671</v>
      </c>
      <c r="D1451" s="10" t="s">
        <v>672</v>
      </c>
      <c r="E1451" s="10" t="s">
        <v>4936</v>
      </c>
      <c r="F1451" s="10" t="s">
        <v>5324</v>
      </c>
      <c r="G1451" s="10" t="s">
        <v>5325</v>
      </c>
      <c r="H1451" s="11">
        <v>44499.60416666667</v>
      </c>
      <c r="I1451" s="11">
        <v>44499.6875</v>
      </c>
      <c r="J1451" s="10" t="s">
        <v>128</v>
      </c>
      <c r="K1451" s="10" t="s">
        <v>34</v>
      </c>
      <c r="N1451" s="10" t="s">
        <v>296</v>
      </c>
      <c r="O1451" s="18" t="s">
        <v>5326</v>
      </c>
      <c r="P1451" s="10" t="s">
        <v>35</v>
      </c>
      <c r="R1451" s="10" t="s">
        <v>296</v>
      </c>
      <c r="S1451" s="10">
        <v>1.0</v>
      </c>
      <c r="T1451" s="10" t="s">
        <v>35</v>
      </c>
      <c r="V1451" s="14" t="s">
        <v>3906</v>
      </c>
      <c r="W1451" s="15"/>
      <c r="X1451" s="10" t="s">
        <v>37</v>
      </c>
      <c r="Y1451" s="10" t="s">
        <v>0</v>
      </c>
    </row>
    <row r="1452">
      <c r="A1452" s="10" t="s">
        <v>5327</v>
      </c>
      <c r="B1452" s="11">
        <v>44492.519081342594</v>
      </c>
      <c r="C1452" s="10" t="s">
        <v>160</v>
      </c>
      <c r="D1452" s="10" t="s">
        <v>161</v>
      </c>
      <c r="E1452" s="10" t="s">
        <v>5207</v>
      </c>
      <c r="F1452" s="10" t="s">
        <v>5328</v>
      </c>
      <c r="G1452" s="10" t="s">
        <v>5329</v>
      </c>
      <c r="H1452" s="11">
        <v>44492.51736111111</v>
      </c>
      <c r="I1452" s="11">
        <v>44492.51736111111</v>
      </c>
      <c r="J1452" s="10" t="s">
        <v>73</v>
      </c>
      <c r="K1452" s="10" t="s">
        <v>34</v>
      </c>
      <c r="N1452" s="10" t="s">
        <v>35</v>
      </c>
      <c r="V1452" s="14" t="s">
        <v>5330</v>
      </c>
      <c r="W1452" s="15"/>
      <c r="X1452" s="10" t="s">
        <v>37</v>
      </c>
      <c r="Y1452" s="10" t="s">
        <v>0</v>
      </c>
    </row>
    <row r="1453">
      <c r="A1453" s="10" t="s">
        <v>5331</v>
      </c>
      <c r="B1453" s="11">
        <v>44488.67010025463</v>
      </c>
      <c r="C1453" s="10" t="s">
        <v>209</v>
      </c>
      <c r="D1453" s="10" t="s">
        <v>210</v>
      </c>
      <c r="E1453" s="10" t="s">
        <v>261</v>
      </c>
      <c r="F1453" s="10" t="s">
        <v>5332</v>
      </c>
      <c r="G1453" s="10" t="s">
        <v>5333</v>
      </c>
      <c r="H1453" s="11">
        <v>44499.66666666667</v>
      </c>
      <c r="I1453" s="11">
        <v>44499.72916666667</v>
      </c>
      <c r="J1453" s="10" t="s">
        <v>128</v>
      </c>
      <c r="K1453" s="10" t="s">
        <v>34</v>
      </c>
      <c r="N1453" s="10" t="s">
        <v>35</v>
      </c>
      <c r="V1453" s="14" t="s">
        <v>5334</v>
      </c>
      <c r="W1453" s="15"/>
      <c r="X1453" s="10" t="s">
        <v>37</v>
      </c>
      <c r="Y1453" s="10" t="s">
        <v>0</v>
      </c>
    </row>
    <row r="1454">
      <c r="A1454" s="10" t="s">
        <v>5335</v>
      </c>
      <c r="B1454" s="11">
        <v>44495.04686436342</v>
      </c>
      <c r="C1454" s="10" t="s">
        <v>186</v>
      </c>
      <c r="D1454" s="10" t="s">
        <v>187</v>
      </c>
      <c r="E1454" s="10" t="s">
        <v>188</v>
      </c>
      <c r="F1454" s="10" t="s">
        <v>5336</v>
      </c>
      <c r="G1454" s="10" t="s">
        <v>5337</v>
      </c>
      <c r="H1454" s="11">
        <v>44456.64583333333</v>
      </c>
      <c r="I1454" s="11">
        <v>44456.72916666667</v>
      </c>
      <c r="J1454" s="10" t="s">
        <v>128</v>
      </c>
      <c r="K1454" s="10" t="s">
        <v>34</v>
      </c>
      <c r="N1454" s="10" t="s">
        <v>35</v>
      </c>
      <c r="V1454" s="14" t="s">
        <v>5338</v>
      </c>
      <c r="W1454" s="15"/>
    </row>
    <row r="1455">
      <c r="A1455" s="10" t="s">
        <v>5339</v>
      </c>
      <c r="B1455" s="11">
        <v>44495.04979931713</v>
      </c>
      <c r="C1455" s="10" t="s">
        <v>186</v>
      </c>
      <c r="D1455" s="10" t="s">
        <v>187</v>
      </c>
      <c r="E1455" s="10" t="s">
        <v>188</v>
      </c>
      <c r="F1455" s="10" t="s">
        <v>5340</v>
      </c>
      <c r="G1455" s="10" t="s">
        <v>5341</v>
      </c>
      <c r="H1455" s="11">
        <v>44480.4375</v>
      </c>
      <c r="I1455" s="11">
        <v>44480.52083333333</v>
      </c>
      <c r="J1455" s="10" t="s">
        <v>43</v>
      </c>
      <c r="K1455" s="10" t="s">
        <v>34</v>
      </c>
      <c r="N1455" s="10" t="s">
        <v>35</v>
      </c>
      <c r="V1455" s="14" t="s">
        <v>5342</v>
      </c>
      <c r="W1455" s="15"/>
      <c r="X1455" s="10" t="s">
        <v>37</v>
      </c>
      <c r="Y1455" s="10" t="s">
        <v>0</v>
      </c>
    </row>
    <row r="1456">
      <c r="A1456" s="10" t="s">
        <v>5343</v>
      </c>
      <c r="B1456" s="11">
        <v>44495.051994305555</v>
      </c>
      <c r="C1456" s="10" t="s">
        <v>186</v>
      </c>
      <c r="D1456" s="10" t="s">
        <v>187</v>
      </c>
      <c r="E1456" s="10" t="s">
        <v>188</v>
      </c>
      <c r="F1456" s="10" t="s">
        <v>5344</v>
      </c>
      <c r="G1456" s="10" t="s">
        <v>5345</v>
      </c>
      <c r="H1456" s="11">
        <v>44468.625</v>
      </c>
      <c r="I1456" s="11">
        <v>44468.70833333333</v>
      </c>
      <c r="J1456" s="10" t="s">
        <v>128</v>
      </c>
      <c r="K1456" s="10" t="s">
        <v>34</v>
      </c>
      <c r="N1456" s="10" t="s">
        <v>35</v>
      </c>
      <c r="V1456" s="14" t="s">
        <v>5346</v>
      </c>
      <c r="W1456" s="15"/>
      <c r="X1456" s="10" t="s">
        <v>37</v>
      </c>
      <c r="Y1456" s="10" t="s">
        <v>0</v>
      </c>
    </row>
    <row r="1457">
      <c r="A1457" s="10" t="s">
        <v>5347</v>
      </c>
      <c r="B1457" s="11">
        <v>44495.05365758102</v>
      </c>
      <c r="C1457" s="10" t="s">
        <v>186</v>
      </c>
      <c r="D1457" s="10" t="s">
        <v>187</v>
      </c>
      <c r="E1457" s="10" t="s">
        <v>188</v>
      </c>
      <c r="F1457" s="10" t="s">
        <v>5348</v>
      </c>
      <c r="G1457" s="10" t="s">
        <v>5349</v>
      </c>
      <c r="H1457" s="11">
        <v>44474.77083333333</v>
      </c>
      <c r="I1457" s="11">
        <v>44474.8125</v>
      </c>
      <c r="J1457" s="10" t="s">
        <v>128</v>
      </c>
      <c r="K1457" s="10" t="s">
        <v>34</v>
      </c>
      <c r="N1457" s="10" t="s">
        <v>35</v>
      </c>
      <c r="V1457" s="14" t="s">
        <v>5350</v>
      </c>
      <c r="W1457" s="15"/>
      <c r="X1457" s="10" t="s">
        <v>3302</v>
      </c>
    </row>
    <row r="1458">
      <c r="A1458" s="10" t="s">
        <v>5351</v>
      </c>
      <c r="B1458" s="11">
        <v>44495.05522060185</v>
      </c>
      <c r="C1458" s="10" t="s">
        <v>186</v>
      </c>
      <c r="D1458" s="10" t="s">
        <v>187</v>
      </c>
      <c r="E1458" s="10" t="s">
        <v>188</v>
      </c>
      <c r="F1458" s="10" t="s">
        <v>5352</v>
      </c>
      <c r="G1458" s="10" t="s">
        <v>5353</v>
      </c>
      <c r="H1458" s="11">
        <v>44468.5625</v>
      </c>
      <c r="I1458" s="11">
        <v>44468.64583333333</v>
      </c>
      <c r="J1458" s="10" t="s">
        <v>128</v>
      </c>
      <c r="K1458" s="10" t="s">
        <v>34</v>
      </c>
      <c r="N1458" s="10" t="s">
        <v>35</v>
      </c>
      <c r="V1458" s="14" t="s">
        <v>5354</v>
      </c>
      <c r="W1458" s="15"/>
      <c r="X1458" s="10" t="s">
        <v>37</v>
      </c>
      <c r="Y1458" s="10" t="s">
        <v>0</v>
      </c>
    </row>
    <row r="1459">
      <c r="A1459" s="10" t="s">
        <v>5355</v>
      </c>
      <c r="B1459" s="11">
        <v>44495.057070358795</v>
      </c>
      <c r="C1459" s="10" t="s">
        <v>186</v>
      </c>
      <c r="D1459" s="10" t="s">
        <v>187</v>
      </c>
      <c r="E1459" s="10" t="s">
        <v>188</v>
      </c>
      <c r="F1459" s="10" t="s">
        <v>5356</v>
      </c>
      <c r="G1459" s="10" t="s">
        <v>5357</v>
      </c>
      <c r="H1459" s="11">
        <v>44476.6875</v>
      </c>
      <c r="I1459" s="11">
        <v>44476.77083333333</v>
      </c>
      <c r="J1459" s="10" t="s">
        <v>128</v>
      </c>
      <c r="K1459" s="10" t="s">
        <v>34</v>
      </c>
      <c r="N1459" s="10" t="s">
        <v>35</v>
      </c>
      <c r="V1459" s="14" t="s">
        <v>5358</v>
      </c>
      <c r="W1459" s="15"/>
      <c r="X1459" s="10" t="s">
        <v>37</v>
      </c>
      <c r="Y1459" s="10" t="s">
        <v>0</v>
      </c>
    </row>
    <row r="1460">
      <c r="A1460" s="10" t="s">
        <v>5359</v>
      </c>
      <c r="B1460" s="11">
        <v>44495.05917079861</v>
      </c>
      <c r="C1460" s="10" t="s">
        <v>186</v>
      </c>
      <c r="D1460" s="10" t="s">
        <v>187</v>
      </c>
      <c r="E1460" s="10" t="s">
        <v>188</v>
      </c>
      <c r="F1460" s="10" t="s">
        <v>5360</v>
      </c>
      <c r="G1460" s="10" t="s">
        <v>5361</v>
      </c>
      <c r="H1460" s="11">
        <v>44491.58333333333</v>
      </c>
      <c r="I1460" s="11">
        <v>44491.66666666667</v>
      </c>
      <c r="J1460" s="10" t="s">
        <v>128</v>
      </c>
      <c r="K1460" s="10" t="s">
        <v>34</v>
      </c>
      <c r="N1460" s="10" t="s">
        <v>35</v>
      </c>
      <c r="V1460" s="14" t="s">
        <v>5362</v>
      </c>
      <c r="W1460" s="15"/>
      <c r="X1460" s="10" t="s">
        <v>3302</v>
      </c>
    </row>
    <row r="1461">
      <c r="A1461" s="10" t="s">
        <v>5363</v>
      </c>
      <c r="B1461" s="11">
        <v>44495.442509953704</v>
      </c>
      <c r="C1461" s="10" t="s">
        <v>5364</v>
      </c>
      <c r="D1461" s="10" t="s">
        <v>5365</v>
      </c>
      <c r="E1461" s="10" t="s">
        <v>5366</v>
      </c>
      <c r="F1461" s="10" t="s">
        <v>5367</v>
      </c>
      <c r="G1461" s="10" t="s">
        <v>5368</v>
      </c>
      <c r="H1461" s="11">
        <v>44497.08333333333</v>
      </c>
      <c r="I1461" s="11">
        <v>44497.22916666667</v>
      </c>
      <c r="J1461" s="10" t="s">
        <v>128</v>
      </c>
      <c r="K1461" s="10" t="s">
        <v>61</v>
      </c>
      <c r="L1461" s="10" t="s">
        <v>1334</v>
      </c>
      <c r="N1461" s="10" t="s">
        <v>35</v>
      </c>
      <c r="V1461" s="9"/>
      <c r="W1461" s="13"/>
      <c r="X1461" s="10" t="s">
        <v>3302</v>
      </c>
    </row>
    <row r="1462">
      <c r="A1462" s="10" t="s">
        <v>5369</v>
      </c>
      <c r="B1462" s="11">
        <v>44495.44394493056</v>
      </c>
      <c r="C1462" s="10" t="s">
        <v>5364</v>
      </c>
      <c r="D1462" s="10" t="s">
        <v>5365</v>
      </c>
      <c r="E1462" s="10" t="s">
        <v>5370</v>
      </c>
      <c r="F1462" s="10" t="s">
        <v>5371</v>
      </c>
      <c r="G1462" s="10" t="s">
        <v>5372</v>
      </c>
      <c r="H1462" s="11">
        <v>44491.25</v>
      </c>
      <c r="I1462" s="11">
        <v>44491.29166666667</v>
      </c>
      <c r="J1462" s="10" t="s">
        <v>128</v>
      </c>
      <c r="K1462" s="10" t="s">
        <v>34</v>
      </c>
      <c r="N1462" s="10" t="s">
        <v>35</v>
      </c>
      <c r="V1462" s="14" t="s">
        <v>5373</v>
      </c>
      <c r="W1462" s="15"/>
      <c r="X1462" s="10" t="s">
        <v>37</v>
      </c>
      <c r="Y1462" s="10" t="s">
        <v>0</v>
      </c>
    </row>
    <row r="1463">
      <c r="A1463" s="10" t="s">
        <v>5374</v>
      </c>
      <c r="B1463" s="11">
        <v>44495.50726480324</v>
      </c>
      <c r="C1463" s="10" t="s">
        <v>5364</v>
      </c>
      <c r="D1463" s="10" t="s">
        <v>5365</v>
      </c>
      <c r="E1463" s="10" t="s">
        <v>5366</v>
      </c>
      <c r="F1463" s="10" t="s">
        <v>5375</v>
      </c>
      <c r="G1463" s="10" t="s">
        <v>5376</v>
      </c>
      <c r="H1463" s="11">
        <v>44410.16666666667</v>
      </c>
      <c r="I1463" s="11">
        <v>44410.16666666667</v>
      </c>
      <c r="J1463" s="10" t="s">
        <v>73</v>
      </c>
      <c r="K1463" s="10" t="s">
        <v>34</v>
      </c>
      <c r="N1463" s="10" t="s">
        <v>35</v>
      </c>
      <c r="V1463" s="14" t="s">
        <v>5377</v>
      </c>
      <c r="W1463" s="15"/>
      <c r="X1463" s="10" t="s">
        <v>37</v>
      </c>
      <c r="Y1463" s="10" t="s">
        <v>0</v>
      </c>
    </row>
    <row r="1464">
      <c r="A1464" s="10" t="s">
        <v>5378</v>
      </c>
      <c r="B1464" s="11">
        <v>44495.50874366898</v>
      </c>
      <c r="C1464" s="10" t="s">
        <v>5364</v>
      </c>
      <c r="D1464" s="10" t="s">
        <v>5365</v>
      </c>
      <c r="E1464" s="10" t="s">
        <v>5366</v>
      </c>
      <c r="F1464" s="10" t="s">
        <v>5379</v>
      </c>
      <c r="G1464" s="10" t="s">
        <v>5380</v>
      </c>
      <c r="H1464" s="11">
        <v>44410.17708333333</v>
      </c>
      <c r="I1464" s="11">
        <v>44410.17708333333</v>
      </c>
      <c r="J1464" s="10" t="s">
        <v>73</v>
      </c>
      <c r="K1464" s="10" t="s">
        <v>34</v>
      </c>
      <c r="N1464" s="10" t="s">
        <v>35</v>
      </c>
      <c r="V1464" s="14" t="s">
        <v>5381</v>
      </c>
      <c r="W1464" s="15"/>
      <c r="X1464" s="10" t="s">
        <v>37</v>
      </c>
      <c r="Y1464" s="10" t="s">
        <v>0</v>
      </c>
    </row>
    <row r="1465">
      <c r="A1465" s="10" t="s">
        <v>5382</v>
      </c>
      <c r="B1465" s="11">
        <v>44495.509993078704</v>
      </c>
      <c r="C1465" s="10" t="s">
        <v>5364</v>
      </c>
      <c r="D1465" s="10" t="s">
        <v>5365</v>
      </c>
      <c r="E1465" s="10" t="s">
        <v>5366</v>
      </c>
      <c r="F1465" s="10" t="s">
        <v>5383</v>
      </c>
      <c r="G1465" s="10" t="s">
        <v>5384</v>
      </c>
      <c r="H1465" s="11">
        <v>44446.16666666667</v>
      </c>
      <c r="I1465" s="11">
        <v>44446.16666666667</v>
      </c>
      <c r="J1465" s="10" t="s">
        <v>73</v>
      </c>
      <c r="K1465" s="10" t="s">
        <v>34</v>
      </c>
      <c r="N1465" s="10" t="s">
        <v>35</v>
      </c>
      <c r="V1465" s="14" t="s">
        <v>5385</v>
      </c>
      <c r="W1465" s="15"/>
      <c r="X1465" s="10" t="s">
        <v>37</v>
      </c>
      <c r="Y1465" s="10" t="s">
        <v>0</v>
      </c>
    </row>
    <row r="1466">
      <c r="A1466" s="10" t="s">
        <v>5386</v>
      </c>
      <c r="B1466" s="11">
        <v>44495.51197203704</v>
      </c>
      <c r="C1466" s="10" t="s">
        <v>5364</v>
      </c>
      <c r="D1466" s="10" t="s">
        <v>5365</v>
      </c>
      <c r="E1466" s="10" t="s">
        <v>5366</v>
      </c>
      <c r="F1466" s="10" t="s">
        <v>5387</v>
      </c>
      <c r="G1466" s="10" t="s">
        <v>5388</v>
      </c>
      <c r="H1466" s="11">
        <v>44447.16666666667</v>
      </c>
      <c r="I1466" s="11">
        <v>44447.16666666667</v>
      </c>
      <c r="J1466" s="10" t="s">
        <v>73</v>
      </c>
      <c r="K1466" s="10" t="s">
        <v>34</v>
      </c>
      <c r="N1466" s="10" t="s">
        <v>35</v>
      </c>
      <c r="V1466" s="14" t="s">
        <v>5389</v>
      </c>
      <c r="W1466" s="15"/>
      <c r="X1466" s="10" t="s">
        <v>37</v>
      </c>
      <c r="Y1466" s="10" t="s">
        <v>0</v>
      </c>
    </row>
    <row r="1467">
      <c r="A1467" s="10" t="s">
        <v>5390</v>
      </c>
      <c r="B1467" s="11">
        <v>44495.51605680556</v>
      </c>
      <c r="C1467" s="10" t="s">
        <v>5364</v>
      </c>
      <c r="D1467" s="10" t="s">
        <v>5365</v>
      </c>
      <c r="E1467" s="10" t="s">
        <v>5366</v>
      </c>
      <c r="F1467" s="10" t="s">
        <v>5391</v>
      </c>
      <c r="G1467" s="10" t="s">
        <v>5392</v>
      </c>
      <c r="H1467" s="11">
        <v>44450.58333333333</v>
      </c>
      <c r="I1467" s="11">
        <v>44450.58333333333</v>
      </c>
      <c r="J1467" s="10" t="s">
        <v>73</v>
      </c>
      <c r="K1467" s="10" t="s">
        <v>34</v>
      </c>
      <c r="N1467" s="10" t="s">
        <v>35</v>
      </c>
      <c r="V1467" s="14" t="s">
        <v>5393</v>
      </c>
      <c r="W1467" s="15"/>
      <c r="X1467" s="10" t="s">
        <v>37</v>
      </c>
      <c r="Y1467" s="10" t="s">
        <v>0</v>
      </c>
    </row>
    <row r="1468">
      <c r="A1468" s="10" t="s">
        <v>5394</v>
      </c>
      <c r="B1468" s="11">
        <v>44495.517503553245</v>
      </c>
      <c r="C1468" s="10" t="s">
        <v>5364</v>
      </c>
      <c r="D1468" s="10" t="s">
        <v>5365</v>
      </c>
      <c r="E1468" s="10" t="s">
        <v>5366</v>
      </c>
      <c r="F1468" s="10" t="s">
        <v>5395</v>
      </c>
      <c r="G1468" s="10" t="s">
        <v>5396</v>
      </c>
      <c r="H1468" s="11">
        <v>44450.58333333333</v>
      </c>
      <c r="I1468" s="11">
        <v>44450.58333333333</v>
      </c>
      <c r="J1468" s="10" t="s">
        <v>73</v>
      </c>
      <c r="K1468" s="10" t="s">
        <v>34</v>
      </c>
      <c r="N1468" s="10" t="s">
        <v>35</v>
      </c>
      <c r="V1468" s="14" t="s">
        <v>5397</v>
      </c>
      <c r="W1468" s="15"/>
      <c r="X1468" s="10" t="s">
        <v>37</v>
      </c>
      <c r="Y1468" s="10" t="s">
        <v>0</v>
      </c>
    </row>
    <row r="1469">
      <c r="A1469" s="10" t="s">
        <v>5398</v>
      </c>
      <c r="B1469" s="11">
        <v>44495.518917939815</v>
      </c>
      <c r="C1469" s="10" t="s">
        <v>5364</v>
      </c>
      <c r="D1469" s="10" t="s">
        <v>5365</v>
      </c>
      <c r="E1469" s="10" t="s">
        <v>5366</v>
      </c>
      <c r="F1469" s="10" t="s">
        <v>5399</v>
      </c>
      <c r="G1469" s="10" t="s">
        <v>5400</v>
      </c>
      <c r="H1469" s="11">
        <v>44482.625</v>
      </c>
      <c r="I1469" s="11">
        <v>44482.625</v>
      </c>
      <c r="J1469" s="10" t="s">
        <v>73</v>
      </c>
      <c r="K1469" s="10" t="s">
        <v>34</v>
      </c>
      <c r="N1469" s="10" t="s">
        <v>35</v>
      </c>
      <c r="V1469" s="14" t="s">
        <v>5401</v>
      </c>
      <c r="W1469" s="15"/>
      <c r="X1469" s="10" t="s">
        <v>37</v>
      </c>
      <c r="Y1469" s="10" t="s">
        <v>0</v>
      </c>
    </row>
    <row r="1470">
      <c r="A1470" s="10" t="s">
        <v>5402</v>
      </c>
      <c r="B1470" s="11">
        <v>44495.52056682871</v>
      </c>
      <c r="C1470" s="10" t="s">
        <v>5364</v>
      </c>
      <c r="D1470" s="10" t="s">
        <v>5365</v>
      </c>
      <c r="E1470" s="10" t="s">
        <v>5366</v>
      </c>
      <c r="F1470" s="10" t="s">
        <v>5403</v>
      </c>
      <c r="G1470" s="10" t="s">
        <v>5404</v>
      </c>
      <c r="H1470" s="11">
        <v>44491.625</v>
      </c>
      <c r="I1470" s="11">
        <v>44491.625</v>
      </c>
      <c r="J1470" s="10" t="s">
        <v>73</v>
      </c>
      <c r="K1470" s="10" t="s">
        <v>34</v>
      </c>
      <c r="N1470" s="10" t="s">
        <v>35</v>
      </c>
      <c r="V1470" s="14" t="s">
        <v>5405</v>
      </c>
      <c r="W1470" s="15"/>
      <c r="X1470" s="10" t="s">
        <v>37</v>
      </c>
      <c r="Y1470" s="10" t="s">
        <v>0</v>
      </c>
    </row>
    <row r="1471">
      <c r="A1471" s="10" t="s">
        <v>5406</v>
      </c>
      <c r="B1471" s="11">
        <v>44495.52189849537</v>
      </c>
      <c r="C1471" s="10" t="s">
        <v>5364</v>
      </c>
      <c r="D1471" s="10" t="s">
        <v>5365</v>
      </c>
      <c r="E1471" s="10" t="s">
        <v>5366</v>
      </c>
      <c r="F1471" s="10" t="s">
        <v>5407</v>
      </c>
      <c r="G1471" s="10" t="s">
        <v>5408</v>
      </c>
      <c r="H1471" s="11">
        <v>44490.625</v>
      </c>
      <c r="I1471" s="11">
        <v>44490.625</v>
      </c>
      <c r="J1471" s="10" t="s">
        <v>73</v>
      </c>
      <c r="K1471" s="10" t="s">
        <v>34</v>
      </c>
      <c r="N1471" s="10" t="s">
        <v>35</v>
      </c>
      <c r="V1471" s="14" t="s">
        <v>5409</v>
      </c>
      <c r="W1471" s="15"/>
      <c r="X1471" s="10" t="s">
        <v>37</v>
      </c>
      <c r="Y1471" s="10" t="s">
        <v>0</v>
      </c>
    </row>
    <row r="1472">
      <c r="A1472" s="10" t="s">
        <v>5410</v>
      </c>
      <c r="B1472" s="11">
        <v>44495.68395464121</v>
      </c>
      <c r="C1472" s="10" t="s">
        <v>96</v>
      </c>
      <c r="D1472" s="10" t="s">
        <v>97</v>
      </c>
      <c r="E1472" s="10" t="s">
        <v>5411</v>
      </c>
      <c r="F1472" s="10" t="s">
        <v>5412</v>
      </c>
      <c r="G1472" s="10" t="s">
        <v>5413</v>
      </c>
      <c r="H1472" s="11">
        <v>44490.6875</v>
      </c>
      <c r="I1472" s="11">
        <v>44490.75</v>
      </c>
      <c r="J1472" s="10" t="s">
        <v>43</v>
      </c>
      <c r="K1472" s="10" t="s">
        <v>34</v>
      </c>
      <c r="N1472" s="10" t="s">
        <v>296</v>
      </c>
      <c r="O1472" s="18" t="s">
        <v>5414</v>
      </c>
      <c r="P1472" s="10" t="s">
        <v>296</v>
      </c>
      <c r="Q1472" s="10">
        <v>2.0</v>
      </c>
      <c r="R1472" s="10" t="s">
        <v>35</v>
      </c>
      <c r="T1472" s="10" t="s">
        <v>35</v>
      </c>
      <c r="V1472" s="14" t="s">
        <v>5415</v>
      </c>
      <c r="W1472" s="15"/>
      <c r="X1472" s="10" t="s">
        <v>37</v>
      </c>
      <c r="Y1472" s="10" t="s">
        <v>0</v>
      </c>
    </row>
    <row r="1473">
      <c r="A1473" s="10" t="s">
        <v>5416</v>
      </c>
      <c r="B1473" s="11">
        <v>44496.01418763889</v>
      </c>
      <c r="C1473" s="10" t="s">
        <v>610</v>
      </c>
      <c r="D1473" s="10" t="s">
        <v>611</v>
      </c>
      <c r="E1473" s="10" t="s">
        <v>3531</v>
      </c>
      <c r="F1473" s="10" t="s">
        <v>5417</v>
      </c>
      <c r="G1473" s="10" t="s">
        <v>5418</v>
      </c>
      <c r="H1473" s="11">
        <v>44499.4375</v>
      </c>
      <c r="I1473" s="11">
        <v>44499.5</v>
      </c>
      <c r="J1473" s="10" t="s">
        <v>128</v>
      </c>
      <c r="K1473" s="10" t="s">
        <v>34</v>
      </c>
      <c r="N1473" s="10" t="s">
        <v>35</v>
      </c>
      <c r="V1473" s="14" t="s">
        <v>5419</v>
      </c>
      <c r="W1473" s="15"/>
      <c r="X1473" s="10" t="s">
        <v>37</v>
      </c>
      <c r="Y1473" s="10" t="s">
        <v>0</v>
      </c>
    </row>
    <row r="1474">
      <c r="A1474" s="10" t="s">
        <v>5420</v>
      </c>
      <c r="B1474" s="11">
        <v>44496.36233471065</v>
      </c>
      <c r="C1474" s="10" t="s">
        <v>610</v>
      </c>
      <c r="D1474" s="10" t="s">
        <v>611</v>
      </c>
      <c r="E1474" s="10" t="s">
        <v>3531</v>
      </c>
      <c r="F1474" s="10" t="s">
        <v>5417</v>
      </c>
      <c r="G1474" s="10" t="s">
        <v>5421</v>
      </c>
      <c r="H1474" s="11">
        <v>44499.4375</v>
      </c>
      <c r="I1474" s="11">
        <v>44499.52083333333</v>
      </c>
      <c r="J1474" s="10" t="s">
        <v>128</v>
      </c>
      <c r="K1474" s="10" t="s">
        <v>34</v>
      </c>
      <c r="N1474" s="10" t="s">
        <v>35</v>
      </c>
      <c r="V1474" s="14" t="s">
        <v>5419</v>
      </c>
      <c r="W1474" s="15"/>
      <c r="X1474" s="10" t="s">
        <v>37</v>
      </c>
      <c r="Y1474" s="10" t="s">
        <v>0</v>
      </c>
    </row>
    <row r="1475">
      <c r="A1475" s="10" t="s">
        <v>5422</v>
      </c>
      <c r="B1475" s="11">
        <v>44496.56472383102</v>
      </c>
      <c r="C1475" s="10" t="s">
        <v>28</v>
      </c>
      <c r="D1475" s="10" t="s">
        <v>29</v>
      </c>
      <c r="E1475" s="10" t="s">
        <v>39</v>
      </c>
      <c r="F1475" s="10" t="s">
        <v>5423</v>
      </c>
      <c r="G1475" s="10" t="s">
        <v>5424</v>
      </c>
      <c r="H1475" s="11">
        <v>44499.47916666667</v>
      </c>
      <c r="I1475" s="11">
        <v>44499.5625</v>
      </c>
      <c r="J1475" s="10" t="s">
        <v>33</v>
      </c>
      <c r="K1475" s="10" t="s">
        <v>34</v>
      </c>
      <c r="N1475" s="10" t="s">
        <v>35</v>
      </c>
      <c r="V1475" s="14" t="s">
        <v>5425</v>
      </c>
      <c r="W1475" s="10"/>
      <c r="X1475" s="10" t="s">
        <v>37</v>
      </c>
      <c r="Y1475" s="10" t="s">
        <v>0</v>
      </c>
    </row>
    <row r="1476">
      <c r="A1476" s="10" t="s">
        <v>5426</v>
      </c>
      <c r="B1476" s="11">
        <v>44496.675485706015</v>
      </c>
      <c r="C1476" s="10" t="s">
        <v>347</v>
      </c>
      <c r="D1476" s="10" t="s">
        <v>348</v>
      </c>
      <c r="E1476" s="10" t="s">
        <v>3429</v>
      </c>
      <c r="F1476" s="10" t="s">
        <v>5427</v>
      </c>
      <c r="G1476" s="10" t="s">
        <v>5428</v>
      </c>
      <c r="H1476" s="11">
        <v>44499.60416666667</v>
      </c>
      <c r="I1476" s="11">
        <v>44499.6875</v>
      </c>
      <c r="J1476" s="10" t="s">
        <v>128</v>
      </c>
      <c r="K1476" s="10" t="s">
        <v>34</v>
      </c>
      <c r="N1476" s="10" t="s">
        <v>35</v>
      </c>
      <c r="V1476" s="14" t="s">
        <v>5429</v>
      </c>
      <c r="W1476" s="10"/>
      <c r="X1476" s="10" t="s">
        <v>37</v>
      </c>
      <c r="Y1476" s="10" t="s">
        <v>0</v>
      </c>
    </row>
    <row r="1477">
      <c r="A1477" s="10" t="s">
        <v>5430</v>
      </c>
      <c r="B1477" s="11">
        <v>44498.495033032406</v>
      </c>
      <c r="C1477" s="10" t="s">
        <v>160</v>
      </c>
      <c r="D1477" s="10" t="s">
        <v>161</v>
      </c>
      <c r="E1477" s="10" t="s">
        <v>3804</v>
      </c>
      <c r="F1477" s="10" t="s">
        <v>5431</v>
      </c>
      <c r="G1477" s="10" t="s">
        <v>5432</v>
      </c>
      <c r="H1477" s="11">
        <v>44502.60416666667</v>
      </c>
      <c r="I1477" s="11">
        <v>44502.72916666667</v>
      </c>
      <c r="J1477" s="10" t="s">
        <v>1333</v>
      </c>
      <c r="K1477" s="10" t="s">
        <v>34</v>
      </c>
      <c r="N1477" s="10" t="s">
        <v>35</v>
      </c>
      <c r="V1477" s="14" t="s">
        <v>5433</v>
      </c>
      <c r="W1477" s="10"/>
      <c r="X1477" s="10" t="s">
        <v>37</v>
      </c>
      <c r="Y1477" s="10" t="s">
        <v>0</v>
      </c>
    </row>
    <row r="1478">
      <c r="A1478" s="10" t="s">
        <v>5434</v>
      </c>
      <c r="B1478" s="11">
        <v>44496.68702121528</v>
      </c>
      <c r="C1478" s="10" t="s">
        <v>347</v>
      </c>
      <c r="D1478" s="10" t="s">
        <v>348</v>
      </c>
      <c r="E1478" s="10" t="s">
        <v>3429</v>
      </c>
      <c r="F1478" s="10" t="s">
        <v>5435</v>
      </c>
      <c r="G1478" s="10" t="s">
        <v>5436</v>
      </c>
      <c r="H1478" s="11">
        <v>44499.4375</v>
      </c>
      <c r="I1478" s="11">
        <v>44499.52083333333</v>
      </c>
      <c r="J1478" s="10" t="s">
        <v>43</v>
      </c>
      <c r="K1478" s="10" t="s">
        <v>34</v>
      </c>
      <c r="N1478" s="10" t="s">
        <v>35</v>
      </c>
      <c r="V1478" s="14" t="s">
        <v>5437</v>
      </c>
      <c r="W1478" s="10"/>
      <c r="X1478" s="10" t="s">
        <v>37</v>
      </c>
      <c r="Y1478" s="10" t="s">
        <v>0</v>
      </c>
    </row>
    <row r="1479">
      <c r="A1479" s="10" t="s">
        <v>5438</v>
      </c>
      <c r="B1479" s="11">
        <v>44497.44554355324</v>
      </c>
      <c r="C1479" s="10" t="s">
        <v>239</v>
      </c>
      <c r="D1479" s="10" t="s">
        <v>240</v>
      </c>
      <c r="E1479" s="10" t="s">
        <v>4548</v>
      </c>
      <c r="F1479" s="10" t="s">
        <v>5439</v>
      </c>
      <c r="G1479" s="10" t="s">
        <v>5440</v>
      </c>
      <c r="H1479" s="11">
        <v>44498.8125</v>
      </c>
      <c r="I1479" s="11">
        <v>44498.85416666667</v>
      </c>
      <c r="J1479" s="10" t="s">
        <v>128</v>
      </c>
      <c r="K1479" s="10" t="s">
        <v>34</v>
      </c>
      <c r="N1479" s="10" t="s">
        <v>35</v>
      </c>
      <c r="V1479" s="14" t="s">
        <v>5441</v>
      </c>
      <c r="W1479" s="10"/>
      <c r="X1479" s="10" t="s">
        <v>37</v>
      </c>
      <c r="Y1479" s="10" t="s">
        <v>0</v>
      </c>
    </row>
    <row r="1480">
      <c r="A1480" s="10" t="s">
        <v>5442</v>
      </c>
      <c r="B1480" s="11">
        <v>44498.50117166666</v>
      </c>
      <c r="C1480" s="10" t="s">
        <v>160</v>
      </c>
      <c r="D1480" s="10" t="s">
        <v>161</v>
      </c>
      <c r="E1480" s="10" t="s">
        <v>3804</v>
      </c>
      <c r="F1480" s="10" t="s">
        <v>5443</v>
      </c>
      <c r="G1480" s="10" t="s">
        <v>5444</v>
      </c>
      <c r="H1480" s="11">
        <v>44504.41666666667</v>
      </c>
      <c r="I1480" s="11">
        <v>44504.47916666667</v>
      </c>
      <c r="J1480" s="10" t="s">
        <v>33</v>
      </c>
      <c r="K1480" s="10" t="s">
        <v>34</v>
      </c>
      <c r="N1480" s="10" t="s">
        <v>296</v>
      </c>
      <c r="O1480" s="18" t="s">
        <v>5445</v>
      </c>
      <c r="P1480" s="10" t="s">
        <v>296</v>
      </c>
      <c r="Q1480" s="10">
        <v>2.0</v>
      </c>
      <c r="R1480" s="10" t="s">
        <v>35</v>
      </c>
      <c r="T1480" s="10" t="s">
        <v>35</v>
      </c>
      <c r="V1480" s="14" t="s">
        <v>5446</v>
      </c>
      <c r="W1480" s="10"/>
      <c r="X1480" s="10" t="s">
        <v>37</v>
      </c>
      <c r="Y1480" s="10" t="s">
        <v>0</v>
      </c>
    </row>
    <row r="1481">
      <c r="A1481" s="10" t="s">
        <v>5447</v>
      </c>
      <c r="B1481" s="11">
        <v>44497.531433125</v>
      </c>
      <c r="C1481" s="10" t="s">
        <v>239</v>
      </c>
      <c r="D1481" s="10" t="s">
        <v>240</v>
      </c>
      <c r="E1481" s="10" t="s">
        <v>4548</v>
      </c>
      <c r="F1481" s="10" t="s">
        <v>5448</v>
      </c>
      <c r="G1481" s="10" t="s">
        <v>5449</v>
      </c>
      <c r="H1481" s="11">
        <v>44493.76041666667</v>
      </c>
      <c r="I1481" s="11">
        <v>44504.99930555555</v>
      </c>
      <c r="J1481" s="10" t="s">
        <v>128</v>
      </c>
      <c r="K1481" s="10" t="s">
        <v>34</v>
      </c>
      <c r="N1481" s="10" t="s">
        <v>35</v>
      </c>
      <c r="V1481" s="35" t="s">
        <v>4551</v>
      </c>
      <c r="W1481" s="10"/>
      <c r="X1481" s="10" t="s">
        <v>37</v>
      </c>
      <c r="Y1481" s="10" t="s">
        <v>0</v>
      </c>
    </row>
    <row r="1482">
      <c r="A1482" s="10" t="s">
        <v>5450</v>
      </c>
      <c r="B1482" s="11">
        <v>44498.01896758102</v>
      </c>
      <c r="C1482" s="10" t="s">
        <v>80</v>
      </c>
      <c r="D1482" s="10" t="s">
        <v>81</v>
      </c>
      <c r="E1482" s="10" t="s">
        <v>5451</v>
      </c>
      <c r="F1482" s="10" t="s">
        <v>5452</v>
      </c>
      <c r="G1482" s="10" t="s">
        <v>5453</v>
      </c>
      <c r="H1482" s="11">
        <v>44498.60416666667</v>
      </c>
      <c r="I1482" s="11">
        <v>44498.64583333333</v>
      </c>
      <c r="J1482" s="10" t="s">
        <v>43</v>
      </c>
      <c r="K1482" s="10" t="s">
        <v>34</v>
      </c>
      <c r="N1482" s="10" t="s">
        <v>296</v>
      </c>
      <c r="O1482" s="18" t="s">
        <v>5454</v>
      </c>
      <c r="P1482" s="10" t="s">
        <v>296</v>
      </c>
      <c r="Q1482" s="10">
        <v>1.0</v>
      </c>
      <c r="R1482" s="10" t="s">
        <v>35</v>
      </c>
      <c r="T1482" s="10" t="s">
        <v>35</v>
      </c>
      <c r="V1482" s="14" t="s">
        <v>5455</v>
      </c>
      <c r="W1482" s="10"/>
    </row>
    <row r="1483">
      <c r="A1483" s="10" t="s">
        <v>5456</v>
      </c>
      <c r="B1483" s="11">
        <v>44496.68133054399</v>
      </c>
      <c r="C1483" s="10" t="s">
        <v>347</v>
      </c>
      <c r="D1483" s="10" t="s">
        <v>348</v>
      </c>
      <c r="E1483" s="10" t="s">
        <v>3429</v>
      </c>
      <c r="F1483" s="10" t="s">
        <v>5457</v>
      </c>
      <c r="G1483" s="10" t="s">
        <v>5458</v>
      </c>
      <c r="H1483" s="11">
        <v>44505.39583333333</v>
      </c>
      <c r="I1483" s="11">
        <v>44505.4375</v>
      </c>
      <c r="J1483" s="10" t="s">
        <v>43</v>
      </c>
      <c r="K1483" s="10" t="s">
        <v>34</v>
      </c>
      <c r="N1483" s="10" t="s">
        <v>296</v>
      </c>
      <c r="O1483" s="18" t="s">
        <v>5459</v>
      </c>
      <c r="P1483" s="10" t="s">
        <v>296</v>
      </c>
      <c r="Q1483" s="10">
        <v>1.0</v>
      </c>
      <c r="R1483" s="10" t="s">
        <v>35</v>
      </c>
      <c r="T1483" s="10" t="s">
        <v>35</v>
      </c>
      <c r="V1483" s="14" t="s">
        <v>5460</v>
      </c>
      <c r="W1483" s="10"/>
      <c r="X1483" s="10" t="s">
        <v>37</v>
      </c>
      <c r="Y1483" s="10" t="s">
        <v>0</v>
      </c>
    </row>
    <row r="1484">
      <c r="A1484" s="10" t="s">
        <v>5461</v>
      </c>
      <c r="B1484" s="11">
        <v>44498.56818241898</v>
      </c>
      <c r="C1484" s="10" t="s">
        <v>181</v>
      </c>
      <c r="D1484" s="10" t="s">
        <v>69</v>
      </c>
      <c r="E1484" s="10" t="s">
        <v>1229</v>
      </c>
      <c r="F1484" s="10" t="s">
        <v>5462</v>
      </c>
      <c r="G1484" s="10" t="s">
        <v>5463</v>
      </c>
      <c r="H1484" s="11">
        <v>44505.4375</v>
      </c>
      <c r="I1484" s="11">
        <v>44505.47916666667</v>
      </c>
      <c r="J1484" s="10" t="s">
        <v>43</v>
      </c>
      <c r="K1484" s="10" t="s">
        <v>34</v>
      </c>
      <c r="N1484" s="10" t="s">
        <v>296</v>
      </c>
      <c r="O1484" s="18" t="s">
        <v>5464</v>
      </c>
      <c r="P1484" s="10" t="s">
        <v>35</v>
      </c>
      <c r="R1484" s="10" t="s">
        <v>35</v>
      </c>
      <c r="T1484" s="10" t="s">
        <v>296</v>
      </c>
      <c r="U1484" s="10">
        <v>1.0</v>
      </c>
      <c r="V1484" s="14" t="s">
        <v>5465</v>
      </c>
      <c r="W1484" s="10"/>
      <c r="X1484" s="10" t="s">
        <v>37</v>
      </c>
      <c r="Y1484" s="10" t="s">
        <v>0</v>
      </c>
    </row>
    <row r="1485">
      <c r="A1485" s="10" t="s">
        <v>5466</v>
      </c>
      <c r="B1485" s="11">
        <v>44408.91571835648</v>
      </c>
      <c r="C1485" s="10" t="s">
        <v>137</v>
      </c>
      <c r="D1485" s="10" t="s">
        <v>138</v>
      </c>
      <c r="E1485" s="10" t="s">
        <v>3299</v>
      </c>
      <c r="F1485" s="10" t="s">
        <v>921</v>
      </c>
      <c r="G1485" s="10" t="s">
        <v>3438</v>
      </c>
      <c r="H1485" s="11">
        <v>44505.58333333333</v>
      </c>
      <c r="I1485" s="11">
        <v>44505.66666666667</v>
      </c>
      <c r="J1485" s="10" t="s">
        <v>128</v>
      </c>
      <c r="K1485" s="10" t="s">
        <v>34</v>
      </c>
      <c r="N1485" s="10" t="s">
        <v>35</v>
      </c>
      <c r="V1485" s="9"/>
      <c r="X1485" s="10" t="s">
        <v>37</v>
      </c>
      <c r="Y1485" s="10" t="s">
        <v>0</v>
      </c>
    </row>
    <row r="1486">
      <c r="A1486" s="10" t="s">
        <v>5467</v>
      </c>
      <c r="B1486" s="11">
        <v>44498.56643511574</v>
      </c>
      <c r="C1486" s="10" t="s">
        <v>181</v>
      </c>
      <c r="D1486" s="10" t="s">
        <v>69</v>
      </c>
      <c r="E1486" s="10" t="s">
        <v>1284</v>
      </c>
      <c r="F1486" s="10" t="s">
        <v>5468</v>
      </c>
      <c r="G1486" s="10" t="s">
        <v>5469</v>
      </c>
      <c r="H1486" s="11">
        <v>44508.39583333333</v>
      </c>
      <c r="I1486" s="11">
        <v>44508.5</v>
      </c>
      <c r="J1486" s="10" t="s">
        <v>43</v>
      </c>
      <c r="K1486" s="10" t="s">
        <v>61</v>
      </c>
      <c r="L1486" s="10" t="s">
        <v>1334</v>
      </c>
      <c r="N1486" s="10" t="s">
        <v>35</v>
      </c>
      <c r="V1486" s="9"/>
      <c r="X1486" s="10" t="s">
        <v>5470</v>
      </c>
      <c r="Y1486" s="10" t="s">
        <v>0</v>
      </c>
    </row>
    <row r="1487">
      <c r="A1487" s="10" t="s">
        <v>5471</v>
      </c>
      <c r="B1487" s="11">
        <v>44498.565601828705</v>
      </c>
      <c r="C1487" s="10" t="s">
        <v>181</v>
      </c>
      <c r="D1487" s="10" t="s">
        <v>69</v>
      </c>
      <c r="E1487" s="10" t="s">
        <v>1284</v>
      </c>
      <c r="F1487" s="10" t="s">
        <v>5472</v>
      </c>
      <c r="G1487" s="10" t="s">
        <v>5473</v>
      </c>
      <c r="H1487" s="11">
        <v>44505.60416666667</v>
      </c>
      <c r="I1487" s="11">
        <v>44505.70833333333</v>
      </c>
      <c r="J1487" s="10" t="s">
        <v>43</v>
      </c>
      <c r="K1487" s="10" t="s">
        <v>61</v>
      </c>
      <c r="L1487" s="10" t="s">
        <v>1334</v>
      </c>
      <c r="N1487" s="10" t="s">
        <v>35</v>
      </c>
      <c r="V1487" s="9"/>
      <c r="X1487" s="10" t="s">
        <v>5470</v>
      </c>
      <c r="Y1487" s="10" t="s">
        <v>0</v>
      </c>
    </row>
    <row r="1488">
      <c r="A1488" s="10" t="s">
        <v>5474</v>
      </c>
      <c r="B1488" s="11">
        <v>44505.47456641204</v>
      </c>
      <c r="C1488" s="10" t="s">
        <v>181</v>
      </c>
      <c r="D1488" s="10" t="s">
        <v>69</v>
      </c>
      <c r="E1488" s="10" t="s">
        <v>2979</v>
      </c>
      <c r="F1488" s="10" t="s">
        <v>5475</v>
      </c>
      <c r="G1488" s="10" t="s">
        <v>5476</v>
      </c>
      <c r="H1488" s="11">
        <v>44508.47916666667</v>
      </c>
      <c r="I1488" s="11">
        <v>44508.52083333333</v>
      </c>
      <c r="J1488" s="10" t="s">
        <v>128</v>
      </c>
      <c r="K1488" s="10" t="s">
        <v>34</v>
      </c>
      <c r="N1488" s="10" t="s">
        <v>35</v>
      </c>
      <c r="V1488" s="14" t="s">
        <v>3474</v>
      </c>
      <c r="W1488" s="10"/>
      <c r="X1488" s="10" t="s">
        <v>37</v>
      </c>
      <c r="Y1488" s="10" t="s">
        <v>0</v>
      </c>
    </row>
    <row r="1489">
      <c r="A1489" s="10" t="s">
        <v>5477</v>
      </c>
      <c r="B1489" s="11">
        <v>44497.465885011574</v>
      </c>
      <c r="C1489" s="10" t="s">
        <v>239</v>
      </c>
      <c r="D1489" s="10" t="s">
        <v>240</v>
      </c>
      <c r="E1489" s="10" t="s">
        <v>4548</v>
      </c>
      <c r="F1489" s="10" t="s">
        <v>5478</v>
      </c>
      <c r="G1489" s="10" t="s">
        <v>5479</v>
      </c>
      <c r="H1489" s="11">
        <v>44505.6875</v>
      </c>
      <c r="I1489" s="11">
        <v>44505.72916666667</v>
      </c>
      <c r="J1489" s="10" t="s">
        <v>128</v>
      </c>
      <c r="K1489" s="10" t="s">
        <v>34</v>
      </c>
      <c r="N1489" s="10" t="s">
        <v>35</v>
      </c>
      <c r="V1489" s="14" t="s">
        <v>4642</v>
      </c>
      <c r="W1489" s="10"/>
      <c r="X1489" s="10" t="s">
        <v>37</v>
      </c>
      <c r="Y1489" s="10" t="s">
        <v>0</v>
      </c>
    </row>
    <row r="1490">
      <c r="A1490" s="10" t="s">
        <v>5480</v>
      </c>
      <c r="B1490" s="11">
        <v>44498.57111087963</v>
      </c>
      <c r="C1490" s="10" t="s">
        <v>181</v>
      </c>
      <c r="D1490" s="10" t="s">
        <v>69</v>
      </c>
      <c r="E1490" s="10" t="s">
        <v>5481</v>
      </c>
      <c r="F1490" s="10" t="s">
        <v>5482</v>
      </c>
      <c r="G1490" s="10" t="s">
        <v>5483</v>
      </c>
      <c r="H1490" s="11">
        <v>44506.39583333333</v>
      </c>
      <c r="I1490" s="11">
        <v>44506.47916666667</v>
      </c>
      <c r="J1490" s="10" t="s">
        <v>33</v>
      </c>
      <c r="K1490" s="10" t="s">
        <v>34</v>
      </c>
      <c r="N1490" s="10" t="s">
        <v>35</v>
      </c>
      <c r="V1490" s="14" t="s">
        <v>5484</v>
      </c>
      <c r="W1490" s="10"/>
      <c r="X1490" s="10" t="s">
        <v>37</v>
      </c>
      <c r="Y1490" s="10" t="s">
        <v>0</v>
      </c>
    </row>
    <row r="1491">
      <c r="A1491" s="10" t="s">
        <v>5485</v>
      </c>
      <c r="B1491" s="11">
        <v>44445.782701331016</v>
      </c>
      <c r="C1491" s="10" t="s">
        <v>181</v>
      </c>
      <c r="D1491" s="10" t="s">
        <v>69</v>
      </c>
      <c r="E1491" s="10" t="s">
        <v>1879</v>
      </c>
      <c r="F1491" s="10" t="s">
        <v>5486</v>
      </c>
      <c r="G1491" s="10" t="s">
        <v>5487</v>
      </c>
      <c r="H1491" s="11">
        <v>44506.41666666667</v>
      </c>
      <c r="I1491" s="11">
        <v>44506.41736111111</v>
      </c>
      <c r="J1491" s="10" t="s">
        <v>73</v>
      </c>
      <c r="K1491" s="10" t="s">
        <v>34</v>
      </c>
      <c r="N1491" s="10" t="s">
        <v>35</v>
      </c>
      <c r="V1491" s="14" t="s">
        <v>4046</v>
      </c>
      <c r="W1491" s="10"/>
      <c r="X1491" s="10" t="s">
        <v>37</v>
      </c>
      <c r="Y1491" s="10" t="s">
        <v>0</v>
      </c>
    </row>
    <row r="1492">
      <c r="A1492" s="10" t="s">
        <v>5488</v>
      </c>
      <c r="B1492" s="11">
        <v>44498.571810891204</v>
      </c>
      <c r="C1492" s="10" t="s">
        <v>181</v>
      </c>
      <c r="D1492" s="10" t="s">
        <v>69</v>
      </c>
      <c r="E1492" s="10" t="s">
        <v>5489</v>
      </c>
      <c r="F1492" s="10" t="s">
        <v>5490</v>
      </c>
      <c r="G1492" s="10" t="s">
        <v>5483</v>
      </c>
      <c r="H1492" s="11">
        <v>44506.4375</v>
      </c>
      <c r="I1492" s="11">
        <v>44506.52083333333</v>
      </c>
      <c r="J1492" s="10" t="s">
        <v>33</v>
      </c>
      <c r="K1492" s="10" t="s">
        <v>34</v>
      </c>
      <c r="N1492" s="10" t="s">
        <v>35</v>
      </c>
      <c r="V1492" s="14" t="s">
        <v>5491</v>
      </c>
      <c r="W1492" s="10"/>
      <c r="X1492" s="10" t="s">
        <v>37</v>
      </c>
      <c r="Y1492" s="10" t="s">
        <v>0</v>
      </c>
    </row>
    <row r="1493">
      <c r="A1493" s="10" t="s">
        <v>5492</v>
      </c>
      <c r="B1493" s="11">
        <v>44498.572884560184</v>
      </c>
      <c r="C1493" s="10" t="s">
        <v>181</v>
      </c>
      <c r="D1493" s="10" t="s">
        <v>69</v>
      </c>
      <c r="E1493" s="10" t="s">
        <v>5493</v>
      </c>
      <c r="F1493" s="10" t="s">
        <v>5494</v>
      </c>
      <c r="G1493" s="10" t="s">
        <v>5495</v>
      </c>
      <c r="H1493" s="11">
        <v>44506.60416666667</v>
      </c>
      <c r="I1493" s="11">
        <v>44506.6875</v>
      </c>
      <c r="J1493" s="10" t="s">
        <v>33</v>
      </c>
      <c r="K1493" s="10" t="s">
        <v>34</v>
      </c>
      <c r="N1493" s="10" t="s">
        <v>35</v>
      </c>
      <c r="V1493" s="14" t="s">
        <v>5496</v>
      </c>
      <c r="W1493" s="10"/>
      <c r="X1493" s="10" t="s">
        <v>37</v>
      </c>
      <c r="Y1493" s="10" t="s">
        <v>0</v>
      </c>
    </row>
    <row r="1494">
      <c r="A1494" s="10" t="s">
        <v>5497</v>
      </c>
      <c r="B1494" s="11">
        <v>44448.904653101854</v>
      </c>
      <c r="C1494" s="10" t="s">
        <v>336</v>
      </c>
      <c r="D1494" s="10" t="s">
        <v>337</v>
      </c>
      <c r="E1494" s="10" t="s">
        <v>5498</v>
      </c>
      <c r="F1494" s="10" t="s">
        <v>4521</v>
      </c>
      <c r="G1494" s="10" t="s">
        <v>5499</v>
      </c>
      <c r="H1494" s="11">
        <v>44506.6875</v>
      </c>
      <c r="I1494" s="11">
        <v>44506.72916666667</v>
      </c>
      <c r="J1494" s="10" t="s">
        <v>128</v>
      </c>
      <c r="K1494" s="10" t="s">
        <v>34</v>
      </c>
      <c r="N1494" s="10" t="s">
        <v>35</v>
      </c>
      <c r="V1494" s="14" t="s">
        <v>4523</v>
      </c>
      <c r="W1494" s="10"/>
      <c r="X1494" s="10" t="s">
        <v>37</v>
      </c>
      <c r="Y1494" s="10" t="s">
        <v>0</v>
      </c>
    </row>
    <row r="1495">
      <c r="A1495" s="10" t="s">
        <v>5500</v>
      </c>
      <c r="B1495" s="11">
        <v>44500.077564872685</v>
      </c>
      <c r="C1495" s="10" t="s">
        <v>581</v>
      </c>
      <c r="D1495" s="10" t="s">
        <v>220</v>
      </c>
      <c r="E1495" s="10" t="s">
        <v>5501</v>
      </c>
      <c r="F1495" s="10" t="s">
        <v>3591</v>
      </c>
      <c r="G1495" s="10" t="s">
        <v>4850</v>
      </c>
      <c r="H1495" s="11">
        <v>44504.85416666667</v>
      </c>
      <c r="I1495" s="11">
        <v>44504.89583333333</v>
      </c>
      <c r="J1495" s="10" t="s">
        <v>128</v>
      </c>
      <c r="K1495" s="10" t="s">
        <v>34</v>
      </c>
      <c r="N1495" s="10" t="s">
        <v>35</v>
      </c>
      <c r="V1495" s="14" t="s">
        <v>5502</v>
      </c>
      <c r="W1495" s="10"/>
      <c r="X1495" s="10" t="s">
        <v>37</v>
      </c>
      <c r="Y1495" s="10" t="s">
        <v>0</v>
      </c>
    </row>
    <row r="1496">
      <c r="A1496" s="10" t="s">
        <v>5503</v>
      </c>
      <c r="B1496" s="11">
        <v>44501.77256896991</v>
      </c>
      <c r="C1496" s="10" t="s">
        <v>239</v>
      </c>
      <c r="D1496" s="10" t="s">
        <v>240</v>
      </c>
      <c r="E1496" s="10" t="s">
        <v>5504</v>
      </c>
      <c r="F1496" s="10" t="s">
        <v>5505</v>
      </c>
      <c r="G1496" s="10" t="s">
        <v>5506</v>
      </c>
      <c r="H1496" s="11">
        <v>44500.6875</v>
      </c>
      <c r="I1496" s="11">
        <v>44500.72916666667</v>
      </c>
      <c r="J1496" s="10" t="s">
        <v>128</v>
      </c>
      <c r="K1496" s="10" t="s">
        <v>34</v>
      </c>
      <c r="N1496" s="10" t="s">
        <v>35</v>
      </c>
      <c r="V1496" s="14" t="s">
        <v>5507</v>
      </c>
      <c r="W1496" s="10"/>
      <c r="X1496" s="10" t="s">
        <v>37</v>
      </c>
      <c r="Y1496" s="10" t="s">
        <v>0</v>
      </c>
    </row>
    <row r="1497">
      <c r="A1497" s="10" t="s">
        <v>5508</v>
      </c>
      <c r="B1497" s="11">
        <v>44501.94647905092</v>
      </c>
      <c r="C1497" s="10" t="s">
        <v>347</v>
      </c>
      <c r="D1497" s="10" t="s">
        <v>348</v>
      </c>
      <c r="E1497" s="10" t="s">
        <v>3429</v>
      </c>
      <c r="F1497" s="10" t="s">
        <v>3765</v>
      </c>
      <c r="G1497" s="10" t="s">
        <v>4771</v>
      </c>
      <c r="H1497" s="11">
        <v>44503.4375</v>
      </c>
      <c r="I1497" s="11">
        <v>44503.52083333333</v>
      </c>
      <c r="J1497" s="10" t="s">
        <v>128</v>
      </c>
      <c r="K1497" s="10" t="s">
        <v>34</v>
      </c>
      <c r="N1497" s="10" t="s">
        <v>35</v>
      </c>
      <c r="V1497" s="14" t="s">
        <v>5509</v>
      </c>
      <c r="W1497" s="10"/>
      <c r="X1497" s="10" t="s">
        <v>37</v>
      </c>
      <c r="Y1497" s="10" t="s">
        <v>0</v>
      </c>
    </row>
    <row r="1498">
      <c r="A1498" s="10" t="s">
        <v>5510</v>
      </c>
      <c r="B1498" s="11">
        <v>44502.377793437496</v>
      </c>
      <c r="C1498" s="10" t="s">
        <v>160</v>
      </c>
      <c r="D1498" s="10" t="s">
        <v>161</v>
      </c>
      <c r="E1498" s="10" t="s">
        <v>5207</v>
      </c>
      <c r="F1498" s="10" t="s">
        <v>5511</v>
      </c>
      <c r="G1498" s="10" t="s">
        <v>5512</v>
      </c>
      <c r="H1498" s="11">
        <v>44502.5</v>
      </c>
      <c r="I1498" s="11">
        <v>44502.5</v>
      </c>
      <c r="J1498" s="10" t="s">
        <v>73</v>
      </c>
      <c r="K1498" s="10" t="s">
        <v>34</v>
      </c>
      <c r="N1498" s="10" t="s">
        <v>35</v>
      </c>
      <c r="V1498" s="14" t="s">
        <v>5231</v>
      </c>
      <c r="W1498" s="10"/>
      <c r="X1498" s="10" t="s">
        <v>37</v>
      </c>
      <c r="Y1498" s="10" t="s">
        <v>0</v>
      </c>
    </row>
    <row r="1499">
      <c r="A1499" s="10" t="s">
        <v>5513</v>
      </c>
      <c r="B1499" s="11">
        <v>44502.388731238425</v>
      </c>
      <c r="C1499" s="10" t="s">
        <v>80</v>
      </c>
      <c r="D1499" s="10" t="s">
        <v>81</v>
      </c>
      <c r="E1499" s="10" t="s">
        <v>5514</v>
      </c>
      <c r="F1499" s="10" t="s">
        <v>5515</v>
      </c>
      <c r="G1499" s="10" t="s">
        <v>5516</v>
      </c>
      <c r="H1499" s="11">
        <v>44505.6875</v>
      </c>
      <c r="I1499" s="11">
        <v>44505.72916666667</v>
      </c>
      <c r="J1499" s="10" t="s">
        <v>43</v>
      </c>
      <c r="K1499" s="10" t="s">
        <v>34</v>
      </c>
      <c r="N1499" s="10" t="s">
        <v>296</v>
      </c>
      <c r="O1499" s="18" t="s">
        <v>5517</v>
      </c>
      <c r="P1499" s="10" t="s">
        <v>296</v>
      </c>
      <c r="Q1499" s="10">
        <v>1.0</v>
      </c>
      <c r="R1499" s="10" t="s">
        <v>35</v>
      </c>
      <c r="T1499" s="10" t="s">
        <v>35</v>
      </c>
      <c r="V1499" s="35" t="s">
        <v>5518</v>
      </c>
      <c r="W1499" s="10"/>
      <c r="X1499" s="10" t="s">
        <v>37</v>
      </c>
      <c r="Y1499" s="10" t="s">
        <v>0</v>
      </c>
    </row>
    <row r="1500">
      <c r="A1500" s="10" t="s">
        <v>5519</v>
      </c>
      <c r="B1500" s="11">
        <v>44502.45925863426</v>
      </c>
      <c r="C1500" s="10" t="s">
        <v>4217</v>
      </c>
      <c r="D1500" s="10" t="s">
        <v>4211</v>
      </c>
      <c r="E1500" s="10" t="s">
        <v>5520</v>
      </c>
      <c r="F1500" s="10" t="s">
        <v>5521</v>
      </c>
      <c r="G1500" s="10" t="s">
        <v>5522</v>
      </c>
      <c r="H1500" s="11">
        <v>44511.64583333333</v>
      </c>
      <c r="I1500" s="11">
        <v>44511.70833333333</v>
      </c>
      <c r="J1500" s="10" t="s">
        <v>43</v>
      </c>
      <c r="K1500" s="10" t="s">
        <v>34</v>
      </c>
      <c r="N1500" s="10" t="s">
        <v>296</v>
      </c>
      <c r="O1500" s="18" t="s">
        <v>5523</v>
      </c>
      <c r="P1500" s="10" t="s">
        <v>296</v>
      </c>
      <c r="Q1500" s="10">
        <v>1.0</v>
      </c>
      <c r="R1500" s="10" t="s">
        <v>35</v>
      </c>
      <c r="T1500" s="10" t="s">
        <v>35</v>
      </c>
      <c r="V1500" s="14" t="s">
        <v>5524</v>
      </c>
      <c r="W1500" s="10"/>
      <c r="X1500" s="10" t="s">
        <v>37</v>
      </c>
      <c r="Y1500" s="10" t="s">
        <v>0</v>
      </c>
    </row>
    <row r="1501">
      <c r="A1501" s="10" t="s">
        <v>5525</v>
      </c>
      <c r="B1501" s="11">
        <v>44502.469542499995</v>
      </c>
      <c r="C1501" s="10" t="s">
        <v>137</v>
      </c>
      <c r="D1501" s="10" t="s">
        <v>138</v>
      </c>
      <c r="E1501" s="10" t="s">
        <v>5526</v>
      </c>
      <c r="F1501" s="10" t="s">
        <v>5527</v>
      </c>
      <c r="G1501" s="10" t="s">
        <v>5528</v>
      </c>
      <c r="H1501" s="11">
        <v>44520.625</v>
      </c>
      <c r="I1501" s="11">
        <v>44520.70833333333</v>
      </c>
      <c r="J1501" s="10" t="s">
        <v>43</v>
      </c>
      <c r="K1501" s="10" t="s">
        <v>34</v>
      </c>
      <c r="N1501" s="10" t="s">
        <v>35</v>
      </c>
      <c r="V1501" s="35" t="s">
        <v>5529</v>
      </c>
      <c r="W1501" s="10"/>
      <c r="X1501" s="10" t="s">
        <v>37</v>
      </c>
      <c r="Y1501" s="10" t="s">
        <v>0</v>
      </c>
    </row>
    <row r="1502">
      <c r="A1502" s="10" t="s">
        <v>5530</v>
      </c>
      <c r="B1502" s="11">
        <v>44502.47757065972</v>
      </c>
      <c r="C1502" s="10" t="s">
        <v>4217</v>
      </c>
      <c r="D1502" s="10" t="s">
        <v>4211</v>
      </c>
      <c r="E1502" s="10" t="s">
        <v>5531</v>
      </c>
      <c r="F1502" s="10" t="s">
        <v>5532</v>
      </c>
      <c r="G1502" s="10" t="s">
        <v>5533</v>
      </c>
      <c r="H1502" s="11">
        <v>44512.10416666667</v>
      </c>
      <c r="I1502" s="11">
        <v>44512.1875</v>
      </c>
      <c r="J1502" s="10" t="s">
        <v>33</v>
      </c>
      <c r="K1502" s="10" t="s">
        <v>34</v>
      </c>
      <c r="N1502" s="10" t="s">
        <v>296</v>
      </c>
      <c r="O1502" s="18" t="s">
        <v>5534</v>
      </c>
      <c r="P1502" s="10" t="s">
        <v>296</v>
      </c>
      <c r="Q1502" s="10">
        <v>2.0</v>
      </c>
      <c r="R1502" s="10" t="s">
        <v>35</v>
      </c>
      <c r="T1502" s="10" t="s">
        <v>35</v>
      </c>
      <c r="V1502" s="14" t="s">
        <v>5535</v>
      </c>
      <c r="W1502" s="10"/>
      <c r="X1502" s="10" t="s">
        <v>37</v>
      </c>
      <c r="Y1502" s="10" t="s">
        <v>0</v>
      </c>
    </row>
    <row r="1503">
      <c r="A1503" s="10" t="s">
        <v>5536</v>
      </c>
      <c r="B1503" s="11">
        <v>44502.606903865744</v>
      </c>
      <c r="C1503" s="10" t="s">
        <v>137</v>
      </c>
      <c r="D1503" s="10" t="s">
        <v>138</v>
      </c>
      <c r="E1503" s="10" t="s">
        <v>3299</v>
      </c>
      <c r="F1503" s="10" t="s">
        <v>5537</v>
      </c>
      <c r="G1503" s="10" t="s">
        <v>5538</v>
      </c>
      <c r="H1503" s="11">
        <v>44512.60416666667</v>
      </c>
      <c r="I1503" s="11">
        <v>44512.77083333333</v>
      </c>
      <c r="J1503" s="10" t="s">
        <v>43</v>
      </c>
      <c r="K1503" s="10" t="s">
        <v>34</v>
      </c>
      <c r="N1503" s="10" t="s">
        <v>35</v>
      </c>
      <c r="V1503" s="35" t="s">
        <v>5539</v>
      </c>
      <c r="W1503" s="10"/>
      <c r="X1503" s="10" t="s">
        <v>37</v>
      </c>
      <c r="Y1503" s="10" t="s">
        <v>0</v>
      </c>
    </row>
    <row r="1504">
      <c r="A1504" s="10" t="s">
        <v>5540</v>
      </c>
      <c r="B1504" s="11">
        <v>44502.60906545139</v>
      </c>
      <c r="C1504" s="10" t="s">
        <v>137</v>
      </c>
      <c r="D1504" s="10" t="s">
        <v>138</v>
      </c>
      <c r="E1504" s="10" t="s">
        <v>3299</v>
      </c>
      <c r="F1504" s="10" t="s">
        <v>5541</v>
      </c>
      <c r="G1504" s="10" t="s">
        <v>5542</v>
      </c>
      <c r="H1504" s="11">
        <v>44513.60416666667</v>
      </c>
      <c r="I1504" s="11">
        <v>44513.77083333333</v>
      </c>
      <c r="J1504" s="10" t="s">
        <v>43</v>
      </c>
      <c r="K1504" s="10" t="s">
        <v>34</v>
      </c>
      <c r="N1504" s="10" t="s">
        <v>35</v>
      </c>
      <c r="V1504" s="35" t="s">
        <v>5543</v>
      </c>
      <c r="W1504" s="10"/>
      <c r="X1504" s="10" t="s">
        <v>37</v>
      </c>
      <c r="Y1504" s="10" t="s">
        <v>0</v>
      </c>
    </row>
    <row r="1505">
      <c r="A1505" s="10" t="s">
        <v>5544</v>
      </c>
      <c r="B1505" s="11">
        <v>44502.61145282407</v>
      </c>
      <c r="C1505" s="10" t="s">
        <v>137</v>
      </c>
      <c r="D1505" s="10" t="s">
        <v>138</v>
      </c>
      <c r="E1505" s="10" t="s">
        <v>3299</v>
      </c>
      <c r="F1505" s="10" t="s">
        <v>5545</v>
      </c>
      <c r="G1505" s="10" t="s">
        <v>5546</v>
      </c>
      <c r="H1505" s="11">
        <v>44520.64583333333</v>
      </c>
      <c r="I1505" s="11">
        <v>44520.72916666667</v>
      </c>
      <c r="J1505" s="10" t="s">
        <v>43</v>
      </c>
      <c r="K1505" s="10" t="s">
        <v>34</v>
      </c>
      <c r="N1505" s="10" t="s">
        <v>35</v>
      </c>
      <c r="V1505" s="35" t="s">
        <v>5547</v>
      </c>
      <c r="W1505" s="10"/>
      <c r="X1505" s="10" t="s">
        <v>37</v>
      </c>
      <c r="Y1505" s="10" t="s">
        <v>0</v>
      </c>
    </row>
    <row r="1506">
      <c r="A1506" s="10" t="s">
        <v>5548</v>
      </c>
      <c r="B1506" s="11">
        <v>44502.78927875</v>
      </c>
      <c r="C1506" s="10" t="s">
        <v>336</v>
      </c>
      <c r="D1506" s="10" t="s">
        <v>337</v>
      </c>
      <c r="E1506" s="10" t="s">
        <v>5549</v>
      </c>
      <c r="F1506" s="10" t="s">
        <v>5550</v>
      </c>
      <c r="G1506" s="10" t="s">
        <v>5551</v>
      </c>
      <c r="H1506" s="11">
        <v>44506.6875</v>
      </c>
      <c r="I1506" s="11">
        <v>44506.72916666667</v>
      </c>
      <c r="J1506" s="10" t="s">
        <v>128</v>
      </c>
      <c r="K1506" s="10" t="s">
        <v>34</v>
      </c>
      <c r="N1506" s="10" t="s">
        <v>35</v>
      </c>
      <c r="V1506" s="14" t="s">
        <v>5552</v>
      </c>
      <c r="W1506" s="10"/>
      <c r="X1506" s="10" t="s">
        <v>37</v>
      </c>
      <c r="Y1506" s="10" t="s">
        <v>0</v>
      </c>
    </row>
    <row r="1507">
      <c r="A1507" s="10" t="s">
        <v>5553</v>
      </c>
      <c r="B1507" s="11">
        <v>44503.47668277778</v>
      </c>
      <c r="C1507" s="10" t="s">
        <v>671</v>
      </c>
      <c r="D1507" s="10" t="s">
        <v>672</v>
      </c>
      <c r="E1507" s="10" t="s">
        <v>1115</v>
      </c>
      <c r="F1507" s="10" t="s">
        <v>5554</v>
      </c>
      <c r="G1507" s="10" t="s">
        <v>5555</v>
      </c>
      <c r="H1507" s="11">
        <v>44506.4375</v>
      </c>
      <c r="I1507" s="11">
        <v>44506.47916666667</v>
      </c>
      <c r="J1507" s="10" t="s">
        <v>128</v>
      </c>
      <c r="K1507" s="10" t="s">
        <v>34</v>
      </c>
      <c r="N1507" s="10" t="s">
        <v>35</v>
      </c>
      <c r="V1507" s="14" t="s">
        <v>3906</v>
      </c>
      <c r="W1507" s="10"/>
      <c r="X1507" s="10" t="s">
        <v>37</v>
      </c>
      <c r="Y1507" s="10" t="s">
        <v>0</v>
      </c>
    </row>
    <row r="1508">
      <c r="A1508" s="10" t="s">
        <v>5556</v>
      </c>
      <c r="B1508" s="11">
        <v>44503.48721715278</v>
      </c>
      <c r="C1508" s="10" t="s">
        <v>160</v>
      </c>
      <c r="D1508" s="10" t="s">
        <v>161</v>
      </c>
      <c r="E1508" s="10" t="s">
        <v>5211</v>
      </c>
      <c r="F1508" s="10" t="s">
        <v>5557</v>
      </c>
      <c r="G1508" s="10" t="s">
        <v>5558</v>
      </c>
      <c r="H1508" s="11">
        <v>44504.5</v>
      </c>
      <c r="I1508" s="11">
        <v>44504.5</v>
      </c>
      <c r="J1508" s="10" t="s">
        <v>73</v>
      </c>
      <c r="K1508" s="10" t="s">
        <v>34</v>
      </c>
      <c r="N1508" s="10" t="s">
        <v>35</v>
      </c>
      <c r="V1508" s="14" t="s">
        <v>5231</v>
      </c>
      <c r="W1508" s="10"/>
      <c r="X1508" s="10" t="s">
        <v>37</v>
      </c>
      <c r="Y1508" s="10" t="s">
        <v>0</v>
      </c>
    </row>
    <row r="1509">
      <c r="A1509" s="10" t="s">
        <v>5559</v>
      </c>
      <c r="B1509" s="11">
        <v>44503.703863055554</v>
      </c>
      <c r="C1509" s="10" t="s">
        <v>671</v>
      </c>
      <c r="D1509" s="10" t="s">
        <v>672</v>
      </c>
      <c r="E1509" s="10" t="s">
        <v>5560</v>
      </c>
      <c r="F1509" s="10" t="s">
        <v>5561</v>
      </c>
      <c r="G1509" s="10" t="s">
        <v>5562</v>
      </c>
      <c r="H1509" s="11">
        <v>44505.4375</v>
      </c>
      <c r="I1509" s="11">
        <v>44505.5</v>
      </c>
      <c r="J1509" s="10" t="s">
        <v>128</v>
      </c>
      <c r="K1509" s="10" t="s">
        <v>34</v>
      </c>
      <c r="N1509" s="10" t="s">
        <v>35</v>
      </c>
      <c r="V1509" s="14" t="s">
        <v>3906</v>
      </c>
      <c r="W1509" s="10"/>
      <c r="X1509" s="10" t="s">
        <v>37</v>
      </c>
      <c r="Y1509" s="10" t="s">
        <v>0</v>
      </c>
    </row>
    <row r="1510">
      <c r="A1510" s="10" t="s">
        <v>5563</v>
      </c>
      <c r="B1510" s="11">
        <v>44503.7049202662</v>
      </c>
      <c r="C1510" s="10" t="s">
        <v>671</v>
      </c>
      <c r="D1510" s="10" t="s">
        <v>672</v>
      </c>
      <c r="E1510" s="10" t="s">
        <v>4605</v>
      </c>
      <c r="F1510" s="10" t="s">
        <v>5564</v>
      </c>
      <c r="G1510" s="10" t="s">
        <v>4407</v>
      </c>
      <c r="H1510" s="11">
        <v>44504.52083333333</v>
      </c>
      <c r="I1510" s="11">
        <v>44504.5625</v>
      </c>
      <c r="J1510" s="10" t="s">
        <v>128</v>
      </c>
      <c r="K1510" s="10" t="s">
        <v>34</v>
      </c>
      <c r="N1510" s="10" t="s">
        <v>35</v>
      </c>
      <c r="V1510" s="14" t="s">
        <v>3906</v>
      </c>
      <c r="W1510" s="10"/>
      <c r="X1510" s="10" t="s">
        <v>37</v>
      </c>
      <c r="Y1510" s="10" t="s">
        <v>0</v>
      </c>
    </row>
    <row r="1511">
      <c r="A1511" s="10" t="s">
        <v>5565</v>
      </c>
      <c r="B1511" s="11">
        <v>44503.705818981485</v>
      </c>
      <c r="C1511" s="10" t="s">
        <v>671</v>
      </c>
      <c r="D1511" s="10" t="s">
        <v>672</v>
      </c>
      <c r="E1511" s="10" t="s">
        <v>5566</v>
      </c>
      <c r="F1511" s="10" t="s">
        <v>5567</v>
      </c>
      <c r="G1511" s="10" t="s">
        <v>5568</v>
      </c>
      <c r="H1511" s="11">
        <v>44504.60416666667</v>
      </c>
      <c r="I1511" s="11">
        <v>44504.6875</v>
      </c>
      <c r="J1511" s="10" t="s">
        <v>128</v>
      </c>
      <c r="K1511" s="10" t="s">
        <v>34</v>
      </c>
      <c r="N1511" s="10" t="s">
        <v>35</v>
      </c>
      <c r="V1511" s="14" t="s">
        <v>3906</v>
      </c>
      <c r="W1511" s="10"/>
      <c r="X1511" s="10" t="s">
        <v>37</v>
      </c>
      <c r="Y1511" s="10" t="s">
        <v>0</v>
      </c>
    </row>
    <row r="1512">
      <c r="A1512" s="10" t="s">
        <v>5569</v>
      </c>
      <c r="B1512" s="11">
        <v>44503.70686914352</v>
      </c>
      <c r="C1512" s="10" t="s">
        <v>671</v>
      </c>
      <c r="D1512" s="10" t="s">
        <v>672</v>
      </c>
      <c r="E1512" s="10" t="s">
        <v>5570</v>
      </c>
      <c r="F1512" s="10" t="s">
        <v>5571</v>
      </c>
      <c r="G1512" s="10" t="s">
        <v>5572</v>
      </c>
      <c r="H1512" s="11">
        <v>44507.72916666667</v>
      </c>
      <c r="I1512" s="11">
        <v>44507.83333333333</v>
      </c>
      <c r="J1512" s="10" t="s">
        <v>128</v>
      </c>
      <c r="K1512" s="10" t="s">
        <v>34</v>
      </c>
      <c r="N1512" s="10" t="s">
        <v>35</v>
      </c>
      <c r="V1512" s="14" t="s">
        <v>3906</v>
      </c>
      <c r="W1512" s="10"/>
      <c r="X1512" s="10" t="s">
        <v>37</v>
      </c>
      <c r="Y1512" s="10" t="s">
        <v>0</v>
      </c>
    </row>
    <row r="1513">
      <c r="A1513" s="10" t="s">
        <v>5573</v>
      </c>
      <c r="B1513" s="11">
        <v>44503.7078707176</v>
      </c>
      <c r="C1513" s="10" t="s">
        <v>671</v>
      </c>
      <c r="D1513" s="10" t="s">
        <v>672</v>
      </c>
      <c r="E1513" s="10" t="s">
        <v>5570</v>
      </c>
      <c r="F1513" s="10" t="s">
        <v>5574</v>
      </c>
      <c r="G1513" s="10" t="s">
        <v>5575</v>
      </c>
      <c r="H1513" s="11">
        <v>44506.60416666667</v>
      </c>
      <c r="I1513" s="11">
        <v>44506.6875</v>
      </c>
      <c r="J1513" s="10" t="s">
        <v>128</v>
      </c>
      <c r="K1513" s="10" t="s">
        <v>34</v>
      </c>
      <c r="N1513" s="10" t="s">
        <v>35</v>
      </c>
      <c r="V1513" s="14" t="s">
        <v>3906</v>
      </c>
      <c r="W1513" s="10"/>
      <c r="X1513" s="10" t="s">
        <v>37</v>
      </c>
      <c r="Y1513" s="10" t="s">
        <v>0</v>
      </c>
    </row>
    <row r="1514">
      <c r="A1514" s="10" t="s">
        <v>5576</v>
      </c>
      <c r="B1514" s="11">
        <v>44503.717825115746</v>
      </c>
      <c r="C1514" s="10" t="s">
        <v>539</v>
      </c>
      <c r="D1514" s="10" t="s">
        <v>540</v>
      </c>
      <c r="E1514" s="10" t="s">
        <v>5577</v>
      </c>
      <c r="F1514" s="10" t="s">
        <v>5578</v>
      </c>
      <c r="G1514" s="10" t="s">
        <v>5578</v>
      </c>
      <c r="H1514" s="11">
        <v>44505.60416666667</v>
      </c>
      <c r="I1514" s="11">
        <v>44505.6875</v>
      </c>
      <c r="J1514" s="10" t="s">
        <v>33</v>
      </c>
      <c r="K1514" s="10" t="s">
        <v>34</v>
      </c>
      <c r="N1514" s="10" t="s">
        <v>35</v>
      </c>
      <c r="V1514" s="14" t="s">
        <v>5579</v>
      </c>
      <c r="W1514" s="10"/>
      <c r="X1514" s="10" t="s">
        <v>37</v>
      </c>
      <c r="Y1514" s="10" t="s">
        <v>0</v>
      </c>
    </row>
    <row r="1515">
      <c r="A1515" s="10" t="s">
        <v>5580</v>
      </c>
      <c r="B1515" s="11">
        <v>44503.76976703704</v>
      </c>
      <c r="C1515" s="10" t="s">
        <v>150</v>
      </c>
      <c r="D1515" s="10" t="s">
        <v>151</v>
      </c>
      <c r="E1515" s="10" t="s">
        <v>5581</v>
      </c>
      <c r="F1515" s="10" t="s">
        <v>5582</v>
      </c>
      <c r="G1515" s="10" t="s">
        <v>5583</v>
      </c>
      <c r="H1515" s="11">
        <v>44505.375</v>
      </c>
      <c r="I1515" s="11">
        <v>44505.4375</v>
      </c>
      <c r="J1515" s="10" t="s">
        <v>33</v>
      </c>
      <c r="K1515" s="10" t="s">
        <v>34</v>
      </c>
      <c r="N1515" s="10" t="s">
        <v>35</v>
      </c>
      <c r="V1515" s="14" t="s">
        <v>5584</v>
      </c>
      <c r="W1515" s="10"/>
      <c r="X1515" s="10" t="s">
        <v>37</v>
      </c>
      <c r="Y1515" s="10" t="s">
        <v>0</v>
      </c>
    </row>
    <row r="1516">
      <c r="A1516" s="10" t="s">
        <v>5585</v>
      </c>
      <c r="B1516" s="11">
        <v>44503.908608854166</v>
      </c>
      <c r="C1516" s="10" t="s">
        <v>418</v>
      </c>
      <c r="D1516" s="10" t="s">
        <v>419</v>
      </c>
      <c r="E1516" s="10" t="s">
        <v>4533</v>
      </c>
      <c r="F1516" s="10" t="s">
        <v>5586</v>
      </c>
      <c r="G1516" s="10" t="s">
        <v>5587</v>
      </c>
      <c r="H1516" s="11">
        <v>44506.60416666667</v>
      </c>
      <c r="I1516" s="11">
        <v>44506.66666666667</v>
      </c>
      <c r="J1516" s="10" t="s">
        <v>128</v>
      </c>
      <c r="K1516" s="10" t="s">
        <v>34</v>
      </c>
      <c r="N1516" s="10" t="s">
        <v>35</v>
      </c>
      <c r="V1516" s="14" t="s">
        <v>5588</v>
      </c>
      <c r="W1516" s="10"/>
      <c r="X1516" s="10" t="s">
        <v>37</v>
      </c>
      <c r="Y1516" s="10" t="s">
        <v>0</v>
      </c>
    </row>
    <row r="1517">
      <c r="A1517" s="10" t="s">
        <v>5589</v>
      </c>
      <c r="B1517" s="11">
        <v>44503.954563368054</v>
      </c>
      <c r="C1517" s="10" t="s">
        <v>330</v>
      </c>
      <c r="D1517" s="10" t="s">
        <v>331</v>
      </c>
      <c r="E1517" s="10" t="s">
        <v>5590</v>
      </c>
      <c r="F1517" s="10" t="s">
        <v>5591</v>
      </c>
      <c r="G1517" s="10" t="s">
        <v>5592</v>
      </c>
      <c r="H1517" s="11">
        <v>44510.77083333333</v>
      </c>
      <c r="I1517" s="11">
        <v>44510.72916666667</v>
      </c>
      <c r="J1517" s="10" t="s">
        <v>43</v>
      </c>
      <c r="K1517" s="10" t="s">
        <v>34</v>
      </c>
      <c r="N1517" s="10" t="s">
        <v>35</v>
      </c>
      <c r="V1517" s="14" t="s">
        <v>5593</v>
      </c>
      <c r="W1517" s="10"/>
      <c r="X1517" s="10" t="s">
        <v>37</v>
      </c>
      <c r="Y1517" s="10" t="s">
        <v>0</v>
      </c>
    </row>
    <row r="1518">
      <c r="A1518" s="10" t="s">
        <v>5594</v>
      </c>
      <c r="B1518" s="11">
        <v>44503.98004606481</v>
      </c>
      <c r="C1518" s="10" t="s">
        <v>330</v>
      </c>
      <c r="D1518" s="10" t="s">
        <v>331</v>
      </c>
      <c r="E1518" s="10" t="s">
        <v>5595</v>
      </c>
      <c r="F1518" s="10" t="s">
        <v>5596</v>
      </c>
      <c r="G1518" s="10" t="s">
        <v>5597</v>
      </c>
      <c r="H1518" s="11">
        <v>44508.6875</v>
      </c>
      <c r="I1518" s="11">
        <v>44508.8125</v>
      </c>
      <c r="J1518" s="10" t="s">
        <v>43</v>
      </c>
      <c r="K1518" s="10" t="s">
        <v>34</v>
      </c>
      <c r="N1518" s="10" t="s">
        <v>35</v>
      </c>
      <c r="V1518" s="14" t="s">
        <v>5598</v>
      </c>
      <c r="W1518" s="10"/>
      <c r="X1518" s="10" t="s">
        <v>37</v>
      </c>
      <c r="Y1518" s="10" t="s">
        <v>0</v>
      </c>
    </row>
    <row r="1519">
      <c r="A1519" s="10" t="s">
        <v>5599</v>
      </c>
      <c r="B1519" s="11">
        <v>44503.984358229165</v>
      </c>
      <c r="C1519" s="10" t="s">
        <v>330</v>
      </c>
      <c r="D1519" s="10" t="s">
        <v>331</v>
      </c>
      <c r="E1519" s="10" t="s">
        <v>4302</v>
      </c>
      <c r="F1519" s="10" t="s">
        <v>5600</v>
      </c>
      <c r="G1519" s="10" t="s">
        <v>5601</v>
      </c>
      <c r="H1519" s="11">
        <v>44512.60416666667</v>
      </c>
      <c r="I1519" s="11">
        <v>44512.6875</v>
      </c>
      <c r="J1519" s="10" t="s">
        <v>43</v>
      </c>
      <c r="K1519" s="10" t="s">
        <v>34</v>
      </c>
      <c r="N1519" s="10" t="s">
        <v>35</v>
      </c>
      <c r="V1519" s="14" t="s">
        <v>5602</v>
      </c>
      <c r="W1519" s="10"/>
      <c r="X1519" s="10" t="s">
        <v>37</v>
      </c>
      <c r="Y1519" s="10" t="s">
        <v>0</v>
      </c>
    </row>
    <row r="1520">
      <c r="A1520" s="10" t="s">
        <v>5603</v>
      </c>
      <c r="B1520" s="11">
        <v>44504.37700972222</v>
      </c>
      <c r="C1520" s="10" t="s">
        <v>610</v>
      </c>
      <c r="D1520" s="10" t="s">
        <v>611</v>
      </c>
      <c r="E1520" s="10" t="s">
        <v>3531</v>
      </c>
      <c r="F1520" s="10" t="s">
        <v>2663</v>
      </c>
      <c r="G1520" s="10" t="s">
        <v>5604</v>
      </c>
      <c r="H1520" s="11">
        <v>44505.75</v>
      </c>
      <c r="I1520" s="11">
        <v>44505.8125</v>
      </c>
      <c r="J1520" s="10" t="s">
        <v>128</v>
      </c>
      <c r="K1520" s="10" t="s">
        <v>34</v>
      </c>
      <c r="N1520" s="10" t="s">
        <v>35</v>
      </c>
      <c r="V1520" s="14" t="s">
        <v>5605</v>
      </c>
      <c r="W1520" s="10"/>
      <c r="X1520" s="10" t="s">
        <v>37</v>
      </c>
      <c r="Y1520" s="10" t="s">
        <v>0</v>
      </c>
    </row>
    <row r="1521">
      <c r="A1521" s="10" t="s">
        <v>5606</v>
      </c>
      <c r="B1521" s="11">
        <v>44504.48022827547</v>
      </c>
      <c r="C1521" s="10" t="s">
        <v>80</v>
      </c>
      <c r="D1521" s="10" t="s">
        <v>81</v>
      </c>
      <c r="E1521" s="10" t="s">
        <v>81</v>
      </c>
      <c r="F1521" s="10" t="s">
        <v>5607</v>
      </c>
      <c r="G1521" s="10" t="s">
        <v>5608</v>
      </c>
      <c r="H1521" s="11">
        <v>44520.60416666667</v>
      </c>
      <c r="I1521" s="11">
        <v>44520.6875</v>
      </c>
      <c r="J1521" s="10" t="s">
        <v>33</v>
      </c>
      <c r="K1521" s="10" t="s">
        <v>34</v>
      </c>
      <c r="N1521" s="10" t="s">
        <v>296</v>
      </c>
      <c r="O1521" s="18" t="s">
        <v>5609</v>
      </c>
      <c r="P1521" s="10" t="s">
        <v>296</v>
      </c>
      <c r="Q1521" s="10">
        <v>1.0</v>
      </c>
      <c r="R1521" s="10" t="s">
        <v>35</v>
      </c>
      <c r="T1521" s="10" t="s">
        <v>35</v>
      </c>
      <c r="V1521" s="14" t="s">
        <v>5610</v>
      </c>
      <c r="W1521" s="10"/>
      <c r="X1521" s="10" t="s">
        <v>37</v>
      </c>
      <c r="Y1521" s="10" t="s">
        <v>0</v>
      </c>
    </row>
    <row r="1522">
      <c r="A1522" s="10" t="s">
        <v>5611</v>
      </c>
      <c r="B1522" s="11">
        <v>44498.564342592595</v>
      </c>
      <c r="C1522" s="10" t="s">
        <v>181</v>
      </c>
      <c r="D1522" s="10" t="s">
        <v>69</v>
      </c>
      <c r="E1522" s="10" t="s">
        <v>5612</v>
      </c>
      <c r="F1522" s="10" t="s">
        <v>4052</v>
      </c>
      <c r="G1522" s="10" t="s">
        <v>5613</v>
      </c>
      <c r="H1522" s="11">
        <v>44508.54166666667</v>
      </c>
      <c r="I1522" s="11">
        <v>44508.58333333333</v>
      </c>
      <c r="J1522" s="10" t="s">
        <v>128</v>
      </c>
      <c r="K1522" s="10" t="s">
        <v>34</v>
      </c>
      <c r="N1522" s="10" t="s">
        <v>35</v>
      </c>
      <c r="V1522" s="14" t="s">
        <v>3577</v>
      </c>
      <c r="W1522" s="10"/>
      <c r="X1522" s="10" t="s">
        <v>37</v>
      </c>
      <c r="Y1522" s="10" t="s">
        <v>0</v>
      </c>
    </row>
    <row r="1523">
      <c r="A1523" s="10" t="s">
        <v>5614</v>
      </c>
      <c r="B1523" s="11">
        <v>44505.49518600694</v>
      </c>
      <c r="C1523" s="10" t="s">
        <v>181</v>
      </c>
      <c r="D1523" s="10" t="s">
        <v>69</v>
      </c>
      <c r="E1523" s="10" t="s">
        <v>1096</v>
      </c>
      <c r="F1523" s="10" t="s">
        <v>4265</v>
      </c>
      <c r="G1523" s="10" t="s">
        <v>5615</v>
      </c>
      <c r="H1523" s="11">
        <v>44508.60416666667</v>
      </c>
      <c r="I1523" s="11">
        <v>44508.6875</v>
      </c>
      <c r="J1523" s="10" t="s">
        <v>128</v>
      </c>
      <c r="K1523" s="10" t="s">
        <v>34</v>
      </c>
      <c r="N1523" s="10" t="s">
        <v>35</v>
      </c>
      <c r="V1523" s="14" t="s">
        <v>5616</v>
      </c>
      <c r="W1523" s="10"/>
      <c r="X1523" s="10" t="s">
        <v>37</v>
      </c>
      <c r="Y1523" s="10" t="s">
        <v>0</v>
      </c>
    </row>
    <row r="1524">
      <c r="A1524" s="10" t="s">
        <v>5617</v>
      </c>
      <c r="B1524" s="11">
        <v>44505.48415583333</v>
      </c>
      <c r="C1524" s="10" t="s">
        <v>181</v>
      </c>
      <c r="D1524" s="10" t="s">
        <v>69</v>
      </c>
      <c r="E1524" s="10" t="s">
        <v>5618</v>
      </c>
      <c r="F1524" s="10" t="s">
        <v>5619</v>
      </c>
      <c r="G1524" s="10" t="s">
        <v>5620</v>
      </c>
      <c r="H1524" s="11">
        <v>44508.72916666667</v>
      </c>
      <c r="I1524" s="11">
        <v>44508.77083333333</v>
      </c>
      <c r="J1524" s="10" t="s">
        <v>128</v>
      </c>
      <c r="K1524" s="10" t="s">
        <v>34</v>
      </c>
      <c r="N1524" s="10" t="s">
        <v>35</v>
      </c>
      <c r="V1524" s="14" t="s">
        <v>3554</v>
      </c>
      <c r="W1524" s="10"/>
      <c r="X1524" s="10" t="s">
        <v>37</v>
      </c>
      <c r="Y1524" s="10" t="s">
        <v>0</v>
      </c>
    </row>
    <row r="1525">
      <c r="A1525" s="10" t="s">
        <v>5621</v>
      </c>
      <c r="B1525" s="11">
        <v>44505.47834543981</v>
      </c>
      <c r="C1525" s="10" t="s">
        <v>181</v>
      </c>
      <c r="D1525" s="10" t="s">
        <v>69</v>
      </c>
      <c r="E1525" s="10" t="s">
        <v>5622</v>
      </c>
      <c r="F1525" s="10" t="s">
        <v>5623</v>
      </c>
      <c r="G1525" s="10" t="s">
        <v>5624</v>
      </c>
      <c r="H1525" s="11">
        <v>44512.4375</v>
      </c>
      <c r="I1525" s="11">
        <v>44512.52083333333</v>
      </c>
      <c r="J1525" s="10" t="s">
        <v>33</v>
      </c>
      <c r="K1525" s="10" t="s">
        <v>34</v>
      </c>
      <c r="N1525" s="10" t="s">
        <v>296</v>
      </c>
      <c r="O1525" s="18" t="s">
        <v>5625</v>
      </c>
      <c r="P1525" s="10" t="s">
        <v>296</v>
      </c>
      <c r="Q1525" s="10">
        <v>1.0</v>
      </c>
      <c r="R1525" s="10" t="s">
        <v>35</v>
      </c>
      <c r="T1525" s="10" t="s">
        <v>35</v>
      </c>
      <c r="V1525" s="14" t="s">
        <v>5626</v>
      </c>
      <c r="W1525" s="10"/>
      <c r="X1525" s="10" t="s">
        <v>37</v>
      </c>
      <c r="Y1525" s="10" t="s">
        <v>0</v>
      </c>
    </row>
    <row r="1526">
      <c r="A1526" s="10" t="s">
        <v>5627</v>
      </c>
      <c r="B1526" s="11">
        <v>44505.48117452546</v>
      </c>
      <c r="C1526" s="10" t="s">
        <v>181</v>
      </c>
      <c r="D1526" s="10" t="s">
        <v>69</v>
      </c>
      <c r="E1526" s="10" t="s">
        <v>5622</v>
      </c>
      <c r="F1526" s="10" t="s">
        <v>5628</v>
      </c>
      <c r="G1526" s="10" t="s">
        <v>5629</v>
      </c>
      <c r="H1526" s="11">
        <v>44513.60416666667</v>
      </c>
      <c r="I1526" s="11">
        <v>44513.6875</v>
      </c>
      <c r="J1526" s="10" t="s">
        <v>33</v>
      </c>
      <c r="K1526" s="10" t="s">
        <v>34</v>
      </c>
      <c r="N1526" s="10" t="s">
        <v>296</v>
      </c>
      <c r="O1526" s="18" t="s">
        <v>5630</v>
      </c>
      <c r="P1526" s="10" t="s">
        <v>296</v>
      </c>
      <c r="Q1526" s="10">
        <v>1.0</v>
      </c>
      <c r="R1526" s="10" t="s">
        <v>35</v>
      </c>
      <c r="T1526" s="10" t="s">
        <v>35</v>
      </c>
      <c r="V1526" s="14" t="s">
        <v>5631</v>
      </c>
      <c r="W1526" s="10"/>
      <c r="X1526" s="10" t="s">
        <v>37</v>
      </c>
      <c r="Y1526" s="10" t="s">
        <v>0</v>
      </c>
    </row>
    <row r="1527">
      <c r="A1527" s="10" t="s">
        <v>5632</v>
      </c>
      <c r="B1527" s="11">
        <v>44505.48264512731</v>
      </c>
      <c r="C1527" s="10" t="s">
        <v>181</v>
      </c>
      <c r="D1527" s="10" t="s">
        <v>69</v>
      </c>
      <c r="E1527" s="10" t="s">
        <v>5622</v>
      </c>
      <c r="F1527" s="10" t="s">
        <v>5633</v>
      </c>
      <c r="G1527" s="10" t="s">
        <v>5634</v>
      </c>
      <c r="H1527" s="11">
        <v>44513.64583333333</v>
      </c>
      <c r="I1527" s="11">
        <v>44513.72916666667</v>
      </c>
      <c r="J1527" s="10" t="s">
        <v>33</v>
      </c>
      <c r="K1527" s="10" t="s">
        <v>34</v>
      </c>
      <c r="N1527" s="10" t="s">
        <v>296</v>
      </c>
      <c r="O1527" s="18" t="s">
        <v>5635</v>
      </c>
      <c r="P1527" s="10" t="s">
        <v>296</v>
      </c>
      <c r="Q1527" s="10">
        <v>1.0</v>
      </c>
      <c r="R1527" s="10" t="s">
        <v>35</v>
      </c>
      <c r="T1527" s="10" t="s">
        <v>35</v>
      </c>
      <c r="V1527" s="14" t="s">
        <v>5636</v>
      </c>
      <c r="W1527" s="10"/>
      <c r="X1527" s="10" t="s">
        <v>37</v>
      </c>
      <c r="Y1527" s="10" t="s">
        <v>0</v>
      </c>
    </row>
    <row r="1528">
      <c r="A1528" s="10" t="s">
        <v>5637</v>
      </c>
      <c r="B1528" s="11">
        <v>44505.6382482176</v>
      </c>
      <c r="C1528" s="10" t="s">
        <v>160</v>
      </c>
      <c r="D1528" s="10" t="s">
        <v>161</v>
      </c>
      <c r="E1528" s="10" t="s">
        <v>985</v>
      </c>
      <c r="F1528" s="10" t="s">
        <v>5638</v>
      </c>
      <c r="G1528" s="10" t="s">
        <v>5639</v>
      </c>
      <c r="H1528" s="11">
        <v>44506.5</v>
      </c>
      <c r="I1528" s="11">
        <v>44506.5</v>
      </c>
      <c r="J1528" s="10" t="s">
        <v>73</v>
      </c>
      <c r="K1528" s="10" t="s">
        <v>34</v>
      </c>
      <c r="N1528" s="10" t="s">
        <v>35</v>
      </c>
      <c r="V1528" s="14" t="s">
        <v>5231</v>
      </c>
      <c r="W1528" s="10"/>
      <c r="X1528" s="10" t="s">
        <v>37</v>
      </c>
      <c r="Y1528" s="10" t="s">
        <v>0</v>
      </c>
    </row>
    <row r="1529">
      <c r="A1529" s="10" t="s">
        <v>5640</v>
      </c>
      <c r="B1529" s="11">
        <v>44506.34304371528</v>
      </c>
      <c r="C1529" s="10" t="s">
        <v>4468</v>
      </c>
      <c r="D1529" s="10" t="s">
        <v>4211</v>
      </c>
      <c r="E1529" s="10" t="s">
        <v>5641</v>
      </c>
      <c r="F1529" s="10" t="s">
        <v>5642</v>
      </c>
      <c r="G1529" s="10" t="s">
        <v>5643</v>
      </c>
      <c r="H1529" s="11">
        <v>44505.14583333333</v>
      </c>
      <c r="I1529" s="11">
        <v>44519.1875</v>
      </c>
      <c r="J1529" s="10" t="s">
        <v>1333</v>
      </c>
      <c r="K1529" s="10" t="s">
        <v>34</v>
      </c>
      <c r="N1529" s="10" t="s">
        <v>35</v>
      </c>
      <c r="V1529" s="14" t="s">
        <v>5644</v>
      </c>
      <c r="W1529" s="10"/>
      <c r="X1529" s="10" t="s">
        <v>37</v>
      </c>
      <c r="Y1529" s="10" t="s">
        <v>0</v>
      </c>
    </row>
    <row r="1530">
      <c r="A1530" s="10" t="s">
        <v>5645</v>
      </c>
      <c r="B1530" s="11">
        <v>44507.55357783565</v>
      </c>
      <c r="C1530" s="10" t="s">
        <v>239</v>
      </c>
      <c r="D1530" s="10" t="s">
        <v>240</v>
      </c>
      <c r="E1530" s="10" t="s">
        <v>4548</v>
      </c>
      <c r="F1530" s="10" t="s">
        <v>5646</v>
      </c>
      <c r="G1530" s="10" t="s">
        <v>5647</v>
      </c>
      <c r="H1530" s="11">
        <v>44506.60416666667</v>
      </c>
      <c r="I1530" s="11">
        <v>44506.66666666667</v>
      </c>
      <c r="J1530" s="10" t="s">
        <v>128</v>
      </c>
      <c r="K1530" s="10" t="s">
        <v>34</v>
      </c>
      <c r="N1530" s="10" t="s">
        <v>35</v>
      </c>
      <c r="V1530" s="35" t="s">
        <v>4551</v>
      </c>
      <c r="W1530" s="10"/>
      <c r="X1530" s="10" t="s">
        <v>37</v>
      </c>
      <c r="Y1530" s="10" t="s">
        <v>0</v>
      </c>
    </row>
    <row r="1531">
      <c r="A1531" s="10" t="s">
        <v>5648</v>
      </c>
      <c r="B1531" s="11">
        <v>44507.554820034726</v>
      </c>
      <c r="C1531" s="10" t="s">
        <v>239</v>
      </c>
      <c r="D1531" s="10" t="s">
        <v>240</v>
      </c>
      <c r="E1531" s="10" t="s">
        <v>4548</v>
      </c>
      <c r="F1531" s="10" t="s">
        <v>5649</v>
      </c>
      <c r="G1531" s="10" t="s">
        <v>5650</v>
      </c>
      <c r="H1531" s="11">
        <v>44479.0</v>
      </c>
      <c r="I1531" s="11">
        <v>44507.99930555555</v>
      </c>
      <c r="J1531" s="10" t="s">
        <v>128</v>
      </c>
      <c r="K1531" s="10" t="s">
        <v>34</v>
      </c>
      <c r="N1531" s="10" t="s">
        <v>35</v>
      </c>
      <c r="V1531" s="35" t="s">
        <v>4551</v>
      </c>
      <c r="W1531" s="10"/>
      <c r="X1531" s="10" t="s">
        <v>37</v>
      </c>
      <c r="Y1531" s="10" t="s">
        <v>0</v>
      </c>
    </row>
    <row r="1532">
      <c r="A1532" s="10" t="s">
        <v>5651</v>
      </c>
      <c r="B1532" s="11">
        <v>44508.476775347226</v>
      </c>
      <c r="C1532" s="10" t="s">
        <v>3304</v>
      </c>
      <c r="D1532" s="10" t="s">
        <v>695</v>
      </c>
      <c r="E1532" s="10" t="s">
        <v>4316</v>
      </c>
      <c r="F1532" s="10" t="s">
        <v>5652</v>
      </c>
      <c r="G1532" s="10" t="s">
        <v>5653</v>
      </c>
      <c r="H1532" s="11">
        <v>44512.64583333333</v>
      </c>
      <c r="I1532" s="11">
        <v>44512.72916666667</v>
      </c>
      <c r="J1532" s="10" t="s">
        <v>43</v>
      </c>
      <c r="K1532" s="10" t="s">
        <v>34</v>
      </c>
      <c r="N1532" s="10" t="s">
        <v>296</v>
      </c>
      <c r="O1532" s="18" t="s">
        <v>5654</v>
      </c>
      <c r="P1532" s="10" t="s">
        <v>296</v>
      </c>
      <c r="Q1532" s="10">
        <v>2.0</v>
      </c>
      <c r="R1532" s="10" t="s">
        <v>35</v>
      </c>
      <c r="T1532" s="10" t="s">
        <v>35</v>
      </c>
      <c r="V1532" s="14" t="s">
        <v>5655</v>
      </c>
      <c r="W1532" s="10"/>
      <c r="X1532" s="10" t="s">
        <v>37</v>
      </c>
      <c r="Y1532" s="10" t="s">
        <v>0</v>
      </c>
    </row>
    <row r="1533">
      <c r="A1533" s="10" t="s">
        <v>5656</v>
      </c>
      <c r="B1533" s="11">
        <v>44508.554097326385</v>
      </c>
      <c r="C1533" s="10" t="s">
        <v>102</v>
      </c>
      <c r="D1533" s="10" t="s">
        <v>103</v>
      </c>
      <c r="E1533" s="10" t="s">
        <v>754</v>
      </c>
      <c r="F1533" s="10" t="s">
        <v>5657</v>
      </c>
      <c r="G1533" s="10" t="s">
        <v>5658</v>
      </c>
      <c r="H1533" s="11">
        <v>44508.6875</v>
      </c>
      <c r="I1533" s="11">
        <v>44508.8125</v>
      </c>
      <c r="J1533" s="10" t="s">
        <v>43</v>
      </c>
      <c r="K1533" s="10" t="s">
        <v>34</v>
      </c>
      <c r="N1533" s="10" t="s">
        <v>35</v>
      </c>
      <c r="V1533" s="14" t="s">
        <v>5659</v>
      </c>
      <c r="W1533" s="10"/>
      <c r="X1533" s="10" t="s">
        <v>37</v>
      </c>
      <c r="Y1533" s="10" t="s">
        <v>0</v>
      </c>
    </row>
    <row r="1534">
      <c r="A1534" s="10" t="s">
        <v>5660</v>
      </c>
      <c r="B1534" s="11">
        <v>44508.58445207176</v>
      </c>
      <c r="C1534" s="10" t="s">
        <v>160</v>
      </c>
      <c r="D1534" s="10" t="s">
        <v>161</v>
      </c>
      <c r="E1534" s="10" t="s">
        <v>5207</v>
      </c>
      <c r="F1534" s="10" t="s">
        <v>5661</v>
      </c>
      <c r="G1534" s="10" t="s">
        <v>5662</v>
      </c>
      <c r="H1534" s="11">
        <v>44509.5</v>
      </c>
      <c r="I1534" s="11">
        <v>44509.5</v>
      </c>
      <c r="J1534" s="10" t="s">
        <v>73</v>
      </c>
      <c r="K1534" s="10" t="s">
        <v>34</v>
      </c>
      <c r="N1534" s="10" t="s">
        <v>35</v>
      </c>
      <c r="V1534" s="14" t="s">
        <v>5231</v>
      </c>
      <c r="W1534" s="10"/>
      <c r="X1534" s="10" t="s">
        <v>37</v>
      </c>
      <c r="Y1534" s="10" t="s">
        <v>0</v>
      </c>
    </row>
    <row r="1535">
      <c r="A1535" s="10" t="s">
        <v>5663</v>
      </c>
      <c r="B1535" s="11">
        <v>44508.58514037037</v>
      </c>
      <c r="C1535" s="10" t="s">
        <v>102</v>
      </c>
      <c r="D1535" s="10" t="s">
        <v>103</v>
      </c>
      <c r="E1535" s="10" t="s">
        <v>754</v>
      </c>
      <c r="F1535" s="10" t="s">
        <v>5664</v>
      </c>
      <c r="G1535" s="10" t="s">
        <v>5665</v>
      </c>
      <c r="H1535" s="11">
        <v>44511.6875</v>
      </c>
      <c r="I1535" s="11">
        <v>44511.77083333333</v>
      </c>
      <c r="J1535" s="10" t="s">
        <v>43</v>
      </c>
      <c r="K1535" s="10" t="s">
        <v>34</v>
      </c>
      <c r="N1535" s="10" t="s">
        <v>35</v>
      </c>
      <c r="V1535" s="35" t="s">
        <v>5666</v>
      </c>
      <c r="W1535" s="10"/>
      <c r="X1535" s="10" t="s">
        <v>37</v>
      </c>
      <c r="Y1535" s="10" t="s">
        <v>0</v>
      </c>
    </row>
    <row r="1536">
      <c r="A1536" s="10" t="s">
        <v>5667</v>
      </c>
      <c r="B1536" s="11">
        <v>44509.70201954861</v>
      </c>
      <c r="C1536" s="10" t="s">
        <v>80</v>
      </c>
      <c r="D1536" s="10" t="s">
        <v>81</v>
      </c>
      <c r="E1536" s="10" t="s">
        <v>5668</v>
      </c>
      <c r="F1536" s="10" t="s">
        <v>5669</v>
      </c>
      <c r="G1536" s="10" t="s">
        <v>5670</v>
      </c>
      <c r="H1536" s="11">
        <v>44515.33333333333</v>
      </c>
      <c r="I1536" s="11">
        <v>44515.375</v>
      </c>
      <c r="J1536" s="10" t="s">
        <v>73</v>
      </c>
      <c r="K1536" s="10" t="s">
        <v>34</v>
      </c>
      <c r="N1536" s="10" t="s">
        <v>35</v>
      </c>
      <c r="V1536" s="14" t="s">
        <v>4013</v>
      </c>
      <c r="W1536" s="10"/>
      <c r="X1536" s="10" t="s">
        <v>37</v>
      </c>
      <c r="Y1536" s="10" t="s">
        <v>0</v>
      </c>
    </row>
    <row r="1537">
      <c r="A1537" s="10" t="s">
        <v>5671</v>
      </c>
      <c r="B1537" s="11">
        <v>44509.70500253473</v>
      </c>
      <c r="C1537" s="10" t="s">
        <v>80</v>
      </c>
      <c r="D1537" s="10" t="s">
        <v>81</v>
      </c>
      <c r="E1537" s="10" t="s">
        <v>469</v>
      </c>
      <c r="F1537" s="10" t="s">
        <v>5672</v>
      </c>
      <c r="G1537" s="10" t="s">
        <v>5673</v>
      </c>
      <c r="H1537" s="11">
        <v>44516.33333333333</v>
      </c>
      <c r="I1537" s="11">
        <v>44516.375</v>
      </c>
      <c r="J1537" s="10" t="s">
        <v>73</v>
      </c>
      <c r="K1537" s="10" t="s">
        <v>34</v>
      </c>
      <c r="N1537" s="10" t="s">
        <v>35</v>
      </c>
      <c r="V1537" s="14" t="s">
        <v>5674</v>
      </c>
      <c r="W1537" s="10"/>
      <c r="X1537" s="10" t="s">
        <v>37</v>
      </c>
      <c r="Y1537" s="10" t="s">
        <v>0</v>
      </c>
    </row>
    <row r="1538">
      <c r="A1538" s="10" t="s">
        <v>5675</v>
      </c>
      <c r="B1538" s="11">
        <v>44510.52600996528</v>
      </c>
      <c r="C1538" s="10" t="s">
        <v>80</v>
      </c>
      <c r="D1538" s="10" t="s">
        <v>81</v>
      </c>
      <c r="E1538" s="10" t="s">
        <v>5676</v>
      </c>
      <c r="F1538" s="10" t="s">
        <v>5677</v>
      </c>
      <c r="G1538" s="10" t="s">
        <v>5678</v>
      </c>
      <c r="H1538" s="11">
        <v>44511.6875</v>
      </c>
      <c r="I1538" s="11">
        <v>44511.72916666667</v>
      </c>
      <c r="J1538" s="10" t="s">
        <v>43</v>
      </c>
      <c r="K1538" s="10" t="s">
        <v>34</v>
      </c>
      <c r="N1538" s="10" t="s">
        <v>296</v>
      </c>
      <c r="O1538" s="18" t="s">
        <v>5679</v>
      </c>
      <c r="P1538" s="10" t="s">
        <v>35</v>
      </c>
      <c r="R1538" s="10" t="s">
        <v>296</v>
      </c>
      <c r="S1538" s="10">
        <v>2.0</v>
      </c>
      <c r="T1538" s="10" t="s">
        <v>35</v>
      </c>
      <c r="V1538" s="14" t="s">
        <v>5680</v>
      </c>
      <c r="W1538" s="10"/>
      <c r="X1538" s="10" t="s">
        <v>37</v>
      </c>
      <c r="Y1538" s="10" t="s">
        <v>0</v>
      </c>
    </row>
    <row r="1539">
      <c r="A1539" s="10" t="s">
        <v>5681</v>
      </c>
      <c r="B1539" s="11">
        <v>44510.54492619213</v>
      </c>
      <c r="C1539" s="10" t="s">
        <v>80</v>
      </c>
      <c r="D1539" s="10" t="s">
        <v>81</v>
      </c>
      <c r="E1539" s="10" t="s">
        <v>5676</v>
      </c>
      <c r="F1539" s="10" t="s">
        <v>5682</v>
      </c>
      <c r="G1539" s="10" t="s">
        <v>5683</v>
      </c>
      <c r="H1539" s="11">
        <v>44511.60416666667</v>
      </c>
      <c r="I1539" s="11">
        <v>44511.6875</v>
      </c>
      <c r="J1539" s="10" t="s">
        <v>33</v>
      </c>
      <c r="K1539" s="10" t="s">
        <v>34</v>
      </c>
      <c r="N1539" s="10" t="s">
        <v>296</v>
      </c>
      <c r="O1539" s="18" t="s">
        <v>5684</v>
      </c>
      <c r="P1539" s="10" t="s">
        <v>296</v>
      </c>
      <c r="Q1539" s="10">
        <v>1.0</v>
      </c>
      <c r="R1539" s="10" t="s">
        <v>35</v>
      </c>
      <c r="T1539" s="10" t="s">
        <v>35</v>
      </c>
      <c r="V1539" s="14" t="s">
        <v>5685</v>
      </c>
      <c r="W1539" s="10"/>
      <c r="X1539" s="10" t="s">
        <v>37</v>
      </c>
      <c r="Y1539" s="10" t="s">
        <v>0</v>
      </c>
    </row>
    <row r="1540">
      <c r="A1540" s="10" t="s">
        <v>5686</v>
      </c>
      <c r="B1540" s="11">
        <v>44510.79736614584</v>
      </c>
      <c r="C1540" s="10" t="s">
        <v>186</v>
      </c>
      <c r="D1540" s="10" t="s">
        <v>187</v>
      </c>
      <c r="E1540" s="10" t="s">
        <v>188</v>
      </c>
      <c r="F1540" s="10" t="s">
        <v>5687</v>
      </c>
      <c r="G1540" s="10" t="s">
        <v>5688</v>
      </c>
      <c r="H1540" s="11">
        <v>44512.58333333333</v>
      </c>
      <c r="I1540" s="11">
        <v>44512.6875</v>
      </c>
      <c r="J1540" s="10" t="s">
        <v>43</v>
      </c>
      <c r="K1540" s="10" t="s">
        <v>34</v>
      </c>
      <c r="N1540" s="10" t="s">
        <v>296</v>
      </c>
      <c r="O1540" s="18" t="s">
        <v>5689</v>
      </c>
      <c r="P1540" s="10" t="s">
        <v>296</v>
      </c>
      <c r="Q1540" s="10">
        <v>2.0</v>
      </c>
      <c r="R1540" s="10" t="s">
        <v>35</v>
      </c>
      <c r="T1540" s="10" t="s">
        <v>35</v>
      </c>
      <c r="V1540" s="14" t="s">
        <v>5690</v>
      </c>
      <c r="W1540" s="10"/>
      <c r="X1540" s="10" t="s">
        <v>37</v>
      </c>
      <c r="Y1540" s="10" t="s">
        <v>0</v>
      </c>
    </row>
    <row r="1541">
      <c r="A1541" s="10" t="s">
        <v>5691</v>
      </c>
      <c r="B1541" s="11">
        <v>44510.815912210644</v>
      </c>
      <c r="C1541" s="10" t="s">
        <v>5692</v>
      </c>
      <c r="D1541" s="10" t="s">
        <v>492</v>
      </c>
      <c r="E1541" s="10" t="s">
        <v>5693</v>
      </c>
      <c r="F1541" s="10" t="s">
        <v>5694</v>
      </c>
      <c r="G1541" s="10" t="s">
        <v>5695</v>
      </c>
      <c r="H1541" s="11">
        <v>44512.75</v>
      </c>
      <c r="I1541" s="11">
        <v>44512.8125</v>
      </c>
      <c r="J1541" s="10" t="s">
        <v>128</v>
      </c>
      <c r="K1541" s="10" t="s">
        <v>34</v>
      </c>
      <c r="N1541" s="10" t="s">
        <v>35</v>
      </c>
      <c r="V1541" s="14" t="s">
        <v>5696</v>
      </c>
      <c r="W1541" s="10"/>
      <c r="X1541" s="10" t="s">
        <v>37</v>
      </c>
      <c r="Y1541" s="10" t="s">
        <v>0</v>
      </c>
    </row>
    <row r="1542">
      <c r="A1542" s="10" t="s">
        <v>5697</v>
      </c>
      <c r="B1542" s="11">
        <v>44511.06858552083</v>
      </c>
      <c r="C1542" s="10" t="s">
        <v>347</v>
      </c>
      <c r="D1542" s="10" t="s">
        <v>348</v>
      </c>
      <c r="E1542" s="10" t="s">
        <v>3429</v>
      </c>
      <c r="F1542" s="10" t="s">
        <v>5698</v>
      </c>
      <c r="G1542" s="10" t="s">
        <v>5699</v>
      </c>
      <c r="H1542" s="11">
        <v>44511.41666666667</v>
      </c>
      <c r="I1542" s="11">
        <v>44511.4375</v>
      </c>
      <c r="J1542" s="10" t="s">
        <v>128</v>
      </c>
      <c r="K1542" s="10" t="s">
        <v>34</v>
      </c>
      <c r="N1542" s="10" t="s">
        <v>35</v>
      </c>
      <c r="V1542" s="14" t="s">
        <v>5700</v>
      </c>
      <c r="W1542" s="10"/>
      <c r="X1542" s="10" t="s">
        <v>37</v>
      </c>
      <c r="Y1542" s="10" t="s">
        <v>0</v>
      </c>
    </row>
    <row r="1543">
      <c r="A1543" s="10" t="s">
        <v>5701</v>
      </c>
      <c r="B1543" s="11">
        <v>44511.075892106484</v>
      </c>
      <c r="C1543" s="10" t="s">
        <v>347</v>
      </c>
      <c r="D1543" s="10" t="s">
        <v>348</v>
      </c>
      <c r="E1543" s="10" t="s">
        <v>3429</v>
      </c>
      <c r="F1543" s="10" t="s">
        <v>5702</v>
      </c>
      <c r="G1543" s="10" t="s">
        <v>5703</v>
      </c>
      <c r="H1543" s="11">
        <v>44512.39583333333</v>
      </c>
      <c r="I1543" s="11">
        <v>44512.4375</v>
      </c>
      <c r="J1543" s="10" t="s">
        <v>43</v>
      </c>
      <c r="K1543" s="10" t="s">
        <v>61</v>
      </c>
      <c r="L1543" s="10" t="s">
        <v>5704</v>
      </c>
      <c r="N1543" s="10" t="s">
        <v>296</v>
      </c>
      <c r="O1543" s="18" t="s">
        <v>5705</v>
      </c>
      <c r="P1543" s="10" t="s">
        <v>296</v>
      </c>
      <c r="Q1543" s="10">
        <v>3.0</v>
      </c>
      <c r="R1543" s="10" t="s">
        <v>296</v>
      </c>
      <c r="S1543" s="10">
        <v>3.0</v>
      </c>
      <c r="T1543" s="10" t="s">
        <v>35</v>
      </c>
      <c r="V1543" s="9"/>
      <c r="X1543" s="10" t="s">
        <v>37</v>
      </c>
      <c r="Y1543" s="10" t="s">
        <v>0</v>
      </c>
    </row>
    <row r="1544">
      <c r="A1544" s="10" t="s">
        <v>5706</v>
      </c>
      <c r="B1544" s="11">
        <v>44511.077240949075</v>
      </c>
      <c r="C1544" s="10" t="s">
        <v>347</v>
      </c>
      <c r="D1544" s="10" t="s">
        <v>348</v>
      </c>
      <c r="E1544" s="10" t="s">
        <v>3429</v>
      </c>
      <c r="F1544" s="10" t="s">
        <v>5707</v>
      </c>
      <c r="G1544" s="10" t="s">
        <v>5708</v>
      </c>
      <c r="H1544" s="11">
        <v>44512.39583333333</v>
      </c>
      <c r="I1544" s="11">
        <v>44512.4375</v>
      </c>
      <c r="J1544" s="10" t="s">
        <v>43</v>
      </c>
      <c r="K1544" s="10" t="s">
        <v>61</v>
      </c>
      <c r="L1544" s="10" t="s">
        <v>5704</v>
      </c>
      <c r="N1544" s="10" t="s">
        <v>35</v>
      </c>
      <c r="V1544" s="9"/>
      <c r="X1544" s="10" t="s">
        <v>37</v>
      </c>
      <c r="Y1544" s="10" t="s">
        <v>0</v>
      </c>
    </row>
    <row r="1545">
      <c r="A1545" s="10" t="s">
        <v>5709</v>
      </c>
      <c r="B1545" s="11">
        <v>44511.282068368055</v>
      </c>
      <c r="C1545" s="10" t="s">
        <v>671</v>
      </c>
      <c r="D1545" s="10" t="s">
        <v>672</v>
      </c>
      <c r="E1545" s="10" t="s">
        <v>5710</v>
      </c>
      <c r="F1545" s="10" t="s">
        <v>5711</v>
      </c>
      <c r="G1545" s="10" t="s">
        <v>5712</v>
      </c>
      <c r="H1545" s="11">
        <v>44519.52083333333</v>
      </c>
      <c r="I1545" s="11">
        <v>44519.5625</v>
      </c>
      <c r="J1545" s="10" t="s">
        <v>128</v>
      </c>
      <c r="K1545" s="10" t="s">
        <v>34</v>
      </c>
      <c r="N1545" s="10" t="s">
        <v>35</v>
      </c>
      <c r="V1545" s="14" t="s">
        <v>3906</v>
      </c>
      <c r="W1545" s="10"/>
      <c r="X1545" s="10" t="s">
        <v>37</v>
      </c>
      <c r="Y1545" s="10" t="s">
        <v>0</v>
      </c>
    </row>
    <row r="1546">
      <c r="A1546" s="10" t="s">
        <v>5713</v>
      </c>
      <c r="B1546" s="11">
        <v>44511.28387039352</v>
      </c>
      <c r="C1546" s="10" t="s">
        <v>671</v>
      </c>
      <c r="D1546" s="10" t="s">
        <v>672</v>
      </c>
      <c r="E1546" s="10" t="s">
        <v>5710</v>
      </c>
      <c r="F1546" s="10" t="s">
        <v>5714</v>
      </c>
      <c r="G1546" s="10" t="s">
        <v>5715</v>
      </c>
      <c r="H1546" s="11">
        <v>44520.39583333333</v>
      </c>
      <c r="I1546" s="11">
        <v>44520.47916666667</v>
      </c>
      <c r="J1546" s="10" t="s">
        <v>128</v>
      </c>
      <c r="K1546" s="10" t="s">
        <v>34</v>
      </c>
      <c r="N1546" s="10" t="s">
        <v>35</v>
      </c>
      <c r="V1546" s="14" t="s">
        <v>3906</v>
      </c>
      <c r="W1546" s="10"/>
      <c r="X1546" s="10" t="s">
        <v>37</v>
      </c>
      <c r="Y1546" s="10" t="s">
        <v>0</v>
      </c>
    </row>
    <row r="1547">
      <c r="A1547" s="10" t="s">
        <v>5716</v>
      </c>
      <c r="B1547" s="11">
        <v>44511.28589009259</v>
      </c>
      <c r="C1547" s="10" t="s">
        <v>671</v>
      </c>
      <c r="D1547" s="10" t="s">
        <v>672</v>
      </c>
      <c r="E1547" s="10" t="s">
        <v>4092</v>
      </c>
      <c r="F1547" s="10" t="s">
        <v>5717</v>
      </c>
      <c r="G1547" s="10" t="s">
        <v>5718</v>
      </c>
      <c r="H1547" s="11">
        <v>44515.60416666667</v>
      </c>
      <c r="I1547" s="11">
        <v>44515.64583333333</v>
      </c>
      <c r="J1547" s="10" t="s">
        <v>33</v>
      </c>
      <c r="K1547" s="10" t="s">
        <v>34</v>
      </c>
      <c r="N1547" s="10" t="s">
        <v>35</v>
      </c>
      <c r="V1547" s="14" t="s">
        <v>3906</v>
      </c>
      <c r="W1547" s="10"/>
      <c r="X1547" s="10" t="s">
        <v>37</v>
      </c>
      <c r="Y1547" s="10" t="s">
        <v>0</v>
      </c>
    </row>
    <row r="1548">
      <c r="A1548" s="10" t="s">
        <v>5719</v>
      </c>
      <c r="B1548" s="11">
        <v>44511.28757052083</v>
      </c>
      <c r="C1548" s="10" t="s">
        <v>671</v>
      </c>
      <c r="D1548" s="10" t="s">
        <v>672</v>
      </c>
      <c r="E1548" s="10" t="s">
        <v>4092</v>
      </c>
      <c r="F1548" s="10" t="s">
        <v>5720</v>
      </c>
      <c r="G1548" s="10" t="s">
        <v>5721</v>
      </c>
      <c r="H1548" s="11">
        <v>44517.60416666667</v>
      </c>
      <c r="I1548" s="11">
        <v>44517.64583333333</v>
      </c>
      <c r="J1548" s="10" t="s">
        <v>128</v>
      </c>
      <c r="K1548" s="10" t="s">
        <v>34</v>
      </c>
      <c r="N1548" s="10" t="s">
        <v>35</v>
      </c>
      <c r="V1548" s="14" t="s">
        <v>3906</v>
      </c>
      <c r="W1548" s="10"/>
      <c r="X1548" s="10" t="s">
        <v>37</v>
      </c>
      <c r="Y1548" s="10" t="s">
        <v>0</v>
      </c>
    </row>
    <row r="1549">
      <c r="A1549" s="10" t="s">
        <v>5722</v>
      </c>
      <c r="B1549" s="11">
        <v>44511.28899680555</v>
      </c>
      <c r="C1549" s="10" t="s">
        <v>671</v>
      </c>
      <c r="D1549" s="10" t="s">
        <v>672</v>
      </c>
      <c r="E1549" s="10" t="s">
        <v>4092</v>
      </c>
      <c r="F1549" s="10" t="s">
        <v>5723</v>
      </c>
      <c r="G1549" s="10" t="s">
        <v>5724</v>
      </c>
      <c r="H1549" s="11">
        <v>44519.72916666667</v>
      </c>
      <c r="I1549" s="11">
        <v>44519.77083333333</v>
      </c>
      <c r="J1549" s="10" t="s">
        <v>128</v>
      </c>
      <c r="K1549" s="10" t="s">
        <v>34</v>
      </c>
      <c r="N1549" s="10" t="s">
        <v>35</v>
      </c>
      <c r="V1549" s="14" t="s">
        <v>3906</v>
      </c>
      <c r="W1549" s="10"/>
      <c r="X1549" s="10" t="s">
        <v>37</v>
      </c>
      <c r="Y1549" s="10" t="s">
        <v>0</v>
      </c>
    </row>
    <row r="1550">
      <c r="A1550" s="10" t="s">
        <v>5725</v>
      </c>
      <c r="B1550" s="11">
        <v>44511.29048490741</v>
      </c>
      <c r="C1550" s="10" t="s">
        <v>671</v>
      </c>
      <c r="D1550" s="10" t="s">
        <v>672</v>
      </c>
      <c r="E1550" s="10" t="s">
        <v>4092</v>
      </c>
      <c r="F1550" s="10" t="s">
        <v>1492</v>
      </c>
      <c r="G1550" s="10" t="s">
        <v>5726</v>
      </c>
      <c r="H1550" s="11">
        <v>44518.6875</v>
      </c>
      <c r="I1550" s="11">
        <v>44518.77083333333</v>
      </c>
      <c r="J1550" s="10" t="s">
        <v>128</v>
      </c>
      <c r="K1550" s="10" t="s">
        <v>34</v>
      </c>
      <c r="N1550" s="10" t="s">
        <v>35</v>
      </c>
      <c r="V1550" s="14" t="s">
        <v>3906</v>
      </c>
      <c r="W1550" s="10"/>
      <c r="X1550" s="10" t="s">
        <v>37</v>
      </c>
      <c r="Y1550" s="10" t="s">
        <v>0</v>
      </c>
    </row>
    <row r="1551">
      <c r="A1551" s="10" t="s">
        <v>5727</v>
      </c>
      <c r="B1551" s="11">
        <v>44511.42152215278</v>
      </c>
      <c r="C1551" s="10" t="s">
        <v>671</v>
      </c>
      <c r="D1551" s="10" t="s">
        <v>672</v>
      </c>
      <c r="E1551" s="10" t="s">
        <v>1115</v>
      </c>
      <c r="F1551" s="10" t="s">
        <v>5554</v>
      </c>
      <c r="G1551" s="10" t="s">
        <v>5728</v>
      </c>
      <c r="H1551" s="11">
        <v>44518.60416666667</v>
      </c>
      <c r="I1551" s="11">
        <v>44518.64583333333</v>
      </c>
      <c r="J1551" s="10" t="s">
        <v>128</v>
      </c>
      <c r="K1551" s="10" t="s">
        <v>34</v>
      </c>
      <c r="N1551" s="10" t="s">
        <v>296</v>
      </c>
      <c r="O1551" s="18" t="s">
        <v>5729</v>
      </c>
      <c r="P1551" s="10" t="s">
        <v>35</v>
      </c>
      <c r="R1551" s="10" t="s">
        <v>35</v>
      </c>
      <c r="T1551" s="10" t="s">
        <v>296</v>
      </c>
      <c r="U1551" s="10">
        <v>1.0</v>
      </c>
      <c r="V1551" s="14" t="s">
        <v>3906</v>
      </c>
      <c r="W1551" s="10"/>
      <c r="X1551" s="10" t="s">
        <v>37</v>
      </c>
      <c r="Y1551" s="10" t="s">
        <v>0</v>
      </c>
    </row>
    <row r="1552">
      <c r="A1552" s="10" t="s">
        <v>5730</v>
      </c>
      <c r="B1552" s="11">
        <v>44511.42277633102</v>
      </c>
      <c r="C1552" s="10" t="s">
        <v>671</v>
      </c>
      <c r="D1552" s="10" t="s">
        <v>672</v>
      </c>
      <c r="E1552" s="10" t="s">
        <v>1115</v>
      </c>
      <c r="F1552" s="10" t="s">
        <v>5731</v>
      </c>
      <c r="G1552" s="10" t="s">
        <v>5732</v>
      </c>
      <c r="H1552" s="11">
        <v>44519.52083333333</v>
      </c>
      <c r="I1552" s="11">
        <v>44519.5625</v>
      </c>
      <c r="J1552" s="10" t="s">
        <v>51</v>
      </c>
      <c r="K1552" s="10" t="s">
        <v>34</v>
      </c>
      <c r="N1552" s="10" t="s">
        <v>35</v>
      </c>
      <c r="V1552" s="14" t="s">
        <v>3906</v>
      </c>
      <c r="W1552" s="10"/>
      <c r="X1552" s="10" t="s">
        <v>37</v>
      </c>
      <c r="Y1552" s="10" t="s">
        <v>0</v>
      </c>
    </row>
    <row r="1553">
      <c r="A1553" s="10" t="s">
        <v>5733</v>
      </c>
      <c r="B1553" s="11">
        <v>44511.42363344907</v>
      </c>
      <c r="C1553" s="10" t="s">
        <v>671</v>
      </c>
      <c r="D1553" s="10" t="s">
        <v>672</v>
      </c>
      <c r="E1553" s="10" t="s">
        <v>1115</v>
      </c>
      <c r="F1553" s="10" t="s">
        <v>5734</v>
      </c>
      <c r="G1553" s="10" t="s">
        <v>5735</v>
      </c>
      <c r="H1553" s="11">
        <v>44521.77083333333</v>
      </c>
      <c r="I1553" s="11">
        <v>44521.85416666667</v>
      </c>
      <c r="J1553" s="10" t="s">
        <v>128</v>
      </c>
      <c r="K1553" s="10" t="s">
        <v>34</v>
      </c>
      <c r="N1553" s="10" t="s">
        <v>35</v>
      </c>
      <c r="V1553" s="14" t="s">
        <v>3906</v>
      </c>
      <c r="W1553" s="10"/>
      <c r="X1553" s="10" t="s">
        <v>37</v>
      </c>
      <c r="Y1553" s="10" t="s">
        <v>0</v>
      </c>
    </row>
    <row r="1554">
      <c r="A1554" s="10" t="s">
        <v>5736</v>
      </c>
      <c r="B1554" s="11">
        <v>44511.424543877314</v>
      </c>
      <c r="C1554" s="10" t="s">
        <v>671</v>
      </c>
      <c r="D1554" s="10" t="s">
        <v>672</v>
      </c>
      <c r="E1554" s="10" t="s">
        <v>1115</v>
      </c>
      <c r="F1554" s="10" t="s">
        <v>5737</v>
      </c>
      <c r="G1554" s="10" t="s">
        <v>5738</v>
      </c>
      <c r="H1554" s="11">
        <v>44520.60416666667</v>
      </c>
      <c r="I1554" s="11">
        <v>44520.6875</v>
      </c>
      <c r="J1554" s="10" t="s">
        <v>128</v>
      </c>
      <c r="K1554" s="10" t="s">
        <v>34</v>
      </c>
      <c r="N1554" s="10" t="s">
        <v>35</v>
      </c>
      <c r="V1554" s="14" t="s">
        <v>3906</v>
      </c>
      <c r="W1554" s="10"/>
      <c r="X1554" s="10" t="s">
        <v>37</v>
      </c>
      <c r="Y1554" s="10" t="s">
        <v>0</v>
      </c>
    </row>
    <row r="1555">
      <c r="A1555" s="10" t="s">
        <v>5739</v>
      </c>
      <c r="B1555" s="11">
        <v>44511.51183739583</v>
      </c>
      <c r="C1555" s="10" t="s">
        <v>239</v>
      </c>
      <c r="D1555" s="10" t="s">
        <v>240</v>
      </c>
      <c r="E1555" s="10" t="s">
        <v>5740</v>
      </c>
      <c r="F1555" s="10" t="s">
        <v>5741</v>
      </c>
      <c r="G1555" s="10" t="s">
        <v>5742</v>
      </c>
      <c r="H1555" s="11">
        <v>44512.47916666667</v>
      </c>
      <c r="I1555" s="11">
        <v>44512.60416666667</v>
      </c>
      <c r="J1555" s="10" t="s">
        <v>128</v>
      </c>
      <c r="K1555" s="10" t="s">
        <v>34</v>
      </c>
      <c r="N1555" s="10" t="s">
        <v>35</v>
      </c>
      <c r="V1555" s="35" t="s">
        <v>4551</v>
      </c>
      <c r="W1555" s="10"/>
      <c r="X1555" s="10" t="s">
        <v>37</v>
      </c>
      <c r="Y1555" s="10" t="s">
        <v>0</v>
      </c>
    </row>
    <row r="1556">
      <c r="A1556" s="10" t="s">
        <v>5743</v>
      </c>
      <c r="B1556" s="11">
        <v>44511.93925793981</v>
      </c>
      <c r="C1556" s="10" t="s">
        <v>160</v>
      </c>
      <c r="D1556" s="10" t="s">
        <v>161</v>
      </c>
      <c r="E1556" s="10" t="s">
        <v>5207</v>
      </c>
      <c r="F1556" s="10" t="s">
        <v>5744</v>
      </c>
      <c r="G1556" s="10" t="s">
        <v>5745</v>
      </c>
      <c r="H1556" s="11">
        <v>44512.52083333333</v>
      </c>
      <c r="I1556" s="11">
        <v>44512.52083333333</v>
      </c>
      <c r="J1556" s="10" t="s">
        <v>73</v>
      </c>
      <c r="K1556" s="10" t="s">
        <v>34</v>
      </c>
      <c r="N1556" s="10" t="s">
        <v>35</v>
      </c>
      <c r="V1556" s="14" t="s">
        <v>5231</v>
      </c>
      <c r="W1556" s="10"/>
      <c r="X1556" s="10" t="s">
        <v>37</v>
      </c>
      <c r="Y1556" s="10" t="s">
        <v>0</v>
      </c>
    </row>
    <row r="1557">
      <c r="A1557" s="10" t="s">
        <v>5746</v>
      </c>
      <c r="B1557" s="11">
        <v>44512.34178527778</v>
      </c>
      <c r="C1557" s="10" t="s">
        <v>96</v>
      </c>
      <c r="D1557" s="10" t="s">
        <v>97</v>
      </c>
      <c r="E1557" s="10" t="s">
        <v>5747</v>
      </c>
      <c r="F1557" s="10" t="s">
        <v>5748</v>
      </c>
      <c r="G1557" s="10" t="s">
        <v>5749</v>
      </c>
      <c r="H1557" s="11">
        <v>44511.60416666667</v>
      </c>
      <c r="I1557" s="11">
        <v>44511.6875</v>
      </c>
      <c r="J1557" s="10" t="s">
        <v>33</v>
      </c>
      <c r="K1557" s="10" t="s">
        <v>34</v>
      </c>
      <c r="N1557" s="10" t="s">
        <v>296</v>
      </c>
      <c r="O1557" s="18" t="s">
        <v>5750</v>
      </c>
      <c r="P1557" s="10" t="s">
        <v>296</v>
      </c>
      <c r="Q1557" s="10">
        <v>1.0</v>
      </c>
      <c r="R1557" s="10" t="s">
        <v>35</v>
      </c>
      <c r="T1557" s="10" t="s">
        <v>35</v>
      </c>
      <c r="V1557" s="14" t="s">
        <v>5685</v>
      </c>
      <c r="W1557" s="10"/>
      <c r="X1557" s="10" t="s">
        <v>37</v>
      </c>
      <c r="Y1557" s="10" t="s">
        <v>0</v>
      </c>
    </row>
    <row r="1558">
      <c r="A1558" s="10" t="s">
        <v>5751</v>
      </c>
      <c r="B1558" s="11">
        <v>44512.458923495375</v>
      </c>
      <c r="C1558" s="10" t="s">
        <v>181</v>
      </c>
      <c r="D1558" s="10" t="s">
        <v>69</v>
      </c>
      <c r="E1558" s="10" t="s">
        <v>1179</v>
      </c>
      <c r="F1558" s="10" t="s">
        <v>5752</v>
      </c>
      <c r="G1558" s="10" t="s">
        <v>5753</v>
      </c>
      <c r="H1558" s="11">
        <v>44515.33333333333</v>
      </c>
      <c r="I1558" s="11">
        <v>44540.83333333333</v>
      </c>
      <c r="J1558" s="10" t="s">
        <v>60</v>
      </c>
      <c r="K1558" s="10" t="s">
        <v>34</v>
      </c>
      <c r="N1558" s="10" t="s">
        <v>35</v>
      </c>
      <c r="V1558" s="14" t="s">
        <v>4065</v>
      </c>
      <c r="W1558" s="10"/>
      <c r="X1558" s="10" t="s">
        <v>37</v>
      </c>
      <c r="Y1558" s="10" t="s">
        <v>0</v>
      </c>
    </row>
    <row r="1559">
      <c r="A1559" s="10" t="s">
        <v>5754</v>
      </c>
      <c r="B1559" s="11">
        <v>44512.46159277778</v>
      </c>
      <c r="C1559" s="10" t="s">
        <v>181</v>
      </c>
      <c r="D1559" s="10" t="s">
        <v>69</v>
      </c>
      <c r="E1559" s="10" t="s">
        <v>5755</v>
      </c>
      <c r="F1559" s="10" t="s">
        <v>5756</v>
      </c>
      <c r="G1559" s="10" t="s">
        <v>5757</v>
      </c>
      <c r="H1559" s="11">
        <v>44519.60416666667</v>
      </c>
      <c r="I1559" s="11">
        <v>44519.6875</v>
      </c>
      <c r="J1559" s="10" t="s">
        <v>33</v>
      </c>
      <c r="K1559" s="10" t="s">
        <v>34</v>
      </c>
      <c r="N1559" s="10" t="s">
        <v>296</v>
      </c>
      <c r="O1559" s="18" t="s">
        <v>5758</v>
      </c>
      <c r="P1559" s="10" t="s">
        <v>296</v>
      </c>
      <c r="Q1559" s="10">
        <v>1.0</v>
      </c>
      <c r="R1559" s="10" t="s">
        <v>35</v>
      </c>
      <c r="T1559" s="10" t="s">
        <v>35</v>
      </c>
      <c r="V1559" s="14" t="s">
        <v>5759</v>
      </c>
      <c r="W1559" s="10"/>
      <c r="X1559" s="10" t="s">
        <v>37</v>
      </c>
      <c r="Y1559" s="10" t="s">
        <v>0</v>
      </c>
    </row>
    <row r="1560">
      <c r="A1560" s="10" t="s">
        <v>5760</v>
      </c>
      <c r="B1560" s="11">
        <v>44512.463029872684</v>
      </c>
      <c r="C1560" s="10" t="s">
        <v>181</v>
      </c>
      <c r="D1560" s="10" t="s">
        <v>69</v>
      </c>
      <c r="E1560" s="10" t="s">
        <v>5481</v>
      </c>
      <c r="F1560" s="10" t="s">
        <v>5761</v>
      </c>
      <c r="G1560" s="10" t="s">
        <v>5762</v>
      </c>
      <c r="H1560" s="11">
        <v>44519.4375</v>
      </c>
      <c r="I1560" s="11">
        <v>44519.52083333333</v>
      </c>
      <c r="J1560" s="10" t="s">
        <v>33</v>
      </c>
      <c r="K1560" s="10" t="s">
        <v>34</v>
      </c>
      <c r="N1560" s="10" t="s">
        <v>296</v>
      </c>
      <c r="O1560" s="18" t="s">
        <v>5763</v>
      </c>
      <c r="P1560" s="10" t="s">
        <v>296</v>
      </c>
      <c r="Q1560" s="10">
        <v>1.0</v>
      </c>
      <c r="R1560" s="10" t="s">
        <v>35</v>
      </c>
      <c r="T1560" s="10" t="s">
        <v>35</v>
      </c>
      <c r="V1560" s="14" t="s">
        <v>5764</v>
      </c>
      <c r="W1560" s="10"/>
      <c r="X1560" s="10" t="s">
        <v>37</v>
      </c>
      <c r="Y1560" s="10" t="s">
        <v>0</v>
      </c>
    </row>
    <row r="1561">
      <c r="A1561" s="10" t="s">
        <v>5765</v>
      </c>
      <c r="B1561" s="11">
        <v>44512.46424158565</v>
      </c>
      <c r="C1561" s="10" t="s">
        <v>181</v>
      </c>
      <c r="D1561" s="10" t="s">
        <v>69</v>
      </c>
      <c r="E1561" s="10" t="s">
        <v>5481</v>
      </c>
      <c r="F1561" s="10" t="s">
        <v>5766</v>
      </c>
      <c r="G1561" s="10" t="s">
        <v>5767</v>
      </c>
      <c r="H1561" s="11">
        <v>44520.60416666667</v>
      </c>
      <c r="I1561" s="11">
        <v>44520.6875</v>
      </c>
      <c r="J1561" s="10" t="s">
        <v>33</v>
      </c>
      <c r="K1561" s="10" t="s">
        <v>34</v>
      </c>
      <c r="N1561" s="10" t="s">
        <v>296</v>
      </c>
      <c r="O1561" s="18" t="s">
        <v>5768</v>
      </c>
      <c r="P1561" s="10" t="s">
        <v>296</v>
      </c>
      <c r="Q1561" s="10">
        <v>1.0</v>
      </c>
      <c r="R1561" s="10" t="s">
        <v>35</v>
      </c>
      <c r="T1561" s="10" t="s">
        <v>35</v>
      </c>
      <c r="V1561" s="14" t="s">
        <v>5769</v>
      </c>
      <c r="W1561" s="10"/>
      <c r="X1561" s="10" t="s">
        <v>37</v>
      </c>
      <c r="Y1561" s="10" t="s">
        <v>0</v>
      </c>
    </row>
    <row r="1562">
      <c r="A1562" s="10" t="s">
        <v>5770</v>
      </c>
      <c r="B1562" s="11">
        <v>44512.46539600694</v>
      </c>
      <c r="C1562" s="10" t="s">
        <v>181</v>
      </c>
      <c r="D1562" s="10" t="s">
        <v>69</v>
      </c>
      <c r="E1562" s="10" t="s">
        <v>3733</v>
      </c>
      <c r="F1562" s="10" t="s">
        <v>4049</v>
      </c>
      <c r="G1562" s="10" t="s">
        <v>5771</v>
      </c>
      <c r="H1562" s="11">
        <v>44516.5</v>
      </c>
      <c r="I1562" s="11">
        <v>44516.54166666667</v>
      </c>
      <c r="J1562" s="10" t="s">
        <v>128</v>
      </c>
      <c r="K1562" s="10" t="s">
        <v>34</v>
      </c>
      <c r="N1562" s="10" t="s">
        <v>35</v>
      </c>
      <c r="V1562" s="14" t="s">
        <v>3658</v>
      </c>
      <c r="W1562" s="10"/>
      <c r="X1562" s="10" t="s">
        <v>37</v>
      </c>
      <c r="Y1562" s="10" t="s">
        <v>0</v>
      </c>
    </row>
    <row r="1563">
      <c r="A1563" s="10" t="s">
        <v>5772</v>
      </c>
      <c r="B1563" s="11">
        <v>44512.466158634255</v>
      </c>
      <c r="C1563" s="10" t="s">
        <v>181</v>
      </c>
      <c r="D1563" s="10" t="s">
        <v>69</v>
      </c>
      <c r="E1563" s="10" t="s">
        <v>3864</v>
      </c>
      <c r="F1563" s="10" t="s">
        <v>4386</v>
      </c>
      <c r="G1563" s="10" t="s">
        <v>5773</v>
      </c>
      <c r="H1563" s="11">
        <v>44515.72916666667</v>
      </c>
      <c r="I1563" s="11">
        <v>44515.77083333333</v>
      </c>
      <c r="J1563" s="10" t="s">
        <v>128</v>
      </c>
      <c r="K1563" s="10" t="s">
        <v>34</v>
      </c>
      <c r="N1563" s="10" t="s">
        <v>35</v>
      </c>
      <c r="V1563" s="35" t="s">
        <v>4844</v>
      </c>
      <c r="W1563" s="10"/>
      <c r="X1563" s="10" t="s">
        <v>37</v>
      </c>
      <c r="Y1563" s="10" t="s">
        <v>0</v>
      </c>
    </row>
    <row r="1564">
      <c r="A1564" s="10" t="s">
        <v>5774</v>
      </c>
      <c r="B1564" s="11">
        <v>44512.46747979167</v>
      </c>
      <c r="C1564" s="10" t="s">
        <v>181</v>
      </c>
      <c r="D1564" s="10" t="s">
        <v>69</v>
      </c>
      <c r="E1564" s="10" t="s">
        <v>1229</v>
      </c>
      <c r="F1564" s="10" t="s">
        <v>5775</v>
      </c>
      <c r="G1564" s="10" t="s">
        <v>5776</v>
      </c>
      <c r="H1564" s="11">
        <v>44517.4375</v>
      </c>
      <c r="I1564" s="11">
        <v>44517.47916666667</v>
      </c>
      <c r="J1564" s="10" t="s">
        <v>43</v>
      </c>
      <c r="K1564" s="10" t="s">
        <v>34</v>
      </c>
      <c r="N1564" s="10" t="s">
        <v>296</v>
      </c>
      <c r="O1564" s="18" t="s">
        <v>5777</v>
      </c>
      <c r="P1564" s="10" t="s">
        <v>35</v>
      </c>
      <c r="R1564" s="10" t="s">
        <v>35</v>
      </c>
      <c r="T1564" s="10" t="s">
        <v>296</v>
      </c>
      <c r="U1564" s="10">
        <v>1.0</v>
      </c>
      <c r="V1564" s="14" t="s">
        <v>5778</v>
      </c>
      <c r="W1564" s="10"/>
      <c r="X1564" s="10" t="s">
        <v>37</v>
      </c>
      <c r="Y1564" s="10" t="s">
        <v>0</v>
      </c>
    </row>
    <row r="1565">
      <c r="A1565" s="10" t="s">
        <v>5779</v>
      </c>
      <c r="B1565" s="11">
        <v>44512.47254905093</v>
      </c>
      <c r="C1565" s="10" t="s">
        <v>3304</v>
      </c>
      <c r="D1565" s="10" t="s">
        <v>695</v>
      </c>
      <c r="E1565" s="10" t="s">
        <v>4316</v>
      </c>
      <c r="F1565" s="10" t="s">
        <v>5780</v>
      </c>
      <c r="G1565" s="10" t="s">
        <v>5781</v>
      </c>
      <c r="H1565" s="11">
        <v>44515.39583333333</v>
      </c>
      <c r="I1565" s="11">
        <v>44515.99930555555</v>
      </c>
      <c r="J1565" s="10" t="s">
        <v>73</v>
      </c>
      <c r="K1565" s="10" t="s">
        <v>34</v>
      </c>
      <c r="N1565" s="10" t="s">
        <v>35</v>
      </c>
      <c r="V1565" s="14" t="s">
        <v>3464</v>
      </c>
      <c r="W1565" s="10"/>
      <c r="X1565" s="10" t="s">
        <v>37</v>
      </c>
      <c r="Y1565" s="10" t="s">
        <v>0</v>
      </c>
    </row>
    <row r="1566">
      <c r="A1566" s="10" t="s">
        <v>5782</v>
      </c>
      <c r="B1566" s="11">
        <v>44512.64024057871</v>
      </c>
      <c r="C1566" s="10" t="s">
        <v>3304</v>
      </c>
      <c r="D1566" s="10" t="s">
        <v>695</v>
      </c>
      <c r="E1566" s="10" t="s">
        <v>5783</v>
      </c>
      <c r="F1566" s="10" t="s">
        <v>5784</v>
      </c>
      <c r="G1566" s="10" t="s">
        <v>5785</v>
      </c>
      <c r="H1566" s="11">
        <v>44519.625</v>
      </c>
      <c r="I1566" s="11">
        <v>44519.99930555555</v>
      </c>
      <c r="J1566" s="10" t="s">
        <v>73</v>
      </c>
      <c r="K1566" s="10" t="s">
        <v>34</v>
      </c>
      <c r="N1566" s="10" t="s">
        <v>296</v>
      </c>
      <c r="O1566" s="18" t="s">
        <v>5786</v>
      </c>
      <c r="P1566" s="10" t="s">
        <v>35</v>
      </c>
      <c r="R1566" s="10" t="s">
        <v>35</v>
      </c>
      <c r="T1566" s="10" t="s">
        <v>296</v>
      </c>
      <c r="U1566" s="10">
        <v>1.0</v>
      </c>
      <c r="V1566" s="14" t="s">
        <v>3464</v>
      </c>
      <c r="W1566" s="10"/>
      <c r="X1566" s="10" t="s">
        <v>37</v>
      </c>
      <c r="Y1566" s="10" t="s">
        <v>0</v>
      </c>
    </row>
    <row r="1567">
      <c r="A1567" s="10" t="s">
        <v>5787</v>
      </c>
      <c r="B1567" s="11">
        <v>44512.65781899306</v>
      </c>
      <c r="C1567" s="10" t="s">
        <v>96</v>
      </c>
      <c r="D1567" s="10" t="s">
        <v>97</v>
      </c>
      <c r="E1567" s="10" t="s">
        <v>5747</v>
      </c>
      <c r="F1567" s="10" t="s">
        <v>5788</v>
      </c>
      <c r="G1567" s="10" t="s">
        <v>5789</v>
      </c>
      <c r="H1567" s="11">
        <v>44512.60416666667</v>
      </c>
      <c r="I1567" s="11">
        <v>44512.6875</v>
      </c>
      <c r="J1567" s="10" t="s">
        <v>43</v>
      </c>
      <c r="K1567" s="10" t="s">
        <v>34</v>
      </c>
      <c r="N1567" s="10" t="s">
        <v>296</v>
      </c>
      <c r="O1567" s="18" t="s">
        <v>5790</v>
      </c>
      <c r="P1567" s="10" t="s">
        <v>296</v>
      </c>
      <c r="Q1567" s="10">
        <v>3.0</v>
      </c>
      <c r="R1567" s="10" t="s">
        <v>35</v>
      </c>
      <c r="T1567" s="10" t="s">
        <v>35</v>
      </c>
      <c r="V1567" s="14" t="s">
        <v>5791</v>
      </c>
      <c r="W1567" s="10"/>
      <c r="X1567" s="10" t="s">
        <v>37</v>
      </c>
      <c r="Y1567" s="10" t="s">
        <v>0</v>
      </c>
    </row>
    <row r="1568">
      <c r="A1568" s="10" t="s">
        <v>5792</v>
      </c>
      <c r="B1568" s="11">
        <v>44512.66319387731</v>
      </c>
      <c r="C1568" s="10" t="s">
        <v>96</v>
      </c>
      <c r="D1568" s="10" t="s">
        <v>97</v>
      </c>
      <c r="E1568" s="10" t="s">
        <v>5747</v>
      </c>
      <c r="F1568" s="10" t="s">
        <v>5793</v>
      </c>
      <c r="G1568" s="10" t="s">
        <v>5794</v>
      </c>
      <c r="H1568" s="11">
        <v>44512.60416666667</v>
      </c>
      <c r="I1568" s="11">
        <v>44512.6875</v>
      </c>
      <c r="J1568" s="10" t="s">
        <v>43</v>
      </c>
      <c r="K1568" s="10" t="s">
        <v>34</v>
      </c>
      <c r="N1568" s="10" t="s">
        <v>296</v>
      </c>
      <c r="O1568" s="18" t="s">
        <v>5795</v>
      </c>
      <c r="P1568" s="10" t="s">
        <v>296</v>
      </c>
      <c r="Q1568" s="10">
        <v>2.0</v>
      </c>
      <c r="R1568" s="10" t="s">
        <v>35</v>
      </c>
      <c r="T1568" s="10" t="s">
        <v>35</v>
      </c>
      <c r="V1568" s="14" t="s">
        <v>5796</v>
      </c>
      <c r="W1568" s="10"/>
      <c r="X1568" s="10" t="s">
        <v>37</v>
      </c>
      <c r="Y1568" s="10" t="s">
        <v>0</v>
      </c>
    </row>
    <row r="1569">
      <c r="A1569" s="10" t="s">
        <v>5797</v>
      </c>
      <c r="B1569" s="11">
        <v>44512.72436893519</v>
      </c>
      <c r="C1569" s="10" t="s">
        <v>150</v>
      </c>
      <c r="D1569" s="10" t="s">
        <v>151</v>
      </c>
      <c r="E1569" s="10" t="s">
        <v>4257</v>
      </c>
      <c r="F1569" s="10" t="s">
        <v>5798</v>
      </c>
      <c r="G1569" s="10" t="s">
        <v>5799</v>
      </c>
      <c r="H1569" s="11">
        <v>44513.41666666667</v>
      </c>
      <c r="I1569" s="11">
        <v>44513.5</v>
      </c>
      <c r="J1569" s="10" t="s">
        <v>43</v>
      </c>
      <c r="K1569" s="10" t="s">
        <v>34</v>
      </c>
      <c r="N1569" s="10" t="s">
        <v>296</v>
      </c>
      <c r="O1569" s="18" t="s">
        <v>5800</v>
      </c>
      <c r="P1569" s="10" t="s">
        <v>296</v>
      </c>
      <c r="Q1569" s="10">
        <v>1.0</v>
      </c>
      <c r="R1569" s="10" t="s">
        <v>35</v>
      </c>
      <c r="T1569" s="10" t="s">
        <v>35</v>
      </c>
      <c r="V1569" s="14" t="s">
        <v>5801</v>
      </c>
      <c r="W1569" s="10"/>
      <c r="X1569" s="10" t="s">
        <v>37</v>
      </c>
      <c r="Y1569" s="10" t="s">
        <v>0</v>
      </c>
    </row>
    <row r="1570">
      <c r="A1570" s="10" t="s">
        <v>5802</v>
      </c>
      <c r="B1570" s="11">
        <v>44515.81218702546</v>
      </c>
      <c r="C1570" s="10" t="s">
        <v>28</v>
      </c>
      <c r="D1570" s="10" t="s">
        <v>29</v>
      </c>
      <c r="E1570" s="10" t="s">
        <v>39</v>
      </c>
      <c r="F1570" s="10" t="s">
        <v>5803</v>
      </c>
      <c r="G1570" s="10" t="s">
        <v>5804</v>
      </c>
      <c r="H1570" s="11">
        <v>44517.77083333333</v>
      </c>
      <c r="I1570" s="11">
        <v>44517.85416666667</v>
      </c>
      <c r="J1570" s="10" t="s">
        <v>43</v>
      </c>
      <c r="K1570" s="10" t="s">
        <v>34</v>
      </c>
      <c r="N1570" s="10" t="s">
        <v>35</v>
      </c>
      <c r="V1570" s="14" t="s">
        <v>5805</v>
      </c>
      <c r="W1570" s="10"/>
      <c r="X1570" s="10" t="s">
        <v>37</v>
      </c>
      <c r="Y1570" s="10" t="s">
        <v>0</v>
      </c>
    </row>
    <row r="1571">
      <c r="A1571" s="10" t="s">
        <v>5806</v>
      </c>
      <c r="B1571" s="11">
        <v>44515.89579537037</v>
      </c>
      <c r="C1571" s="10" t="s">
        <v>347</v>
      </c>
      <c r="D1571" s="10" t="s">
        <v>348</v>
      </c>
      <c r="E1571" s="10" t="s">
        <v>3429</v>
      </c>
      <c r="F1571" s="10" t="s">
        <v>5807</v>
      </c>
      <c r="G1571" s="10" t="s">
        <v>5808</v>
      </c>
      <c r="H1571" s="11">
        <v>44516.72916666667</v>
      </c>
      <c r="I1571" s="11">
        <v>44516.8125</v>
      </c>
      <c r="J1571" s="10" t="s">
        <v>43</v>
      </c>
      <c r="K1571" s="10" t="s">
        <v>34</v>
      </c>
      <c r="N1571" s="10" t="s">
        <v>296</v>
      </c>
      <c r="O1571" s="18" t="s">
        <v>5809</v>
      </c>
      <c r="P1571" s="10" t="s">
        <v>296</v>
      </c>
      <c r="Q1571" s="10">
        <v>1.0</v>
      </c>
      <c r="R1571" s="10" t="s">
        <v>296</v>
      </c>
      <c r="S1571" s="10">
        <v>1.0</v>
      </c>
      <c r="T1571" s="10" t="s">
        <v>35</v>
      </c>
      <c r="V1571" s="14" t="s">
        <v>5810</v>
      </c>
      <c r="W1571" s="10"/>
      <c r="X1571" s="10" t="s">
        <v>37</v>
      </c>
      <c r="Y1571" s="10" t="s">
        <v>0</v>
      </c>
    </row>
    <row r="1572">
      <c r="A1572" s="10" t="s">
        <v>5811</v>
      </c>
      <c r="B1572" s="11">
        <v>44515.90249309028</v>
      </c>
      <c r="C1572" s="10" t="s">
        <v>347</v>
      </c>
      <c r="D1572" s="10" t="s">
        <v>348</v>
      </c>
      <c r="E1572" s="10" t="s">
        <v>3429</v>
      </c>
      <c r="F1572" s="10" t="s">
        <v>5812</v>
      </c>
      <c r="G1572" s="10" t="s">
        <v>5813</v>
      </c>
      <c r="H1572" s="11">
        <v>44519.35416666667</v>
      </c>
      <c r="I1572" s="11">
        <v>44519.4375</v>
      </c>
      <c r="J1572" s="10" t="s">
        <v>43</v>
      </c>
      <c r="K1572" s="10" t="s">
        <v>34</v>
      </c>
      <c r="N1572" s="10" t="s">
        <v>296</v>
      </c>
      <c r="O1572" s="18" t="s">
        <v>5814</v>
      </c>
      <c r="P1572" s="10" t="s">
        <v>296</v>
      </c>
      <c r="Q1572" s="10">
        <v>1.0</v>
      </c>
      <c r="R1572" s="10" t="s">
        <v>296</v>
      </c>
      <c r="S1572" s="10">
        <v>1.0</v>
      </c>
      <c r="T1572" s="10" t="s">
        <v>35</v>
      </c>
      <c r="V1572" s="14" t="s">
        <v>5815</v>
      </c>
      <c r="W1572" s="10"/>
      <c r="X1572" s="10" t="s">
        <v>37</v>
      </c>
      <c r="Y1572" s="10" t="s">
        <v>0</v>
      </c>
    </row>
    <row r="1573">
      <c r="A1573" s="10" t="s">
        <v>5816</v>
      </c>
      <c r="B1573" s="11">
        <v>44516.487936631944</v>
      </c>
      <c r="C1573" s="10" t="s">
        <v>3304</v>
      </c>
      <c r="D1573" s="10" t="s">
        <v>695</v>
      </c>
      <c r="E1573" s="10" t="s">
        <v>4316</v>
      </c>
      <c r="F1573" s="10" t="s">
        <v>5817</v>
      </c>
      <c r="G1573" s="10" t="s">
        <v>5818</v>
      </c>
      <c r="H1573" s="11">
        <v>44518.33333333333</v>
      </c>
      <c r="I1573" s="11">
        <v>44518.41666666667</v>
      </c>
      <c r="J1573" s="10" t="s">
        <v>43</v>
      </c>
      <c r="K1573" s="10" t="s">
        <v>34</v>
      </c>
      <c r="N1573" s="10" t="s">
        <v>296</v>
      </c>
      <c r="O1573" s="18" t="s">
        <v>5819</v>
      </c>
      <c r="P1573" s="10" t="s">
        <v>35</v>
      </c>
      <c r="R1573" s="10" t="s">
        <v>296</v>
      </c>
      <c r="S1573" s="10">
        <v>1.0</v>
      </c>
      <c r="T1573" s="10" t="s">
        <v>35</v>
      </c>
      <c r="V1573" s="14" t="s">
        <v>5820</v>
      </c>
      <c r="W1573" s="10"/>
      <c r="X1573" s="10" t="s">
        <v>37</v>
      </c>
      <c r="Y1573" s="10" t="s">
        <v>0</v>
      </c>
    </row>
    <row r="1574">
      <c r="A1574" s="10" t="s">
        <v>5821</v>
      </c>
      <c r="B1574" s="11">
        <v>44516.54340380787</v>
      </c>
      <c r="C1574" s="10" t="s">
        <v>80</v>
      </c>
      <c r="D1574" s="10" t="s">
        <v>81</v>
      </c>
      <c r="E1574" s="10" t="s">
        <v>5676</v>
      </c>
      <c r="F1574" s="10" t="s">
        <v>5822</v>
      </c>
      <c r="G1574" s="10" t="s">
        <v>5823</v>
      </c>
      <c r="H1574" s="11">
        <v>44512.60416666667</v>
      </c>
      <c r="I1574" s="11">
        <v>44512.6875</v>
      </c>
      <c r="J1574" s="10" t="s">
        <v>43</v>
      </c>
      <c r="K1574" s="10" t="s">
        <v>34</v>
      </c>
      <c r="N1574" s="10" t="s">
        <v>296</v>
      </c>
      <c r="O1574" s="18" t="s">
        <v>5824</v>
      </c>
      <c r="P1574" s="10" t="s">
        <v>296</v>
      </c>
      <c r="Q1574" s="10">
        <v>2.0</v>
      </c>
      <c r="R1574" s="10" t="s">
        <v>35</v>
      </c>
      <c r="T1574" s="10" t="s">
        <v>35</v>
      </c>
      <c r="V1574" s="14" t="s">
        <v>5825</v>
      </c>
      <c r="W1574" s="10"/>
      <c r="X1574" s="10" t="s">
        <v>37</v>
      </c>
      <c r="Y1574" s="10" t="s">
        <v>0</v>
      </c>
    </row>
    <row r="1575">
      <c r="A1575" s="10" t="s">
        <v>5826</v>
      </c>
      <c r="B1575" s="11">
        <v>44516.547811620374</v>
      </c>
      <c r="C1575" s="10" t="s">
        <v>80</v>
      </c>
      <c r="D1575" s="10" t="s">
        <v>81</v>
      </c>
      <c r="E1575" s="10" t="s">
        <v>3135</v>
      </c>
      <c r="F1575" s="10" t="s">
        <v>5822</v>
      </c>
      <c r="G1575" s="10" t="s">
        <v>5827</v>
      </c>
      <c r="H1575" s="11">
        <v>44512.60416666667</v>
      </c>
      <c r="I1575" s="11">
        <v>44512.6875</v>
      </c>
      <c r="J1575" s="10" t="s">
        <v>43</v>
      </c>
      <c r="K1575" s="10" t="s">
        <v>34</v>
      </c>
      <c r="N1575" s="10" t="s">
        <v>296</v>
      </c>
      <c r="O1575" s="18" t="s">
        <v>5828</v>
      </c>
      <c r="P1575" s="10" t="s">
        <v>296</v>
      </c>
      <c r="Q1575" s="10">
        <v>2.0</v>
      </c>
      <c r="R1575" s="10" t="s">
        <v>35</v>
      </c>
      <c r="T1575" s="10" t="s">
        <v>35</v>
      </c>
      <c r="V1575" s="14" t="s">
        <v>5829</v>
      </c>
      <c r="W1575" s="10"/>
      <c r="X1575" s="10" t="s">
        <v>37</v>
      </c>
      <c r="Y1575" s="10" t="s">
        <v>0</v>
      </c>
    </row>
    <row r="1576">
      <c r="A1576" s="10" t="s">
        <v>5830</v>
      </c>
      <c r="B1576" s="11">
        <v>44516.55147943287</v>
      </c>
      <c r="C1576" s="10" t="s">
        <v>80</v>
      </c>
      <c r="D1576" s="10" t="s">
        <v>81</v>
      </c>
      <c r="E1576" s="10" t="s">
        <v>5676</v>
      </c>
      <c r="F1576" s="10" t="s">
        <v>5822</v>
      </c>
      <c r="G1576" s="10" t="s">
        <v>5831</v>
      </c>
      <c r="H1576" s="11">
        <v>44513.60416666667</v>
      </c>
      <c r="I1576" s="11">
        <v>44513.6875</v>
      </c>
      <c r="J1576" s="10" t="s">
        <v>43</v>
      </c>
      <c r="K1576" s="10" t="s">
        <v>34</v>
      </c>
      <c r="N1576" s="10" t="s">
        <v>296</v>
      </c>
      <c r="O1576" s="18" t="s">
        <v>5832</v>
      </c>
      <c r="P1576" s="10" t="s">
        <v>296</v>
      </c>
      <c r="Q1576" s="10">
        <v>1.0</v>
      </c>
      <c r="R1576" s="10" t="s">
        <v>35</v>
      </c>
      <c r="T1576" s="10" t="s">
        <v>35</v>
      </c>
      <c r="V1576" s="14" t="s">
        <v>5833</v>
      </c>
      <c r="W1576" s="10"/>
      <c r="X1576" s="10" t="s">
        <v>37</v>
      </c>
      <c r="Y1576" s="10" t="s">
        <v>0</v>
      </c>
    </row>
    <row r="1577">
      <c r="A1577" s="10" t="s">
        <v>5834</v>
      </c>
      <c r="B1577" s="11">
        <v>44516.58230450231</v>
      </c>
      <c r="C1577" s="10" t="s">
        <v>80</v>
      </c>
      <c r="D1577" s="10" t="s">
        <v>81</v>
      </c>
      <c r="E1577" s="10" t="s">
        <v>5676</v>
      </c>
      <c r="F1577" s="10" t="s">
        <v>5822</v>
      </c>
      <c r="G1577" s="10" t="s">
        <v>5835</v>
      </c>
      <c r="H1577" s="11">
        <v>44513.60416666667</v>
      </c>
      <c r="I1577" s="11">
        <v>44513.6875</v>
      </c>
      <c r="J1577" s="10" t="s">
        <v>43</v>
      </c>
      <c r="K1577" s="10" t="s">
        <v>34</v>
      </c>
      <c r="N1577" s="10" t="s">
        <v>296</v>
      </c>
      <c r="O1577" s="18" t="s">
        <v>5836</v>
      </c>
      <c r="P1577" s="10" t="s">
        <v>296</v>
      </c>
      <c r="Q1577" s="10">
        <v>1.0</v>
      </c>
      <c r="R1577" s="10" t="s">
        <v>35</v>
      </c>
      <c r="T1577" s="10" t="s">
        <v>35</v>
      </c>
      <c r="V1577" s="14" t="s">
        <v>5837</v>
      </c>
      <c r="W1577" s="10"/>
      <c r="X1577" s="10" t="s">
        <v>37</v>
      </c>
      <c r="Y1577" s="10" t="s">
        <v>0</v>
      </c>
    </row>
    <row r="1578">
      <c r="A1578" s="10" t="s">
        <v>5838</v>
      </c>
      <c r="B1578" s="11">
        <v>44516.72369273148</v>
      </c>
      <c r="C1578" s="10" t="s">
        <v>160</v>
      </c>
      <c r="D1578" s="10" t="s">
        <v>161</v>
      </c>
      <c r="E1578" s="10" t="s">
        <v>5207</v>
      </c>
      <c r="F1578" s="10" t="s">
        <v>5839</v>
      </c>
      <c r="G1578" s="10" t="s">
        <v>5840</v>
      </c>
      <c r="H1578" s="11">
        <v>44517.5</v>
      </c>
      <c r="I1578" s="11">
        <v>44517.5</v>
      </c>
      <c r="J1578" s="10" t="s">
        <v>73</v>
      </c>
      <c r="K1578" s="10" t="s">
        <v>34</v>
      </c>
      <c r="N1578" s="10" t="s">
        <v>35</v>
      </c>
      <c r="V1578" s="14" t="s">
        <v>5231</v>
      </c>
      <c r="W1578" s="10"/>
      <c r="X1578" s="10" t="s">
        <v>37</v>
      </c>
      <c r="Y1578" s="10" t="s">
        <v>0</v>
      </c>
    </row>
    <row r="1579">
      <c r="A1579" s="10" t="s">
        <v>5841</v>
      </c>
      <c r="B1579" s="11">
        <v>44517.434656550926</v>
      </c>
      <c r="C1579" s="10" t="s">
        <v>3916</v>
      </c>
      <c r="D1579" s="10" t="s">
        <v>3917</v>
      </c>
      <c r="E1579" s="10" t="s">
        <v>3918</v>
      </c>
      <c r="F1579" s="10" t="s">
        <v>5842</v>
      </c>
      <c r="G1579" s="10" t="s">
        <v>5843</v>
      </c>
      <c r="H1579" s="11">
        <v>44520.75</v>
      </c>
      <c r="I1579" s="11">
        <v>44520.8125</v>
      </c>
      <c r="J1579" s="10" t="s">
        <v>128</v>
      </c>
      <c r="K1579" s="10" t="s">
        <v>34</v>
      </c>
      <c r="N1579" s="10" t="s">
        <v>35</v>
      </c>
      <c r="V1579" s="14" t="s">
        <v>5844</v>
      </c>
      <c r="W1579" s="10"/>
      <c r="X1579" s="10" t="s">
        <v>37</v>
      </c>
      <c r="Y1579" s="10" t="s">
        <v>0</v>
      </c>
    </row>
    <row r="1580">
      <c r="A1580" s="10" t="s">
        <v>5845</v>
      </c>
      <c r="B1580" s="11">
        <v>44518.708197534725</v>
      </c>
      <c r="C1580" s="10" t="s">
        <v>160</v>
      </c>
      <c r="D1580" s="10" t="s">
        <v>161</v>
      </c>
      <c r="E1580" s="10" t="s">
        <v>5207</v>
      </c>
      <c r="F1580" s="10" t="s">
        <v>5846</v>
      </c>
      <c r="G1580" s="10" t="s">
        <v>5847</v>
      </c>
      <c r="H1580" s="11">
        <v>44518.70833333333</v>
      </c>
      <c r="I1580" s="11">
        <v>44518.70833333333</v>
      </c>
      <c r="J1580" s="10" t="s">
        <v>73</v>
      </c>
      <c r="K1580" s="10" t="s">
        <v>34</v>
      </c>
      <c r="N1580" s="10" t="s">
        <v>35</v>
      </c>
      <c r="V1580" s="14" t="s">
        <v>5231</v>
      </c>
      <c r="W1580" s="10"/>
      <c r="X1580" s="10" t="s">
        <v>37</v>
      </c>
      <c r="Y1580" s="10" t="s">
        <v>0</v>
      </c>
    </row>
    <row r="1581">
      <c r="A1581" s="10" t="s">
        <v>5848</v>
      </c>
      <c r="B1581" s="11">
        <v>44518.72625515047</v>
      </c>
      <c r="C1581" s="10" t="s">
        <v>239</v>
      </c>
      <c r="D1581" s="10" t="s">
        <v>240</v>
      </c>
      <c r="E1581" s="10" t="s">
        <v>4561</v>
      </c>
      <c r="F1581" s="10" t="s">
        <v>5849</v>
      </c>
      <c r="G1581" s="10" t="s">
        <v>5850</v>
      </c>
      <c r="H1581" s="11">
        <v>44520.29166666667</v>
      </c>
      <c r="I1581" s="11">
        <v>44521.83333333333</v>
      </c>
      <c r="J1581" s="10" t="s">
        <v>236</v>
      </c>
      <c r="K1581" s="10" t="s">
        <v>61</v>
      </c>
      <c r="L1581" s="10" t="s">
        <v>4997</v>
      </c>
      <c r="N1581" s="10" t="s">
        <v>35</v>
      </c>
      <c r="V1581" s="9"/>
      <c r="X1581" s="10" t="s">
        <v>37</v>
      </c>
      <c r="Y1581" s="10" t="s">
        <v>0</v>
      </c>
    </row>
    <row r="1582">
      <c r="A1582" s="10" t="s">
        <v>5851</v>
      </c>
      <c r="B1582" s="11">
        <v>44518.75381436343</v>
      </c>
      <c r="C1582" s="10" t="s">
        <v>239</v>
      </c>
      <c r="D1582" s="10" t="s">
        <v>240</v>
      </c>
      <c r="E1582" s="10" t="s">
        <v>4561</v>
      </c>
      <c r="F1582" s="10" t="s">
        <v>5852</v>
      </c>
      <c r="G1582" s="10" t="s">
        <v>5853</v>
      </c>
      <c r="H1582" s="11">
        <v>44533.64583333333</v>
      </c>
      <c r="I1582" s="11">
        <v>44533.6875</v>
      </c>
      <c r="J1582" s="10" t="s">
        <v>128</v>
      </c>
      <c r="K1582" s="10" t="s">
        <v>34</v>
      </c>
      <c r="N1582" s="10" t="s">
        <v>35</v>
      </c>
      <c r="V1582" s="14" t="s">
        <v>5854</v>
      </c>
      <c r="W1582" s="10"/>
      <c r="X1582" s="10" t="s">
        <v>37</v>
      </c>
      <c r="Y1582" s="10" t="s">
        <v>0</v>
      </c>
    </row>
    <row r="1583">
      <c r="A1583" s="10" t="s">
        <v>5855</v>
      </c>
      <c r="B1583" s="11">
        <v>44463.41625439815</v>
      </c>
      <c r="C1583" s="10" t="s">
        <v>209</v>
      </c>
      <c r="D1583" s="10" t="s">
        <v>210</v>
      </c>
      <c r="E1583" s="10" t="s">
        <v>261</v>
      </c>
      <c r="F1583" s="10" t="s">
        <v>4512</v>
      </c>
      <c r="G1583" s="10" t="s">
        <v>4841</v>
      </c>
      <c r="H1583" s="11">
        <v>44522.78125</v>
      </c>
      <c r="I1583" s="11">
        <v>44491.82291666667</v>
      </c>
      <c r="J1583" s="10" t="s">
        <v>33</v>
      </c>
      <c r="K1583" s="10" t="s">
        <v>34</v>
      </c>
      <c r="N1583" s="10" t="s">
        <v>35</v>
      </c>
      <c r="V1583" s="14" t="s">
        <v>4514</v>
      </c>
      <c r="W1583" s="10"/>
      <c r="X1583" s="10" t="s">
        <v>37</v>
      </c>
      <c r="Y1583" s="10" t="s">
        <v>0</v>
      </c>
    </row>
    <row r="1584">
      <c r="A1584" s="10" t="s">
        <v>5856</v>
      </c>
      <c r="B1584" s="11">
        <v>44519.56006616898</v>
      </c>
      <c r="C1584" s="10" t="s">
        <v>181</v>
      </c>
      <c r="D1584" s="10" t="s">
        <v>69</v>
      </c>
      <c r="E1584" s="10" t="s">
        <v>5857</v>
      </c>
      <c r="F1584" s="10" t="s">
        <v>5858</v>
      </c>
      <c r="G1584" s="10" t="s">
        <v>5859</v>
      </c>
      <c r="H1584" s="11">
        <v>44523.60416666667</v>
      </c>
      <c r="I1584" s="11">
        <v>44523.64583333333</v>
      </c>
      <c r="J1584" s="10" t="s">
        <v>43</v>
      </c>
      <c r="K1584" s="10" t="s">
        <v>34</v>
      </c>
      <c r="N1584" s="10" t="s">
        <v>296</v>
      </c>
      <c r="O1584" s="18" t="s">
        <v>5860</v>
      </c>
      <c r="P1584" s="10" t="s">
        <v>35</v>
      </c>
      <c r="R1584" s="10" t="s">
        <v>296</v>
      </c>
      <c r="S1584" s="10">
        <v>1.0</v>
      </c>
      <c r="T1584" s="10" t="s">
        <v>35</v>
      </c>
      <c r="V1584" s="14" t="s">
        <v>5861</v>
      </c>
      <c r="W1584" s="10"/>
      <c r="X1584" s="10" t="s">
        <v>37</v>
      </c>
      <c r="Y1584" s="10" t="s">
        <v>0</v>
      </c>
    </row>
    <row r="1585">
      <c r="A1585" s="10" t="s">
        <v>5862</v>
      </c>
      <c r="B1585" s="11">
        <v>44518.756718449076</v>
      </c>
      <c r="C1585" s="10" t="s">
        <v>239</v>
      </c>
      <c r="D1585" s="10" t="s">
        <v>240</v>
      </c>
      <c r="E1585" s="10" t="s">
        <v>4561</v>
      </c>
      <c r="F1585" s="10" t="s">
        <v>5863</v>
      </c>
      <c r="G1585" s="10" t="s">
        <v>5864</v>
      </c>
      <c r="H1585" s="11">
        <v>44525.6875</v>
      </c>
      <c r="I1585" s="11">
        <v>44525.72916666667</v>
      </c>
      <c r="J1585" s="10" t="s">
        <v>128</v>
      </c>
      <c r="K1585" s="10" t="s">
        <v>34</v>
      </c>
      <c r="N1585" s="10" t="s">
        <v>35</v>
      </c>
      <c r="V1585" s="14" t="s">
        <v>5865</v>
      </c>
      <c r="W1585" s="10"/>
      <c r="X1585" s="10" t="s">
        <v>37</v>
      </c>
      <c r="Y1585" s="10" t="s">
        <v>0</v>
      </c>
    </row>
    <row r="1586">
      <c r="A1586" s="10" t="s">
        <v>5866</v>
      </c>
      <c r="B1586" s="11">
        <v>44519.54236770833</v>
      </c>
      <c r="C1586" s="10" t="s">
        <v>181</v>
      </c>
      <c r="D1586" s="10" t="s">
        <v>69</v>
      </c>
      <c r="E1586" s="10" t="s">
        <v>3733</v>
      </c>
      <c r="F1586" s="10" t="s">
        <v>5867</v>
      </c>
      <c r="G1586" s="10" t="s">
        <v>5868</v>
      </c>
      <c r="H1586" s="11">
        <v>44532.60416666667</v>
      </c>
      <c r="I1586" s="11">
        <v>44532.70833333333</v>
      </c>
      <c r="J1586" s="10" t="s">
        <v>43</v>
      </c>
      <c r="K1586" s="10" t="s">
        <v>34</v>
      </c>
      <c r="N1586" s="10" t="s">
        <v>296</v>
      </c>
      <c r="O1586" s="18" t="s">
        <v>5869</v>
      </c>
      <c r="P1586" s="10" t="s">
        <v>296</v>
      </c>
      <c r="Q1586" s="10">
        <v>1.0</v>
      </c>
      <c r="R1586" s="10" t="s">
        <v>35</v>
      </c>
      <c r="T1586" s="10" t="s">
        <v>35</v>
      </c>
      <c r="V1586" s="14" t="s">
        <v>5870</v>
      </c>
      <c r="W1586" s="10"/>
      <c r="X1586" s="10" t="s">
        <v>37</v>
      </c>
      <c r="Y1586" s="10" t="s">
        <v>0</v>
      </c>
    </row>
    <row r="1587">
      <c r="A1587" s="10" t="s">
        <v>5871</v>
      </c>
      <c r="B1587" s="11">
        <v>44519.55559142361</v>
      </c>
      <c r="C1587" s="10" t="s">
        <v>181</v>
      </c>
      <c r="D1587" s="10" t="s">
        <v>69</v>
      </c>
      <c r="E1587" s="10" t="s">
        <v>3733</v>
      </c>
      <c r="F1587" s="10" t="s">
        <v>5872</v>
      </c>
      <c r="G1587" s="10" t="s">
        <v>5873</v>
      </c>
      <c r="H1587" s="11">
        <v>44532.75</v>
      </c>
      <c r="I1587" s="11">
        <v>44532.85416666667</v>
      </c>
      <c r="J1587" s="10" t="s">
        <v>43</v>
      </c>
      <c r="K1587" s="10" t="s">
        <v>34</v>
      </c>
      <c r="N1587" s="10" t="s">
        <v>35</v>
      </c>
      <c r="V1587" s="14" t="s">
        <v>5874</v>
      </c>
      <c r="W1587" s="10"/>
      <c r="X1587" s="10" t="s">
        <v>37</v>
      </c>
      <c r="Y1587" s="10" t="s">
        <v>0</v>
      </c>
    </row>
    <row r="1588">
      <c r="A1588" s="10" t="s">
        <v>5875</v>
      </c>
      <c r="B1588" s="11">
        <v>44408.91720989584</v>
      </c>
      <c r="C1588" s="10" t="s">
        <v>137</v>
      </c>
      <c r="D1588" s="10" t="s">
        <v>138</v>
      </c>
      <c r="E1588" s="10" t="s">
        <v>3299</v>
      </c>
      <c r="F1588" s="10" t="s">
        <v>921</v>
      </c>
      <c r="G1588" s="10" t="s">
        <v>3436</v>
      </c>
      <c r="H1588" s="11">
        <v>44526.58333333333</v>
      </c>
      <c r="I1588" s="11">
        <v>44526.66666666667</v>
      </c>
      <c r="J1588" s="10" t="s">
        <v>128</v>
      </c>
      <c r="K1588" s="10" t="s">
        <v>34</v>
      </c>
      <c r="N1588" s="10" t="s">
        <v>35</v>
      </c>
      <c r="V1588" s="9"/>
      <c r="X1588" s="10" t="s">
        <v>37</v>
      </c>
      <c r="Y1588" s="10" t="s">
        <v>0</v>
      </c>
    </row>
    <row r="1589">
      <c r="A1589" s="10" t="s">
        <v>5876</v>
      </c>
      <c r="B1589" s="11">
        <v>44519.55819481482</v>
      </c>
      <c r="C1589" s="10" t="s">
        <v>181</v>
      </c>
      <c r="D1589" s="10" t="s">
        <v>69</v>
      </c>
      <c r="E1589" s="10" t="s">
        <v>3551</v>
      </c>
      <c r="F1589" s="10" t="s">
        <v>5877</v>
      </c>
      <c r="G1589" s="10" t="s">
        <v>5878</v>
      </c>
      <c r="H1589" s="11">
        <v>44529.39583333333</v>
      </c>
      <c r="I1589" s="11">
        <v>44529.45833333333</v>
      </c>
      <c r="J1589" s="10" t="s">
        <v>43</v>
      </c>
      <c r="K1589" s="10" t="s">
        <v>34</v>
      </c>
      <c r="N1589" s="10" t="s">
        <v>296</v>
      </c>
      <c r="O1589" s="18" t="s">
        <v>5879</v>
      </c>
      <c r="P1589" s="10" t="s">
        <v>35</v>
      </c>
      <c r="R1589" s="10" t="s">
        <v>35</v>
      </c>
      <c r="T1589" s="10" t="s">
        <v>296</v>
      </c>
      <c r="U1589" s="10">
        <v>1.0</v>
      </c>
      <c r="V1589" s="14" t="s">
        <v>5880</v>
      </c>
      <c r="W1589" s="10"/>
      <c r="X1589" s="10" t="s">
        <v>37</v>
      </c>
      <c r="Y1589" s="10" t="s">
        <v>0</v>
      </c>
    </row>
    <row r="1590">
      <c r="A1590" s="10" t="s">
        <v>5881</v>
      </c>
      <c r="B1590" s="11">
        <v>44519.539147812495</v>
      </c>
      <c r="C1590" s="10" t="s">
        <v>181</v>
      </c>
      <c r="D1590" s="10" t="s">
        <v>69</v>
      </c>
      <c r="E1590" s="10" t="s">
        <v>3733</v>
      </c>
      <c r="F1590" s="10" t="s">
        <v>5882</v>
      </c>
      <c r="G1590" s="10" t="s">
        <v>5883</v>
      </c>
      <c r="H1590" s="11">
        <v>44529.41666666667</v>
      </c>
      <c r="I1590" s="11">
        <v>44529.5</v>
      </c>
      <c r="J1590" s="10" t="s">
        <v>43</v>
      </c>
      <c r="K1590" s="10" t="s">
        <v>34</v>
      </c>
      <c r="N1590" s="10" t="s">
        <v>296</v>
      </c>
      <c r="O1590" s="18" t="s">
        <v>5884</v>
      </c>
      <c r="P1590" s="10" t="s">
        <v>296</v>
      </c>
      <c r="Q1590" s="10">
        <v>1.0</v>
      </c>
      <c r="R1590" s="10" t="s">
        <v>35</v>
      </c>
      <c r="T1590" s="10" t="s">
        <v>35</v>
      </c>
      <c r="V1590" s="14" t="s">
        <v>5885</v>
      </c>
      <c r="W1590" s="10"/>
      <c r="X1590" s="10" t="s">
        <v>37</v>
      </c>
      <c r="Y1590" s="10" t="s">
        <v>0</v>
      </c>
    </row>
    <row r="1591">
      <c r="A1591" s="10" t="s">
        <v>5886</v>
      </c>
      <c r="B1591" s="11">
        <v>44519.537740115746</v>
      </c>
      <c r="C1591" s="10" t="s">
        <v>181</v>
      </c>
      <c r="D1591" s="10" t="s">
        <v>69</v>
      </c>
      <c r="E1591" s="10" t="s">
        <v>3733</v>
      </c>
      <c r="F1591" s="10" t="s">
        <v>5887</v>
      </c>
      <c r="G1591" s="10" t="s">
        <v>5888</v>
      </c>
      <c r="H1591" s="11">
        <v>44530.64583333333</v>
      </c>
      <c r="I1591" s="11">
        <v>44530.72916666667</v>
      </c>
      <c r="J1591" s="10" t="s">
        <v>43</v>
      </c>
      <c r="K1591" s="10" t="s">
        <v>34</v>
      </c>
      <c r="N1591" s="10" t="s">
        <v>296</v>
      </c>
      <c r="O1591" s="18" t="s">
        <v>5889</v>
      </c>
      <c r="P1591" s="10" t="s">
        <v>296</v>
      </c>
      <c r="Q1591" s="10">
        <v>1.0</v>
      </c>
      <c r="R1591" s="10" t="s">
        <v>35</v>
      </c>
      <c r="T1591" s="10" t="s">
        <v>35</v>
      </c>
      <c r="V1591" s="14" t="s">
        <v>5890</v>
      </c>
      <c r="W1591" s="10"/>
      <c r="X1591" s="10" t="s">
        <v>37</v>
      </c>
      <c r="Y1591" s="10" t="s">
        <v>0</v>
      </c>
    </row>
    <row r="1592">
      <c r="A1592" s="10" t="s">
        <v>5891</v>
      </c>
      <c r="B1592" s="11">
        <v>44520.62431363426</v>
      </c>
      <c r="C1592" s="10" t="s">
        <v>181</v>
      </c>
      <c r="D1592" s="10" t="s">
        <v>69</v>
      </c>
      <c r="E1592" s="10" t="s">
        <v>1284</v>
      </c>
      <c r="F1592" s="10" t="s">
        <v>5892</v>
      </c>
      <c r="G1592" s="10" t="s">
        <v>5893</v>
      </c>
      <c r="H1592" s="11">
        <v>44524.35416666667</v>
      </c>
      <c r="I1592" s="11">
        <v>44524.45833333333</v>
      </c>
      <c r="J1592" s="10" t="s">
        <v>43</v>
      </c>
      <c r="K1592" s="10" t="s">
        <v>61</v>
      </c>
      <c r="L1592" s="10" t="s">
        <v>1334</v>
      </c>
      <c r="N1592" s="10" t="s">
        <v>35</v>
      </c>
      <c r="V1592" s="9"/>
      <c r="X1592" s="45" t="s">
        <v>5470</v>
      </c>
      <c r="Y1592" s="10" t="s">
        <v>0</v>
      </c>
    </row>
    <row r="1593">
      <c r="A1593" s="10" t="s">
        <v>5894</v>
      </c>
      <c r="B1593" s="11">
        <v>44520.625213136576</v>
      </c>
      <c r="C1593" s="10" t="s">
        <v>181</v>
      </c>
      <c r="D1593" s="10" t="s">
        <v>69</v>
      </c>
      <c r="E1593" s="10" t="s">
        <v>1284</v>
      </c>
      <c r="F1593" s="10" t="s">
        <v>5895</v>
      </c>
      <c r="G1593" s="10" t="s">
        <v>5896</v>
      </c>
      <c r="H1593" s="11">
        <v>44526.33333333333</v>
      </c>
      <c r="I1593" s="11">
        <v>44526.45833333333</v>
      </c>
      <c r="J1593" s="10" t="s">
        <v>43</v>
      </c>
      <c r="K1593" s="10" t="s">
        <v>61</v>
      </c>
      <c r="L1593" s="10" t="s">
        <v>1334</v>
      </c>
      <c r="N1593" s="10" t="s">
        <v>35</v>
      </c>
      <c r="V1593" s="9"/>
      <c r="X1593" s="45" t="s">
        <v>5470</v>
      </c>
      <c r="Y1593" s="10" t="s">
        <v>0</v>
      </c>
    </row>
    <row r="1594">
      <c r="A1594" s="10" t="s">
        <v>5897</v>
      </c>
      <c r="B1594" s="11">
        <v>44523.815706284724</v>
      </c>
      <c r="C1594" s="10" t="s">
        <v>80</v>
      </c>
      <c r="D1594" s="10" t="s">
        <v>81</v>
      </c>
      <c r="E1594" s="10" t="s">
        <v>5676</v>
      </c>
      <c r="F1594" s="10" t="s">
        <v>5898</v>
      </c>
      <c r="G1594" s="10" t="s">
        <v>5899</v>
      </c>
      <c r="H1594" s="11">
        <v>44519.6875</v>
      </c>
      <c r="I1594" s="11">
        <v>44519.77083333333</v>
      </c>
      <c r="J1594" s="10" t="s">
        <v>43</v>
      </c>
      <c r="K1594" s="10" t="s">
        <v>34</v>
      </c>
      <c r="N1594" s="10" t="s">
        <v>296</v>
      </c>
      <c r="O1594" s="18" t="s">
        <v>5900</v>
      </c>
      <c r="P1594" s="10" t="s">
        <v>296</v>
      </c>
      <c r="Q1594" s="10">
        <v>2.0</v>
      </c>
      <c r="R1594" s="10" t="s">
        <v>35</v>
      </c>
      <c r="T1594" s="10" t="s">
        <v>35</v>
      </c>
      <c r="V1594" s="14" t="s">
        <v>5901</v>
      </c>
      <c r="W1594" s="10"/>
      <c r="X1594" s="10" t="s">
        <v>5902</v>
      </c>
      <c r="Y1594" s="10" t="s">
        <v>0</v>
      </c>
    </row>
    <row r="1595">
      <c r="A1595" s="10" t="s">
        <v>5903</v>
      </c>
      <c r="B1595" s="11">
        <v>44523.82657621527</v>
      </c>
      <c r="C1595" s="10" t="s">
        <v>80</v>
      </c>
      <c r="D1595" s="10" t="s">
        <v>81</v>
      </c>
      <c r="E1595" s="10" t="s">
        <v>5676</v>
      </c>
      <c r="F1595" s="10" t="s">
        <v>5904</v>
      </c>
      <c r="G1595" s="10" t="s">
        <v>5905</v>
      </c>
      <c r="H1595" s="11">
        <v>44520.4375</v>
      </c>
      <c r="I1595" s="11">
        <v>44520.47916666667</v>
      </c>
      <c r="J1595" s="10" t="s">
        <v>43</v>
      </c>
      <c r="K1595" s="10" t="s">
        <v>34</v>
      </c>
      <c r="N1595" s="10" t="s">
        <v>296</v>
      </c>
      <c r="O1595" s="18" t="s">
        <v>5906</v>
      </c>
      <c r="P1595" s="10" t="s">
        <v>296</v>
      </c>
      <c r="Q1595" s="10">
        <v>1.0</v>
      </c>
      <c r="R1595" s="10" t="s">
        <v>35</v>
      </c>
      <c r="T1595" s="10" t="s">
        <v>35</v>
      </c>
      <c r="V1595" s="14" t="s">
        <v>5907</v>
      </c>
      <c r="W1595" s="10"/>
      <c r="X1595" s="10" t="s">
        <v>5902</v>
      </c>
      <c r="Y1595" s="10" t="s">
        <v>0</v>
      </c>
    </row>
    <row r="1596">
      <c r="A1596" s="10" t="s">
        <v>5908</v>
      </c>
      <c r="B1596" s="11">
        <v>44523.84073434028</v>
      </c>
      <c r="C1596" s="10" t="s">
        <v>80</v>
      </c>
      <c r="D1596" s="10" t="s">
        <v>81</v>
      </c>
      <c r="E1596" s="10" t="s">
        <v>5676</v>
      </c>
      <c r="F1596" s="10" t="s">
        <v>5909</v>
      </c>
      <c r="G1596" s="10" t="s">
        <v>5910</v>
      </c>
      <c r="H1596" s="11">
        <v>44519.77083333333</v>
      </c>
      <c r="I1596" s="11">
        <v>44519.8125</v>
      </c>
      <c r="J1596" s="10" t="s">
        <v>33</v>
      </c>
      <c r="K1596" s="10" t="s">
        <v>34</v>
      </c>
      <c r="N1596" s="10" t="s">
        <v>296</v>
      </c>
      <c r="O1596" s="18" t="s">
        <v>5911</v>
      </c>
      <c r="P1596" s="10" t="s">
        <v>35</v>
      </c>
      <c r="R1596" s="10" t="s">
        <v>35</v>
      </c>
      <c r="T1596" s="10" t="s">
        <v>296</v>
      </c>
      <c r="U1596" s="10">
        <v>1.0</v>
      </c>
      <c r="V1596" s="14" t="s">
        <v>5912</v>
      </c>
      <c r="W1596" s="10"/>
      <c r="X1596" s="10" t="s">
        <v>5902</v>
      </c>
      <c r="Y1596" s="10" t="s">
        <v>0</v>
      </c>
    </row>
    <row r="1597">
      <c r="A1597" s="10" t="s">
        <v>5913</v>
      </c>
      <c r="B1597" s="11">
        <v>44523.863187800926</v>
      </c>
      <c r="C1597" s="10" t="s">
        <v>5914</v>
      </c>
      <c r="D1597" s="10" t="s">
        <v>348</v>
      </c>
      <c r="E1597" s="10" t="s">
        <v>3429</v>
      </c>
      <c r="F1597" s="10" t="s">
        <v>5915</v>
      </c>
      <c r="G1597" s="10" t="s">
        <v>5916</v>
      </c>
      <c r="H1597" s="11">
        <v>44529.58333333333</v>
      </c>
      <c r="I1597" s="11">
        <v>44529.66666666667</v>
      </c>
      <c r="J1597" s="10" t="s">
        <v>43</v>
      </c>
      <c r="K1597" s="10" t="s">
        <v>34</v>
      </c>
      <c r="N1597" s="10" t="s">
        <v>296</v>
      </c>
      <c r="O1597" s="18" t="s">
        <v>5917</v>
      </c>
      <c r="P1597" s="10" t="s">
        <v>296</v>
      </c>
      <c r="Q1597" s="10">
        <v>1.0</v>
      </c>
      <c r="R1597" s="10" t="s">
        <v>296</v>
      </c>
      <c r="S1597" s="10">
        <v>1.0</v>
      </c>
      <c r="T1597" s="10" t="s">
        <v>35</v>
      </c>
      <c r="V1597" s="14" t="s">
        <v>5918</v>
      </c>
      <c r="W1597" s="10"/>
      <c r="X1597" s="10" t="s">
        <v>5902</v>
      </c>
      <c r="Y1597" s="10" t="s">
        <v>0</v>
      </c>
    </row>
    <row r="1598">
      <c r="A1598" s="10" t="s">
        <v>5919</v>
      </c>
      <c r="B1598" s="11">
        <v>44523.92756246528</v>
      </c>
      <c r="C1598" s="10" t="s">
        <v>347</v>
      </c>
      <c r="D1598" s="10" t="s">
        <v>348</v>
      </c>
      <c r="E1598" s="10" t="s">
        <v>3429</v>
      </c>
      <c r="F1598" s="10" t="s">
        <v>5920</v>
      </c>
      <c r="G1598" s="10" t="s">
        <v>5921</v>
      </c>
      <c r="H1598" s="11">
        <v>44527.60416666667</v>
      </c>
      <c r="I1598" s="11">
        <v>44527.6875</v>
      </c>
      <c r="J1598" s="10" t="s">
        <v>43</v>
      </c>
      <c r="K1598" s="10" t="s">
        <v>34</v>
      </c>
      <c r="N1598" s="10" t="s">
        <v>296</v>
      </c>
      <c r="O1598" s="18" t="s">
        <v>5922</v>
      </c>
      <c r="P1598" s="10" t="s">
        <v>296</v>
      </c>
      <c r="Q1598" s="10">
        <v>4.0</v>
      </c>
      <c r="R1598" s="10" t="s">
        <v>296</v>
      </c>
      <c r="S1598" s="10">
        <v>4.0</v>
      </c>
      <c r="T1598" s="10" t="s">
        <v>35</v>
      </c>
      <c r="V1598" s="14" t="s">
        <v>5923</v>
      </c>
      <c r="W1598" s="10"/>
      <c r="X1598" s="10" t="s">
        <v>5902</v>
      </c>
      <c r="Y1598" s="10" t="s">
        <v>0</v>
      </c>
    </row>
    <row r="1599">
      <c r="A1599" s="10" t="s">
        <v>5924</v>
      </c>
      <c r="B1599" s="11">
        <v>44523.92901069444</v>
      </c>
      <c r="C1599" s="10" t="s">
        <v>347</v>
      </c>
      <c r="D1599" s="10" t="s">
        <v>348</v>
      </c>
      <c r="E1599" s="10" t="s">
        <v>3429</v>
      </c>
      <c r="F1599" s="10" t="s">
        <v>5915</v>
      </c>
      <c r="G1599" s="10" t="s">
        <v>5916</v>
      </c>
      <c r="H1599" s="11">
        <v>44529.58333333333</v>
      </c>
      <c r="I1599" s="11">
        <v>44529.66666666667</v>
      </c>
      <c r="J1599" s="10" t="s">
        <v>43</v>
      </c>
      <c r="K1599" s="10" t="s">
        <v>34</v>
      </c>
      <c r="N1599" s="10" t="s">
        <v>296</v>
      </c>
      <c r="O1599" s="18" t="s">
        <v>5925</v>
      </c>
      <c r="P1599" s="10" t="s">
        <v>35</v>
      </c>
      <c r="R1599" s="10" t="s">
        <v>296</v>
      </c>
      <c r="S1599" s="10">
        <v>1.0</v>
      </c>
      <c r="T1599" s="10" t="s">
        <v>35</v>
      </c>
      <c r="V1599" s="14" t="s">
        <v>5926</v>
      </c>
      <c r="W1599" s="10"/>
      <c r="X1599" s="10" t="s">
        <v>5902</v>
      </c>
      <c r="Y1599" s="10" t="s">
        <v>0</v>
      </c>
    </row>
    <row r="1600">
      <c r="A1600" s="10" t="s">
        <v>5927</v>
      </c>
      <c r="B1600" s="11">
        <v>44524.51219159723</v>
      </c>
      <c r="C1600" s="10" t="s">
        <v>181</v>
      </c>
      <c r="D1600" s="10" t="s">
        <v>69</v>
      </c>
      <c r="E1600" s="10" t="s">
        <v>1229</v>
      </c>
      <c r="F1600" s="10" t="s">
        <v>5920</v>
      </c>
      <c r="G1600" s="10" t="s">
        <v>5928</v>
      </c>
      <c r="H1600" s="11">
        <v>44527.60416666667</v>
      </c>
      <c r="I1600" s="11">
        <v>44527.6875</v>
      </c>
      <c r="J1600" s="10" t="s">
        <v>43</v>
      </c>
      <c r="K1600" s="10" t="s">
        <v>34</v>
      </c>
      <c r="N1600" s="10" t="s">
        <v>296</v>
      </c>
      <c r="O1600" s="18" t="s">
        <v>5929</v>
      </c>
      <c r="P1600" s="10" t="s">
        <v>35</v>
      </c>
      <c r="R1600" s="10" t="s">
        <v>296</v>
      </c>
      <c r="S1600" s="10">
        <v>4.0</v>
      </c>
      <c r="T1600" s="10" t="s">
        <v>35</v>
      </c>
      <c r="V1600" s="14" t="s">
        <v>5930</v>
      </c>
      <c r="W1600" s="10"/>
      <c r="X1600" s="10" t="s">
        <v>5902</v>
      </c>
      <c r="Y1600" s="10" t="s">
        <v>0</v>
      </c>
    </row>
    <row r="1601">
      <c r="A1601" s="10" t="s">
        <v>5931</v>
      </c>
      <c r="B1601" s="11">
        <v>44524.71055703703</v>
      </c>
      <c r="C1601" s="10" t="s">
        <v>137</v>
      </c>
      <c r="D1601" s="10" t="s">
        <v>138</v>
      </c>
      <c r="E1601" s="10" t="s">
        <v>3299</v>
      </c>
      <c r="F1601" s="10" t="s">
        <v>5932</v>
      </c>
      <c r="G1601" s="10" t="s">
        <v>5933</v>
      </c>
      <c r="H1601" s="11">
        <v>44525.70833333333</v>
      </c>
      <c r="I1601" s="11">
        <v>44525.75</v>
      </c>
      <c r="J1601" s="10" t="s">
        <v>128</v>
      </c>
      <c r="K1601" s="10" t="s">
        <v>34</v>
      </c>
      <c r="N1601" s="10" t="s">
        <v>35</v>
      </c>
      <c r="V1601" s="35" t="s">
        <v>5934</v>
      </c>
      <c r="W1601" s="10"/>
      <c r="X1601" s="10" t="s">
        <v>37</v>
      </c>
      <c r="Y1601" s="10" t="s">
        <v>0</v>
      </c>
    </row>
    <row r="1602">
      <c r="A1602" s="10" t="s">
        <v>5935</v>
      </c>
      <c r="B1602" s="11">
        <v>44525.506247673606</v>
      </c>
      <c r="C1602" s="10" t="s">
        <v>160</v>
      </c>
      <c r="D1602" s="10" t="s">
        <v>161</v>
      </c>
      <c r="E1602" s="10" t="s">
        <v>5207</v>
      </c>
      <c r="F1602" s="10" t="s">
        <v>5936</v>
      </c>
      <c r="G1602" s="10" t="s">
        <v>5937</v>
      </c>
      <c r="H1602" s="11">
        <v>44526.41666666667</v>
      </c>
      <c r="I1602" s="11">
        <v>44526.5</v>
      </c>
      <c r="J1602" s="10" t="s">
        <v>43</v>
      </c>
      <c r="K1602" s="10" t="s">
        <v>34</v>
      </c>
      <c r="N1602" s="10" t="s">
        <v>296</v>
      </c>
      <c r="O1602" s="18" t="s">
        <v>5938</v>
      </c>
      <c r="P1602" s="10" t="s">
        <v>35</v>
      </c>
      <c r="R1602" s="10" t="s">
        <v>35</v>
      </c>
      <c r="T1602" s="10" t="s">
        <v>296</v>
      </c>
      <c r="U1602" s="10">
        <v>1.0</v>
      </c>
      <c r="V1602" s="14" t="s">
        <v>5939</v>
      </c>
      <c r="W1602" s="10"/>
      <c r="X1602" s="10" t="s">
        <v>37</v>
      </c>
      <c r="Y1602" s="10" t="s">
        <v>0</v>
      </c>
    </row>
    <row r="1603">
      <c r="A1603" s="10" t="s">
        <v>5940</v>
      </c>
      <c r="B1603" s="11">
        <v>44526.4545903588</v>
      </c>
      <c r="C1603" s="10" t="s">
        <v>80</v>
      </c>
      <c r="D1603" s="10" t="s">
        <v>81</v>
      </c>
      <c r="E1603" s="10" t="s">
        <v>5676</v>
      </c>
      <c r="F1603" s="10" t="s">
        <v>5941</v>
      </c>
      <c r="G1603" s="10" t="s">
        <v>5942</v>
      </c>
      <c r="H1603" s="11">
        <v>44526.41666666667</v>
      </c>
      <c r="I1603" s="11">
        <v>44526.45833333333</v>
      </c>
      <c r="J1603" s="10" t="s">
        <v>43</v>
      </c>
      <c r="K1603" s="10" t="s">
        <v>34</v>
      </c>
      <c r="N1603" s="10" t="s">
        <v>296</v>
      </c>
      <c r="O1603" s="18" t="s">
        <v>5943</v>
      </c>
      <c r="P1603" s="10" t="s">
        <v>35</v>
      </c>
      <c r="R1603" s="10" t="s">
        <v>35</v>
      </c>
      <c r="T1603" s="10" t="s">
        <v>296</v>
      </c>
      <c r="U1603" s="10">
        <v>1.0</v>
      </c>
      <c r="V1603" s="14" t="s">
        <v>5944</v>
      </c>
      <c r="W1603" s="10"/>
      <c r="X1603" s="10" t="s">
        <v>37</v>
      </c>
      <c r="Y1603" s="10" t="s">
        <v>0</v>
      </c>
    </row>
    <row r="1604">
      <c r="A1604" s="10" t="s">
        <v>5945</v>
      </c>
      <c r="B1604" s="11">
        <v>44526.506184247686</v>
      </c>
      <c r="C1604" s="10" t="s">
        <v>539</v>
      </c>
      <c r="D1604" s="10" t="s">
        <v>540</v>
      </c>
      <c r="E1604" s="10" t="s">
        <v>5946</v>
      </c>
      <c r="F1604" s="10" t="s">
        <v>5947</v>
      </c>
      <c r="G1604" s="10" t="s">
        <v>5948</v>
      </c>
      <c r="H1604" s="11">
        <v>44534.60416666667</v>
      </c>
      <c r="I1604" s="11">
        <v>44534.64583333333</v>
      </c>
      <c r="J1604" s="10" t="s">
        <v>128</v>
      </c>
      <c r="K1604" s="10" t="s">
        <v>34</v>
      </c>
      <c r="N1604" s="10" t="s">
        <v>35</v>
      </c>
      <c r="V1604" s="14" t="s">
        <v>5949</v>
      </c>
      <c r="W1604" s="10"/>
      <c r="X1604" s="10" t="s">
        <v>37</v>
      </c>
      <c r="Y1604" s="10" t="s">
        <v>0</v>
      </c>
    </row>
    <row r="1605">
      <c r="A1605" s="10" t="s">
        <v>5950</v>
      </c>
      <c r="B1605" s="11">
        <v>44526.574597638886</v>
      </c>
      <c r="C1605" s="10" t="s">
        <v>181</v>
      </c>
      <c r="D1605" s="10" t="s">
        <v>69</v>
      </c>
      <c r="E1605" s="10" t="s">
        <v>3864</v>
      </c>
      <c r="F1605" s="10" t="s">
        <v>5951</v>
      </c>
      <c r="G1605" s="10" t="s">
        <v>5952</v>
      </c>
      <c r="H1605" s="11">
        <v>44534.41666666667</v>
      </c>
      <c r="I1605" s="11">
        <v>44534.45833333333</v>
      </c>
      <c r="J1605" s="10" t="s">
        <v>43</v>
      </c>
      <c r="K1605" s="10" t="s">
        <v>34</v>
      </c>
      <c r="N1605" s="10" t="s">
        <v>296</v>
      </c>
      <c r="O1605" s="18" t="s">
        <v>5953</v>
      </c>
      <c r="P1605" s="10" t="s">
        <v>35</v>
      </c>
      <c r="R1605" s="10" t="s">
        <v>35</v>
      </c>
      <c r="T1605" s="10" t="s">
        <v>296</v>
      </c>
      <c r="U1605" s="10">
        <v>1.0</v>
      </c>
      <c r="V1605" s="14" t="s">
        <v>5954</v>
      </c>
      <c r="W1605" s="10"/>
      <c r="X1605" s="10" t="s">
        <v>37</v>
      </c>
      <c r="Y1605" s="10" t="s">
        <v>0</v>
      </c>
    </row>
    <row r="1606">
      <c r="A1606" s="10" t="s">
        <v>5955</v>
      </c>
      <c r="B1606" s="11">
        <v>44526.57613681713</v>
      </c>
      <c r="C1606" s="10" t="s">
        <v>181</v>
      </c>
      <c r="D1606" s="10" t="s">
        <v>69</v>
      </c>
      <c r="E1606" s="10" t="s">
        <v>5956</v>
      </c>
      <c r="F1606" s="10" t="s">
        <v>5957</v>
      </c>
      <c r="G1606" s="10" t="s">
        <v>5958</v>
      </c>
      <c r="H1606" s="11">
        <v>44531.66666666667</v>
      </c>
      <c r="I1606" s="11">
        <v>44531.72916666667</v>
      </c>
      <c r="J1606" s="10" t="s">
        <v>43</v>
      </c>
      <c r="K1606" s="10" t="s">
        <v>34</v>
      </c>
      <c r="N1606" s="10" t="s">
        <v>296</v>
      </c>
      <c r="O1606" s="18" t="s">
        <v>5959</v>
      </c>
      <c r="P1606" s="10" t="s">
        <v>296</v>
      </c>
      <c r="Q1606" s="10">
        <v>1.0</v>
      </c>
      <c r="R1606" s="10" t="s">
        <v>35</v>
      </c>
      <c r="T1606" s="10" t="s">
        <v>35</v>
      </c>
      <c r="V1606" s="14" t="s">
        <v>5960</v>
      </c>
      <c r="W1606" s="10"/>
      <c r="X1606" s="10" t="s">
        <v>37</v>
      </c>
      <c r="Y1606" s="10" t="s">
        <v>0</v>
      </c>
    </row>
    <row r="1607">
      <c r="A1607" s="10" t="s">
        <v>5961</v>
      </c>
      <c r="B1607" s="11">
        <v>44526.57734402778</v>
      </c>
      <c r="C1607" s="10" t="s">
        <v>181</v>
      </c>
      <c r="D1607" s="10" t="s">
        <v>69</v>
      </c>
      <c r="E1607" s="10" t="s">
        <v>2979</v>
      </c>
      <c r="F1607" s="10" t="s">
        <v>5962</v>
      </c>
      <c r="G1607" s="10" t="s">
        <v>5963</v>
      </c>
      <c r="H1607" s="11">
        <v>44533.64583333333</v>
      </c>
      <c r="I1607" s="11">
        <v>44533.72916666667</v>
      </c>
      <c r="J1607" s="10" t="s">
        <v>128</v>
      </c>
      <c r="K1607" s="10" t="s">
        <v>61</v>
      </c>
      <c r="L1607" s="10" t="s">
        <v>1334</v>
      </c>
      <c r="N1607" s="10" t="s">
        <v>35</v>
      </c>
      <c r="V1607" s="9"/>
      <c r="X1607" s="10" t="s">
        <v>37</v>
      </c>
      <c r="Y1607" s="10" t="s">
        <v>0</v>
      </c>
    </row>
    <row r="1608">
      <c r="A1608" s="10" t="s">
        <v>5964</v>
      </c>
      <c r="B1608" s="11">
        <v>44526.578139398145</v>
      </c>
      <c r="C1608" s="10" t="s">
        <v>181</v>
      </c>
      <c r="D1608" s="10" t="s">
        <v>69</v>
      </c>
      <c r="E1608" s="10" t="s">
        <v>4175</v>
      </c>
      <c r="F1608" s="10" t="s">
        <v>5965</v>
      </c>
      <c r="G1608" s="10" t="s">
        <v>5966</v>
      </c>
      <c r="H1608" s="11">
        <v>44530.33333333333</v>
      </c>
      <c r="I1608" s="11">
        <v>44530.66666666667</v>
      </c>
      <c r="J1608" s="10" t="s">
        <v>73</v>
      </c>
      <c r="K1608" s="10" t="s">
        <v>34</v>
      </c>
      <c r="N1608" s="10" t="s">
        <v>35</v>
      </c>
      <c r="V1608" s="14" t="s">
        <v>5967</v>
      </c>
      <c r="W1608" s="10"/>
      <c r="X1608" s="10" t="s">
        <v>37</v>
      </c>
      <c r="Y1608" s="10" t="s">
        <v>0</v>
      </c>
    </row>
    <row r="1609">
      <c r="A1609" s="10" t="s">
        <v>5968</v>
      </c>
      <c r="B1609" s="11">
        <v>44526.58204054398</v>
      </c>
      <c r="C1609" s="10" t="s">
        <v>181</v>
      </c>
      <c r="D1609" s="10" t="s">
        <v>69</v>
      </c>
      <c r="E1609" s="10" t="s">
        <v>5755</v>
      </c>
      <c r="F1609" s="10" t="s">
        <v>5969</v>
      </c>
      <c r="G1609" s="10" t="s">
        <v>5970</v>
      </c>
      <c r="H1609" s="11">
        <v>44534.25</v>
      </c>
      <c r="I1609" s="11">
        <v>44535.99930555555</v>
      </c>
      <c r="J1609" s="10" t="s">
        <v>128</v>
      </c>
      <c r="K1609" s="10" t="s">
        <v>34</v>
      </c>
      <c r="N1609" s="10" t="s">
        <v>35</v>
      </c>
      <c r="V1609" s="35" t="s">
        <v>3740</v>
      </c>
      <c r="W1609" s="10"/>
      <c r="X1609" s="10" t="s">
        <v>37</v>
      </c>
      <c r="Y1609" s="10" t="s">
        <v>0</v>
      </c>
    </row>
    <row r="1610">
      <c r="A1610" s="10" t="s">
        <v>5971</v>
      </c>
      <c r="B1610" s="11">
        <v>44526.58355357639</v>
      </c>
      <c r="C1610" s="10" t="s">
        <v>181</v>
      </c>
      <c r="D1610" s="10" t="s">
        <v>69</v>
      </c>
      <c r="E1610" s="10" t="s">
        <v>2979</v>
      </c>
      <c r="F1610" s="10" t="s">
        <v>5972</v>
      </c>
      <c r="G1610" s="10" t="s">
        <v>5973</v>
      </c>
      <c r="H1610" s="11">
        <v>44534.83333333333</v>
      </c>
      <c r="I1610" s="11">
        <v>44534.99930555555</v>
      </c>
      <c r="J1610" s="10" t="s">
        <v>128</v>
      </c>
      <c r="K1610" s="10" t="s">
        <v>34</v>
      </c>
      <c r="N1610" s="10" t="s">
        <v>35</v>
      </c>
      <c r="V1610" s="35" t="s">
        <v>3740</v>
      </c>
      <c r="W1610" s="10"/>
      <c r="X1610" s="10" t="s">
        <v>37</v>
      </c>
      <c r="Y1610" s="10" t="s">
        <v>0</v>
      </c>
    </row>
    <row r="1611">
      <c r="A1611" s="10" t="s">
        <v>5974</v>
      </c>
      <c r="B1611" s="11">
        <v>44526.58651148148</v>
      </c>
      <c r="C1611" s="10" t="s">
        <v>181</v>
      </c>
      <c r="D1611" s="10" t="s">
        <v>69</v>
      </c>
      <c r="E1611" s="10" t="s">
        <v>1096</v>
      </c>
      <c r="F1611" s="10" t="s">
        <v>5975</v>
      </c>
      <c r="G1611" s="10" t="s">
        <v>5976</v>
      </c>
      <c r="H1611" s="11">
        <v>44529.60416666667</v>
      </c>
      <c r="I1611" s="11">
        <v>44529.6875</v>
      </c>
      <c r="J1611" s="10" t="s">
        <v>128</v>
      </c>
      <c r="K1611" s="10" t="s">
        <v>34</v>
      </c>
      <c r="N1611" s="10" t="s">
        <v>35</v>
      </c>
      <c r="V1611" s="14" t="s">
        <v>5616</v>
      </c>
      <c r="W1611" s="10"/>
      <c r="X1611" s="10" t="s">
        <v>37</v>
      </c>
      <c r="Y1611" s="10" t="s">
        <v>0</v>
      </c>
    </row>
    <row r="1612">
      <c r="A1612" s="10" t="s">
        <v>5977</v>
      </c>
      <c r="B1612" s="11">
        <v>44529.6232106713</v>
      </c>
      <c r="C1612" s="10" t="s">
        <v>239</v>
      </c>
      <c r="D1612" s="10" t="s">
        <v>240</v>
      </c>
      <c r="E1612" s="10" t="s">
        <v>3998</v>
      </c>
      <c r="F1612" s="10" t="s">
        <v>5978</v>
      </c>
      <c r="G1612" s="10" t="s">
        <v>5979</v>
      </c>
      <c r="H1612" s="11">
        <v>44512.0</v>
      </c>
      <c r="I1612" s="11">
        <v>44521.0</v>
      </c>
      <c r="J1612" s="10" t="s">
        <v>43</v>
      </c>
      <c r="K1612" s="10" t="s">
        <v>34</v>
      </c>
      <c r="N1612" s="10" t="s">
        <v>35</v>
      </c>
      <c r="V1612" s="35" t="s">
        <v>4551</v>
      </c>
      <c r="W1612" s="10"/>
      <c r="X1612" s="10" t="s">
        <v>37</v>
      </c>
      <c r="Y1612" s="10" t="s">
        <v>0</v>
      </c>
    </row>
    <row r="1613">
      <c r="A1613" s="10" t="s">
        <v>5980</v>
      </c>
      <c r="B1613" s="11">
        <v>44547.46785894676</v>
      </c>
      <c r="C1613" s="10" t="s">
        <v>239</v>
      </c>
      <c r="D1613" s="10" t="s">
        <v>240</v>
      </c>
      <c r="E1613" s="10" t="s">
        <v>4548</v>
      </c>
      <c r="F1613" s="10" t="s">
        <v>5981</v>
      </c>
      <c r="G1613" s="10" t="s">
        <v>5982</v>
      </c>
      <c r="H1613" s="11">
        <v>44547.6875</v>
      </c>
      <c r="I1613" s="11">
        <v>44547.72916666667</v>
      </c>
      <c r="J1613" s="10" t="s">
        <v>43</v>
      </c>
      <c r="K1613" s="10" t="s">
        <v>34</v>
      </c>
      <c r="N1613" s="10" t="s">
        <v>35</v>
      </c>
      <c r="V1613" s="18" t="s">
        <v>5983</v>
      </c>
    </row>
    <row r="1614">
      <c r="A1614" s="10" t="s">
        <v>5984</v>
      </c>
      <c r="B1614" s="11">
        <v>44571.61201784722</v>
      </c>
      <c r="C1614" s="10" t="s">
        <v>239</v>
      </c>
      <c r="D1614" s="10" t="s">
        <v>240</v>
      </c>
      <c r="E1614" s="10" t="s">
        <v>4561</v>
      </c>
      <c r="F1614" s="10" t="s">
        <v>5985</v>
      </c>
      <c r="G1614" s="10" t="s">
        <v>5986</v>
      </c>
      <c r="H1614" s="11">
        <v>44548.0</v>
      </c>
      <c r="I1614" s="11">
        <v>44568.99930555555</v>
      </c>
      <c r="J1614" s="10" t="s">
        <v>43</v>
      </c>
      <c r="K1614" s="10" t="s">
        <v>34</v>
      </c>
      <c r="N1614" s="10" t="s">
        <v>35</v>
      </c>
      <c r="V1614" s="10" t="s">
        <v>4551</v>
      </c>
    </row>
    <row r="1615">
      <c r="A1615" s="10" t="s">
        <v>5987</v>
      </c>
      <c r="B1615" s="11">
        <v>44589.36224815973</v>
      </c>
      <c r="C1615" s="10" t="s">
        <v>5988</v>
      </c>
      <c r="D1615" s="10" t="s">
        <v>5989</v>
      </c>
      <c r="E1615" s="10" t="s">
        <v>5990</v>
      </c>
      <c r="F1615" s="10" t="s">
        <v>5991</v>
      </c>
      <c r="G1615" s="10" t="s">
        <v>5991</v>
      </c>
      <c r="H1615" s="11">
        <v>44596.5</v>
      </c>
      <c r="I1615" s="11">
        <v>44596.04166666667</v>
      </c>
      <c r="J1615" s="10" t="s">
        <v>236</v>
      </c>
      <c r="K1615" s="10" t="s">
        <v>61</v>
      </c>
      <c r="L1615" s="10" t="s">
        <v>4997</v>
      </c>
      <c r="N1615" s="10" t="s">
        <v>296</v>
      </c>
      <c r="O1615" s="18" t="s">
        <v>5992</v>
      </c>
      <c r="P1615" s="10" t="s">
        <v>35</v>
      </c>
      <c r="R1615" s="10" t="s">
        <v>296</v>
      </c>
      <c r="S1615" s="10">
        <v>1.0</v>
      </c>
      <c r="T1615" s="10" t="s">
        <v>35</v>
      </c>
    </row>
    <row r="1616">
      <c r="A1616" s="10" t="s">
        <v>5993</v>
      </c>
      <c r="B1616" s="11">
        <v>44456.653715277775</v>
      </c>
      <c r="C1616" s="10" t="s">
        <v>28</v>
      </c>
      <c r="D1616" s="10" t="s">
        <v>29</v>
      </c>
      <c r="E1616" s="10" t="s">
        <v>5994</v>
      </c>
      <c r="F1616" s="10" t="s">
        <v>5995</v>
      </c>
      <c r="G1616" s="10" t="s">
        <v>5996</v>
      </c>
      <c r="H1616" s="46" t="s">
        <v>5997</v>
      </c>
      <c r="I1616" s="46" t="s">
        <v>5998</v>
      </c>
      <c r="J1616" s="10" t="s">
        <v>128</v>
      </c>
      <c r="K1616" s="10" t="s">
        <v>61</v>
      </c>
      <c r="V1616" s="9"/>
      <c r="X1616" s="10" t="s">
        <v>3302</v>
      </c>
      <c r="Y1616" s="10" t="s">
        <v>0</v>
      </c>
    </row>
    <row r="1617">
      <c r="A1617" s="10" t="s">
        <v>5999</v>
      </c>
      <c r="B1617" s="11">
        <v>44456.653715277775</v>
      </c>
      <c r="C1617" s="10" t="s">
        <v>539</v>
      </c>
      <c r="D1617" s="10" t="s">
        <v>540</v>
      </c>
      <c r="E1617" s="10" t="s">
        <v>5994</v>
      </c>
      <c r="F1617" s="10" t="s">
        <v>5995</v>
      </c>
      <c r="G1617" s="10" t="s">
        <v>5996</v>
      </c>
      <c r="H1617" s="46" t="s">
        <v>5997</v>
      </c>
      <c r="I1617" s="47">
        <v>44464.520833333336</v>
      </c>
      <c r="J1617" s="10" t="s">
        <v>128</v>
      </c>
      <c r="K1617" s="10" t="s">
        <v>61</v>
      </c>
      <c r="V1617" s="9"/>
      <c r="X1617" s="10" t="s">
        <v>3302</v>
      </c>
      <c r="Y1617" s="10" t="s">
        <v>0</v>
      </c>
    </row>
    <row r="1618">
      <c r="A1618" s="10" t="s">
        <v>6000</v>
      </c>
      <c r="B1618" s="11">
        <v>44456.653715277775</v>
      </c>
      <c r="C1618" s="10" t="s">
        <v>374</v>
      </c>
      <c r="D1618" s="10" t="s">
        <v>375</v>
      </c>
      <c r="E1618" s="10" t="s">
        <v>5994</v>
      </c>
      <c r="F1618" s="10" t="s">
        <v>5995</v>
      </c>
      <c r="G1618" s="10" t="s">
        <v>5996</v>
      </c>
      <c r="H1618" s="46" t="s">
        <v>5997</v>
      </c>
      <c r="I1618" s="47">
        <v>44464.520833333336</v>
      </c>
      <c r="J1618" s="10" t="s">
        <v>128</v>
      </c>
      <c r="K1618" s="10" t="s">
        <v>61</v>
      </c>
      <c r="V1618" s="9"/>
      <c r="X1618" s="10" t="s">
        <v>3302</v>
      </c>
      <c r="Y1618" s="10" t="s">
        <v>0</v>
      </c>
    </row>
    <row r="1619">
      <c r="A1619" s="10" t="s">
        <v>6001</v>
      </c>
      <c r="B1619" s="11">
        <v>44456.653715277775</v>
      </c>
      <c r="C1619" s="10" t="s">
        <v>239</v>
      </c>
      <c r="D1619" s="10" t="s">
        <v>240</v>
      </c>
      <c r="E1619" s="10" t="s">
        <v>5994</v>
      </c>
      <c r="F1619" s="10" t="s">
        <v>5995</v>
      </c>
      <c r="G1619" s="10" t="s">
        <v>5996</v>
      </c>
      <c r="H1619" s="46" t="s">
        <v>5997</v>
      </c>
      <c r="I1619" s="47">
        <v>44464.520833333336</v>
      </c>
      <c r="J1619" s="10" t="s">
        <v>128</v>
      </c>
      <c r="K1619" s="10" t="s">
        <v>61</v>
      </c>
      <c r="V1619" s="9"/>
      <c r="X1619" s="10" t="s">
        <v>3302</v>
      </c>
      <c r="Y1619" s="10" t="s">
        <v>0</v>
      </c>
    </row>
    <row r="1620">
      <c r="H1620" s="48"/>
      <c r="I1620" s="48"/>
      <c r="V1620" s="9"/>
    </row>
    <row r="1621">
      <c r="H1621" s="48"/>
      <c r="I1621" s="48"/>
      <c r="V1621" s="9"/>
    </row>
    <row r="1622">
      <c r="H1622" s="48"/>
      <c r="I1622" s="48"/>
      <c r="V1622" s="9"/>
    </row>
    <row r="1623">
      <c r="H1623" s="48"/>
      <c r="I1623" s="48"/>
      <c r="V1623" s="9"/>
    </row>
    <row r="1624">
      <c r="H1624" s="48"/>
      <c r="I1624" s="48"/>
      <c r="V1624" s="9"/>
    </row>
    <row r="1625">
      <c r="H1625" s="48"/>
      <c r="I1625" s="48"/>
      <c r="V1625" s="9"/>
    </row>
    <row r="1626">
      <c r="H1626" s="48"/>
      <c r="I1626" s="48"/>
      <c r="V1626" s="9"/>
    </row>
    <row r="1627">
      <c r="H1627" s="48"/>
      <c r="I1627" s="48"/>
      <c r="V1627" s="9"/>
    </row>
    <row r="1628">
      <c r="H1628" s="48"/>
      <c r="I1628" s="48"/>
      <c r="V1628" s="9"/>
    </row>
    <row r="1629">
      <c r="H1629" s="48"/>
      <c r="I1629" s="48"/>
      <c r="V1629" s="9"/>
    </row>
    <row r="1630">
      <c r="H1630" s="48"/>
      <c r="I1630" s="48"/>
      <c r="V1630" s="9"/>
    </row>
    <row r="1631">
      <c r="H1631" s="48"/>
      <c r="I1631" s="48"/>
      <c r="V1631" s="9"/>
    </row>
    <row r="1632">
      <c r="H1632" s="48"/>
      <c r="I1632" s="48"/>
      <c r="V1632" s="9"/>
    </row>
    <row r="1633">
      <c r="H1633" s="48"/>
      <c r="I1633" s="48"/>
      <c r="V1633" s="9"/>
    </row>
    <row r="1634">
      <c r="H1634" s="48"/>
      <c r="I1634" s="48"/>
      <c r="V1634" s="9"/>
    </row>
    <row r="1635">
      <c r="H1635" s="48"/>
      <c r="I1635" s="48"/>
      <c r="V1635" s="9"/>
    </row>
    <row r="1636">
      <c r="H1636" s="48"/>
      <c r="I1636" s="48"/>
      <c r="V1636" s="9"/>
    </row>
    <row r="1637">
      <c r="H1637" s="48"/>
      <c r="I1637" s="48"/>
      <c r="V1637" s="9"/>
    </row>
    <row r="1638">
      <c r="H1638" s="48"/>
      <c r="I1638" s="48"/>
      <c r="V1638" s="9"/>
    </row>
    <row r="1639">
      <c r="H1639" s="48"/>
      <c r="I1639" s="48"/>
      <c r="V1639" s="9"/>
    </row>
    <row r="1640">
      <c r="H1640" s="48"/>
      <c r="I1640" s="48"/>
      <c r="V1640" s="9"/>
    </row>
    <row r="1641">
      <c r="H1641" s="48"/>
      <c r="I1641" s="48"/>
      <c r="V1641" s="9"/>
    </row>
    <row r="1642">
      <c r="H1642" s="48"/>
      <c r="I1642" s="48"/>
      <c r="V1642" s="9"/>
    </row>
    <row r="1643">
      <c r="H1643" s="48"/>
      <c r="I1643" s="48"/>
      <c r="V1643" s="9"/>
    </row>
    <row r="1644">
      <c r="H1644" s="48"/>
      <c r="I1644" s="48"/>
      <c r="V1644" s="9"/>
    </row>
    <row r="1645">
      <c r="H1645" s="48"/>
      <c r="I1645" s="48"/>
      <c r="V1645" s="9"/>
    </row>
    <row r="1646">
      <c r="H1646" s="48"/>
      <c r="I1646" s="48"/>
      <c r="V1646" s="9"/>
    </row>
    <row r="1647">
      <c r="H1647" s="48"/>
      <c r="I1647" s="48"/>
      <c r="V1647" s="9"/>
    </row>
    <row r="1648">
      <c r="H1648" s="48"/>
      <c r="I1648" s="48"/>
      <c r="V1648" s="9"/>
    </row>
    <row r="1649">
      <c r="H1649" s="48"/>
      <c r="I1649" s="48"/>
      <c r="V1649" s="9"/>
    </row>
    <row r="1650">
      <c r="H1650" s="48"/>
      <c r="I1650" s="48"/>
      <c r="V1650" s="9"/>
    </row>
    <row r="1651">
      <c r="H1651" s="48"/>
      <c r="I1651" s="48"/>
      <c r="V1651" s="9"/>
    </row>
    <row r="1652">
      <c r="H1652" s="48"/>
      <c r="I1652" s="48"/>
      <c r="V1652" s="9"/>
    </row>
    <row r="1653">
      <c r="H1653" s="48"/>
      <c r="I1653" s="48"/>
      <c r="V1653" s="9"/>
    </row>
    <row r="1654">
      <c r="H1654" s="48"/>
      <c r="I1654" s="48"/>
      <c r="V1654" s="9"/>
    </row>
    <row r="1655">
      <c r="H1655" s="48"/>
      <c r="I1655" s="48"/>
      <c r="V1655" s="9"/>
    </row>
    <row r="1656">
      <c r="H1656" s="48"/>
      <c r="I1656" s="48"/>
      <c r="V1656" s="9"/>
    </row>
    <row r="1657">
      <c r="H1657" s="48"/>
      <c r="I1657" s="48"/>
      <c r="V1657" s="9"/>
    </row>
    <row r="1658">
      <c r="H1658" s="48"/>
      <c r="I1658" s="48"/>
      <c r="V1658" s="9"/>
    </row>
    <row r="1659">
      <c r="H1659" s="48"/>
      <c r="I1659" s="48"/>
      <c r="V1659" s="9"/>
    </row>
    <row r="1660">
      <c r="H1660" s="48"/>
      <c r="I1660" s="48"/>
      <c r="V1660" s="9"/>
    </row>
    <row r="1661">
      <c r="H1661" s="48"/>
      <c r="I1661" s="48"/>
      <c r="V1661" s="9"/>
    </row>
    <row r="1662">
      <c r="H1662" s="48"/>
      <c r="I1662" s="48"/>
      <c r="V1662" s="9"/>
    </row>
    <row r="1663">
      <c r="H1663" s="48"/>
      <c r="I1663" s="48"/>
      <c r="V1663" s="9"/>
    </row>
    <row r="1664">
      <c r="H1664" s="48"/>
      <c r="I1664" s="48"/>
      <c r="V1664" s="9"/>
    </row>
    <row r="1665">
      <c r="H1665" s="48"/>
      <c r="I1665" s="48"/>
      <c r="V1665" s="9"/>
    </row>
    <row r="1666">
      <c r="H1666" s="48"/>
      <c r="I1666" s="48"/>
      <c r="V1666" s="9"/>
    </row>
    <row r="1667">
      <c r="H1667" s="48"/>
      <c r="I1667" s="48"/>
      <c r="V1667" s="9"/>
    </row>
    <row r="1668">
      <c r="H1668" s="48"/>
      <c r="I1668" s="48"/>
      <c r="V1668" s="9"/>
    </row>
    <row r="1669">
      <c r="H1669" s="48"/>
      <c r="I1669" s="48"/>
      <c r="V1669" s="9"/>
    </row>
    <row r="1670">
      <c r="H1670" s="48"/>
      <c r="I1670" s="48"/>
      <c r="V1670" s="9"/>
    </row>
    <row r="1671">
      <c r="H1671" s="48"/>
      <c r="I1671" s="48"/>
      <c r="V1671" s="9"/>
    </row>
    <row r="1672">
      <c r="H1672" s="48"/>
      <c r="I1672" s="48"/>
      <c r="V1672" s="9"/>
    </row>
    <row r="1673">
      <c r="H1673" s="48"/>
      <c r="I1673" s="48"/>
      <c r="V1673" s="9"/>
    </row>
    <row r="1674">
      <c r="H1674" s="48"/>
      <c r="I1674" s="48"/>
      <c r="V1674" s="9"/>
    </row>
    <row r="1675">
      <c r="H1675" s="48"/>
      <c r="I1675" s="48"/>
      <c r="V1675" s="9"/>
    </row>
    <row r="1676">
      <c r="H1676" s="48"/>
      <c r="I1676" s="48"/>
      <c r="V1676" s="9"/>
    </row>
    <row r="1677">
      <c r="H1677" s="48"/>
      <c r="I1677" s="48"/>
      <c r="V1677" s="9"/>
    </row>
    <row r="1678">
      <c r="H1678" s="48"/>
      <c r="I1678" s="48"/>
      <c r="V1678" s="9"/>
    </row>
    <row r="1679">
      <c r="H1679" s="48"/>
      <c r="I1679" s="48"/>
      <c r="V1679" s="9"/>
    </row>
    <row r="1680">
      <c r="H1680" s="48"/>
      <c r="I1680" s="48"/>
      <c r="V1680" s="9"/>
    </row>
    <row r="1681">
      <c r="H1681" s="48"/>
      <c r="I1681" s="48"/>
      <c r="V1681" s="9"/>
    </row>
    <row r="1682">
      <c r="H1682" s="48"/>
      <c r="I1682" s="48"/>
      <c r="V1682" s="9"/>
    </row>
    <row r="1683">
      <c r="H1683" s="48"/>
      <c r="I1683" s="48"/>
      <c r="V1683" s="9"/>
    </row>
    <row r="1684">
      <c r="H1684" s="48"/>
      <c r="I1684" s="48"/>
      <c r="V1684" s="9"/>
    </row>
    <row r="1685">
      <c r="H1685" s="48"/>
      <c r="I1685" s="48"/>
      <c r="V1685" s="9"/>
    </row>
    <row r="1686">
      <c r="H1686" s="48"/>
      <c r="I1686" s="48"/>
      <c r="V1686" s="9"/>
    </row>
    <row r="1687">
      <c r="H1687" s="48"/>
      <c r="I1687" s="48"/>
      <c r="V1687" s="9"/>
    </row>
    <row r="1688">
      <c r="H1688" s="48"/>
      <c r="I1688" s="48"/>
      <c r="V1688" s="9"/>
    </row>
    <row r="1689">
      <c r="H1689" s="48"/>
      <c r="I1689" s="48"/>
      <c r="V1689" s="9"/>
    </row>
    <row r="1690">
      <c r="H1690" s="48"/>
      <c r="I1690" s="48"/>
      <c r="V1690" s="9"/>
    </row>
    <row r="1691">
      <c r="H1691" s="48"/>
      <c r="I1691" s="48"/>
      <c r="V1691" s="9"/>
    </row>
    <row r="1692">
      <c r="H1692" s="48"/>
      <c r="I1692" s="48"/>
      <c r="V1692" s="9"/>
    </row>
    <row r="1693">
      <c r="H1693" s="48"/>
      <c r="I1693" s="48"/>
      <c r="V1693" s="9"/>
    </row>
    <row r="1694">
      <c r="H1694" s="48"/>
      <c r="I1694" s="48"/>
      <c r="V1694" s="9"/>
    </row>
    <row r="1695">
      <c r="H1695" s="48"/>
      <c r="I1695" s="48"/>
      <c r="V1695" s="9"/>
    </row>
    <row r="1696">
      <c r="H1696" s="48"/>
      <c r="I1696" s="48"/>
      <c r="V1696" s="9"/>
    </row>
    <row r="1697">
      <c r="H1697" s="48"/>
      <c r="I1697" s="48"/>
      <c r="V1697" s="9"/>
    </row>
    <row r="1698">
      <c r="H1698" s="48"/>
      <c r="I1698" s="48"/>
      <c r="V1698" s="9"/>
    </row>
    <row r="1699">
      <c r="H1699" s="48"/>
      <c r="I1699" s="48"/>
      <c r="V1699" s="9"/>
    </row>
    <row r="1700">
      <c r="H1700" s="48"/>
      <c r="I1700" s="48"/>
      <c r="V1700" s="9"/>
    </row>
    <row r="1701">
      <c r="H1701" s="48"/>
      <c r="I1701" s="48"/>
      <c r="V1701" s="9"/>
    </row>
    <row r="1702">
      <c r="H1702" s="48"/>
      <c r="I1702" s="48"/>
      <c r="V1702" s="9"/>
    </row>
    <row r="1703">
      <c r="H1703" s="48"/>
      <c r="I1703" s="48"/>
      <c r="V1703" s="9"/>
    </row>
    <row r="1704">
      <c r="H1704" s="48"/>
      <c r="I1704" s="48"/>
      <c r="V1704" s="9"/>
    </row>
    <row r="1705">
      <c r="H1705" s="48"/>
      <c r="I1705" s="48"/>
      <c r="V1705" s="9"/>
    </row>
    <row r="1706">
      <c r="H1706" s="48"/>
      <c r="I1706" s="48"/>
      <c r="V1706" s="9"/>
    </row>
    <row r="1707">
      <c r="H1707" s="48"/>
      <c r="I1707" s="48"/>
      <c r="V1707" s="9"/>
    </row>
    <row r="1708">
      <c r="H1708" s="48"/>
      <c r="I1708" s="48"/>
      <c r="V1708" s="9"/>
    </row>
    <row r="1709">
      <c r="H1709" s="48"/>
      <c r="I1709" s="48"/>
      <c r="V1709" s="9"/>
    </row>
    <row r="1710">
      <c r="H1710" s="48"/>
      <c r="I1710" s="48"/>
      <c r="V1710" s="9"/>
    </row>
    <row r="1711">
      <c r="H1711" s="48"/>
      <c r="I1711" s="48"/>
      <c r="V1711" s="9"/>
    </row>
    <row r="1712">
      <c r="H1712" s="48"/>
      <c r="I1712" s="48"/>
      <c r="V1712" s="9"/>
    </row>
    <row r="1713">
      <c r="H1713" s="48"/>
      <c r="I1713" s="48"/>
      <c r="V1713" s="9"/>
    </row>
    <row r="1714">
      <c r="H1714" s="48"/>
      <c r="I1714" s="48"/>
      <c r="V1714" s="9"/>
    </row>
  </sheetData>
  <autoFilter ref="$A$1:$AC$1619"/>
  <customSheetViews>
    <customSheetView guid="{2A97E90B-7D6B-495E-8431-BBC98729BC0E}" filter="1" showAutoFilter="1">
      <autoFilter ref="$A$1:$AA$1619">
        <filterColumn colId="23">
          <filters blank="1">
            <filter val="aprobado"/>
            <filter val="APROBADO - ES IMPORTANTE RECORDARLES QUE DEBEN SEGURI DE MANERA ESTRICTA LAS RECOMENDACIONES DE BIOSEGURIDAD"/>
          </filters>
        </filterColumn>
      </autoFilter>
    </customSheetView>
    <customSheetView guid="{AEB9E0ED-21C5-419D-9CD5-8B6C006F6012}" filter="1" showAutoFilter="1">
      <autoFilter ref="$A$1:$AC$1619"/>
    </customSheetView>
    <customSheetView guid="{438F6294-7F32-4E6C-A7A2-5C539AC00C47}" filter="1" showAutoFilter="1">
      <autoFilter ref="$A$1:$AA$1619">
        <filterColumn colId="7">
          <filters>
            <filter val="4/21/2021 16:00:00"/>
            <filter val="5/1/2021 0:00:00"/>
            <filter val="4/10/2021 18:00:00"/>
            <filter val="3/30/2021 14:30:00"/>
            <filter val="2/24/2021 10:00:00"/>
            <filter val="4/17/2021 10:00:00"/>
            <filter val="5/30/2021 12:00:00"/>
            <filter val="8/18/2021 14:00:00"/>
            <filter val="9/20/2021 17:30:00"/>
            <filter val="2/18/2021 5:00:00"/>
            <filter val="9/1/2021 10:30:00"/>
            <filter val="10/30/2021 10:00:00"/>
            <filter val="4/29/2021 17:30:00"/>
            <filter val="4/8/2021 10:30:00"/>
            <filter val="10/1/2021 18:45:00"/>
            <filter val="1/21/2021 8:00:00"/>
            <filter val="8/21/2021 14:30:00"/>
            <filter val="8/19/2021 18:30:00"/>
            <filter val="8/19/2021 19:00:00"/>
            <filter val="3/19/2021 11:30:00"/>
            <filter val="10/12/2021 10:00:00"/>
            <filter val="11/4/2021 14:30:00"/>
            <filter val="3/15/2021 10:30:00"/>
            <filter val="5/7/2021 14:00:00"/>
            <filter val="7/30/2021 14:00:00"/>
            <filter val="9/6/2021 0:00:00"/>
            <filter val="10/15/2021 18:45:00"/>
            <filter val="8/29/2021 16:30:00"/>
            <filter val="3/26/2021 14:00:00"/>
            <filter val="10/13/2021 15:00:00"/>
            <filter val="9/2/2021 16:00:00"/>
            <filter val="9/20/2021 12:30:00"/>
            <filter val="3/5/2021 16:30:00"/>
            <filter val="4/17/2021 7:00:00"/>
            <filter val="5/8/2021 18:30:00"/>
            <filter val="3/24/2021 9:00:00"/>
            <filter val="10/16/2021 15:30:00"/>
            <filter val="3/19/2021 16:30:00"/>
            <filter val="10/1/2021 9:30:00"/>
            <filter val="11/18/2021 14:30:00"/>
            <filter val="3/22/2021 12:30:00"/>
            <filter val="3/11/2021 14:30:00"/>
            <filter val="4/15/2021 19:00:00"/>
            <filter val="9/27/2021 14:30:00"/>
            <filter val="10/30/2021 14:30:00"/>
            <filter val="5/28/2021 16:00:00"/>
            <filter val="9/24/2021 14:00:00"/>
            <filter val="9/24/2021 9:00:00"/>
            <filter val="12/24/2020 9:00:00"/>
            <filter val="2/25/2021 14:30:00"/>
            <filter val="10/7/2021 8:30:00"/>
            <filter val="4/23/2021 2:30:00"/>
            <filter val="10/5/2021 8:30:00"/>
            <filter val="5/7/2021 18:30:00"/>
            <filter val="6/2/2021 10:30:00"/>
            <filter val="3/12/2021 14:30:00"/>
            <filter val="9/17/2021 16:30:00"/>
            <filter val="2/16/2021 9:30:00"/>
            <filter val="11/19/2021 14:30:00"/>
            <filter val="6/18/2021 16:30:00"/>
            <filter val="6/22/2021 17:30:00"/>
            <filter val="4/3/2021 10:00:00"/>
            <filter val="2/17/2021 13:00:00"/>
            <filter val="2/18/2021 9:30:00"/>
            <filter val="10/2/2021 16:00:00"/>
            <filter val="3/15/2021 8:30:00"/>
            <filter val="11/4/2021 10:00:00"/>
            <filter val="9/18/2021 8:00:00"/>
            <filter val="4/7/2021 15:30:00"/>
            <filter val="11/12/2021 2:30:00"/>
            <filter val="3/11/2021 9:00:00"/>
            <filter val="3/8/2021 8:00:00"/>
            <filter val="3/18/2021 8:00:00"/>
            <filter val="3/18/2021 12:00:00"/>
            <filter val="2/26/2021 14:30:00"/>
            <filter val="6/18/2021 8:00:00"/>
            <filter val="9/6/2021 9:30:00"/>
            <filter val="9/2/2021 10:30:00"/>
            <filter val="3/27/2021 8:30:00"/>
            <filter val="11/22/2021 18:45:00"/>
            <filter val="12/2/2021 18:00:00"/>
            <filter val="3/22/2021 17:30:00"/>
            <filter val="9/29/2021 15:00:00"/>
            <filter val="10/18/2021 8:00:00"/>
            <filter val="10/21/2021 16:30:00"/>
            <filter val="4/5/2021 2:00:00"/>
            <filter val="9/18/2021 16:30:00"/>
            <filter val="11/25/2021 17:00:00"/>
            <filter val="12/18/2020 8:00:00"/>
            <filter val="3/1/2021 0:00:00"/>
            <filter val="2/25/2021 10:00:00"/>
            <filter val="4/23/2021 11:30:00"/>
            <filter val="4/30/2021 17:30:00"/>
            <filter val="6/24/2021 19:00:00"/>
            <filter val="2/19/2021 12:30:00"/>
            <filter val="10/25/2021 17:30:00"/>
            <filter val="10/19/2021 12:00:00"/>
            <filter val="3/6/2021 4:00:00"/>
            <filter val="3/26/2021 13:30:00"/>
            <filter val="4/17/2021 14:30:00"/>
            <filter val="4/22/2021 16:00:00"/>
            <filter val="9/23/2021 0:00:00"/>
            <filter val="12/18/2021 0:00:00"/>
            <filter val="10/7/2021 16:30:00"/>
            <filter val="4/16/2021 18:30:00"/>
            <filter val="11/6/2021 14:30:00"/>
            <filter val="10/8/2021 17:30:00"/>
            <filter val="8/6/2021 14:00:00"/>
            <filter val="2/27/2021 15:30:00"/>
            <filter val="11/20/2021 15:30:00"/>
            <filter val="4/12/2021 8:00:00"/>
            <filter val="4/9/2021 16:00:00"/>
            <filter val="8/30/2021 11:30:00"/>
            <filter val="2/18/2021 12:30:00"/>
            <filter val="8/20/2021 10:00:00"/>
            <filter val="11/17/2021 18:30:00"/>
            <filter val="9/11/2021 10:30:00"/>
            <filter val="9/8/2021 20:30:00"/>
            <filter val="4/22/2021 8:00:00"/>
            <filter val="5/27/2021 18:45:00"/>
            <filter val="2/12/2021 16:30:00"/>
            <filter val="4/19/2021 6:00:00"/>
            <filter val="3/25/2021 3:30:00"/>
            <filter val="10/9/2021 17:30:00"/>
            <filter val="7/30/2021 19:00:00"/>
            <filter val="8/19/2021 14:00:00"/>
            <filter val="3/17/2021 7:15:00"/>
            <filter val="4/22/2021 2:30:00"/>
            <filter val="5/14/2021 18:00:00"/>
            <filter val="4/26/2021 7:00:00"/>
            <filter val="7/25/2021 12:00:00"/>
            <filter val="10/16/2021 16:00:00"/>
            <filter val="11/12/2021 14:00:00"/>
            <filter val="2/19/2021 9:30:00"/>
            <filter val="3/8/2021 16:30:00"/>
            <filter val="5/10/2021 16:30:00"/>
            <filter val="3/12/2021 15:00:00"/>
            <filter val="10/18/2021 10:30:00"/>
            <filter val="3/20/2021 16:30:00"/>
            <filter val="3/15/2021 9:00:00"/>
            <filter val="8/21/2021 10:00:00"/>
            <filter val="8/10/2021 2:00:00"/>
            <filter val="9/25/2021 15:00:00"/>
            <filter val="9/25/2021 14:30:00"/>
            <filter val="4/16/2021 14:00:00"/>
            <filter val="10/15/2021 14:30:00"/>
            <filter val="3/25/2021 18:30:00"/>
            <filter val="5/14/2021 11:30:00"/>
            <filter val="9/7/2021 8:30:00"/>
            <filter val="10/2/2021 20:00:00"/>
            <filter val="11/20/2021 14:30:00"/>
            <filter val="3/10/2021 13:30:00"/>
            <filter val="2/20/2021 7:00:00"/>
            <filter val="5/8/2021 10:00:00"/>
            <filter val="2/15/2021 12:30:00"/>
            <filter val="9/8/2021 4:00:00"/>
            <filter val="3/26/2021 17:30:00"/>
            <filter val="4/19/2021 5:30:00"/>
            <filter val="2/19/2021 19:00:00"/>
            <filter val="2/27/2021 14:30:00"/>
            <filter val="2/22/2021 14:30:00"/>
            <filter val="5/21/2021 14:30:00"/>
            <filter val="10/29/2021 14:30:00"/>
            <filter val="11/5/2021 10:30:00"/>
            <filter val="9/13/2021 11:30:00"/>
            <filter val="8/30/2021 13:00:00"/>
            <filter val="1/16/2021 10:00:00"/>
            <filter val="3/8/2021 12:00:00"/>
            <filter val="9/24/2021 22:30:00"/>
            <filter val="4/16/2021 19:00:00"/>
            <filter val="2/9/2021 6:00:00"/>
            <filter val="8/10/2021 7:00:00"/>
            <filter val="9/12/2021 19:30:00"/>
            <filter val="9/6/2021 13:00:00"/>
            <filter val="2/19/2021 9:00:00"/>
            <filter val="3/18/2021 16:30:00"/>
            <filter val="3/6/2021 13:00:00"/>
            <filter val="3/28/2021 9:00:00"/>
            <filter val="8/28/2021 10:30:00"/>
            <filter val="3/13/2021 10:00:00"/>
            <filter val="5/1/2021 9:00:00"/>
            <filter val="8/27/2021 10:30:00"/>
            <filter val="9/21/2021 18:30:00"/>
            <filter val="3/19/2021 15:30:00"/>
            <filter val="9/10/2021 14:30:00"/>
            <filter val="3/20/2021 9:00:00"/>
            <filter val="4/7/2021 7:00:00"/>
            <filter val="7/1/2021 14:30:00"/>
            <filter val="2/26/2021 9:30:00"/>
            <filter val="11/6/2021 10:30:00"/>
            <filter val="10/25/2021 18:30:00"/>
            <filter val="3/12/2021 11:00:00"/>
            <filter val="4/23/2021 16:00:00"/>
            <filter val="2/9/2021 0:00:00"/>
            <filter val="8/12/2021 11:30:00"/>
            <filter val="9/22/2021 17:30:00"/>
            <filter val="9/26/2021 14:30:00"/>
            <filter val="9/11/2021 14:30:00"/>
            <filter val="4/30/2021 12:30:00"/>
            <filter val="3/12/2021 4:30:00"/>
            <filter val="8/18/2021 18:00:00"/>
            <filter val="9/10/2021 9:00:00"/>
            <filter val="10/22/2021 12:00:00"/>
            <filter val="3/18/2021 9:00:00"/>
            <filter val="4/24/2021 16:00:00"/>
            <filter val="9/27/2021 13:30:00"/>
            <filter val="2/28/2021 0:00:00"/>
            <filter val="10/29/2021 14:00:00"/>
            <filter val="3/8/2021 8:30:00"/>
            <filter val="8/23/2021 14:30:00"/>
            <filter val="9/8/2021 17:00:00"/>
            <filter val="10/8/2021 13:00:00"/>
            <filter val="3/12/2021 3:30:00"/>
            <filter val="11/20/2021 10:30:00"/>
            <filter val="10/23/2021 12:00:00"/>
            <filter val="11/12/2021 18:00:00"/>
            <filter val="4/28/2021 5:30:00"/>
            <filter val="8/30/2021 16:30:00"/>
            <filter val="3/27/2021 17:30:00"/>
            <filter val="10/12/2021 14:00:00"/>
            <filter val="4/19/2021 15:00:00"/>
            <filter val="2/27/2021 10:30:00"/>
            <filter val="4/29/2021 17:00:00"/>
            <filter val="5/6/2021 18:30:00"/>
            <filter val="5/7/2021 14:30:00"/>
            <filter val="8/21/2021 10:30:00"/>
            <filter val="8/20/2021 14:30:00"/>
            <filter val="3/19/2021 10:30:00"/>
            <filter val="3/9/2021 12:00:00"/>
            <filter val="3/12/2021 15:30:00"/>
            <filter val="10/17/2021 16:30:00"/>
            <filter val="9/28/2021 18:30:00"/>
            <filter val="3/12/2021 18:30:00"/>
            <filter val="3/13/2021 14:30:00"/>
            <filter val="3/15/2021 14:30:00"/>
            <filter val="10/8/2021 8:30:00"/>
            <filter val="9/3/2021 16:00:00"/>
            <filter val="8/2/2021 17:30:00"/>
            <filter val="9/16/2021 12:30:00"/>
            <filter val="10/18/2021 15:30:00"/>
            <filter val="10/26/2021 8:00:00"/>
            <filter val="2/19/2020 14:30:00"/>
            <filter val="9/23/2021 18:30:00"/>
            <filter val="2/13/2021 10:30:00"/>
            <filter val="10/27/2021 10:00:00"/>
            <filter val="3/12/2021 10:00:00"/>
            <filter val="3/30/2021 9:00:00"/>
            <filter val="4/19/2021 19:30:00"/>
            <filter val="9/17/2021 11:30:00"/>
            <filter val="3/16/2021 16:30:00"/>
            <filter val="9/11/2021 10:00:00"/>
            <filter val="8/17/2021 8:30:00"/>
            <filter val="4/11/2021 19:00:00"/>
            <filter val="10/6/2021 16:00:00"/>
            <filter val="3/19/2021 12:30:00"/>
            <filter val="10/29/2021 19:30:00"/>
            <filter val="3/27/2021 10:00:00"/>
            <filter val="3/17/2021 8:00:00"/>
            <filter val="9/1/2021 0:00:00"/>
            <filter val="9/18/2021 11:30:00"/>
            <filter val="8/30/2021 17:30:00"/>
            <filter val="10/16/2021 10:00:00"/>
            <filter val="10/15/2021 19:30:00"/>
            <filter val="11/19/2021 15:00:00"/>
            <filter val="5/3/2021 18:30:00"/>
            <filter val="5/20/2021 14:30:00"/>
            <filter val="10/29/2021 10:00:00"/>
            <filter val="9/25/2021 10:00:00"/>
            <filter val="1/24/2021 8:00:00"/>
            <filter val="10/23/2021 14:00:00"/>
            <filter val="2/20/2021 13:30:00"/>
            <filter val="3/14/2021 15:30:00"/>
            <filter val="4/12/2021 18:00:00"/>
            <filter val="2/20/2021 14:30:00"/>
            <filter val="5/8/2021 14:30:00"/>
            <filter val="3/1/2021 5:00:00"/>
            <filter val="9/13/2021 16:30:00"/>
            <filter val="2/21/2021 13:30:00"/>
            <filter val="3/22/2021 12:00:00"/>
            <filter val="9/23/2021 4:30:00"/>
            <filter val="3/2/2021 9:00:00"/>
            <filter val="9/20/2021 13:00:00"/>
            <filter val="8/20/2021 13:30:00"/>
            <filter val="3/6/2021 10:30:00"/>
            <filter val="11/5/2021 14:00:00"/>
            <filter val="8/13/2021 14:00:00"/>
            <filter val="9/29/2021 18:30:00"/>
            <filter val="8/16/2021 8:30:00"/>
            <filter val="4/20/2021 17:00:00"/>
            <filter val="11/10/2021 18:30:00"/>
            <filter val="6/9/2021 18:30:00"/>
            <filter val="9/20/2021 11:30:00"/>
            <filter val="11/16/2021 17:30:00"/>
            <filter val="9/25/2021 18:00:00"/>
            <filter val="3/12/2021 7:30:00"/>
            <filter val="4/22/2021 15:00:00"/>
            <filter val="8/23/2021 0:00:00"/>
            <filter val="3/15/2021 16:30:00"/>
            <filter val="3/26/2021 14:30:00"/>
            <filter val="9/6/2021 10:30:00"/>
            <filter val="4/17/2021 16:00:00"/>
            <filter val="4/22/2021 14:30:00"/>
            <filter val="2/19/2021 17:00:00"/>
            <filter val="8/11/2021 10:30:00"/>
            <filter val="3/18/2021 12:30:00"/>
            <filter val="3/22/2021 13:30:00"/>
            <filter val="5/26/2021 12:00:00"/>
            <filter val="3/9/2021 6:30:00"/>
            <filter val="9/25/2021 3:00:00"/>
            <filter val="4/24/2021 17:30:00"/>
            <filter val="12/4/2021 6:00:00"/>
            <filter val="4/6/2021 19:00:00"/>
            <filter val="10/22/2021 14:00:00"/>
            <filter val="3/26/2021 9:30:00"/>
            <filter val="10/28/2021 12:30:00"/>
            <filter val="9/24/2021 2:30:00"/>
            <filter val="3/19/2021 17:30:00"/>
            <filter val="10/30/2021 16:00:00"/>
            <filter val="10/11/2021 8:00:00"/>
            <filter val="10/27/2021 0:00:00"/>
            <filter val="4/5/2021 2:30:00"/>
            <filter val="9/23/2021 20:30:00"/>
            <filter val="2/14/2021 7:00:00"/>
            <filter val="4/7/2021 9:30:00"/>
            <filter val="5/21/2021 10:30:00"/>
            <filter val="10/29/2021 0:00:00"/>
            <filter val="4/2/2021 8:00:00"/>
            <filter val="5/15/2021 9:00:00"/>
            <filter val="5/14/2021 14:00:00"/>
            <filter val="8/21/2021 15:30:00"/>
            <filter val="4/8/2021 16:30:00"/>
            <filter val="9/8/2021 18:30:00"/>
            <filter val="9/17/2021 15:30:00"/>
            <filter val="3/12/2021 3:00:00"/>
            <filter val="11/1/2021 9:00:00"/>
            <filter val="3/4/2021 2:30:00"/>
            <filter val="3/6/2021 15:30:00"/>
            <filter val="4/30/2021 17:00:00"/>
            <filter val="10/28/2021 17:30:00"/>
            <filter val="2/19/2021 12:00:00"/>
            <filter val="3/15/2021 10:00:00"/>
            <filter val="3/22/2021 18:30:00"/>
            <filter val="10/13/2021 14:00:00"/>
            <filter val="5/18/2021 14:30:00"/>
            <filter val="2/19/2021 16:40:00"/>
            <filter val="4/21/2021 7:00:00"/>
            <filter val="4/19/2021 8:00:00"/>
            <filter val="5/6/2021 10:00:00"/>
            <filter val="8/2/2021 4:00:00"/>
            <filter val="8/11/2021 16:00:00"/>
            <filter val="8/23/2021 12:00:00"/>
            <filter val="5/8/2021 17:30:00"/>
            <filter val="4/12/2021 16:30:00"/>
            <filter val="4/29/2021 19:00:00"/>
            <filter val="5/8/2021 11:00:00"/>
            <filter val="5/7/2021 0:00:00"/>
            <filter val="2/11/2021 10:00:00"/>
            <filter val="4/6/2021 16:30:00"/>
            <filter val="5/1/2021 15:30:00"/>
            <filter val="9/6/2021 17:30:00"/>
            <filter val="12/4/2021 20:00:00"/>
            <filter val="3/27/2021 18:00:00"/>
            <filter val="4/6/2021 17:00:00"/>
            <filter val="3/8/2021 15:30:00"/>
            <filter val="2/14/2021 8:30:00"/>
            <filter val="2/25/2021 19:00:00"/>
            <filter val="4/30/2021 14:30:00"/>
            <filter val="2/1/2021 16:00:00"/>
            <filter val="8/23/2021 7:00:00"/>
            <filter val="5/3/2021 13:30:00"/>
            <filter val="1/27/2021 8:00:00"/>
            <filter val="3/13/2021 12:00:00"/>
            <filter val="3/12/2021 9:30:00"/>
            <filter val="9/24/2021 14:30:00"/>
            <filter val="11/12/2021 11:30:00"/>
            <filter val="8/23/2021 16:30:00"/>
            <filter val="5/14/2021 15:30:00"/>
            <filter val="4/24/2021 11:00:00"/>
            <filter val="4/16/2021 15:30:00"/>
            <filter val="8/13/2021 15:30:00"/>
            <filter val="12/1/2021 16:00:00"/>
            <filter val="4/24/2021 10:30:00"/>
            <filter val="10/4/2021 8:00:00"/>
            <filter val="9/11/2021 14:00:00"/>
            <filter val="4/20/2021 15:00:00"/>
            <filter val="10/30/2021 10:30:00"/>
            <filter val="2/17/2021 13:30:00"/>
            <filter val="4/30/2021 16:30:00"/>
            <filter val="6/7/2021 18:30:00"/>
            <filter val="2/19/2021 8:30:00"/>
            <filter val="10/25/2021 19:00:00"/>
            <filter val="5/14/2021 13:30:00"/>
            <filter val="8/27/2021 14:30:00"/>
            <filter val="9/20/2021 16:30:00"/>
            <filter val="4/22/2021 3:30:00"/>
            <filter val="9/29/2021 14:00:00"/>
            <filter val="9/13/2021 13:00:00"/>
            <filter val="4/26/2021 8:00:00"/>
            <filter val="4/28/2021 18:30:00"/>
            <filter val="6/15/2021 8:00:00"/>
            <filter val="11/16/2021 8:00:00"/>
            <filter val="11/22/2021 14:30:00"/>
            <filter val="3/12/2021 10:30:00"/>
            <filter val="5/1/2021 13:30:00"/>
            <filter val="8/19/2021 10:30:00"/>
            <filter val="3/12/2021 11:30:00"/>
            <filter val="3/26/2021 12:30:00"/>
            <filter val="4/24/2021 13:00:00"/>
            <filter val="9/25/2021 8:00:00"/>
            <filter val="3/8/2021 9:00:00"/>
            <filter val="10/16/2021 11:30:00"/>
            <filter val="4/30/2021 8:30:00"/>
            <filter val="9/25/2021 16:00:00"/>
            <filter val="4/19/2021 19:00:00"/>
            <filter val="5/7/2021 9:30:00"/>
            <filter val="8/26/2021 20:30:00"/>
            <filter val="3/21/2021 8:00:00"/>
            <filter val="9/24/2021 12:30:00"/>
            <filter val="3/6/2021 8:00:00"/>
            <filter val="4/30/2021 18:30:00"/>
            <filter val="10/4/2021 9:30:00"/>
            <filter val="9/4/2021 15:30:00"/>
            <filter val="2/23/2021 14:00:00"/>
            <filter val="4/30/2021 19:00:00"/>
            <filter val="11/20/2021 15:00:00"/>
            <filter val="10/9/2021 15:30:00"/>
            <filter val="10/29/2021 9:00:00"/>
            <filter val="2/25/2021 12:00:00"/>
            <filter val="2/19/2021 14:00:00"/>
            <filter val="8/13/2021 16:30:00"/>
            <filter val="11/26/2021 14:00:00"/>
            <filter val="3/19/2021 9:30:00"/>
            <filter val="8/23/2021 10:00:00"/>
            <filter val="3/2/2021 12:30:00"/>
            <filter val="11/9/2021 12:00:00"/>
            <filter val="9/7/2021 4:00:00"/>
            <filter val="9/6/2021 13:30:00"/>
            <filter val="3/11/2021 18:00:00"/>
            <filter val="9/24/2021 10:30:00"/>
            <filter val="8/27/2021 16:30:00"/>
            <filter val="3/13/2021 16:00:00"/>
            <filter val="9/27/2021 19:00:00"/>
            <filter val="2/27/2021 15:00:00"/>
            <filter val="9/22/2021 12:30:00"/>
            <filter val="5/20/2021 16:00:00"/>
            <filter val="6/25/2021 10:30:00"/>
            <filter val="9/4/2021 10:30:00"/>
            <filter val="2/23/2021 19:00:00"/>
            <filter val="4/15/2021 9:30:00"/>
            <filter val="2/14/2021 0:00:00"/>
            <filter val="2/27/2021 16:00:00"/>
            <filter val="11/22/2021 17:30:00"/>
            <filter val="8/21/2021 12:00:00"/>
            <filter val="4/9/2021 9:30:00"/>
            <filter val="4/10/2021 10:00:00"/>
            <filter val="8/9/2021 15:00:00"/>
            <filter val="5/6/2021 17:00:00"/>
            <filter val="2/17/2021 16:30:00"/>
            <filter val="9/2/2021 18:30:00"/>
            <filter val="5/14/2021 16:30:00"/>
            <filter val="10/1/2021 18:30:00"/>
            <filter val="11/12/2021 12:30:00"/>
            <filter val="4/16/2021 14:30:00"/>
            <filter val="6/18/2021 14:00:00"/>
            <filter val="9/17/2021 14:00:00"/>
            <filter val="3/19/2021 14:00:00"/>
            <filter val="2/19/2021 14:30:00"/>
            <filter val="2/13/2021 16:00:00"/>
            <filter val="10/4/2021 22:30:00"/>
            <filter val="2/25/2021 9:00:00"/>
            <filter val="4/24/2021 10:00:00"/>
            <filter val="3/15/2021 1:30:00"/>
            <filter val="3/19/2021 8:30:00"/>
            <filter val="10/17/2021 18:00:00"/>
            <filter val="2/27/2021 10:00:00"/>
            <filter val="4/16/2021 13:30:00"/>
            <filter val="3/11/2021 19:00:00"/>
            <filter val="5/12/2021 18:30:00"/>
            <filter val="9/6/2021 14:30:00"/>
            <filter val="8/10/2021 2:30:00"/>
            <filter val="5/14/2021 18:30:00"/>
            <filter val="4/30/2021 12:00:00"/>
            <filter val="5/6/2021 19:00:00"/>
            <filter val="4/24/2021 13:30:00"/>
            <filter val="9/10/2021 7:30:00"/>
            <filter val="4/30/2021 15:00:00"/>
            <filter val="9/30/2021 15:50:00"/>
            <filter val="4/24/2021 16:30:00"/>
            <filter val="9/30/2021 0:00:00"/>
            <filter val="10/5/2021 10:30:00"/>
            <filter val="5/28/2021 14:00:00"/>
            <filter val="4/16/2021 12:30:00"/>
            <filter val="6/11/2021 0:00:00"/>
            <filter val="10/7/2021 10:30:00"/>
            <filter val="8/16/2021 8:00:00"/>
            <filter val="11/12/2021 14:30:00"/>
            <filter val="4/10/2021 13:30:00"/>
            <filter val="8/17/2021 16:30:00"/>
            <filter val="9/2/2021 15:40:00"/>
            <filter val="3/12/2021 7:00:00"/>
            <filter val="7/29/2021 9:00:00"/>
            <filter val="10/1/2021 14:30:00"/>
            <filter val="10/9/2021 11:30:00"/>
            <filter val="8/19/2021 14:30:00"/>
            <filter val="11/26/2021 10:00:00"/>
            <filter val="4/22/2021 18:30:00"/>
            <filter val="2/9/2021 19:00:00"/>
            <filter val="9/20/2021 10:30:00"/>
            <filter val="10/1/2021 17:30:00"/>
            <filter val="10/22/2021 10:30:00"/>
            <filter val="4/16/2021 11:30:00"/>
            <filter val="4/26/2021 13:30:00"/>
            <filter val="9/2/2021 15:30:00"/>
            <filter val="11/18/2021 8:00:00"/>
            <filter val="11/12/2021 15:30:00"/>
            <filter val="3/6/2021 12:30:00"/>
            <filter val="4/12/2021 14:30:00"/>
            <filter val="4/22/2021 16:30:00"/>
            <filter val="9/6/2021 12:30:00"/>
            <filter val="7/31/2021 11:00:00"/>
            <filter val="4/30/2021 14:00:00"/>
            <filter val="3/8/2021 10:30:00"/>
            <filter val="4/24/2021 14:30:00"/>
            <filter val="8/11/2021 14:00:00"/>
            <filter val="8/21/2021 16:00:00"/>
            <filter val="3/4/2021 13:30:00"/>
            <filter val="11/20/2021 7:00:00"/>
            <filter val="4/26/2021 14:30:00"/>
            <filter val="1/27/2021 14:30:00"/>
            <filter val="2/19/2021 16:30:00"/>
            <filter val="10/4/2021 8:30:00"/>
            <filter val="10/22/2021 6:00:00"/>
            <filter val="4/22/2021 17:30:00"/>
            <filter val="10/1/2021 16:30:00"/>
            <filter val="10/22/2021 11:30:00"/>
            <filter val="1/31/2021 9:00:00"/>
            <filter val="9/15/2021 19:00:00"/>
            <filter val="4/24/2021 15:30:00"/>
            <filter val="2/4/2022 12:00:00"/>
            <filter val="3/4/2021 12:30:00"/>
            <filter val="4/8/2021 18:30:00"/>
            <filter val="4/20/2021 18:30:00"/>
            <filter val="3/6/2021 9:00:00"/>
            <filter val="7/3/2021 13:00:00"/>
            <filter val="2/15/2021 11:00:00"/>
            <filter val="5/28/2021 12:00:00"/>
            <filter val="10/7/2021 11:30:00"/>
            <filter val="10/24/2021 18:15:00"/>
            <filter val="2/19/2021 11:00:00"/>
            <filter val="11/12/2021 10:30:00"/>
            <filter val="11/20/2021 18:00:00"/>
            <filter val="3/25/2021 15:30:00"/>
            <filter val="3/22/2021 7:00:00"/>
            <filter val="8/12/2021 15:00:00"/>
            <filter val="4/16/2021 16:30:00"/>
            <filter val="2/15/2021 10:00:00"/>
            <filter val="3/20/2021 10:00:00"/>
            <filter val="5/14/2021 14:30:00"/>
            <filter val="2/9/2021 8:00:00"/>
            <filter val="11/16/2021 12:00:00"/>
            <filter val="2/9/2021 7:30:00"/>
            <filter val="5/15/2021 8:00:00"/>
            <filter val="9/18/2021 14:30:00"/>
            <filter val="10/15/2021 18:00:00"/>
            <filter val="5/1/2021 14:30:00"/>
            <filter val="8/27/2021 14:00:00"/>
            <filter val="4/23/2021 18:30:00"/>
            <filter val="5/13/2021 10:00:00"/>
            <filter val="5/14/2021 8:00:00"/>
            <filter val="2/14/2021 8:00:00"/>
            <filter val="6/2/2021 4:30:00"/>
            <filter val="3/8/2021 14:30:00"/>
            <filter val="3/29/2021 12:00:00"/>
            <filter val="11/12/2021 9:30:00"/>
            <filter val="2/19/2021 15:30:00"/>
            <filter val="3/18/2021 19:00:00"/>
            <filter val="2/25/2021 8:00:00"/>
            <filter val="8/30/2021 14:30:00"/>
            <filter val="2/27/2021 8:00:00"/>
            <filter val="2/16/2021 15:00:00"/>
            <filter val="9/21/2021 16:00:00"/>
            <filter val="11/7/2021 17:30:00"/>
            <filter val="2/26/2021 12:30:00"/>
            <filter val="8/12/2021 10:00:00"/>
            <filter val="11/27/2021 14:30:00"/>
            <filter val="4/23/2021 9:30:00"/>
            <filter val="4/3/2021 8:30:00"/>
            <filter val="9/7/2021 14:30:00"/>
            <filter val="9/15/2021 18:30:00"/>
            <filter val="8/20/2021 8:30:00"/>
            <filter val="3/10/2021 16:30:00"/>
            <filter val="10/22/2021 14:30:00"/>
            <filter val="4/19/2021 17:30:00"/>
            <filter val="2/22/2021 16:30:00"/>
            <filter val="8/27/2021 18:30:00"/>
            <filter val="10/7/2021 14:30:00"/>
            <filter val="9/3/2021 14:00:00"/>
            <filter val="11/30/2021 15:30:00"/>
            <filter val="2/20/2021 8:30:00"/>
            <filter val="3/26/2021 15:30:00"/>
            <filter val="3/5/2021 19:00:00"/>
            <filter val="4/30/2021 16:00:00"/>
            <filter val="8/20/2021 16:30:00"/>
            <filter val="9/13/2021 1:30:00"/>
            <filter val="5/21/2021 16:30:00"/>
            <filter val="5/10/2021 13:30:00"/>
            <filter val="4/2/2021 17:00:00"/>
            <filter val="2/28/2021 7:30:00"/>
            <filter val="11/18/2021 16:30:00"/>
            <filter val="5/15/2021 14:30:00"/>
            <filter val="9/3/2021 7:30:00"/>
            <filter val="11/4/2021 20:30:00"/>
            <filter val="4/25/2021 10:00:00"/>
            <filter val="3/12/2021 12:30:00"/>
            <filter val="8/26/2021 13:30:00"/>
            <filter val="8/25/2021 17:30:00"/>
            <filter val="9/23/2021 16:00:00"/>
            <filter val="4/19/2021 18:00:00"/>
            <filter val="4/17/2021 9:00:00"/>
            <filter val="2/18/2021 10:30:00"/>
            <filter val="5/1/2021 7:00:00"/>
            <filter val="7/9/2021 14:00:00"/>
            <filter val="4/15/2021 16:30:00"/>
            <filter val="4/26/2021 4:30:00"/>
            <filter val="5/17/2021 8:00:00"/>
            <filter val="3/26/2021 5:30:00"/>
            <filter val="8/17/2021 8:00:00"/>
            <filter val="4/9/2021 13:30:00"/>
            <filter val="10/30/2021 11:30:00"/>
            <filter val="8/20/2021 12:00:00"/>
            <filter val="8/6/2021 10:30:00"/>
            <filter val="3/20/2021 14:30:00"/>
            <filter val="3/26/2021 10:30:00"/>
            <filter val="11/17/2021 12:00:00"/>
            <filter val="2/4/2021 16:00:00"/>
            <filter val="8/29/2021 19:00:00"/>
            <filter val="2/28/2021 8:00:00"/>
            <filter val="8/9/2021 12:00:00"/>
            <filter val="5/20/2021 12:00:00"/>
            <filter val="3/5/2021 10:00:00"/>
            <filter val="11/19/2021 17:30:00"/>
            <filter val="9/27/2021 11:30:00"/>
            <filter val="10/19/2021 14:00:00"/>
            <filter val="3/25/2021 7:00:00"/>
            <filter val="8/14/2021 14:30:00"/>
            <filter val="4/3/2021 16:30:00"/>
            <filter val="11/20/2021 9:30:00"/>
            <filter val="5/12/2021 14:30:00"/>
            <filter val="2/18/2021 16:00:00"/>
            <filter val="3/19/2021 18:30:00"/>
            <filter val="9/18/2021 10:00:00"/>
            <filter val="8/13/2021 2:30:00"/>
            <filter val="4/16/2021 3:30:00"/>
            <filter val="10/20/2021 10:00:00"/>
            <filter val="4/8/2021 8:30:00"/>
            <filter val="2/20/2021 12:00:00"/>
            <filter val="5/28/2021 19:00:00"/>
            <filter val="4/12/2021 11:00:00"/>
            <filter val="10/6/2021 10:00:00"/>
            <filter val="4/23/2021 14:00:00"/>
            <filter val="8/13/2021 14:30:00"/>
            <filter val="3/26/2021 16:00:00"/>
            <filter val="5/13/2021 14:30:00"/>
            <filter val="4/17/2021 16:30:00"/>
            <filter val="8/12/2021 14:30:00"/>
            <filter val="9/25/2021 11:30:00"/>
            <filter val="3/10/2021 1:30:00"/>
            <filter val="8/29/2021 13:30:00"/>
            <filter val="11/5/2021 9:30:00"/>
            <filter val="2/20/2021 9:00:00"/>
            <filter val="4/30/2021 15:30:00"/>
            <filter val="6/9/2021 16:00:00"/>
            <filter val="3/26/2021 12:00:00"/>
            <filter val="4/8/2021 19:00:00"/>
            <filter val="7/20/2021 18:00:00"/>
            <filter val="3/15/2021 13:30:00"/>
            <filter val="9/22/2021 20:00:00"/>
            <filter val="10/9/2021 16:00:00"/>
            <filter val="5/15/2021 10:30:00"/>
            <filter val="4/10/2021 0:00:00"/>
            <filter val="7/28/2021 9:30:00"/>
            <filter val="10/8/2021 18:45:00"/>
            <filter val="6/15/2021 17:30:00"/>
            <filter val="2/19/2021 3:00:00"/>
            <filter val="6/21/2021 10:00:00"/>
            <filter val="4/9/2021 9:00:00"/>
            <filter val="10/1/2021 14:00:00"/>
            <filter val="4/22/2021 5:30:00"/>
            <filter val="8/10/2021 8:00:00"/>
            <filter val="5/18/2021 8:00:00"/>
            <filter val="3/22/2021 11:00:00"/>
            <filter val="5/7/2021 10:30:00"/>
            <filter val="9/27/2021 13:00:00"/>
            <filter val="3/12/2021 16:30:00"/>
            <filter val="9/17/2021 18:30:00"/>
            <filter val="8/9/2021 0:00:00"/>
            <filter val="9/13/2021 17:30:00"/>
            <filter val="2/1/2021 0:00:00"/>
            <filter val="3/1/2021 14:00:00"/>
            <filter val="3/19/2021 14:30:00"/>
            <filter val="10/23/2021 10:00:00"/>
            <filter val="5/7/2021 16:30:00"/>
            <filter val="8/7/2021 16:30:00"/>
            <filter val="4/19/2021 17:00:00"/>
            <filter val="11/4/2021 12:30:00"/>
            <filter val="8/21/2021 8:00:00"/>
            <filter val="2/20/2021 10:30:00"/>
            <filter val="4/21/2021 18:00:00"/>
            <filter val="3/15/2021 18:30:00"/>
            <filter val="3/7/2021 19:00:00"/>
            <filter val="3/26/2021 16:30:00"/>
            <filter val="9/13/2021 18:30:00"/>
            <filter val="4/5/2021 11:30:00"/>
            <filter val="2/22/2021 15:30:00"/>
            <filter val="4/10/2021 16:00:00"/>
            <filter val="10/9/2021 10:00:00"/>
            <filter val="10/23/2021 11:00:00"/>
            <filter val="9/24/2021 16:30:00"/>
            <filter val="6/18/0021 14:00:00"/>
            <filter val="9/20/2021 8:00:00"/>
            <filter val="6/24/2021 16:30:00"/>
            <filter val="9/25/2021 15:30:00"/>
            <filter val="8/30/2021 13:30:00"/>
            <filter val="4/22/2021 18:00:00"/>
            <filter val="8/13/2021 10:30:00"/>
            <filter val="8/14/2021 10:30:00"/>
            <filter val="3/10/2021 13:00:00"/>
            <filter val="5/7/2021 11:30:00"/>
            <filter val="5/14/2021 10:30:00"/>
            <filter val="11/6/2021 9:30:00"/>
            <filter val="9/4/2021 8:00:00"/>
            <filter val="3/11/2021 16:30:00"/>
            <filter val="2/20/2021 15:30:00"/>
            <filter val="2/17/2021 14:50:00"/>
            <filter val="5/21/2021 12:30:00"/>
            <filter val="9/24/2021 6:30:00"/>
            <filter val="4/24/2021 9:00:00"/>
            <filter val="12/4/2021 10:00:00"/>
            <filter val="3/23/2021 11:00:00"/>
            <filter val="9/17/2021 14:30:00"/>
            <filter val="3/31/2021 18:00:00"/>
            <filter val="4/6/2021 0:00:00"/>
            <filter val="10/22/2021 16:00:00"/>
            <filter val="3/18/2021 14:30:00"/>
            <filter val="4/12/2021 0:00:00"/>
            <filter val="9/22/2021 19:30:00"/>
            <filter val="5/1/2021 18:30:00"/>
            <filter val="10/18/2021 10:00:00"/>
            <filter val="3/1/2021 3:00:00"/>
            <filter val="3/19/2021 13:30:00"/>
            <filter val="3/24/2021 10:00:00"/>
            <filter val="4/30/2021 11:30:00"/>
            <filter val="2/22/2021 10:30:00"/>
            <filter val="11/18/2021 17:00:00"/>
            <filter val="3/1/2021 18:00:00"/>
            <filter val="8/31/2021 15:30:00"/>
            <filter val="3/9/2021 15:00:00"/>
            <filter val="9/17/2021 7:00:00"/>
            <filter val="3/10/2021 12:00:00"/>
            <filter val="8/24/2021 12:30:00"/>
            <filter val="11/12/2021 0:00:00"/>
            <filter val="9/29/2021 17:30:00"/>
            <filter val="2/5/2021 14:30:00"/>
            <filter val="4/22/2021 19:00:00"/>
            <filter val="2/26/2021 11:30:00"/>
            <filter val="11/29/2021 9:30:00"/>
            <filter val="9/3/2021 19:00:00"/>
            <filter val="3/27/2021 7:00:00"/>
            <filter val="10/21/2021 15:00:00"/>
            <filter val="2/16/2021 6:30:00"/>
            <filter val="3/20/2021 15:00:00"/>
            <filter val="3/8/2021 15:00:00"/>
            <filter val="5/6/2021 16:30:00"/>
            <filter val="3/7/2021 15:00:00"/>
            <filter val="10/22/2021 15:00:00"/>
            <filter val="4/15/2021 16:00:00"/>
            <filter val="9/11/2021 16:30:00"/>
            <filter val="2/18/2021 3:00:00"/>
            <filter val="9/3/2021 18:00:00"/>
            <filter val="9/27/2021 17:30:00"/>
            <filter val="6/2/2021 19:00:00"/>
            <filter val="10/8/2021 14:00:00"/>
            <filter val="5/22/2021 9:00:00"/>
            <filter val="5/1/2021 19:30:00"/>
            <filter val="3/20/2021 14:00:00"/>
            <filter val="9/8/2021 14:00:00"/>
            <filter val="10/4/0201 6:30:00"/>
            <filter val="11/5/2021 3:30:00"/>
            <filter val="4/22/2021 0:00:00"/>
            <filter val="9/28/2021 16:30:00"/>
            <filter val="2/22/2021 9:00:00"/>
            <filter val="5/1/2021 10:00:00"/>
            <filter val="11/1/2021 11:30:00"/>
            <filter val="9/14/2021 20:30:00"/>
            <filter val="11/19/2021 8:30:00"/>
            <filter val="2/22/2021 17:30:00"/>
            <filter val="4/15/2021 17:30:00"/>
            <filter val="10/6/2021 10:30:00"/>
            <filter val="10/15/2021 11:30:00"/>
            <filter val="3/9/2021 18:30:00"/>
            <filter val="4/22/2021 9:00:00"/>
            <filter val="9/17/2021 10:30:00"/>
            <filter val="9/14/2021 19:30:00"/>
            <filter val="10/2/2021 10:00:00"/>
            <filter val="4/17/2021 15:30:00"/>
            <filter val="3/20/2021 16:00:00"/>
            <filter val="11/17/2021 10:30:00"/>
            <filter val="4/5/2021 14:00:00"/>
            <filter val="4/21/2021 10:00:00"/>
            <filter val="9/2/2021 8:30:00"/>
            <filter val="11/23/2021 14:30:00"/>
            <filter val="11/29/2021 14:00:00"/>
            <filter val="4/7/2021 12:00:00"/>
            <filter val="3/12/2021 14:00:00"/>
            <filter val="5/15/2021 18:30:00"/>
            <filter val="10/4/2021 13:00:00"/>
            <filter val="4/19/2021 13:30:00"/>
            <filter val="7/24/2021 10:30:00"/>
            <filter val="8/20/2021 16:00:00"/>
            <filter val="2/26/2021 18:30:00"/>
            <filter val="11/13/2021 14:30:00"/>
            <filter val="11/19/2021 14:00:00"/>
            <filter val="9/13/2021 14:30:00"/>
            <filter val="10/11/2021 10:30:00"/>
            <filter val="2/23/2021 10:30:00"/>
            <filter val="10/8/2021 4:30:00"/>
            <filter val="10/23/2021 12:25:00"/>
            <filter val="11/8/2021 16:30:00"/>
            <filter val="5/21/2021 17:30:00"/>
            <filter val="4/6/2021 4:30:00"/>
            <filter val="9/18/2021 15:30:00"/>
            <filter val="9/29/2021 13:30:00"/>
            <filter val="11/8/2021 9:30:00"/>
            <filter val="10/25/2021 11:30:00"/>
            <filter val="4/25/2021 17:30:00"/>
            <filter val="8/31/2021 13:30:00"/>
            <filter val="8/27/2021 16:03:00"/>
            <filter val="10/3/2021 6:00:00"/>
            <filter val="3/15/2021 11:30:00"/>
            <filter val="10/4/2021 17:30:00"/>
            <filter val="5/29/2021 9:00:00"/>
            <filter val="6/15/2021 10:00:00"/>
            <filter val="2/16/2021 14:00:00"/>
            <filter val="5/29/2021 15:00:00"/>
            <filter val="3/1/2021 11:30:00"/>
            <filter val="4/7/2021 16:30:00"/>
            <filter val="3/11/2021 15:30:00"/>
            <filter val="9/24/2021 8:00:00"/>
            <filter val="10/25/2021 10:00:00"/>
            <filter val="5/8/2021 9:30:00"/>
            <filter val="4/3/2021 16:00:00"/>
            <filter val="11/15/2021 17:30:00"/>
            <filter val="3/24/2021 8:00:00"/>
            <filter val="11/13/2021 10:00:00"/>
            <filter val="3/22/2021 8:00:00"/>
            <filter val="8/18/2021 8:30:00"/>
            <filter val="4/20/2021 8:30:00"/>
            <filter val="11/8/2021 11:30:00"/>
            <filter val="11/24/2021 8:30:00"/>
            <filter val="5/1/2021 16:00:00"/>
            <filter val="9/29/2021 11:30:00"/>
            <filter val="4/29/2021 16:30:00"/>
            <filter val="11/6/2021 16:30:00"/>
            <filter val="5/8/2021 10:30:00"/>
            <filter val="8/16/2021 11:30:00"/>
            <filter val="3/8/2021 4:30:00"/>
            <filter val="6/17/2021 9:30:00"/>
            <filter val="11/15/2021 8:00:00"/>
            <filter val="5/1/2021 19:00:00"/>
            <filter val="4/1/2021 19:30:00"/>
            <filter val="8/20/2021 17:30:00"/>
            <filter val="9/23/2021 12:30:00"/>
            <filter val="3/18/2021 4:30:00"/>
            <filter val="5/21/2021 13:00:00"/>
            <filter val="9/28/2021 16:00:00"/>
            <filter val="2/20/2021 10:00:00"/>
            <filter val="3/11/2021 2:30:00"/>
            <filter val="4/3/2021 17:30:00"/>
            <filter val="6/25/2021 15:00:00"/>
            <filter val="4/21/2021 17:00:00"/>
            <filter val="3/25/2021 11:30:00"/>
            <filter val="9/25/2021 10:30:00"/>
            <filter val="4/9/2021 17:00:00"/>
            <filter val="10/14/2021 8:00:00"/>
            <filter val="4/23/2021 15:00:00"/>
            <filter val="4/14/2021 10:45:00"/>
            <filter val="12/17/2021 16:30:00"/>
            <filter val="11/8/2021 14:30:00"/>
            <filter val="9/10/2021 14:00:00"/>
            <filter val="10/25/2021 14:30:00"/>
            <filter val="4/5/2021 15:30:00"/>
            <filter val="4/17/2021 17:30:00"/>
            <filter val="4/9/2021 12:30:00"/>
            <filter val="3/13/2021 20:00:00"/>
            <filter val="3/15/2021 8:00:00"/>
            <filter val="5/15/2021 16:00:00"/>
            <filter val="9/11/2021 8:00:00"/>
            <filter val="1/26/2021 8:00:00"/>
            <filter val="4/5/2021 19:00:00"/>
            <filter val="8/28/2021 14:30:00"/>
            <filter val="4/19/2021 15:30:00"/>
            <filter val="2/20/2021 8:45:00"/>
            <filter val="8/12/2021 19:00:00"/>
            <filter val="4/30/2021 20:30:00"/>
            <filter val="2/28/2021 9:00:00"/>
            <filter val="4/9/2021 14:40:00"/>
            <filter val="2/24/2021 9:00:00"/>
            <filter val="11/19/2021 18:30:00"/>
            <filter val="11/26/2021 8:00:00"/>
            <filter val="2/22/2021 19:30:00"/>
            <filter val="2/26/2021 16:30:00"/>
            <filter val="4/21/2021 15:00:00"/>
            <filter val="5/27/2021 19:00:00"/>
            <filter val="2/18/2021 14:30:00"/>
            <filter val="11/6/2021 10:00:00"/>
            <filter val="6/29/2021 18:00:00"/>
            <filter val="2/18/2021 15:00:00"/>
            <filter val="4/9/2021 17:30:00"/>
            <filter val="2/12/2021 16:00:00"/>
            <filter val="8/28/2021 16:00:00"/>
            <filter val="4/5/2021 16:30:00"/>
            <filter val="5/29/2021 16:30:00"/>
            <filter val="4/19/2021 10:30:00"/>
            <filter val="8/14/2021 10:00:00"/>
            <filter val="4/23/2021 10:30:00"/>
            <filter val="3/5/2021 14:30:00"/>
            <filter val="3/27/2021 10:30:00"/>
            <filter val="10/8/2021 16:30:00"/>
            <filter val="8/28/2021 10:00:00"/>
            <filter val="9/11/2021 9:30:00"/>
            <filter val="5/17/2021 13:30:00"/>
            <filter val="10/4/2021 15:30:00"/>
            <filter val="7/17/2021 0:00:00"/>
            <filter val="11/19/2021 16:30:00"/>
            <filter val="4/27/2021 9:00:00"/>
            <filter val="5/13/2021 17:30:00"/>
            <filter val="2/26/2021 10:00:00"/>
            <filter val="11/29/2021 10:00:00"/>
            <filter val="1/30/2021 16:00:00"/>
            <filter val="3/11/2021 4:00:00"/>
            <filter val="7/15/2021 9:30:00"/>
            <filter val="10/2/2021 11:30:00"/>
            <filter val="5/21/2021 15:00:00"/>
            <filter val="3/22/2021 9:00:00"/>
            <filter val="6/17/2021 15:00:00"/>
            <filter val="4/29/2021 14:30:00"/>
            <filter val="10/28/2021 2:00:00"/>
            <filter val="11/21/2021 18:30:00"/>
            <filter val="3/5/2021 15:30:00"/>
            <filter val="4/8/2021 20:30:00"/>
            <filter val="9/30/2021 20:30:00"/>
            <filter val="4/17/2021 13:30:00"/>
            <filter val="8/28/2021 15:00:00"/>
            <filter val="5/21/2021 14:00:00"/>
            <filter val="9/3/2021 10:30:00"/>
            <filter val="4/29/2021 15:30:00"/>
            <filter val="5/7/2021 16:00:00"/>
            <filter val="9/6/2021 8:00:00"/>
            <filter val="4/15/2021 14:30:00"/>
            <filter val="5/12/2021 2:30:00"/>
            <filter val="9/5/2021 15:30:00"/>
            <filter val="3/27/2021 1:30:00"/>
            <filter val="10/23/2021 14:30:00"/>
            <filter val="2/24/2021 8:30:00"/>
            <filter val="4/27/2021 16:30:00"/>
            <filter val="8/20/2021 14:00:00"/>
            <filter val="2/22/2021 8:30:00"/>
            <filter val="4/23/2021 17:30:00"/>
            <filter val="11/29/2021 14:30:00"/>
            <filter val="8/10/2021 16:00:00"/>
            <filter val="3/20/2021 9:30:00"/>
            <filter val="5/19/2021 18:30:00"/>
            <filter val="4/20/2021 9:00:00"/>
            <filter val="2/20/2021 16:00:00"/>
            <filter val="2/26/2021 15:00:00"/>
            <filter val="2/16/2021 13:00:00"/>
            <filter val="3/5/2021 3:00:00"/>
            <filter val="9/1/2021 14:30:00"/>
            <filter val="8/6/2021 19:00:00"/>
            <filter val="10/4/2021 11:30:00"/>
            <filter val="11/30/2021 8:00:00"/>
            <filter val="9/1/2021 17:30:00"/>
            <filter val="10/6/2021 14:30:00"/>
            <filter val="11/19/2021 12:30:00"/>
            <filter val="9/17/2021 19:45:00"/>
            <filter val="10/4/2021 14:30:00"/>
            <filter val="9/3/2021 15:30:00"/>
            <filter val="5/21/2021 19:00:00"/>
            <filter val="11/17/2021 14:30:00"/>
            <filter val="4/29/2021 10:30:00"/>
            <filter val="4/9/2021 16:30:00"/>
            <filter val="11/8/2021 17:30:00"/>
            <filter val="5/29/2021 10:00:00"/>
            <filter val="3/27/2021 2:30:00"/>
            <filter val="3/31/2021 8:30:00"/>
            <filter val="4/23/2021 14:30:00"/>
            <filter val="3/29/2021 9:30:00"/>
            <filter val="3/5/2021 10:30:00"/>
            <filter val="11/25/2021 16:30:00"/>
            <filter val="2/18/2021 10:00:00"/>
            <filter val="9/3/2021 14:30:00"/>
            <filter val="10/31/2021 16:30:00"/>
            <filter val="11/15/2021 9:30:00"/>
            <filter val="11/19/2021 10:30:00"/>
            <filter val="9/20/2021 8:30:00"/>
            <filter val="4/5/2021 12:00:00"/>
            <filter val="3/13/2021 8:00:00"/>
            <filter val="4/23/2021 15:30:00"/>
            <filter val="9/16/2021 17:00:00"/>
            <filter val="4/17/2021 10:30:00"/>
            <filter val="8/12/2021 13:00:00"/>
            <filter val="4/9/2021 18:30:00"/>
            <filter val="8/2/2021 4:15:00"/>
            <filter val="8/18/2021 17:30:00"/>
            <filter val="3/18/2021 18:00:00"/>
            <filter val="4/23/2021 16:30:00"/>
            <filter val="2/26/2021 9:00:00"/>
            <filter val="11/13/2021 15:30:00"/>
            <filter val="4/5/2021 9:00:00"/>
            <filter val="7/30/2021 12:00:00"/>
            <filter val="1/22/2021 17:30:00"/>
            <filter val="2/26/2021 14:00:00"/>
            <filter val="5/7/2021 19:00:00"/>
            <filter val="11/6/2021 12:00:00"/>
            <filter val="3/13/2021 9:00:00"/>
            <filter val="4/13/2021 12:30:00"/>
            <filter val="11/15/2021 14:30:00"/>
            <filter val="10/21/2021 12:30:00"/>
          </filters>
        </filterColumn>
        <sortState ref="A1:AA1619">
          <sortCondition ref="H1:H1619"/>
        </sortState>
      </autoFilter>
    </customSheetView>
  </customSheetViews>
  <hyperlinks>
    <hyperlink r:id="rId1" ref="V3"/>
    <hyperlink r:id="rId2" ref="O59"/>
    <hyperlink r:id="rId3" ref="O60"/>
    <hyperlink r:id="rId4" ref="O70"/>
    <hyperlink r:id="rId5" ref="O92"/>
    <hyperlink r:id="rId6" ref="O94"/>
    <hyperlink r:id="rId7" ref="O95"/>
    <hyperlink r:id="rId8" ref="O98"/>
    <hyperlink r:id="rId9" ref="O106"/>
    <hyperlink r:id="rId10" ref="O114"/>
    <hyperlink r:id="rId11" ref="O115"/>
    <hyperlink r:id="rId12" ref="O136"/>
    <hyperlink r:id="rId13" ref="O145"/>
    <hyperlink r:id="rId14" ref="O147"/>
    <hyperlink r:id="rId15" ref="O160"/>
    <hyperlink r:id="rId16" ref="O166"/>
    <hyperlink r:id="rId17" ref="O168"/>
    <hyperlink r:id="rId18" ref="O169"/>
    <hyperlink r:id="rId19" ref="G191"/>
    <hyperlink r:id="rId20" ref="O193"/>
    <hyperlink r:id="rId21" ref="O212"/>
    <hyperlink r:id="rId22" ref="O213"/>
    <hyperlink r:id="rId23" ref="O216"/>
    <hyperlink r:id="rId24" ref="O224"/>
    <hyperlink r:id="rId25" ref="O227"/>
    <hyperlink r:id="rId26" ref="O228"/>
    <hyperlink r:id="rId27" ref="O252"/>
    <hyperlink r:id="rId28" ref="O254"/>
    <hyperlink r:id="rId29" ref="O255"/>
    <hyperlink r:id="rId30" ref="O261"/>
    <hyperlink r:id="rId31" ref="O262"/>
    <hyperlink r:id="rId32" ref="O263"/>
    <hyperlink r:id="rId33" ref="O268"/>
    <hyperlink r:id="rId34" ref="O269"/>
    <hyperlink r:id="rId35" ref="O270"/>
    <hyperlink r:id="rId36" ref="O275"/>
    <hyperlink r:id="rId37" ref="O276"/>
    <hyperlink r:id="rId38" ref="O293"/>
    <hyperlink r:id="rId39" ref="O294"/>
    <hyperlink r:id="rId40" ref="O300"/>
    <hyperlink r:id="rId41" ref="O301"/>
    <hyperlink r:id="rId42" ref="O303"/>
    <hyperlink r:id="rId43" ref="O308"/>
    <hyperlink r:id="rId44" ref="O309"/>
    <hyperlink r:id="rId45" ref="O315"/>
    <hyperlink r:id="rId46" ref="O316"/>
    <hyperlink r:id="rId47" ref="O317"/>
    <hyperlink r:id="rId48" ref="O318"/>
    <hyperlink r:id="rId49" ref="O319"/>
    <hyperlink r:id="rId50" ref="O322"/>
    <hyperlink r:id="rId51" ref="O323"/>
    <hyperlink r:id="rId52" ref="O324"/>
    <hyperlink r:id="rId53" ref="O331"/>
    <hyperlink r:id="rId54" ref="O334"/>
    <hyperlink r:id="rId55" ref="O337"/>
    <hyperlink r:id="rId56" ref="O346"/>
    <hyperlink r:id="rId57" ref="O350"/>
    <hyperlink r:id="rId58" ref="O354"/>
    <hyperlink r:id="rId59" ref="O383"/>
    <hyperlink r:id="rId60" ref="G386"/>
    <hyperlink r:id="rId61" ref="O387"/>
    <hyperlink r:id="rId62" ref="O390"/>
    <hyperlink r:id="rId63" ref="G395"/>
    <hyperlink r:id="rId64" ref="O399"/>
    <hyperlink r:id="rId65" ref="O408"/>
    <hyperlink r:id="rId66" ref="O415"/>
    <hyperlink r:id="rId67" ref="O424"/>
    <hyperlink r:id="rId68" ref="O429"/>
    <hyperlink r:id="rId69" ref="O430"/>
    <hyperlink r:id="rId70" ref="O451"/>
    <hyperlink r:id="rId71" ref="O456"/>
    <hyperlink r:id="rId72" ref="O463"/>
    <hyperlink r:id="rId73" ref="O464"/>
    <hyperlink r:id="rId74" ref="O473"/>
    <hyperlink r:id="rId75" ref="O474"/>
    <hyperlink r:id="rId76" ref="O475"/>
    <hyperlink r:id="rId77" ref="O477"/>
    <hyperlink r:id="rId78" ref="O484"/>
    <hyperlink r:id="rId79" ref="O488"/>
    <hyperlink r:id="rId80" ref="O490"/>
    <hyperlink r:id="rId81" ref="O491"/>
    <hyperlink r:id="rId82" ref="O495"/>
    <hyperlink r:id="rId83" ref="O502"/>
    <hyperlink r:id="rId84" ref="O511"/>
    <hyperlink r:id="rId85" ref="O518"/>
    <hyperlink r:id="rId86" ref="O521"/>
    <hyperlink r:id="rId87" ref="O535"/>
    <hyperlink r:id="rId88" ref="O553"/>
    <hyperlink r:id="rId89" ref="O562"/>
    <hyperlink r:id="rId90" ref="G566"/>
    <hyperlink r:id="rId91" ref="O566"/>
    <hyperlink r:id="rId92" ref="O574"/>
    <hyperlink r:id="rId93" ref="O575"/>
    <hyperlink r:id="rId94" ref="O580"/>
    <hyperlink r:id="rId95" ref="O581"/>
    <hyperlink r:id="rId96" ref="O582"/>
    <hyperlink r:id="rId97" ref="O591"/>
    <hyperlink r:id="rId98" ref="O593"/>
    <hyperlink r:id="rId99" ref="O594"/>
    <hyperlink r:id="rId100" ref="O598"/>
    <hyperlink r:id="rId101" ref="O602"/>
    <hyperlink r:id="rId102" ref="O608"/>
    <hyperlink r:id="rId103" ref="O609"/>
    <hyperlink r:id="rId104" ref="O610"/>
    <hyperlink r:id="rId105" ref="O611"/>
    <hyperlink r:id="rId106" ref="O624"/>
    <hyperlink r:id="rId107" ref="O629"/>
    <hyperlink r:id="rId108" ref="O634"/>
    <hyperlink r:id="rId109" ref="O635"/>
    <hyperlink r:id="rId110" ref="O643"/>
    <hyperlink r:id="rId111" ref="O648"/>
    <hyperlink r:id="rId112" ref="O653"/>
    <hyperlink r:id="rId113" ref="O674"/>
    <hyperlink r:id="rId114" ref="O677"/>
    <hyperlink r:id="rId115" ref="O680"/>
    <hyperlink r:id="rId116" ref="O681"/>
    <hyperlink r:id="rId117" ref="O684"/>
    <hyperlink r:id="rId118" ref="O687"/>
    <hyperlink r:id="rId119" ref="G688"/>
    <hyperlink r:id="rId120" ref="O689"/>
    <hyperlink r:id="rId121" ref="O697"/>
    <hyperlink r:id="rId122" ref="O701"/>
    <hyperlink r:id="rId123" ref="O702"/>
    <hyperlink r:id="rId124" ref="O704"/>
    <hyperlink r:id="rId125" ref="O706"/>
    <hyperlink r:id="rId126" ref="O707"/>
    <hyperlink r:id="rId127" ref="O708"/>
    <hyperlink r:id="rId128" ref="O718"/>
    <hyperlink r:id="rId129" ref="O719"/>
    <hyperlink r:id="rId130" ref="O721"/>
    <hyperlink r:id="rId131" ref="O723"/>
    <hyperlink r:id="rId132" ref="O725"/>
    <hyperlink r:id="rId133" ref="O729"/>
    <hyperlink r:id="rId134" ref="O730"/>
    <hyperlink r:id="rId135" ref="O734"/>
    <hyperlink r:id="rId136" ref="O736"/>
    <hyperlink r:id="rId137" ref="O737"/>
    <hyperlink r:id="rId138" ref="O748"/>
    <hyperlink r:id="rId139" ref="O749"/>
    <hyperlink r:id="rId140" ref="O752"/>
    <hyperlink r:id="rId141" ref="O757"/>
    <hyperlink r:id="rId142" ref="O760"/>
    <hyperlink r:id="rId143" ref="O761"/>
    <hyperlink r:id="rId144" ref="O768"/>
    <hyperlink r:id="rId145" ref="O769"/>
    <hyperlink r:id="rId146" ref="O774"/>
    <hyperlink r:id="rId147" ref="O777"/>
    <hyperlink r:id="rId148" ref="O781"/>
    <hyperlink r:id="rId149" ref="O787"/>
    <hyperlink r:id="rId150" ref="O788"/>
    <hyperlink r:id="rId151" ref="O789"/>
    <hyperlink r:id="rId152" ref="O792"/>
    <hyperlink r:id="rId153" ref="O793"/>
    <hyperlink r:id="rId154" ref="O799"/>
    <hyperlink r:id="rId155" ref="O801"/>
    <hyperlink r:id="rId156" ref="O812"/>
    <hyperlink r:id="rId157" ref="O813"/>
    <hyperlink r:id="rId158" ref="O814"/>
    <hyperlink r:id="rId159" ref="O817"/>
    <hyperlink r:id="rId160" ref="O818"/>
    <hyperlink r:id="rId161" ref="O820"/>
    <hyperlink r:id="rId162" ref="O822"/>
    <hyperlink r:id="rId163" ref="O823"/>
    <hyperlink r:id="rId164" ref="O842"/>
    <hyperlink r:id="rId165" ref="O843"/>
    <hyperlink r:id="rId166" ref="O844"/>
    <hyperlink r:id="rId167" ref="O845"/>
    <hyperlink r:id="rId168" ref="O849"/>
    <hyperlink r:id="rId169" ref="O851"/>
    <hyperlink r:id="rId170" ref="O852"/>
    <hyperlink r:id="rId171" ref="O854"/>
    <hyperlink r:id="rId172" ref="O855"/>
    <hyperlink r:id="rId173" ref="O856"/>
    <hyperlink r:id="rId174" ref="O858"/>
    <hyperlink r:id="rId175" ref="O863"/>
    <hyperlink r:id="rId176" ref="O866"/>
    <hyperlink r:id="rId177" ref="O867"/>
    <hyperlink r:id="rId178" ref="G869"/>
    <hyperlink r:id="rId179" ref="O872"/>
    <hyperlink r:id="rId180" ref="O874"/>
    <hyperlink r:id="rId181" ref="O875"/>
    <hyperlink r:id="rId182" ref="O876"/>
    <hyperlink r:id="rId183" ref="O888"/>
    <hyperlink r:id="rId184" ref="O890"/>
    <hyperlink r:id="rId185" ref="O893"/>
    <hyperlink r:id="rId186" ref="O894"/>
    <hyperlink r:id="rId187" ref="O895"/>
    <hyperlink r:id="rId188" ref="O896"/>
    <hyperlink r:id="rId189" ref="O897"/>
    <hyperlink r:id="rId190" ref="O899"/>
    <hyperlink r:id="rId191" ref="O900"/>
    <hyperlink r:id="rId192" ref="O901"/>
    <hyperlink r:id="rId193" ref="O902"/>
    <hyperlink r:id="rId194" ref="O906"/>
    <hyperlink r:id="rId195" ref="O907"/>
    <hyperlink r:id="rId196" ref="O908"/>
    <hyperlink r:id="rId197" ref="O911"/>
    <hyperlink r:id="rId198" ref="O912"/>
    <hyperlink r:id="rId199" ref="O914"/>
    <hyperlink r:id="rId200" ref="O920"/>
    <hyperlink r:id="rId201" ref="O927"/>
    <hyperlink r:id="rId202" ref="O930"/>
    <hyperlink r:id="rId203" ref="O932"/>
    <hyperlink r:id="rId204" ref="O933"/>
    <hyperlink r:id="rId205" ref="O934"/>
    <hyperlink r:id="rId206" ref="O935"/>
    <hyperlink r:id="rId207" ref="V935"/>
    <hyperlink r:id="rId208" ref="V942"/>
    <hyperlink r:id="rId209" ref="V945"/>
    <hyperlink r:id="rId210" ref="V946"/>
    <hyperlink r:id="rId211" ref="V947"/>
    <hyperlink r:id="rId212" ref="V948"/>
    <hyperlink r:id="rId213" ref="V949"/>
    <hyperlink r:id="rId214" ref="V950"/>
    <hyperlink r:id="rId215" ref="V951"/>
    <hyperlink r:id="rId216" ref="V952"/>
    <hyperlink r:id="rId217" ref="V953"/>
    <hyperlink r:id="rId218" ref="V958"/>
    <hyperlink r:id="rId219" ref="V960"/>
    <hyperlink r:id="rId220" ref="V961"/>
    <hyperlink r:id="rId221" ref="V962"/>
    <hyperlink r:id="rId222" ref="V963"/>
    <hyperlink r:id="rId223" ref="V964"/>
    <hyperlink r:id="rId224" ref="V965"/>
    <hyperlink r:id="rId225" ref="V966"/>
    <hyperlink r:id="rId226" ref="V967"/>
    <hyperlink r:id="rId227" ref="V968"/>
    <hyperlink r:id="rId228" ref="V969"/>
    <hyperlink r:id="rId229" ref="V970"/>
    <hyperlink r:id="rId230" ref="V971"/>
    <hyperlink r:id="rId231" ref="V972"/>
    <hyperlink r:id="rId232" ref="V973"/>
    <hyperlink r:id="rId233" ref="V974"/>
    <hyperlink r:id="rId234" ref="O975"/>
    <hyperlink r:id="rId235" ref="V975"/>
    <hyperlink r:id="rId236" ref="V976"/>
    <hyperlink r:id="rId237" ref="V977"/>
    <hyperlink r:id="rId238" ref="V978"/>
    <hyperlink r:id="rId239" ref="V980"/>
    <hyperlink r:id="rId240" ref="V981"/>
    <hyperlink r:id="rId241" ref="V982"/>
    <hyperlink r:id="rId242" ref="V983"/>
    <hyperlink r:id="rId243" ref="O984"/>
    <hyperlink r:id="rId244" ref="V984"/>
    <hyperlink r:id="rId245" ref="V985"/>
    <hyperlink r:id="rId246" ref="V986"/>
    <hyperlink r:id="rId247" ref="V987"/>
    <hyperlink r:id="rId248" ref="V988"/>
    <hyperlink r:id="rId249" ref="V989"/>
    <hyperlink r:id="rId250" ref="O990"/>
    <hyperlink r:id="rId251" ref="V990"/>
    <hyperlink r:id="rId252" ref="O991"/>
    <hyperlink r:id="rId253" ref="V991"/>
    <hyperlink r:id="rId254" ref="O992"/>
    <hyperlink r:id="rId255" ref="V992"/>
    <hyperlink r:id="rId256" ref="O993"/>
    <hyperlink r:id="rId257" ref="V993"/>
    <hyperlink r:id="rId258" ref="V994"/>
    <hyperlink r:id="rId259" ref="V995"/>
    <hyperlink r:id="rId260" ref="V996"/>
    <hyperlink r:id="rId261" ref="V997"/>
    <hyperlink r:id="rId262" ref="V999"/>
    <hyperlink r:id="rId263" ref="V1000"/>
    <hyperlink r:id="rId264" ref="V1001"/>
    <hyperlink r:id="rId265" ref="V1002"/>
    <hyperlink r:id="rId266" ref="O1003"/>
    <hyperlink r:id="rId267" ref="V1003"/>
    <hyperlink r:id="rId268" ref="V1004"/>
    <hyperlink r:id="rId269" ref="V1006"/>
    <hyperlink r:id="rId270" ref="V1007"/>
    <hyperlink r:id="rId271" ref="V1008"/>
    <hyperlink r:id="rId272" ref="V1009"/>
    <hyperlink r:id="rId273" ref="V1010"/>
    <hyperlink r:id="rId274" ref="V1011"/>
    <hyperlink r:id="rId275" ref="V1013"/>
    <hyperlink r:id="rId276" ref="V1014"/>
    <hyperlink r:id="rId277" ref="O1015"/>
    <hyperlink r:id="rId278" ref="V1015"/>
    <hyperlink r:id="rId279" ref="V1016"/>
    <hyperlink r:id="rId280" ref="V1017"/>
    <hyperlink r:id="rId281" ref="V1018"/>
    <hyperlink r:id="rId282" ref="V1019"/>
    <hyperlink r:id="rId283" ref="V1020"/>
    <hyperlink r:id="rId284" ref="V1022"/>
    <hyperlink r:id="rId285" ref="O1023"/>
    <hyperlink r:id="rId286" ref="V1023"/>
    <hyperlink r:id="rId287" ref="V1024"/>
    <hyperlink r:id="rId288" ref="V1025"/>
    <hyperlink r:id="rId289" ref="V1026"/>
    <hyperlink r:id="rId290" ref="V1027"/>
    <hyperlink r:id="rId291" ref="V1028"/>
    <hyperlink r:id="rId292" ref="V1029"/>
    <hyperlink r:id="rId293" ref="O1030"/>
    <hyperlink r:id="rId294" ref="V1030"/>
    <hyperlink r:id="rId295" ref="O1031"/>
    <hyperlink r:id="rId296" ref="V1031"/>
    <hyperlink r:id="rId297" ref="O1032"/>
    <hyperlink r:id="rId298" ref="V1032"/>
    <hyperlink r:id="rId299" ref="O1033"/>
    <hyperlink r:id="rId300" ref="V1033"/>
    <hyperlink r:id="rId301" ref="O1034"/>
    <hyperlink r:id="rId302" ref="V1034"/>
    <hyperlink r:id="rId303" ref="V1035"/>
    <hyperlink r:id="rId304" ref="V1036"/>
    <hyperlink r:id="rId305" ref="V1038"/>
    <hyperlink r:id="rId306" ref="O1039"/>
    <hyperlink r:id="rId307" ref="V1039"/>
    <hyperlink r:id="rId308" ref="V1040"/>
    <hyperlink r:id="rId309" ref="V1041"/>
    <hyperlink r:id="rId310" ref="V1044"/>
    <hyperlink r:id="rId311" ref="V1045"/>
    <hyperlink r:id="rId312" ref="V1046"/>
    <hyperlink r:id="rId313" ref="O1047"/>
    <hyperlink r:id="rId314" ref="V1047"/>
    <hyperlink r:id="rId315" ref="V1048"/>
    <hyperlink r:id="rId316" ref="V1049"/>
    <hyperlink r:id="rId317" ref="V1050"/>
    <hyperlink r:id="rId318" ref="V1051"/>
    <hyperlink r:id="rId319" ref="V1052"/>
    <hyperlink r:id="rId320" ref="V1053"/>
    <hyperlink r:id="rId321" ref="V1054"/>
    <hyperlink r:id="rId322" ref="V1055"/>
    <hyperlink r:id="rId323" ref="V1057"/>
    <hyperlink r:id="rId324" ref="V1058"/>
    <hyperlink r:id="rId325" ref="V1059"/>
    <hyperlink r:id="rId326" ref="V1060"/>
    <hyperlink r:id="rId327" ref="O1061"/>
    <hyperlink r:id="rId328" ref="V1061"/>
    <hyperlink r:id="rId329" ref="V1062"/>
    <hyperlink r:id="rId330" ref="V1064"/>
    <hyperlink r:id="rId331" ref="V1066"/>
    <hyperlink r:id="rId332" ref="V1067"/>
    <hyperlink r:id="rId333" ref="O1068"/>
    <hyperlink r:id="rId334" ref="V1068"/>
    <hyperlink r:id="rId335" ref="V1069"/>
    <hyperlink r:id="rId336" ref="O1071"/>
    <hyperlink r:id="rId337" ref="V1071"/>
    <hyperlink r:id="rId338" ref="V1072"/>
    <hyperlink r:id="rId339" ref="O1073"/>
    <hyperlink r:id="rId340" ref="V1073"/>
    <hyperlink r:id="rId341" ref="V1074"/>
    <hyperlink r:id="rId342" ref="V1075"/>
    <hyperlink r:id="rId343" ref="O1076"/>
    <hyperlink r:id="rId344" ref="V1076"/>
    <hyperlink r:id="rId345" ref="V1077"/>
    <hyperlink r:id="rId346" ref="V1078"/>
    <hyperlink r:id="rId347" ref="V1079"/>
    <hyperlink r:id="rId348" ref="V1080"/>
    <hyperlink r:id="rId349" ref="V1081"/>
    <hyperlink r:id="rId350" ref="O1082"/>
    <hyperlink r:id="rId351" ref="V1082"/>
    <hyperlink r:id="rId352" ref="V1083"/>
    <hyperlink r:id="rId353" ref="V1084"/>
    <hyperlink r:id="rId354" ref="V1085"/>
    <hyperlink r:id="rId355" ref="V1086"/>
    <hyperlink r:id="rId356" ref="V1087"/>
    <hyperlink r:id="rId357" ref="V1088"/>
    <hyperlink r:id="rId358" ref="V1089"/>
    <hyperlink r:id="rId359" ref="V1090"/>
    <hyperlink r:id="rId360" ref="V1092"/>
    <hyperlink r:id="rId361" ref="V1095"/>
    <hyperlink r:id="rId362" ref="V1098"/>
    <hyperlink r:id="rId363" ref="V1099"/>
    <hyperlink r:id="rId364" ref="O1102"/>
    <hyperlink r:id="rId365" ref="V1102"/>
    <hyperlink r:id="rId366" ref="O1103"/>
    <hyperlink r:id="rId367" ref="V1103"/>
    <hyperlink r:id="rId368" ref="V1104"/>
    <hyperlink r:id="rId369" ref="V1105"/>
    <hyperlink r:id="rId370" ref="V1106"/>
    <hyperlink r:id="rId371" ref="V1107"/>
    <hyperlink r:id="rId372" ref="V1109"/>
    <hyperlink r:id="rId373" ref="V1110"/>
    <hyperlink r:id="rId374" ref="O1111"/>
    <hyperlink r:id="rId375" ref="V1111"/>
    <hyperlink r:id="rId376" ref="O1112"/>
    <hyperlink r:id="rId377" ref="V1112"/>
    <hyperlink r:id="rId378" ref="V1113"/>
    <hyperlink r:id="rId379" ref="V1114"/>
    <hyperlink r:id="rId380" ref="O1115"/>
    <hyperlink r:id="rId381" ref="V1116"/>
    <hyperlink r:id="rId382" ref="V1117"/>
    <hyperlink r:id="rId383" ref="V1118"/>
    <hyperlink r:id="rId384" ref="V1119"/>
    <hyperlink r:id="rId385" ref="V1120"/>
    <hyperlink r:id="rId386" ref="V1121"/>
    <hyperlink r:id="rId387" ref="V1122"/>
    <hyperlink r:id="rId388" ref="V1123"/>
    <hyperlink r:id="rId389" ref="O1124"/>
    <hyperlink r:id="rId390" ref="V1124"/>
    <hyperlink r:id="rId391" ref="V1125"/>
    <hyperlink r:id="rId392" ref="O1126"/>
    <hyperlink r:id="rId393" ref="V1126"/>
    <hyperlink r:id="rId394" ref="V1127"/>
    <hyperlink r:id="rId395" ref="O1128"/>
    <hyperlink r:id="rId396" ref="V1128"/>
    <hyperlink r:id="rId397" ref="O1130"/>
    <hyperlink r:id="rId398" ref="V1130"/>
    <hyperlink r:id="rId399" ref="O1131"/>
    <hyperlink r:id="rId400" ref="V1131"/>
    <hyperlink r:id="rId401" ref="V1132"/>
    <hyperlink r:id="rId402" ref="O1133"/>
    <hyperlink r:id="rId403" ref="V1133"/>
    <hyperlink r:id="rId404" ref="V1136"/>
    <hyperlink r:id="rId405" ref="V1137"/>
    <hyperlink r:id="rId406" ref="O1138"/>
    <hyperlink r:id="rId407" ref="V1138"/>
    <hyperlink r:id="rId408" ref="O1142"/>
    <hyperlink r:id="rId409" ref="V1142"/>
    <hyperlink r:id="rId410" ref="O1143"/>
    <hyperlink r:id="rId411" ref="V1143"/>
    <hyperlink r:id="rId412" ref="V1144"/>
    <hyperlink r:id="rId413" ref="O1145"/>
    <hyperlink r:id="rId414" ref="V1145"/>
    <hyperlink r:id="rId415" ref="V1147"/>
    <hyperlink r:id="rId416" ref="V1148"/>
    <hyperlink r:id="rId417" ref="V1149"/>
    <hyperlink r:id="rId418" ref="O1150"/>
    <hyperlink r:id="rId419" ref="V1150"/>
    <hyperlink r:id="rId420" ref="V1151"/>
    <hyperlink r:id="rId421" ref="V1152"/>
    <hyperlink r:id="rId422" ref="O1153"/>
    <hyperlink r:id="rId423" ref="V1153"/>
    <hyperlink r:id="rId424" ref="O1154"/>
    <hyperlink r:id="rId425" ref="V1154"/>
    <hyperlink r:id="rId426" ref="V1155"/>
    <hyperlink r:id="rId427" ref="V1156"/>
    <hyperlink r:id="rId428" ref="V1157"/>
    <hyperlink r:id="rId429" ref="V1158"/>
    <hyperlink r:id="rId430" ref="O1159"/>
    <hyperlink r:id="rId431" ref="V1159"/>
    <hyperlink r:id="rId432" ref="V1160"/>
    <hyperlink r:id="rId433" ref="V1161"/>
    <hyperlink r:id="rId434" ref="V1162"/>
    <hyperlink r:id="rId435" ref="V1163"/>
    <hyperlink r:id="rId436" ref="V1164"/>
    <hyperlink r:id="rId437" ref="V1165"/>
    <hyperlink r:id="rId438" ref="V1166"/>
    <hyperlink r:id="rId439" ref="O1167"/>
    <hyperlink r:id="rId440" ref="V1167"/>
    <hyperlink r:id="rId441" ref="V1168"/>
    <hyperlink r:id="rId442" ref="V1169"/>
    <hyperlink r:id="rId443" ref="O1170"/>
    <hyperlink r:id="rId444" ref="V1170"/>
    <hyperlink r:id="rId445" ref="V1171"/>
    <hyperlink r:id="rId446" ref="V1172"/>
    <hyperlink r:id="rId447" ref="V1173"/>
    <hyperlink r:id="rId448" ref="O1174"/>
    <hyperlink r:id="rId449" ref="V1174"/>
    <hyperlink r:id="rId450" ref="V1175"/>
    <hyperlink r:id="rId451" ref="V1176"/>
    <hyperlink r:id="rId452" ref="V1177"/>
    <hyperlink r:id="rId453" ref="V1178"/>
    <hyperlink r:id="rId454" ref="V1179"/>
    <hyperlink r:id="rId455" ref="V1180"/>
    <hyperlink r:id="rId456" ref="V1181"/>
    <hyperlink r:id="rId457" ref="V1183"/>
    <hyperlink r:id="rId458" ref="O1184"/>
    <hyperlink r:id="rId459" ref="V1184"/>
    <hyperlink r:id="rId460" ref="V1185"/>
    <hyperlink r:id="rId461" ref="O1186"/>
    <hyperlink r:id="rId462" ref="V1186"/>
    <hyperlink r:id="rId463" ref="V1187"/>
    <hyperlink r:id="rId464" ref="V1188"/>
    <hyperlink r:id="rId465" ref="V1189"/>
    <hyperlink r:id="rId466" ref="V1190"/>
    <hyperlink r:id="rId467" ref="V1191"/>
    <hyperlink r:id="rId468" ref="V1192"/>
    <hyperlink r:id="rId469" ref="V1193"/>
    <hyperlink r:id="rId470" ref="V1194"/>
    <hyperlink r:id="rId471" ref="O1195"/>
    <hyperlink r:id="rId472" ref="V1195"/>
    <hyperlink r:id="rId473" ref="V1196"/>
    <hyperlink r:id="rId474" ref="V1197"/>
    <hyperlink r:id="rId475" ref="V1198"/>
    <hyperlink r:id="rId476" ref="V1199"/>
    <hyperlink r:id="rId477" ref="V1200"/>
    <hyperlink r:id="rId478" ref="V1202"/>
    <hyperlink r:id="rId479" ref="V1203"/>
    <hyperlink r:id="rId480" ref="V1204"/>
    <hyperlink r:id="rId481" ref="V1205"/>
    <hyperlink r:id="rId482" ref="V1206"/>
    <hyperlink r:id="rId483" ref="V1207"/>
    <hyperlink r:id="rId484" ref="V1209"/>
    <hyperlink r:id="rId485" ref="O1210"/>
    <hyperlink r:id="rId486" ref="V1210"/>
    <hyperlink r:id="rId487" ref="V1211"/>
    <hyperlink r:id="rId488" ref="V1212"/>
    <hyperlink r:id="rId489" ref="V1213"/>
    <hyperlink r:id="rId490" ref="V1214"/>
    <hyperlink r:id="rId491" ref="V1215"/>
    <hyperlink r:id="rId492" ref="V1216"/>
    <hyperlink r:id="rId493" ref="O1217"/>
    <hyperlink r:id="rId494" ref="O1218"/>
    <hyperlink r:id="rId495" ref="O1219"/>
    <hyperlink r:id="rId496" ref="V1221"/>
    <hyperlink r:id="rId497" ref="V1223"/>
    <hyperlink r:id="rId498" ref="V1224"/>
    <hyperlink r:id="rId499" ref="O1226"/>
    <hyperlink r:id="rId500" ref="V1226"/>
    <hyperlink r:id="rId501" ref="V1227"/>
    <hyperlink r:id="rId502" ref="V1228"/>
    <hyperlink r:id="rId503" ref="V1229"/>
    <hyperlink r:id="rId504" ref="V1232"/>
    <hyperlink r:id="rId505" ref="V1233"/>
    <hyperlink r:id="rId506" ref="V1235"/>
    <hyperlink r:id="rId507" ref="O1236"/>
    <hyperlink r:id="rId508" ref="V1236"/>
    <hyperlink r:id="rId509" ref="V1238"/>
    <hyperlink r:id="rId510" ref="O1239"/>
    <hyperlink r:id="rId511" ref="V1239"/>
    <hyperlink r:id="rId512" ref="V1240"/>
    <hyperlink r:id="rId513" ref="V1241"/>
    <hyperlink r:id="rId514" ref="V1242"/>
    <hyperlink r:id="rId515" ref="V1244"/>
    <hyperlink r:id="rId516" ref="O1245"/>
    <hyperlink r:id="rId517" ref="V1245"/>
    <hyperlink r:id="rId518" ref="V1247"/>
    <hyperlink r:id="rId519" ref="V1248"/>
    <hyperlink r:id="rId520" ref="O1249"/>
    <hyperlink r:id="rId521" ref="V1249"/>
    <hyperlink r:id="rId522" ref="V1250"/>
    <hyperlink r:id="rId523" ref="V1251"/>
    <hyperlink r:id="rId524" ref="V1252"/>
    <hyperlink r:id="rId525" ref="V1253"/>
    <hyperlink r:id="rId526" ref="O1254"/>
    <hyperlink r:id="rId527" ref="V1254"/>
    <hyperlink r:id="rId528" ref="V1256"/>
    <hyperlink r:id="rId529" ref="V1258"/>
    <hyperlink r:id="rId530" ref="V1259"/>
    <hyperlink r:id="rId531" ref="V1260"/>
    <hyperlink r:id="rId532" ref="V1261"/>
    <hyperlink r:id="rId533" ref="V1262"/>
    <hyperlink r:id="rId534" ref="V1263"/>
    <hyperlink r:id="rId535" ref="V1264"/>
    <hyperlink r:id="rId536" ref="V1269"/>
    <hyperlink r:id="rId537" ref="O1271"/>
    <hyperlink r:id="rId538" ref="V1271"/>
    <hyperlink r:id="rId539" ref="V1272"/>
    <hyperlink r:id="rId540" ref="O1274"/>
    <hyperlink r:id="rId541" ref="V1274"/>
    <hyperlink r:id="rId542" ref="V1275"/>
    <hyperlink r:id="rId543" ref="V1276"/>
    <hyperlink r:id="rId544" ref="O1277"/>
    <hyperlink r:id="rId545" ref="V1278"/>
    <hyperlink r:id="rId546" ref="V1279"/>
    <hyperlink r:id="rId547" ref="O1280"/>
    <hyperlink r:id="rId548" ref="V1280"/>
    <hyperlink r:id="rId549" ref="V1281"/>
    <hyperlink r:id="rId550" ref="V1282"/>
    <hyperlink r:id="rId551" ref="V1283"/>
    <hyperlink r:id="rId552" ref="O1284"/>
    <hyperlink r:id="rId553" ref="V1284"/>
    <hyperlink r:id="rId554" ref="V1285"/>
    <hyperlink r:id="rId555" ref="V1286"/>
    <hyperlink r:id="rId556" ref="V1287"/>
    <hyperlink r:id="rId557" ref="V1288"/>
    <hyperlink r:id="rId558" ref="V1289"/>
    <hyperlink r:id="rId559" ref="V1290"/>
    <hyperlink r:id="rId560" ref="V1291"/>
    <hyperlink r:id="rId561" ref="O1292"/>
    <hyperlink r:id="rId562" ref="V1292"/>
    <hyperlink r:id="rId563" ref="O1293"/>
    <hyperlink r:id="rId564" ref="V1293"/>
    <hyperlink r:id="rId565" ref="O1294"/>
    <hyperlink r:id="rId566" ref="V1294"/>
    <hyperlink r:id="rId567" ref="V1296"/>
    <hyperlink r:id="rId568" ref="V1299"/>
    <hyperlink r:id="rId569" ref="O1302"/>
    <hyperlink r:id="rId570" ref="V1302"/>
    <hyperlink r:id="rId571" ref="V1303"/>
    <hyperlink r:id="rId572" ref="V1304"/>
    <hyperlink r:id="rId573" ref="V1305"/>
    <hyperlink r:id="rId574" ref="V1306"/>
    <hyperlink r:id="rId575" ref="V1307"/>
    <hyperlink r:id="rId576" ref="V1308"/>
    <hyperlink r:id="rId577" ref="V1311"/>
    <hyperlink r:id="rId578" ref="V1312"/>
    <hyperlink r:id="rId579" ref="V1313"/>
    <hyperlink r:id="rId580" ref="V1314"/>
    <hyperlink r:id="rId581" ref="V1315"/>
    <hyperlink r:id="rId582" ref="O1316"/>
    <hyperlink r:id="rId583" ref="V1316"/>
    <hyperlink r:id="rId584" ref="V1317"/>
    <hyperlink r:id="rId585" ref="V1318"/>
    <hyperlink r:id="rId586" ref="V1319"/>
    <hyperlink r:id="rId587" ref="V1320"/>
    <hyperlink r:id="rId588" ref="V1321"/>
    <hyperlink r:id="rId589" ref="V1322"/>
    <hyperlink r:id="rId590" ref="O1323"/>
    <hyperlink r:id="rId591" ref="V1323"/>
    <hyperlink r:id="rId592" ref="V1324"/>
    <hyperlink r:id="rId593" ref="V1325"/>
    <hyperlink r:id="rId594" ref="V1326"/>
    <hyperlink r:id="rId595" ref="V1328"/>
    <hyperlink r:id="rId596" ref="V1329"/>
    <hyperlink r:id="rId597" ref="V1330"/>
    <hyperlink r:id="rId598" ref="V1331"/>
    <hyperlink r:id="rId599" ref="V1332"/>
    <hyperlink r:id="rId600" ref="V1333"/>
    <hyperlink r:id="rId601" ref="V1334"/>
    <hyperlink r:id="rId602" ref="V1335"/>
    <hyperlink r:id="rId603" ref="V1336"/>
    <hyperlink r:id="rId604" ref="V1337"/>
    <hyperlink r:id="rId605" ref="V1338"/>
    <hyperlink r:id="rId606" ref="V1339"/>
    <hyperlink r:id="rId607" ref="V1340"/>
    <hyperlink r:id="rId608" ref="V1341"/>
    <hyperlink r:id="rId609" ref="V1342"/>
    <hyperlink r:id="rId610" ref="V1343"/>
    <hyperlink r:id="rId611" ref="V1344"/>
    <hyperlink r:id="rId612" ref="V1345"/>
    <hyperlink r:id="rId613" ref="V1346"/>
    <hyperlink r:id="rId614" ref="V1347"/>
    <hyperlink r:id="rId615" ref="V1348"/>
    <hyperlink r:id="rId616" ref="V1350"/>
    <hyperlink r:id="rId617" ref="V1351"/>
    <hyperlink r:id="rId618" ref="V1352"/>
    <hyperlink r:id="rId619" ref="V1353"/>
    <hyperlink r:id="rId620" ref="V1354"/>
    <hyperlink r:id="rId621" ref="V1357"/>
    <hyperlink r:id="rId622" ref="V1358"/>
    <hyperlink r:id="rId623" ref="O1359"/>
    <hyperlink r:id="rId624" ref="V1359"/>
    <hyperlink r:id="rId625" ref="V1360"/>
    <hyperlink r:id="rId626" ref="V1361"/>
    <hyperlink r:id="rId627" ref="V1362"/>
    <hyperlink r:id="rId628" ref="O1363"/>
    <hyperlink r:id="rId629" ref="V1363"/>
    <hyperlink r:id="rId630" ref="V1364"/>
    <hyperlink r:id="rId631" ref="V1365"/>
    <hyperlink r:id="rId632" ref="V1366"/>
    <hyperlink r:id="rId633" ref="V1367"/>
    <hyperlink r:id="rId634" ref="V1370"/>
    <hyperlink r:id="rId635" ref="V1371"/>
    <hyperlink r:id="rId636" ref="V1372"/>
    <hyperlink r:id="rId637" ref="V1373"/>
    <hyperlink r:id="rId638" ref="V1374"/>
    <hyperlink r:id="rId639" ref="V1375"/>
    <hyperlink r:id="rId640" ref="V1376"/>
    <hyperlink r:id="rId641" ref="V1377"/>
    <hyperlink r:id="rId642" ref="V1378"/>
    <hyperlink r:id="rId643" ref="V1379"/>
    <hyperlink r:id="rId644" ref="V1381"/>
    <hyperlink r:id="rId645" ref="V1382"/>
    <hyperlink r:id="rId646" ref="V1383"/>
    <hyperlink r:id="rId647" ref="V1384"/>
    <hyperlink r:id="rId648" ref="V1385"/>
    <hyperlink r:id="rId649" ref="V1386"/>
    <hyperlink r:id="rId650" ref="O1387"/>
    <hyperlink r:id="rId651" ref="V1387"/>
    <hyperlink r:id="rId652" ref="V1388"/>
    <hyperlink r:id="rId653" ref="V1389"/>
    <hyperlink r:id="rId654" ref="V1390"/>
    <hyperlink r:id="rId655" ref="V1391"/>
    <hyperlink r:id="rId656" ref="V1392"/>
    <hyperlink r:id="rId657" ref="O1394"/>
    <hyperlink r:id="rId658" ref="V1394"/>
    <hyperlink r:id="rId659" ref="V1395"/>
    <hyperlink r:id="rId660" ref="V1396"/>
    <hyperlink r:id="rId661" ref="V1397"/>
    <hyperlink r:id="rId662" ref="V1398"/>
    <hyperlink r:id="rId663" ref="O1399"/>
    <hyperlink r:id="rId664" ref="V1399"/>
    <hyperlink r:id="rId665" ref="V1400"/>
    <hyperlink r:id="rId666" ref="V1401"/>
    <hyperlink r:id="rId667" ref="V1402"/>
    <hyperlink r:id="rId668" ref="V1403"/>
    <hyperlink r:id="rId669" ref="V1404"/>
    <hyperlink r:id="rId670" ref="V1405"/>
    <hyperlink r:id="rId671" location="/pre-join-calling/19:meeting_MDQwNjZkNTAtMmM1NC00ZjdkLThiYzYtZGUwM2M2OWVkMDIw@thread.v2" ref="V1406"/>
    <hyperlink r:id="rId672" ref="V1408"/>
    <hyperlink r:id="rId673" ref="O1409"/>
    <hyperlink r:id="rId674" ref="V1409"/>
    <hyperlink r:id="rId675" ref="V1410"/>
    <hyperlink r:id="rId676" ref="V1411"/>
    <hyperlink r:id="rId677" ref="V1413"/>
    <hyperlink r:id="rId678" ref="V1414"/>
    <hyperlink r:id="rId679" ref="O1415"/>
    <hyperlink r:id="rId680" ref="V1415"/>
    <hyperlink r:id="rId681" ref="V1416"/>
    <hyperlink r:id="rId682" ref="V1417"/>
    <hyperlink r:id="rId683" ref="V1418"/>
    <hyperlink r:id="rId684" ref="V1421"/>
    <hyperlink r:id="rId685" ref="V1422"/>
    <hyperlink r:id="rId686" ref="V1423"/>
    <hyperlink r:id="rId687" ref="V1424"/>
    <hyperlink r:id="rId688" ref="V1425"/>
    <hyperlink r:id="rId689" ref="V1426"/>
    <hyperlink r:id="rId690" ref="V1428"/>
    <hyperlink r:id="rId691" ref="V1429"/>
    <hyperlink r:id="rId692" ref="V1430"/>
    <hyperlink r:id="rId693" ref="V1431"/>
    <hyperlink r:id="rId694" ref="O1432"/>
    <hyperlink r:id="rId695" ref="V1432"/>
    <hyperlink r:id="rId696" ref="V1433"/>
    <hyperlink r:id="rId697" ref="V1436"/>
    <hyperlink r:id="rId698" ref="V1439"/>
    <hyperlink r:id="rId699" ref="V1442"/>
    <hyperlink r:id="rId700" ref="O1443"/>
    <hyperlink r:id="rId701" ref="V1443"/>
    <hyperlink r:id="rId702" ref="O1445"/>
    <hyperlink r:id="rId703" ref="V1445"/>
    <hyperlink r:id="rId704" ref="V1449"/>
    <hyperlink r:id="rId705" ref="V1450"/>
    <hyperlink r:id="rId706" ref="O1451"/>
    <hyperlink r:id="rId707" ref="V1451"/>
    <hyperlink r:id="rId708" ref="V1452"/>
    <hyperlink r:id="rId709" ref="V1453"/>
    <hyperlink r:id="rId710" ref="V1454"/>
    <hyperlink r:id="rId711" ref="V1455"/>
    <hyperlink r:id="rId712" ref="V1456"/>
    <hyperlink r:id="rId713" ref="V1457"/>
    <hyperlink r:id="rId714" ref="V1458"/>
    <hyperlink r:id="rId715" ref="V1459"/>
    <hyperlink r:id="rId716" ref="V1460"/>
    <hyperlink r:id="rId717" ref="V1462"/>
    <hyperlink r:id="rId718" ref="V1463"/>
    <hyperlink r:id="rId719" ref="V1464"/>
    <hyperlink r:id="rId720" ref="V1465"/>
    <hyperlink r:id="rId721" ref="V1466"/>
    <hyperlink r:id="rId722" ref="V1467"/>
    <hyperlink r:id="rId723" ref="V1468"/>
    <hyperlink r:id="rId724" ref="V1469"/>
    <hyperlink r:id="rId725" ref="V1470"/>
    <hyperlink r:id="rId726" ref="V1471"/>
    <hyperlink r:id="rId727" ref="O1472"/>
    <hyperlink r:id="rId728" ref="V1472"/>
    <hyperlink r:id="rId729" ref="V1473"/>
    <hyperlink r:id="rId730" ref="V1474"/>
    <hyperlink r:id="rId731" ref="V1475"/>
    <hyperlink r:id="rId732" ref="V1476"/>
    <hyperlink r:id="rId733" ref="V1477"/>
    <hyperlink r:id="rId734" ref="V1478"/>
    <hyperlink r:id="rId735" ref="V1479"/>
    <hyperlink r:id="rId736" ref="O1480"/>
    <hyperlink r:id="rId737" ref="V1480"/>
    <hyperlink r:id="rId738" ref="O1482"/>
    <hyperlink r:id="rId739" ref="V1482"/>
    <hyperlink r:id="rId740" ref="O1483"/>
    <hyperlink r:id="rId741" ref="V1483"/>
    <hyperlink r:id="rId742" ref="O1484"/>
    <hyperlink r:id="rId743" ref="V1484"/>
    <hyperlink r:id="rId744" ref="V1488"/>
    <hyperlink r:id="rId745" ref="V1489"/>
    <hyperlink r:id="rId746" ref="V1490"/>
    <hyperlink r:id="rId747" ref="V1491"/>
    <hyperlink r:id="rId748" ref="V1492"/>
    <hyperlink r:id="rId749" ref="V1493"/>
    <hyperlink r:id="rId750" ref="V1494"/>
    <hyperlink r:id="rId751" ref="V1495"/>
    <hyperlink r:id="rId752" ref="V1496"/>
    <hyperlink r:id="rId753" ref="V1497"/>
    <hyperlink r:id="rId754" ref="V1498"/>
    <hyperlink r:id="rId755" ref="O1499"/>
    <hyperlink r:id="rId756" ref="O1500"/>
    <hyperlink r:id="rId757" ref="V1500"/>
    <hyperlink r:id="rId758" ref="O1502"/>
    <hyperlink r:id="rId759" ref="V1502"/>
    <hyperlink r:id="rId760" ref="V1506"/>
    <hyperlink r:id="rId761" ref="V1507"/>
    <hyperlink r:id="rId762" ref="V1508"/>
    <hyperlink r:id="rId763" ref="V1509"/>
    <hyperlink r:id="rId764" ref="V1510"/>
    <hyperlink r:id="rId765" ref="V1511"/>
    <hyperlink r:id="rId766" ref="V1512"/>
    <hyperlink r:id="rId767" ref="V1513"/>
    <hyperlink r:id="rId768" ref="V1514"/>
    <hyperlink r:id="rId769" ref="V1515"/>
    <hyperlink r:id="rId770" ref="V1516"/>
    <hyperlink r:id="rId771" ref="V1517"/>
    <hyperlink r:id="rId772" ref="V1518"/>
    <hyperlink r:id="rId773" ref="V1519"/>
    <hyperlink r:id="rId774" ref="V1520"/>
    <hyperlink r:id="rId775" ref="O1521"/>
    <hyperlink r:id="rId776" ref="V1521"/>
    <hyperlink r:id="rId777" ref="V1522"/>
    <hyperlink r:id="rId778" ref="V1523"/>
    <hyperlink r:id="rId779" ref="V1524"/>
    <hyperlink r:id="rId780" ref="O1525"/>
    <hyperlink r:id="rId781" ref="V1525"/>
    <hyperlink r:id="rId782" ref="O1526"/>
    <hyperlink r:id="rId783" ref="V1526"/>
    <hyperlink r:id="rId784" ref="O1527"/>
    <hyperlink r:id="rId785" ref="V1527"/>
    <hyperlink r:id="rId786" ref="V1528"/>
    <hyperlink r:id="rId787" ref="V1529"/>
    <hyperlink r:id="rId788" ref="O1532"/>
    <hyperlink r:id="rId789" ref="V1532"/>
    <hyperlink r:id="rId790" ref="V1533"/>
    <hyperlink r:id="rId791" ref="V1534"/>
    <hyperlink r:id="rId792" ref="V1536"/>
    <hyperlink r:id="rId793" ref="V1537"/>
    <hyperlink r:id="rId794" ref="O1538"/>
    <hyperlink r:id="rId795" ref="V1538"/>
    <hyperlink r:id="rId796" ref="O1539"/>
    <hyperlink r:id="rId797" ref="V1539"/>
    <hyperlink r:id="rId798" ref="O1540"/>
    <hyperlink r:id="rId799" ref="V1540"/>
    <hyperlink r:id="rId800" ref="V1541"/>
    <hyperlink r:id="rId801" ref="V1542"/>
    <hyperlink r:id="rId802" ref="O1543"/>
    <hyperlink r:id="rId803" ref="V1545"/>
    <hyperlink r:id="rId804" ref="V1546"/>
    <hyperlink r:id="rId805" ref="V1547"/>
    <hyperlink r:id="rId806" ref="V1548"/>
    <hyperlink r:id="rId807" ref="V1549"/>
    <hyperlink r:id="rId808" ref="V1550"/>
    <hyperlink r:id="rId809" ref="O1551"/>
    <hyperlink r:id="rId810" ref="V1551"/>
    <hyperlink r:id="rId811" ref="V1552"/>
    <hyperlink r:id="rId812" ref="V1553"/>
    <hyperlink r:id="rId813" ref="V1554"/>
    <hyperlink r:id="rId814" ref="V1556"/>
    <hyperlink r:id="rId815" ref="O1557"/>
    <hyperlink r:id="rId816" ref="V1557"/>
    <hyperlink r:id="rId817" ref="V1558"/>
    <hyperlink r:id="rId818" ref="O1559"/>
    <hyperlink r:id="rId819" ref="V1559"/>
    <hyperlink r:id="rId820" ref="O1560"/>
    <hyperlink r:id="rId821" ref="V1560"/>
    <hyperlink r:id="rId822" ref="O1561"/>
    <hyperlink r:id="rId823" ref="V1561"/>
    <hyperlink r:id="rId824" ref="V1562"/>
    <hyperlink r:id="rId825" ref="O1564"/>
    <hyperlink r:id="rId826" ref="V1564"/>
    <hyperlink r:id="rId827" ref="V1565"/>
    <hyperlink r:id="rId828" ref="O1566"/>
    <hyperlink r:id="rId829" ref="V1566"/>
    <hyperlink r:id="rId830" ref="O1567"/>
    <hyperlink r:id="rId831" ref="V1567"/>
    <hyperlink r:id="rId832" ref="O1568"/>
    <hyperlink r:id="rId833" ref="V1568"/>
    <hyperlink r:id="rId834" ref="O1569"/>
    <hyperlink r:id="rId835" ref="V1569"/>
    <hyperlink r:id="rId836" ref="V1570"/>
    <hyperlink r:id="rId837" ref="O1571"/>
    <hyperlink r:id="rId838" ref="V1571"/>
    <hyperlink r:id="rId839" ref="O1572"/>
    <hyperlink r:id="rId840" ref="V1572"/>
    <hyperlink r:id="rId841" ref="O1573"/>
    <hyperlink r:id="rId842" ref="V1573"/>
    <hyperlink r:id="rId843" ref="O1574"/>
    <hyperlink r:id="rId844" ref="V1574"/>
    <hyperlink r:id="rId845" ref="O1575"/>
    <hyperlink r:id="rId846" ref="V1575"/>
    <hyperlink r:id="rId847" ref="O1576"/>
    <hyperlink r:id="rId848" ref="V1576"/>
    <hyperlink r:id="rId849" ref="O1577"/>
    <hyperlink r:id="rId850" ref="V1577"/>
    <hyperlink r:id="rId851" ref="V1578"/>
    <hyperlink r:id="rId852" ref="V1579"/>
    <hyperlink r:id="rId853" ref="V1580"/>
    <hyperlink r:id="rId854" ref="V1582"/>
    <hyperlink r:id="rId855" ref="V1583"/>
    <hyperlink r:id="rId856" ref="O1584"/>
    <hyperlink r:id="rId857" ref="V1584"/>
    <hyperlink r:id="rId858" ref="V1585"/>
    <hyperlink r:id="rId859" ref="O1586"/>
    <hyperlink r:id="rId860" ref="V1586"/>
    <hyperlink r:id="rId861" ref="V1587"/>
    <hyperlink r:id="rId862" ref="O1589"/>
    <hyperlink r:id="rId863" ref="V1589"/>
    <hyperlink r:id="rId864" ref="O1590"/>
    <hyperlink r:id="rId865" location="success" ref="V1590"/>
    <hyperlink r:id="rId866" ref="O1591"/>
    <hyperlink r:id="rId867" ref="V1591"/>
    <hyperlink r:id="rId868" ref="O1594"/>
    <hyperlink r:id="rId869" ref="V1594"/>
    <hyperlink r:id="rId870" ref="O1595"/>
    <hyperlink r:id="rId871" ref="V1595"/>
    <hyperlink r:id="rId872" ref="O1596"/>
    <hyperlink r:id="rId873" ref="V1596"/>
    <hyperlink r:id="rId874" ref="O1597"/>
    <hyperlink r:id="rId875" ref="V1597"/>
    <hyperlink r:id="rId876" ref="O1598"/>
    <hyperlink r:id="rId877" ref="V1598"/>
    <hyperlink r:id="rId878" ref="O1599"/>
    <hyperlink r:id="rId879" ref="V1599"/>
    <hyperlink r:id="rId880" ref="O1600"/>
    <hyperlink r:id="rId881" ref="V1600"/>
    <hyperlink r:id="rId882" ref="O1602"/>
    <hyperlink r:id="rId883" ref="V1602"/>
    <hyperlink r:id="rId884" ref="O1603"/>
    <hyperlink r:id="rId885" ref="V1603"/>
    <hyperlink r:id="rId886" ref="V1604"/>
    <hyperlink r:id="rId887" ref="O1605"/>
    <hyperlink r:id="rId888" ref="V1605"/>
    <hyperlink r:id="rId889" ref="O1606"/>
    <hyperlink r:id="rId890" ref="V1606"/>
    <hyperlink r:id="rId891" ref="V1608"/>
    <hyperlink r:id="rId892" ref="V1611"/>
    <hyperlink r:id="rId893" ref="V1613"/>
    <hyperlink r:id="rId894" ref="O1615"/>
  </hyperlinks>
  <drawing r:id="rId89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1.5"/>
    <col customWidth="1" min="10" max="10" width="22.13"/>
  </cols>
  <sheetData>
    <row r="1">
      <c r="A1" s="1" t="s">
        <v>0</v>
      </c>
      <c r="B1" s="2" t="s">
        <v>1</v>
      </c>
      <c r="C1" s="2" t="s">
        <v>2</v>
      </c>
      <c r="D1" s="2" t="s">
        <v>3</v>
      </c>
      <c r="E1" s="2" t="s">
        <v>4</v>
      </c>
      <c r="F1" s="2" t="s">
        <v>5</v>
      </c>
      <c r="G1" s="2" t="s">
        <v>6</v>
      </c>
      <c r="H1" s="3" t="s">
        <v>7</v>
      </c>
      <c r="I1" s="3" t="s">
        <v>8</v>
      </c>
      <c r="J1" s="2" t="s">
        <v>9</v>
      </c>
      <c r="K1" s="2" t="s">
        <v>10</v>
      </c>
      <c r="L1" s="4" t="s">
        <v>11</v>
      </c>
      <c r="M1" s="4" t="s">
        <v>12</v>
      </c>
      <c r="N1" s="2" t="s">
        <v>13</v>
      </c>
      <c r="O1" s="2" t="s">
        <v>14</v>
      </c>
      <c r="P1" s="4" t="s">
        <v>15</v>
      </c>
      <c r="Q1" s="4" t="s">
        <v>16</v>
      </c>
      <c r="R1" s="4" t="s">
        <v>17</v>
      </c>
      <c r="S1" s="4" t="s">
        <v>18</v>
      </c>
      <c r="T1" s="4" t="s">
        <v>19</v>
      </c>
      <c r="U1" s="4" t="s">
        <v>20</v>
      </c>
      <c r="V1" s="4" t="s">
        <v>21</v>
      </c>
      <c r="W1" s="5" t="s">
        <v>22</v>
      </c>
      <c r="X1" s="2" t="s">
        <v>23</v>
      </c>
      <c r="Y1" s="2" t="s">
        <v>24</v>
      </c>
      <c r="Z1" s="6" t="s">
        <v>25</v>
      </c>
      <c r="AA1" s="7" t="s">
        <v>26</v>
      </c>
      <c r="AB1" s="8">
        <v>2.0</v>
      </c>
      <c r="AC1" s="9"/>
    </row>
    <row r="2">
      <c r="A2" s="10" t="s">
        <v>27</v>
      </c>
      <c r="B2" s="11">
        <v>44230.60802103009</v>
      </c>
      <c r="C2" s="10" t="s">
        <v>28</v>
      </c>
      <c r="D2" s="10" t="s">
        <v>29</v>
      </c>
      <c r="E2" s="10" t="s">
        <v>30</v>
      </c>
      <c r="F2" s="10" t="s">
        <v>31</v>
      </c>
      <c r="G2" s="10" t="s">
        <v>32</v>
      </c>
      <c r="H2" s="12">
        <v>43871.145833333336</v>
      </c>
      <c r="I2" s="12">
        <v>43871.229166666664</v>
      </c>
      <c r="J2" s="10" t="s">
        <v>33</v>
      </c>
      <c r="K2" s="10" t="s">
        <v>34</v>
      </c>
      <c r="N2" s="10" t="s">
        <v>35</v>
      </c>
      <c r="V2" s="9"/>
      <c r="W2" s="13" t="s">
        <v>36</v>
      </c>
      <c r="X2" s="10" t="s">
        <v>37</v>
      </c>
      <c r="Y2" s="10" t="s">
        <v>0</v>
      </c>
    </row>
    <row r="3" hidden="1">
      <c r="A3" s="10" t="s">
        <v>38</v>
      </c>
      <c r="B3" s="11">
        <v>44469.652659363426</v>
      </c>
      <c r="C3" s="10" t="s">
        <v>28</v>
      </c>
      <c r="D3" s="10" t="s">
        <v>29</v>
      </c>
      <c r="E3" s="10" t="s">
        <v>39</v>
      </c>
      <c r="F3" s="10" t="s">
        <v>40</v>
      </c>
      <c r="G3" s="10" t="s">
        <v>41</v>
      </c>
      <c r="H3" s="11" t="s">
        <v>42</v>
      </c>
      <c r="I3" s="11">
        <v>44477.77083333333</v>
      </c>
      <c r="J3" s="10" t="s">
        <v>43</v>
      </c>
      <c r="K3" s="10" t="s">
        <v>34</v>
      </c>
      <c r="N3" s="10" t="s">
        <v>35</v>
      </c>
      <c r="V3" s="14" t="s">
        <v>44</v>
      </c>
      <c r="W3" s="15" t="s">
        <v>36</v>
      </c>
      <c r="X3" s="10" t="s">
        <v>37</v>
      </c>
      <c r="Y3" s="10" t="s">
        <v>0</v>
      </c>
    </row>
    <row r="4">
      <c r="A4" s="10" t="s">
        <v>45</v>
      </c>
      <c r="B4" s="11">
        <v>44243.854501354166</v>
      </c>
      <c r="C4" s="10" t="s">
        <v>46</v>
      </c>
      <c r="D4" s="10" t="s">
        <v>47</v>
      </c>
      <c r="E4" s="10" t="s">
        <v>48</v>
      </c>
      <c r="F4" s="10" t="s">
        <v>49</v>
      </c>
      <c r="G4" s="10" t="s">
        <v>50</v>
      </c>
      <c r="H4" s="16">
        <v>44183.33333333333</v>
      </c>
      <c r="I4" s="16">
        <v>44183.99930555555</v>
      </c>
      <c r="J4" s="10" t="s">
        <v>51</v>
      </c>
      <c r="K4" s="10" t="s">
        <v>34</v>
      </c>
      <c r="N4" s="10" t="s">
        <v>35</v>
      </c>
      <c r="V4" s="9"/>
      <c r="W4" s="13" t="s">
        <v>36</v>
      </c>
      <c r="X4" s="10" t="s">
        <v>37</v>
      </c>
      <c r="Y4" s="10" t="s">
        <v>0</v>
      </c>
    </row>
    <row r="5">
      <c r="A5" s="10" t="s">
        <v>52</v>
      </c>
      <c r="B5" s="11">
        <v>44243.87448024306</v>
      </c>
      <c r="C5" s="10" t="s">
        <v>46</v>
      </c>
      <c r="D5" s="10" t="s">
        <v>47</v>
      </c>
      <c r="E5" s="10" t="s">
        <v>53</v>
      </c>
      <c r="F5" s="10" t="s">
        <v>54</v>
      </c>
      <c r="G5" s="10" t="s">
        <v>55</v>
      </c>
      <c r="H5" s="16">
        <v>44183.33333333333</v>
      </c>
      <c r="I5" s="16">
        <v>44183.99930555555</v>
      </c>
      <c r="J5" s="10" t="s">
        <v>51</v>
      </c>
      <c r="K5" s="10" t="s">
        <v>34</v>
      </c>
      <c r="N5" s="10" t="s">
        <v>35</v>
      </c>
      <c r="V5" s="9"/>
      <c r="W5" s="13" t="s">
        <v>36</v>
      </c>
      <c r="X5" s="10" t="s">
        <v>37</v>
      </c>
      <c r="Y5" s="10" t="s">
        <v>0</v>
      </c>
    </row>
    <row r="6">
      <c r="A6" s="10" t="s">
        <v>56</v>
      </c>
      <c r="B6" s="11">
        <v>44243.87886385417</v>
      </c>
      <c r="C6" s="10" t="s">
        <v>46</v>
      </c>
      <c r="D6" s="10" t="s">
        <v>47</v>
      </c>
      <c r="E6" s="10" t="s">
        <v>57</v>
      </c>
      <c r="F6" s="10" t="s">
        <v>58</v>
      </c>
      <c r="G6" s="10" t="s">
        <v>59</v>
      </c>
      <c r="H6" s="16">
        <v>44189.375</v>
      </c>
      <c r="I6" s="16">
        <v>44189.99930555555</v>
      </c>
      <c r="J6" s="10" t="s">
        <v>60</v>
      </c>
      <c r="K6" s="10" t="s">
        <v>61</v>
      </c>
      <c r="N6" s="10" t="s">
        <v>35</v>
      </c>
      <c r="V6" s="9"/>
      <c r="W6" s="13" t="s">
        <v>36</v>
      </c>
      <c r="X6" s="10" t="s">
        <v>37</v>
      </c>
      <c r="Y6" s="10" t="s">
        <v>0</v>
      </c>
    </row>
    <row r="7">
      <c r="A7" s="10" t="s">
        <v>62</v>
      </c>
      <c r="B7" s="11">
        <v>44244.91773398148</v>
      </c>
      <c r="C7" s="10" t="s">
        <v>28</v>
      </c>
      <c r="D7" s="10" t="s">
        <v>29</v>
      </c>
      <c r="E7" s="10" t="s">
        <v>63</v>
      </c>
      <c r="F7" s="10" t="s">
        <v>64</v>
      </c>
      <c r="G7" s="10" t="s">
        <v>65</v>
      </c>
      <c r="H7" s="16">
        <v>43880.60416666667</v>
      </c>
      <c r="I7" s="16">
        <v>43880.6875</v>
      </c>
      <c r="J7" s="10" t="s">
        <v>43</v>
      </c>
      <c r="K7" s="10" t="s">
        <v>34</v>
      </c>
      <c r="N7" s="10" t="s">
        <v>35</v>
      </c>
      <c r="V7" s="9"/>
      <c r="W7" s="13" t="s">
        <v>66</v>
      </c>
      <c r="X7" s="10" t="s">
        <v>37</v>
      </c>
      <c r="Y7" s="10" t="s">
        <v>0</v>
      </c>
    </row>
    <row r="8">
      <c r="A8" s="10" t="s">
        <v>67</v>
      </c>
      <c r="B8" s="11">
        <v>44238.77753813658</v>
      </c>
      <c r="C8" s="10" t="s">
        <v>68</v>
      </c>
      <c r="D8" s="10" t="s">
        <v>69</v>
      </c>
      <c r="E8" s="10" t="s">
        <v>70</v>
      </c>
      <c r="F8" s="10" t="s">
        <v>71</v>
      </c>
      <c r="G8" s="10" t="s">
        <v>72</v>
      </c>
      <c r="H8" s="16">
        <v>44212.41666666667</v>
      </c>
      <c r="I8" s="16">
        <v>44339.66666666667</v>
      </c>
      <c r="J8" s="10" t="s">
        <v>73</v>
      </c>
      <c r="K8" s="10" t="s">
        <v>34</v>
      </c>
      <c r="N8" s="10" t="s">
        <v>35</v>
      </c>
      <c r="V8" s="9"/>
      <c r="W8" s="13" t="s">
        <v>36</v>
      </c>
      <c r="X8" s="10" t="s">
        <v>37</v>
      </c>
      <c r="Y8" s="10" t="s">
        <v>0</v>
      </c>
    </row>
    <row r="9">
      <c r="A9" s="10" t="s">
        <v>74</v>
      </c>
      <c r="B9" s="11">
        <v>44272.63792820602</v>
      </c>
      <c r="C9" s="10" t="s">
        <v>46</v>
      </c>
      <c r="D9" s="10" t="s">
        <v>47</v>
      </c>
      <c r="E9" s="10" t="s">
        <v>75</v>
      </c>
      <c r="F9" s="10" t="s">
        <v>76</v>
      </c>
      <c r="G9" s="10" t="s">
        <v>77</v>
      </c>
      <c r="H9" s="17">
        <v>44217.33333333333</v>
      </c>
      <c r="I9" s="17">
        <v>44217.66666666667</v>
      </c>
      <c r="J9" s="10" t="s">
        <v>51</v>
      </c>
      <c r="K9" s="10" t="s">
        <v>34</v>
      </c>
      <c r="N9" s="10" t="s">
        <v>35</v>
      </c>
      <c r="V9" s="9"/>
      <c r="W9" s="13" t="s">
        <v>78</v>
      </c>
      <c r="X9" s="10" t="s">
        <v>37</v>
      </c>
      <c r="Y9" s="10" t="s">
        <v>0</v>
      </c>
    </row>
    <row r="10">
      <c r="A10" s="10" t="s">
        <v>79</v>
      </c>
      <c r="B10" s="11">
        <v>44223.525795925925</v>
      </c>
      <c r="C10" s="10" t="s">
        <v>80</v>
      </c>
      <c r="D10" s="10" t="s">
        <v>81</v>
      </c>
      <c r="E10" s="10" t="s">
        <v>82</v>
      </c>
      <c r="F10" s="10" t="s">
        <v>83</v>
      </c>
      <c r="G10" s="10" t="s">
        <v>84</v>
      </c>
      <c r="H10" s="12">
        <v>44218.666666666664</v>
      </c>
      <c r="I10" s="12">
        <v>44218.666666666664</v>
      </c>
      <c r="J10" s="10" t="s">
        <v>73</v>
      </c>
      <c r="K10" s="10" t="s">
        <v>34</v>
      </c>
      <c r="N10" s="10" t="s">
        <v>35</v>
      </c>
      <c r="V10" s="9"/>
      <c r="W10" s="13" t="s">
        <v>36</v>
      </c>
      <c r="X10" s="10" t="s">
        <v>37</v>
      </c>
      <c r="Y10" s="10" t="s">
        <v>0</v>
      </c>
    </row>
    <row r="11">
      <c r="A11" s="10" t="s">
        <v>85</v>
      </c>
      <c r="B11" s="11">
        <v>44243.88413884259</v>
      </c>
      <c r="C11" s="10" t="s">
        <v>46</v>
      </c>
      <c r="D11" s="10" t="s">
        <v>47</v>
      </c>
      <c r="E11" s="10" t="s">
        <v>57</v>
      </c>
      <c r="F11" s="10" t="s">
        <v>86</v>
      </c>
      <c r="G11" s="10" t="s">
        <v>87</v>
      </c>
      <c r="H11" s="16">
        <v>44218.72916666667</v>
      </c>
      <c r="I11" s="16">
        <v>44218.77083333333</v>
      </c>
      <c r="J11" s="10" t="s">
        <v>51</v>
      </c>
      <c r="K11" s="10" t="s">
        <v>34</v>
      </c>
      <c r="N11" s="10" t="s">
        <v>35</v>
      </c>
      <c r="V11" s="9"/>
      <c r="W11" s="13" t="s">
        <v>36</v>
      </c>
      <c r="X11" s="10" t="s">
        <v>37</v>
      </c>
      <c r="Y11" s="10" t="s">
        <v>0</v>
      </c>
    </row>
    <row r="12">
      <c r="A12" s="10" t="s">
        <v>88</v>
      </c>
      <c r="B12" s="11">
        <v>44243.88828994213</v>
      </c>
      <c r="C12" s="10" t="s">
        <v>46</v>
      </c>
      <c r="D12" s="10" t="s">
        <v>47</v>
      </c>
      <c r="E12" s="10" t="s">
        <v>57</v>
      </c>
      <c r="F12" s="10" t="s">
        <v>89</v>
      </c>
      <c r="G12" s="10" t="s">
        <v>90</v>
      </c>
      <c r="H12" s="16">
        <v>44220.33333333333</v>
      </c>
      <c r="I12" s="16">
        <v>44220.99930555555</v>
      </c>
      <c r="J12" s="10" t="s">
        <v>51</v>
      </c>
      <c r="K12" s="10" t="s">
        <v>34</v>
      </c>
      <c r="N12" s="10" t="s">
        <v>35</v>
      </c>
      <c r="V12" s="9"/>
      <c r="W12" s="13" t="s">
        <v>36</v>
      </c>
      <c r="X12" s="10" t="s">
        <v>37</v>
      </c>
      <c r="Y12" s="10" t="s">
        <v>0</v>
      </c>
    </row>
    <row r="13">
      <c r="A13" s="10" t="s">
        <v>91</v>
      </c>
      <c r="B13" s="11">
        <v>44223.515085</v>
      </c>
      <c r="C13" s="10" t="s">
        <v>80</v>
      </c>
      <c r="D13" s="10" t="s">
        <v>81</v>
      </c>
      <c r="E13" s="10" t="s">
        <v>92</v>
      </c>
      <c r="F13" s="10" t="s">
        <v>93</v>
      </c>
      <c r="G13" s="10" t="s">
        <v>94</v>
      </c>
      <c r="H13" s="12">
        <v>44221.5</v>
      </c>
      <c r="I13" s="12">
        <v>44221.5</v>
      </c>
      <c r="J13" s="10" t="s">
        <v>73</v>
      </c>
      <c r="K13" s="10" t="s">
        <v>34</v>
      </c>
      <c r="N13" s="10" t="s">
        <v>35</v>
      </c>
      <c r="V13" s="9"/>
      <c r="W13" s="13" t="s">
        <v>36</v>
      </c>
      <c r="X13" s="10" t="s">
        <v>37</v>
      </c>
      <c r="Y13" s="10" t="s">
        <v>0</v>
      </c>
    </row>
    <row r="14">
      <c r="A14" s="10" t="s">
        <v>95</v>
      </c>
      <c r="B14" s="11">
        <v>44235.75901513889</v>
      </c>
      <c r="C14" s="10" t="s">
        <v>96</v>
      </c>
      <c r="D14" s="10" t="s">
        <v>97</v>
      </c>
      <c r="E14" s="10" t="s">
        <v>98</v>
      </c>
      <c r="F14" s="10" t="s">
        <v>99</v>
      </c>
      <c r="G14" s="10" t="s">
        <v>100</v>
      </c>
      <c r="H14" s="12">
        <v>44221.5</v>
      </c>
      <c r="I14" s="12">
        <v>44221.5</v>
      </c>
      <c r="J14" s="10" t="s">
        <v>73</v>
      </c>
      <c r="K14" s="10" t="s">
        <v>34</v>
      </c>
      <c r="N14" s="10" t="s">
        <v>35</v>
      </c>
      <c r="V14" s="9"/>
      <c r="W14" s="13" t="s">
        <v>36</v>
      </c>
      <c r="X14" s="10" t="s">
        <v>37</v>
      </c>
      <c r="Y14" s="10" t="s">
        <v>0</v>
      </c>
    </row>
    <row r="15">
      <c r="A15" s="10" t="s">
        <v>101</v>
      </c>
      <c r="B15" s="11">
        <v>44223.6754715625</v>
      </c>
      <c r="C15" s="10" t="s">
        <v>102</v>
      </c>
      <c r="D15" s="10" t="s">
        <v>103</v>
      </c>
      <c r="E15" s="10" t="s">
        <v>104</v>
      </c>
      <c r="F15" s="10" t="s">
        <v>105</v>
      </c>
      <c r="G15" s="10" t="s">
        <v>106</v>
      </c>
      <c r="H15" s="12">
        <v>44221.541666666664</v>
      </c>
      <c r="I15" s="12">
        <v>44221.541666666664</v>
      </c>
      <c r="J15" s="10" t="s">
        <v>73</v>
      </c>
      <c r="K15" s="10" t="s">
        <v>34</v>
      </c>
      <c r="N15" s="10" t="s">
        <v>35</v>
      </c>
      <c r="V15" s="9"/>
      <c r="W15" s="13" t="s">
        <v>107</v>
      </c>
      <c r="X15" s="10" t="s">
        <v>37</v>
      </c>
      <c r="Y15" s="10" t="s">
        <v>0</v>
      </c>
    </row>
    <row r="16">
      <c r="A16" s="10" t="s">
        <v>108</v>
      </c>
      <c r="B16" s="11">
        <v>44272.5907443287</v>
      </c>
      <c r="C16" s="10" t="s">
        <v>46</v>
      </c>
      <c r="D16" s="10" t="s">
        <v>47</v>
      </c>
      <c r="E16" s="10" t="s">
        <v>109</v>
      </c>
      <c r="F16" s="10" t="s">
        <v>110</v>
      </c>
      <c r="G16" s="10" t="s">
        <v>111</v>
      </c>
      <c r="H16" s="17">
        <v>44222.33333333333</v>
      </c>
      <c r="I16" s="17">
        <v>44222.75</v>
      </c>
      <c r="J16" s="10" t="s">
        <v>51</v>
      </c>
      <c r="K16" s="10" t="s">
        <v>34</v>
      </c>
      <c r="N16" s="10" t="s">
        <v>35</v>
      </c>
      <c r="V16" s="9"/>
      <c r="W16" s="13" t="s">
        <v>78</v>
      </c>
      <c r="X16" s="10" t="s">
        <v>37</v>
      </c>
      <c r="Y16" s="10" t="s">
        <v>0</v>
      </c>
    </row>
    <row r="17">
      <c r="A17" s="10" t="s">
        <v>112</v>
      </c>
      <c r="B17" s="11">
        <v>44243.889939953704</v>
      </c>
      <c r="C17" s="10" t="s">
        <v>46</v>
      </c>
      <c r="D17" s="10" t="s">
        <v>47</v>
      </c>
      <c r="E17" s="10" t="s">
        <v>57</v>
      </c>
      <c r="F17" s="10" t="s">
        <v>113</v>
      </c>
      <c r="G17" s="10" t="s">
        <v>114</v>
      </c>
      <c r="H17" s="16">
        <v>44223.33333333333</v>
      </c>
      <c r="I17" s="16">
        <v>44223.99930555555</v>
      </c>
      <c r="J17" s="10" t="s">
        <v>51</v>
      </c>
      <c r="K17" s="10" t="s">
        <v>34</v>
      </c>
      <c r="N17" s="10" t="s">
        <v>35</v>
      </c>
      <c r="V17" s="9"/>
      <c r="W17" s="13" t="s">
        <v>36</v>
      </c>
      <c r="X17" s="10" t="s">
        <v>37</v>
      </c>
      <c r="Y17" s="10" t="s">
        <v>0</v>
      </c>
    </row>
    <row r="18">
      <c r="A18" s="10" t="s">
        <v>115</v>
      </c>
      <c r="B18" s="11">
        <v>44235.75279719908</v>
      </c>
      <c r="C18" s="10" t="s">
        <v>96</v>
      </c>
      <c r="D18" s="10" t="s">
        <v>97</v>
      </c>
      <c r="E18" s="10" t="s">
        <v>116</v>
      </c>
      <c r="F18" s="10" t="s">
        <v>117</v>
      </c>
      <c r="G18" s="10" t="s">
        <v>118</v>
      </c>
      <c r="H18" s="12">
        <v>44223.604166666664</v>
      </c>
      <c r="I18" s="12">
        <v>44223.604166666664</v>
      </c>
      <c r="J18" s="10" t="s">
        <v>73</v>
      </c>
      <c r="K18" s="10" t="s">
        <v>34</v>
      </c>
      <c r="N18" s="10" t="s">
        <v>35</v>
      </c>
      <c r="V18" s="9"/>
      <c r="W18" s="13" t="s">
        <v>36</v>
      </c>
      <c r="X18" s="10" t="s">
        <v>37</v>
      </c>
      <c r="Y18" s="10" t="s">
        <v>0</v>
      </c>
    </row>
    <row r="19">
      <c r="A19" s="10" t="s">
        <v>119</v>
      </c>
      <c r="B19" s="11">
        <v>44263.844196157406</v>
      </c>
      <c r="C19" s="10" t="s">
        <v>96</v>
      </c>
      <c r="D19" s="10" t="s">
        <v>97</v>
      </c>
      <c r="E19" s="10" t="s">
        <v>120</v>
      </c>
      <c r="F19" s="10" t="s">
        <v>121</v>
      </c>
      <c r="G19" s="10" t="s">
        <v>122</v>
      </c>
      <c r="H19" s="16">
        <v>44223.60416666667</v>
      </c>
      <c r="I19" s="16">
        <v>44332.625</v>
      </c>
      <c r="J19" s="10" t="s">
        <v>51</v>
      </c>
      <c r="K19" s="10" t="s">
        <v>34</v>
      </c>
      <c r="N19" s="10" t="s">
        <v>35</v>
      </c>
      <c r="V19" s="9"/>
      <c r="W19" s="13" t="s">
        <v>78</v>
      </c>
      <c r="X19" s="10" t="s">
        <v>37</v>
      </c>
      <c r="Y19" s="10" t="s">
        <v>0</v>
      </c>
    </row>
    <row r="20">
      <c r="A20" s="10" t="s">
        <v>123</v>
      </c>
      <c r="B20" s="11">
        <v>44225.726743657404</v>
      </c>
      <c r="C20" s="10" t="s">
        <v>124</v>
      </c>
      <c r="D20" s="10" t="s">
        <v>103</v>
      </c>
      <c r="E20" s="10" t="s">
        <v>125</v>
      </c>
      <c r="F20" s="10" t="s">
        <v>126</v>
      </c>
      <c r="G20" s="10" t="s">
        <v>127</v>
      </c>
      <c r="H20" s="12">
        <v>44224.854166666664</v>
      </c>
      <c r="I20" s="12">
        <v>44224.916666666664</v>
      </c>
      <c r="J20" s="10" t="s">
        <v>128</v>
      </c>
      <c r="K20" s="10" t="s">
        <v>34</v>
      </c>
      <c r="N20" s="10" t="s">
        <v>35</v>
      </c>
      <c r="V20" s="9"/>
      <c r="W20" s="13" t="s">
        <v>36</v>
      </c>
      <c r="X20" s="10" t="s">
        <v>37</v>
      </c>
      <c r="Y20" s="10" t="s">
        <v>0</v>
      </c>
    </row>
    <row r="21">
      <c r="A21" s="10" t="s">
        <v>129</v>
      </c>
      <c r="B21" s="11">
        <v>44224.80652108796</v>
      </c>
      <c r="C21" s="10" t="s">
        <v>80</v>
      </c>
      <c r="D21" s="10" t="s">
        <v>81</v>
      </c>
      <c r="E21" s="10" t="s">
        <v>130</v>
      </c>
      <c r="F21" s="10" t="s">
        <v>131</v>
      </c>
      <c r="G21" s="10" t="s">
        <v>132</v>
      </c>
      <c r="H21" s="12">
        <v>44225.041666666664</v>
      </c>
      <c r="I21" s="12">
        <v>44225.09722222222</v>
      </c>
      <c r="J21" s="10" t="s">
        <v>73</v>
      </c>
      <c r="K21" s="10" t="s">
        <v>34</v>
      </c>
      <c r="N21" s="10" t="s">
        <v>35</v>
      </c>
      <c r="V21" s="9"/>
      <c r="W21" s="13" t="s">
        <v>36</v>
      </c>
      <c r="X21" s="10" t="s">
        <v>37</v>
      </c>
      <c r="Y21" s="10" t="s">
        <v>0</v>
      </c>
    </row>
    <row r="22">
      <c r="A22" s="10" t="s">
        <v>133</v>
      </c>
      <c r="B22" s="11">
        <v>44223.89137849537</v>
      </c>
      <c r="C22" s="10" t="s">
        <v>80</v>
      </c>
      <c r="D22" s="10" t="s">
        <v>81</v>
      </c>
      <c r="E22" s="10" t="s">
        <v>82</v>
      </c>
      <c r="F22" s="10" t="s">
        <v>134</v>
      </c>
      <c r="G22" s="10" t="s">
        <v>135</v>
      </c>
      <c r="H22" s="12">
        <v>44225.104166666664</v>
      </c>
      <c r="I22" s="12">
        <v>44225.145833333336</v>
      </c>
      <c r="J22" s="10" t="s">
        <v>128</v>
      </c>
      <c r="K22" s="10" t="s">
        <v>34</v>
      </c>
      <c r="N22" s="10" t="s">
        <v>35</v>
      </c>
      <c r="V22" s="9"/>
      <c r="W22" s="13" t="s">
        <v>36</v>
      </c>
      <c r="X22" s="10" t="s">
        <v>37</v>
      </c>
      <c r="Y22" s="10" t="s">
        <v>0</v>
      </c>
    </row>
    <row r="23">
      <c r="A23" s="10" t="s">
        <v>136</v>
      </c>
      <c r="B23" s="11">
        <v>44223.665601354165</v>
      </c>
      <c r="C23" s="10" t="s">
        <v>137</v>
      </c>
      <c r="D23" s="10" t="s">
        <v>138</v>
      </c>
      <c r="E23" s="10" t="s">
        <v>139</v>
      </c>
      <c r="F23" s="10" t="s">
        <v>140</v>
      </c>
      <c r="G23" s="10" t="s">
        <v>141</v>
      </c>
      <c r="H23" s="12">
        <v>44225.583333333336</v>
      </c>
      <c r="I23" s="12">
        <v>44225.666666666664</v>
      </c>
      <c r="J23" s="10" t="s">
        <v>128</v>
      </c>
      <c r="K23" s="10" t="s">
        <v>34</v>
      </c>
      <c r="N23" s="10" t="s">
        <v>35</v>
      </c>
      <c r="V23" s="9"/>
      <c r="W23" s="13" t="s">
        <v>36</v>
      </c>
      <c r="X23" s="10" t="s">
        <v>37</v>
      </c>
      <c r="Y23" s="10" t="s">
        <v>0</v>
      </c>
    </row>
    <row r="24">
      <c r="A24" s="10" t="s">
        <v>142</v>
      </c>
      <c r="B24" s="11">
        <v>44235.769621087966</v>
      </c>
      <c r="C24" s="10" t="s">
        <v>96</v>
      </c>
      <c r="D24" s="10" t="s">
        <v>97</v>
      </c>
      <c r="E24" s="10" t="s">
        <v>143</v>
      </c>
      <c r="F24" s="10" t="s">
        <v>144</v>
      </c>
      <c r="G24" s="10" t="s">
        <v>145</v>
      </c>
      <c r="H24" s="12">
        <v>44225.604166666664</v>
      </c>
      <c r="I24" s="12">
        <v>44225.604166666664</v>
      </c>
      <c r="J24" s="10" t="s">
        <v>73</v>
      </c>
      <c r="K24" s="10" t="s">
        <v>34</v>
      </c>
      <c r="N24" s="10" t="s">
        <v>35</v>
      </c>
      <c r="V24" s="9"/>
      <c r="W24" s="13" t="s">
        <v>36</v>
      </c>
      <c r="X24" s="10" t="s">
        <v>37</v>
      </c>
      <c r="Y24" s="10" t="s">
        <v>0</v>
      </c>
    </row>
    <row r="25">
      <c r="A25" s="10" t="s">
        <v>146</v>
      </c>
      <c r="B25" s="11">
        <v>44235.7749977662</v>
      </c>
      <c r="C25" s="10" t="s">
        <v>96</v>
      </c>
      <c r="D25" s="10" t="s">
        <v>97</v>
      </c>
      <c r="E25" s="10" t="s">
        <v>116</v>
      </c>
      <c r="F25" s="10" t="s">
        <v>147</v>
      </c>
      <c r="G25" s="10" t="s">
        <v>148</v>
      </c>
      <c r="H25" s="12">
        <v>44225.625</v>
      </c>
      <c r="I25" s="12">
        <v>44225.625</v>
      </c>
      <c r="J25" s="10" t="s">
        <v>73</v>
      </c>
      <c r="K25" s="10" t="s">
        <v>34</v>
      </c>
      <c r="N25" s="10" t="s">
        <v>35</v>
      </c>
      <c r="V25" s="9"/>
      <c r="W25" s="13" t="s">
        <v>36</v>
      </c>
      <c r="X25" s="10" t="s">
        <v>37</v>
      </c>
      <c r="Y25" s="10" t="s">
        <v>0</v>
      </c>
    </row>
    <row r="26">
      <c r="A26" s="10" t="s">
        <v>149</v>
      </c>
      <c r="B26" s="11">
        <v>44223.763010254625</v>
      </c>
      <c r="C26" s="10" t="s">
        <v>150</v>
      </c>
      <c r="D26" s="10" t="s">
        <v>151</v>
      </c>
      <c r="E26" s="10" t="s">
        <v>152</v>
      </c>
      <c r="F26" s="10" t="s">
        <v>153</v>
      </c>
      <c r="G26" s="10" t="s">
        <v>154</v>
      </c>
      <c r="H26" s="12">
        <v>44226.416666666664</v>
      </c>
      <c r="I26" s="12">
        <v>44226.5</v>
      </c>
      <c r="J26" s="10" t="s">
        <v>128</v>
      </c>
      <c r="K26" s="10" t="s">
        <v>34</v>
      </c>
      <c r="N26" s="10" t="s">
        <v>35</v>
      </c>
      <c r="V26" s="9"/>
      <c r="W26" s="13" t="s">
        <v>36</v>
      </c>
      <c r="X26" s="10" t="s">
        <v>37</v>
      </c>
      <c r="Y26" s="10" t="s">
        <v>0</v>
      </c>
    </row>
    <row r="27">
      <c r="A27" s="10" t="s">
        <v>155</v>
      </c>
      <c r="B27" s="11">
        <v>44243.89461166666</v>
      </c>
      <c r="C27" s="10" t="s">
        <v>46</v>
      </c>
      <c r="D27" s="10" t="s">
        <v>47</v>
      </c>
      <c r="E27" s="10" t="s">
        <v>156</v>
      </c>
      <c r="F27" s="10" t="s">
        <v>157</v>
      </c>
      <c r="G27" s="10" t="s">
        <v>158</v>
      </c>
      <c r="H27" s="16">
        <v>44226.66666666667</v>
      </c>
      <c r="I27" s="16">
        <v>44226.70833333333</v>
      </c>
      <c r="J27" s="10" t="s">
        <v>128</v>
      </c>
      <c r="K27" s="10" t="s">
        <v>34</v>
      </c>
      <c r="N27" s="10" t="s">
        <v>35</v>
      </c>
      <c r="V27" s="9"/>
      <c r="W27" s="13" t="s">
        <v>36</v>
      </c>
      <c r="X27" s="10" t="s">
        <v>37</v>
      </c>
      <c r="Y27" s="10" t="s">
        <v>0</v>
      </c>
    </row>
    <row r="28">
      <c r="A28" s="10" t="s">
        <v>159</v>
      </c>
      <c r="B28" s="11">
        <v>44246.52630159722</v>
      </c>
      <c r="C28" s="10" t="s">
        <v>160</v>
      </c>
      <c r="D28" s="10" t="s">
        <v>161</v>
      </c>
      <c r="E28" s="10" t="s">
        <v>162</v>
      </c>
      <c r="F28" s="10" t="s">
        <v>163</v>
      </c>
      <c r="G28" s="10" t="s">
        <v>164</v>
      </c>
      <c r="H28" s="16">
        <v>44228.0</v>
      </c>
      <c r="I28" s="16">
        <v>44234.99930555555</v>
      </c>
      <c r="J28" s="10" t="s">
        <v>51</v>
      </c>
      <c r="K28" s="10" t="s">
        <v>34</v>
      </c>
      <c r="N28" s="10" t="s">
        <v>35</v>
      </c>
      <c r="V28" s="9"/>
      <c r="W28" s="13" t="s">
        <v>66</v>
      </c>
      <c r="X28" s="10" t="s">
        <v>165</v>
      </c>
      <c r="Y28" s="10" t="s">
        <v>0</v>
      </c>
    </row>
    <row r="29">
      <c r="A29" s="10" t="s">
        <v>166</v>
      </c>
      <c r="B29" s="11">
        <v>44225.604916516204</v>
      </c>
      <c r="C29" s="10" t="s">
        <v>167</v>
      </c>
      <c r="D29" s="10" t="s">
        <v>168</v>
      </c>
      <c r="E29" s="10" t="s">
        <v>169</v>
      </c>
      <c r="F29" s="10" t="s">
        <v>170</v>
      </c>
      <c r="G29" s="10" t="s">
        <v>171</v>
      </c>
      <c r="H29" s="12">
        <v>44205.333333333336</v>
      </c>
      <c r="I29" s="12">
        <v>44207.333333333336</v>
      </c>
      <c r="J29" s="10" t="s">
        <v>172</v>
      </c>
      <c r="K29" s="10" t="s">
        <v>34</v>
      </c>
      <c r="M29" s="10" t="s">
        <v>173</v>
      </c>
      <c r="N29" s="10" t="s">
        <v>35</v>
      </c>
      <c r="V29" s="9"/>
      <c r="W29" s="13" t="s">
        <v>36</v>
      </c>
      <c r="X29" s="10" t="s">
        <v>37</v>
      </c>
      <c r="Y29" s="10" t="s">
        <v>0</v>
      </c>
    </row>
    <row r="30">
      <c r="A30" s="10" t="s">
        <v>174</v>
      </c>
      <c r="B30" s="11">
        <v>44263.84657469907</v>
      </c>
      <c r="C30" s="10" t="s">
        <v>96</v>
      </c>
      <c r="D30" s="10" t="s">
        <v>97</v>
      </c>
      <c r="E30" s="10" t="s">
        <v>120</v>
      </c>
      <c r="F30" s="10" t="s">
        <v>175</v>
      </c>
      <c r="G30" s="10" t="s">
        <v>176</v>
      </c>
      <c r="H30" s="16">
        <v>44228.66666666667</v>
      </c>
      <c r="I30" s="16">
        <v>44326.66666666667</v>
      </c>
      <c r="J30" s="10" t="s">
        <v>51</v>
      </c>
      <c r="K30" s="10" t="s">
        <v>34</v>
      </c>
      <c r="N30" s="10" t="s">
        <v>35</v>
      </c>
      <c r="V30" s="9"/>
      <c r="W30" s="13" t="s">
        <v>78</v>
      </c>
      <c r="X30" s="10" t="s">
        <v>37</v>
      </c>
      <c r="Y30" s="10" t="s">
        <v>0</v>
      </c>
    </row>
    <row r="31">
      <c r="A31" s="10" t="s">
        <v>177</v>
      </c>
      <c r="B31" s="11">
        <v>44235.7558924537</v>
      </c>
      <c r="C31" s="10" t="s">
        <v>96</v>
      </c>
      <c r="D31" s="10" t="s">
        <v>97</v>
      </c>
      <c r="E31" s="10" t="s">
        <v>116</v>
      </c>
      <c r="F31" s="10" t="s">
        <v>178</v>
      </c>
      <c r="G31" s="10" t="s">
        <v>179</v>
      </c>
      <c r="H31" s="12">
        <v>44228.708333333336</v>
      </c>
      <c r="I31" s="12">
        <v>44228.708333333336</v>
      </c>
      <c r="J31" s="10" t="s">
        <v>73</v>
      </c>
      <c r="K31" s="10" t="s">
        <v>34</v>
      </c>
      <c r="N31" s="10" t="s">
        <v>35</v>
      </c>
      <c r="V31" s="9"/>
      <c r="W31" s="13" t="s">
        <v>36</v>
      </c>
      <c r="X31" s="10" t="s">
        <v>37</v>
      </c>
      <c r="Y31" s="10" t="s">
        <v>0</v>
      </c>
    </row>
    <row r="32">
      <c r="A32" s="10" t="s">
        <v>180</v>
      </c>
      <c r="B32" s="11">
        <v>44238.79117447916</v>
      </c>
      <c r="C32" s="10" t="s">
        <v>181</v>
      </c>
      <c r="D32" s="10" t="s">
        <v>69</v>
      </c>
      <c r="E32" s="10" t="s">
        <v>182</v>
      </c>
      <c r="F32" s="10" t="s">
        <v>183</v>
      </c>
      <c r="G32" s="10" t="s">
        <v>184</v>
      </c>
      <c r="H32" s="16">
        <v>44229.41666666667</v>
      </c>
      <c r="I32" s="16">
        <v>44341.66666666667</v>
      </c>
      <c r="J32" s="10" t="s">
        <v>128</v>
      </c>
      <c r="K32" s="10" t="s">
        <v>34</v>
      </c>
      <c r="N32" s="10" t="s">
        <v>35</v>
      </c>
      <c r="V32" s="9"/>
      <c r="W32" s="13" t="s">
        <v>36</v>
      </c>
      <c r="X32" s="10" t="s">
        <v>37</v>
      </c>
      <c r="Y32" s="10" t="s">
        <v>0</v>
      </c>
    </row>
    <row r="33">
      <c r="A33" s="10" t="s">
        <v>185</v>
      </c>
      <c r="B33" s="11">
        <v>44229.908813055554</v>
      </c>
      <c r="C33" s="10" t="s">
        <v>186</v>
      </c>
      <c r="D33" s="10" t="s">
        <v>187</v>
      </c>
      <c r="E33" s="10" t="s">
        <v>188</v>
      </c>
      <c r="F33" s="10" t="s">
        <v>189</v>
      </c>
      <c r="G33" s="10" t="s">
        <v>190</v>
      </c>
      <c r="H33" s="12">
        <v>44230.395833333336</v>
      </c>
      <c r="I33" s="12">
        <v>44230.479166666664</v>
      </c>
      <c r="J33" s="10" t="s">
        <v>128</v>
      </c>
      <c r="K33" s="10" t="s">
        <v>34</v>
      </c>
      <c r="N33" s="10" t="s">
        <v>35</v>
      </c>
      <c r="V33" s="9"/>
      <c r="W33" s="13" t="s">
        <v>36</v>
      </c>
      <c r="X33" s="10" t="s">
        <v>37</v>
      </c>
      <c r="Y33" s="10" t="s">
        <v>0</v>
      </c>
    </row>
    <row r="34">
      <c r="A34" s="10" t="s">
        <v>191</v>
      </c>
      <c r="B34" s="11">
        <v>44235.74521096065</v>
      </c>
      <c r="C34" s="10" t="s">
        <v>96</v>
      </c>
      <c r="D34" s="10" t="s">
        <v>97</v>
      </c>
      <c r="E34" s="10" t="s">
        <v>116</v>
      </c>
      <c r="F34" s="10" t="s">
        <v>192</v>
      </c>
      <c r="G34" s="10" t="s">
        <v>193</v>
      </c>
      <c r="H34" s="12">
        <v>44230.604166666664</v>
      </c>
      <c r="I34" s="12">
        <v>44230.604166666664</v>
      </c>
      <c r="J34" s="10" t="s">
        <v>73</v>
      </c>
      <c r="K34" s="10" t="s">
        <v>34</v>
      </c>
      <c r="N34" s="10" t="s">
        <v>35</v>
      </c>
      <c r="V34" s="9"/>
      <c r="W34" s="13" t="s">
        <v>36</v>
      </c>
      <c r="X34" s="10" t="s">
        <v>37</v>
      </c>
      <c r="Y34" s="10" t="s">
        <v>0</v>
      </c>
    </row>
    <row r="35">
      <c r="A35" s="10" t="s">
        <v>194</v>
      </c>
      <c r="B35" s="11">
        <v>44230.79333644676</v>
      </c>
      <c r="C35" s="10" t="s">
        <v>80</v>
      </c>
      <c r="D35" s="10" t="s">
        <v>81</v>
      </c>
      <c r="E35" s="10" t="s">
        <v>195</v>
      </c>
      <c r="F35" s="10" t="s">
        <v>196</v>
      </c>
      <c r="G35" s="10" t="s">
        <v>197</v>
      </c>
      <c r="H35" s="12">
        <v>44231.291666666664</v>
      </c>
      <c r="I35" s="12">
        <v>44231.333333333336</v>
      </c>
      <c r="J35" s="10" t="s">
        <v>128</v>
      </c>
      <c r="K35" s="10" t="s">
        <v>34</v>
      </c>
      <c r="N35" s="10" t="s">
        <v>35</v>
      </c>
      <c r="V35" s="9"/>
      <c r="W35" s="13" t="s">
        <v>36</v>
      </c>
      <c r="X35" s="10" t="s">
        <v>37</v>
      </c>
      <c r="Y35" s="10" t="s">
        <v>0</v>
      </c>
    </row>
    <row r="36">
      <c r="A36" s="10" t="s">
        <v>198</v>
      </c>
      <c r="B36" s="11">
        <v>44231.98557967592</v>
      </c>
      <c r="C36" s="10" t="s">
        <v>102</v>
      </c>
      <c r="D36" s="10" t="s">
        <v>103</v>
      </c>
      <c r="E36" s="10" t="s">
        <v>199</v>
      </c>
      <c r="F36" s="10" t="s">
        <v>200</v>
      </c>
      <c r="G36" s="10" t="s">
        <v>201</v>
      </c>
      <c r="H36" s="12">
        <v>44231.36111111111</v>
      </c>
      <c r="I36" s="12">
        <v>44231.416666666664</v>
      </c>
      <c r="J36" s="10" t="s">
        <v>128</v>
      </c>
      <c r="K36" s="10" t="s">
        <v>34</v>
      </c>
      <c r="N36" s="10" t="s">
        <v>35</v>
      </c>
      <c r="V36" s="9"/>
      <c r="W36" s="13" t="s">
        <v>36</v>
      </c>
      <c r="X36" s="10" t="s">
        <v>37</v>
      </c>
      <c r="Y36" s="10" t="s">
        <v>0</v>
      </c>
    </row>
    <row r="37">
      <c r="A37" s="10" t="s">
        <v>202</v>
      </c>
      <c r="B37" s="11">
        <v>44229.55554430556</v>
      </c>
      <c r="C37" s="10" t="s">
        <v>137</v>
      </c>
      <c r="D37" s="10" t="s">
        <v>138</v>
      </c>
      <c r="E37" s="10" t="s">
        <v>139</v>
      </c>
      <c r="F37" s="10" t="s">
        <v>203</v>
      </c>
      <c r="G37" s="10" t="s">
        <v>204</v>
      </c>
      <c r="H37" s="12">
        <v>44231.666666666664</v>
      </c>
      <c r="I37" s="12">
        <v>44231.75</v>
      </c>
      <c r="J37" s="10" t="s">
        <v>128</v>
      </c>
      <c r="K37" s="10" t="s">
        <v>34</v>
      </c>
      <c r="N37" s="10" t="s">
        <v>35</v>
      </c>
      <c r="V37" s="9"/>
      <c r="W37" s="13" t="s">
        <v>36</v>
      </c>
      <c r="X37" s="10" t="s">
        <v>37</v>
      </c>
      <c r="Y37" s="10" t="s">
        <v>0</v>
      </c>
    </row>
    <row r="38">
      <c r="A38" s="10" t="s">
        <v>205</v>
      </c>
      <c r="B38" s="11">
        <v>44224.80665111111</v>
      </c>
      <c r="C38" s="10" t="s">
        <v>80</v>
      </c>
      <c r="D38" s="10" t="s">
        <v>81</v>
      </c>
      <c r="E38" s="10" t="s">
        <v>130</v>
      </c>
      <c r="F38" s="10" t="s">
        <v>206</v>
      </c>
      <c r="G38" s="10" t="s">
        <v>207</v>
      </c>
      <c r="H38" s="12">
        <v>44231.694444444445</v>
      </c>
      <c r="I38" s="12">
        <v>44231.76388888889</v>
      </c>
      <c r="J38" s="10" t="s">
        <v>128</v>
      </c>
      <c r="K38" s="10" t="s">
        <v>34</v>
      </c>
      <c r="N38" s="10" t="s">
        <v>35</v>
      </c>
      <c r="V38" s="9"/>
      <c r="W38" s="13" t="s">
        <v>36</v>
      </c>
      <c r="X38" s="10" t="s">
        <v>37</v>
      </c>
      <c r="Y38" s="10" t="s">
        <v>0</v>
      </c>
    </row>
    <row r="39">
      <c r="A39" s="10" t="s">
        <v>208</v>
      </c>
      <c r="B39" s="11">
        <v>44225.567202708335</v>
      </c>
      <c r="C39" s="10" t="s">
        <v>209</v>
      </c>
      <c r="D39" s="10" t="s">
        <v>210</v>
      </c>
      <c r="E39" s="10" t="s">
        <v>211</v>
      </c>
      <c r="F39" s="10" t="s">
        <v>212</v>
      </c>
      <c r="G39" s="10" t="s">
        <v>213</v>
      </c>
      <c r="H39" s="12">
        <v>44232.083333333336</v>
      </c>
      <c r="I39" s="12">
        <v>44232.520833333336</v>
      </c>
      <c r="J39" s="10" t="s">
        <v>33</v>
      </c>
      <c r="K39" s="10" t="s">
        <v>34</v>
      </c>
      <c r="N39" s="10" t="s">
        <v>35</v>
      </c>
      <c r="V39" s="9"/>
      <c r="W39" s="13" t="s">
        <v>36</v>
      </c>
      <c r="X39" s="10" t="s">
        <v>37</v>
      </c>
      <c r="Y39" s="10" t="s">
        <v>0</v>
      </c>
    </row>
    <row r="40">
      <c r="A40" s="10" t="s">
        <v>214</v>
      </c>
      <c r="B40" s="11">
        <v>44229.64496076389</v>
      </c>
      <c r="C40" s="10" t="s">
        <v>80</v>
      </c>
      <c r="D40" s="10" t="s">
        <v>81</v>
      </c>
      <c r="E40" s="10" t="s">
        <v>215</v>
      </c>
      <c r="F40" s="10" t="s">
        <v>216</v>
      </c>
      <c r="G40" s="10" t="s">
        <v>217</v>
      </c>
      <c r="H40" s="12">
        <v>44232.1875</v>
      </c>
      <c r="I40" s="12">
        <v>44232.229166666664</v>
      </c>
      <c r="J40" s="10" t="s">
        <v>128</v>
      </c>
      <c r="K40" s="10" t="s">
        <v>34</v>
      </c>
      <c r="N40" s="10" t="s">
        <v>35</v>
      </c>
      <c r="V40" s="9"/>
      <c r="W40" s="13" t="s">
        <v>66</v>
      </c>
      <c r="X40" s="10" t="s">
        <v>37</v>
      </c>
      <c r="Y40" s="10" t="s">
        <v>0</v>
      </c>
    </row>
    <row r="41">
      <c r="A41" s="10" t="s">
        <v>218</v>
      </c>
      <c r="B41" s="11">
        <v>44228.57618027778</v>
      </c>
      <c r="C41" s="10" t="s">
        <v>219</v>
      </c>
      <c r="D41" s="10" t="s">
        <v>220</v>
      </c>
      <c r="E41" s="10" t="s">
        <v>221</v>
      </c>
      <c r="F41" s="10" t="s">
        <v>222</v>
      </c>
      <c r="G41" s="10" t="s">
        <v>223</v>
      </c>
      <c r="H41" s="12">
        <v>44228.666666666664</v>
      </c>
      <c r="I41" s="12">
        <v>44239.5</v>
      </c>
      <c r="J41" s="10" t="s">
        <v>43</v>
      </c>
      <c r="K41" s="10" t="s">
        <v>34</v>
      </c>
      <c r="N41" s="10" t="s">
        <v>35</v>
      </c>
      <c r="V41" s="9"/>
      <c r="W41" s="13" t="s">
        <v>36</v>
      </c>
      <c r="X41" s="10" t="s">
        <v>37</v>
      </c>
      <c r="Y41" s="10" t="s">
        <v>0</v>
      </c>
    </row>
    <row r="42">
      <c r="A42" s="10" t="s">
        <v>224</v>
      </c>
      <c r="B42" s="11">
        <v>44229.54906027778</v>
      </c>
      <c r="C42" s="10" t="s">
        <v>137</v>
      </c>
      <c r="D42" s="10" t="s">
        <v>138</v>
      </c>
      <c r="E42" s="10" t="s">
        <v>225</v>
      </c>
      <c r="F42" s="10" t="s">
        <v>226</v>
      </c>
      <c r="G42" s="10" t="s">
        <v>227</v>
      </c>
      <c r="H42" s="12">
        <v>44232.583333333336</v>
      </c>
      <c r="I42" s="12">
        <v>44232.666666666664</v>
      </c>
      <c r="J42" s="10" t="s">
        <v>128</v>
      </c>
      <c r="K42" s="10" t="s">
        <v>34</v>
      </c>
      <c r="N42" s="10" t="s">
        <v>35</v>
      </c>
      <c r="V42" s="9"/>
      <c r="W42" s="13" t="s">
        <v>36</v>
      </c>
      <c r="X42" s="10" t="s">
        <v>37</v>
      </c>
      <c r="Y42" s="10" t="s">
        <v>0</v>
      </c>
    </row>
    <row r="43">
      <c r="A43" s="10" t="s">
        <v>228</v>
      </c>
      <c r="B43" s="11">
        <v>44263.86424625</v>
      </c>
      <c r="C43" s="10" t="s">
        <v>96</v>
      </c>
      <c r="D43" s="10" t="s">
        <v>97</v>
      </c>
      <c r="E43" s="10" t="s">
        <v>229</v>
      </c>
      <c r="F43" s="10" t="s">
        <v>230</v>
      </c>
      <c r="G43" s="10" t="s">
        <v>231</v>
      </c>
      <c r="H43" s="17">
        <v>44232.60416666667</v>
      </c>
      <c r="I43" s="17">
        <v>44337.60416666667</v>
      </c>
      <c r="J43" s="10" t="s">
        <v>51</v>
      </c>
      <c r="K43" s="10" t="s">
        <v>34</v>
      </c>
      <c r="N43" s="10" t="s">
        <v>35</v>
      </c>
      <c r="V43" s="9"/>
      <c r="W43" s="13" t="s">
        <v>78</v>
      </c>
      <c r="X43" s="10" t="s">
        <v>37</v>
      </c>
      <c r="Y43" s="10" t="s">
        <v>0</v>
      </c>
    </row>
    <row r="44">
      <c r="A44" s="10" t="s">
        <v>232</v>
      </c>
      <c r="B44" s="11">
        <v>44326.69670289352</v>
      </c>
      <c r="C44" s="10" t="s">
        <v>46</v>
      </c>
      <c r="D44" s="10" t="s">
        <v>47</v>
      </c>
      <c r="E44" s="10" t="s">
        <v>233</v>
      </c>
      <c r="F44" s="10" t="s">
        <v>234</v>
      </c>
      <c r="G44" s="10" t="s">
        <v>235</v>
      </c>
      <c r="H44" s="16">
        <v>44231.66666666667</v>
      </c>
      <c r="I44" s="16">
        <v>44231.77083333333</v>
      </c>
      <c r="J44" s="10" t="s">
        <v>236</v>
      </c>
      <c r="K44" s="10" t="s">
        <v>34</v>
      </c>
      <c r="N44" s="10" t="s">
        <v>35</v>
      </c>
      <c r="V44" s="9"/>
      <c r="W44" s="13" t="s">
        <v>66</v>
      </c>
      <c r="X44" s="10" t="s">
        <v>237</v>
      </c>
      <c r="Y44" s="10" t="s">
        <v>0</v>
      </c>
    </row>
    <row r="45">
      <c r="A45" s="10" t="s">
        <v>238</v>
      </c>
      <c r="B45" s="11">
        <v>44229.66512597223</v>
      </c>
      <c r="C45" s="10" t="s">
        <v>239</v>
      </c>
      <c r="D45" s="10" t="s">
        <v>240</v>
      </c>
      <c r="E45" s="10" t="s">
        <v>241</v>
      </c>
      <c r="F45" s="10" t="s">
        <v>242</v>
      </c>
      <c r="G45" s="10" t="s">
        <v>243</v>
      </c>
      <c r="H45" s="12">
        <v>44232.729166666664</v>
      </c>
      <c r="I45" s="12">
        <v>44232.770833333336</v>
      </c>
      <c r="J45" s="10" t="s">
        <v>128</v>
      </c>
      <c r="K45" s="10" t="s">
        <v>34</v>
      </c>
      <c r="N45" s="10" t="s">
        <v>35</v>
      </c>
      <c r="V45" s="9"/>
      <c r="W45" s="13" t="s">
        <v>66</v>
      </c>
      <c r="X45" s="10" t="s">
        <v>37</v>
      </c>
      <c r="Y45" s="10" t="s">
        <v>0</v>
      </c>
    </row>
    <row r="46">
      <c r="A46" s="10" t="s">
        <v>244</v>
      </c>
      <c r="B46" s="11">
        <v>44235.76799150463</v>
      </c>
      <c r="C46" s="10" t="s">
        <v>96</v>
      </c>
      <c r="D46" s="10" t="s">
        <v>97</v>
      </c>
      <c r="E46" s="10" t="s">
        <v>143</v>
      </c>
      <c r="F46" s="10" t="s">
        <v>230</v>
      </c>
      <c r="G46" s="10" t="s">
        <v>245</v>
      </c>
      <c r="H46" s="12">
        <v>44232.729166666664</v>
      </c>
      <c r="I46" s="12">
        <v>44232.729166666664</v>
      </c>
      <c r="J46" s="10" t="s">
        <v>73</v>
      </c>
      <c r="K46" s="10" t="s">
        <v>34</v>
      </c>
      <c r="N46" s="10" t="s">
        <v>35</v>
      </c>
      <c r="V46" s="9"/>
      <c r="W46" s="13" t="s">
        <v>36</v>
      </c>
      <c r="X46" s="10" t="s">
        <v>37</v>
      </c>
      <c r="Y46" s="10" t="s">
        <v>0</v>
      </c>
    </row>
    <row r="47">
      <c r="A47" s="10" t="s">
        <v>246</v>
      </c>
      <c r="B47" s="11">
        <v>44236.54676143518</v>
      </c>
      <c r="C47" s="10" t="s">
        <v>247</v>
      </c>
      <c r="D47" s="10" t="s">
        <v>248</v>
      </c>
      <c r="E47" s="10" t="s">
        <v>249</v>
      </c>
      <c r="F47" s="10" t="s">
        <v>250</v>
      </c>
      <c r="G47" s="10" t="s">
        <v>251</v>
      </c>
      <c r="H47" s="12">
        <v>44232.770833333336</v>
      </c>
      <c r="I47" s="12">
        <v>44232.854166666664</v>
      </c>
      <c r="J47" s="10" t="s">
        <v>128</v>
      </c>
      <c r="K47" s="10" t="s">
        <v>34</v>
      </c>
      <c r="N47" s="10" t="s">
        <v>35</v>
      </c>
      <c r="V47" s="9"/>
      <c r="W47" s="13" t="s">
        <v>66</v>
      </c>
      <c r="X47" s="10" t="s">
        <v>37</v>
      </c>
      <c r="Y47" s="10" t="s">
        <v>0</v>
      </c>
    </row>
    <row r="48">
      <c r="A48" s="10" t="s">
        <v>252</v>
      </c>
      <c r="B48" s="11">
        <v>44228.580375219906</v>
      </c>
      <c r="C48" s="10" t="s">
        <v>150</v>
      </c>
      <c r="D48" s="10" t="s">
        <v>151</v>
      </c>
      <c r="E48" s="10" t="s">
        <v>253</v>
      </c>
      <c r="F48" s="10" t="s">
        <v>254</v>
      </c>
      <c r="G48" s="10" t="s">
        <v>255</v>
      </c>
      <c r="H48" s="12">
        <v>44233.416666666664</v>
      </c>
      <c r="I48" s="12">
        <v>44233.458333333336</v>
      </c>
      <c r="J48" s="10" t="s">
        <v>128</v>
      </c>
      <c r="K48" s="10" t="s">
        <v>34</v>
      </c>
      <c r="N48" s="10" t="s">
        <v>35</v>
      </c>
      <c r="V48" s="9"/>
      <c r="W48" s="13" t="s">
        <v>36</v>
      </c>
      <c r="X48" s="10" t="s">
        <v>37</v>
      </c>
      <c r="Y48" s="10" t="s">
        <v>0</v>
      </c>
    </row>
    <row r="49">
      <c r="A49" s="10" t="s">
        <v>256</v>
      </c>
      <c r="B49" s="11">
        <v>44226.89639732639</v>
      </c>
      <c r="C49" s="10" t="s">
        <v>80</v>
      </c>
      <c r="D49" s="10" t="s">
        <v>81</v>
      </c>
      <c r="E49" s="10" t="s">
        <v>82</v>
      </c>
      <c r="F49" s="10" t="s">
        <v>257</v>
      </c>
      <c r="G49" s="10" t="s">
        <v>258</v>
      </c>
      <c r="H49" s="12">
        <v>44233.5</v>
      </c>
      <c r="I49" s="12">
        <v>44233.541666666664</v>
      </c>
      <c r="J49" s="10" t="s">
        <v>73</v>
      </c>
      <c r="K49" s="10" t="s">
        <v>34</v>
      </c>
      <c r="N49" s="10" t="s">
        <v>35</v>
      </c>
      <c r="V49" s="9"/>
      <c r="W49" s="13" t="s">
        <v>36</v>
      </c>
      <c r="X49" s="10" t="s">
        <v>37</v>
      </c>
      <c r="Y49" s="10" t="s">
        <v>0</v>
      </c>
    </row>
    <row r="50">
      <c r="A50" s="10" t="s">
        <v>259</v>
      </c>
      <c r="B50" s="11">
        <v>44232.98849560185</v>
      </c>
      <c r="C50" s="10" t="s">
        <v>260</v>
      </c>
      <c r="D50" s="10" t="s">
        <v>210</v>
      </c>
      <c r="E50" s="10" t="s">
        <v>261</v>
      </c>
      <c r="F50" s="10" t="s">
        <v>262</v>
      </c>
      <c r="G50" s="10" t="s">
        <v>263</v>
      </c>
      <c r="H50" s="12">
        <v>44233.770833333336</v>
      </c>
      <c r="I50" s="12">
        <v>44233.770833333336</v>
      </c>
      <c r="J50" s="10" t="s">
        <v>73</v>
      </c>
      <c r="K50" s="10" t="s">
        <v>34</v>
      </c>
      <c r="N50" s="10" t="s">
        <v>35</v>
      </c>
      <c r="V50" s="9"/>
      <c r="W50" s="13" t="s">
        <v>36</v>
      </c>
      <c r="X50" s="10" t="s">
        <v>37</v>
      </c>
      <c r="Y50" s="10" t="s">
        <v>0</v>
      </c>
    </row>
    <row r="51">
      <c r="A51" s="10" t="s">
        <v>264</v>
      </c>
      <c r="B51" s="11">
        <v>44232.989054074074</v>
      </c>
      <c r="C51" s="10" t="s">
        <v>260</v>
      </c>
      <c r="D51" s="10" t="s">
        <v>210</v>
      </c>
      <c r="E51" s="10" t="s">
        <v>261</v>
      </c>
      <c r="F51" s="10" t="s">
        <v>262</v>
      </c>
      <c r="G51" s="10" t="s">
        <v>263</v>
      </c>
      <c r="H51" s="12">
        <v>44233.770833333336</v>
      </c>
      <c r="I51" s="12">
        <v>44233.770833333336</v>
      </c>
      <c r="J51" s="10" t="s">
        <v>73</v>
      </c>
      <c r="K51" s="10" t="s">
        <v>34</v>
      </c>
      <c r="N51" s="10" t="s">
        <v>35</v>
      </c>
      <c r="V51" s="9"/>
      <c r="W51" s="13" t="s">
        <v>36</v>
      </c>
      <c r="X51" s="10" t="s">
        <v>37</v>
      </c>
      <c r="Y51" s="10" t="s">
        <v>0</v>
      </c>
    </row>
    <row r="52">
      <c r="A52" s="10" t="s">
        <v>265</v>
      </c>
      <c r="B52" s="11">
        <v>44235.76290412037</v>
      </c>
      <c r="C52" s="10" t="s">
        <v>96</v>
      </c>
      <c r="D52" s="10" t="s">
        <v>97</v>
      </c>
      <c r="E52" s="10" t="s">
        <v>116</v>
      </c>
      <c r="F52" s="10" t="s">
        <v>266</v>
      </c>
      <c r="G52" s="10" t="s">
        <v>267</v>
      </c>
      <c r="H52" s="12">
        <v>44234.583333333336</v>
      </c>
      <c r="I52" s="12">
        <v>44234.583333333336</v>
      </c>
      <c r="J52" s="10" t="s">
        <v>73</v>
      </c>
      <c r="K52" s="10" t="s">
        <v>34</v>
      </c>
      <c r="N52" s="10" t="s">
        <v>35</v>
      </c>
      <c r="V52" s="9"/>
      <c r="W52" s="13" t="s">
        <v>36</v>
      </c>
      <c r="X52" s="10" t="s">
        <v>37</v>
      </c>
      <c r="Y52" s="10" t="s">
        <v>0</v>
      </c>
    </row>
    <row r="53">
      <c r="A53" s="10" t="s">
        <v>268</v>
      </c>
      <c r="B53" s="11">
        <v>44235.875323009255</v>
      </c>
      <c r="C53" s="10" t="s">
        <v>269</v>
      </c>
      <c r="D53" s="10" t="s">
        <v>168</v>
      </c>
      <c r="E53" s="10" t="s">
        <v>270</v>
      </c>
      <c r="F53" s="10" t="s">
        <v>271</v>
      </c>
      <c r="G53" s="10" t="s">
        <v>272</v>
      </c>
      <c r="H53" s="12">
        <v>44234.583333333336</v>
      </c>
      <c r="I53" s="12">
        <v>44234.625</v>
      </c>
      <c r="J53" s="10" t="s">
        <v>128</v>
      </c>
      <c r="K53" s="10" t="s">
        <v>34</v>
      </c>
      <c r="N53" s="10" t="s">
        <v>35</v>
      </c>
      <c r="V53" s="9"/>
      <c r="W53" s="13" t="s">
        <v>36</v>
      </c>
      <c r="X53" s="10" t="s">
        <v>37</v>
      </c>
      <c r="Y53" s="10" t="s">
        <v>0</v>
      </c>
    </row>
    <row r="54">
      <c r="A54" s="10" t="s">
        <v>273</v>
      </c>
      <c r="B54" s="11">
        <v>44229.83619758102</v>
      </c>
      <c r="C54" s="10" t="s">
        <v>80</v>
      </c>
      <c r="D54" s="10" t="s">
        <v>81</v>
      </c>
      <c r="E54" s="10" t="s">
        <v>274</v>
      </c>
      <c r="F54" s="10" t="s">
        <v>275</v>
      </c>
      <c r="G54" s="10" t="s">
        <v>276</v>
      </c>
      <c r="H54" s="12">
        <v>44235.333333333336</v>
      </c>
      <c r="I54" s="12">
        <v>44235.375</v>
      </c>
      <c r="J54" s="10" t="s">
        <v>73</v>
      </c>
      <c r="K54" s="10" t="s">
        <v>34</v>
      </c>
      <c r="N54" s="10" t="s">
        <v>35</v>
      </c>
      <c r="V54" s="9"/>
      <c r="W54" s="13" t="s">
        <v>36</v>
      </c>
      <c r="X54" s="10" t="s">
        <v>37</v>
      </c>
      <c r="Y54" s="10" t="s">
        <v>0</v>
      </c>
    </row>
    <row r="55">
      <c r="A55" s="10" t="s">
        <v>277</v>
      </c>
      <c r="B55" s="11">
        <v>44235.739659178245</v>
      </c>
      <c r="C55" s="10" t="s">
        <v>96</v>
      </c>
      <c r="D55" s="10" t="s">
        <v>97</v>
      </c>
      <c r="E55" s="10" t="s">
        <v>116</v>
      </c>
      <c r="F55" s="10" t="s">
        <v>278</v>
      </c>
      <c r="G55" s="10" t="s">
        <v>279</v>
      </c>
      <c r="H55" s="12">
        <v>44235.458333333336</v>
      </c>
      <c r="I55" s="12">
        <v>44235.458333333336</v>
      </c>
      <c r="J55" s="10" t="s">
        <v>73</v>
      </c>
      <c r="K55" s="10" t="s">
        <v>34</v>
      </c>
      <c r="N55" s="10" t="s">
        <v>35</v>
      </c>
      <c r="V55" s="9"/>
      <c r="W55" s="13" t="s">
        <v>36</v>
      </c>
      <c r="X55" s="10" t="s">
        <v>37</v>
      </c>
      <c r="Y55" s="10" t="s">
        <v>0</v>
      </c>
    </row>
    <row r="56">
      <c r="A56" s="10" t="s">
        <v>280</v>
      </c>
      <c r="B56" s="11">
        <v>44231.74162886574</v>
      </c>
      <c r="C56" s="10" t="s">
        <v>80</v>
      </c>
      <c r="D56" s="10" t="s">
        <v>81</v>
      </c>
      <c r="E56" s="10" t="s">
        <v>281</v>
      </c>
      <c r="F56" s="10" t="s">
        <v>282</v>
      </c>
      <c r="G56" s="10" t="s">
        <v>283</v>
      </c>
      <c r="H56" s="12">
        <v>44235.5</v>
      </c>
      <c r="I56" s="12">
        <v>44235.5</v>
      </c>
      <c r="J56" s="10" t="s">
        <v>73</v>
      </c>
      <c r="K56" s="10" t="s">
        <v>34</v>
      </c>
      <c r="N56" s="10" t="s">
        <v>35</v>
      </c>
      <c r="V56" s="9"/>
      <c r="W56" s="13" t="s">
        <v>36</v>
      </c>
      <c r="X56" s="10" t="s">
        <v>37</v>
      </c>
      <c r="Y56" s="10" t="s">
        <v>0</v>
      </c>
    </row>
    <row r="57">
      <c r="A57" s="10" t="s">
        <v>284</v>
      </c>
      <c r="B57" s="11">
        <v>44235.561255532404</v>
      </c>
      <c r="C57" s="10" t="s">
        <v>80</v>
      </c>
      <c r="D57" s="10" t="s">
        <v>81</v>
      </c>
      <c r="E57" s="10" t="s">
        <v>285</v>
      </c>
      <c r="F57" s="10" t="s">
        <v>286</v>
      </c>
      <c r="G57" s="10" t="s">
        <v>287</v>
      </c>
      <c r="H57" s="12">
        <v>44235.5</v>
      </c>
      <c r="I57" s="12">
        <v>44238.5</v>
      </c>
      <c r="J57" s="10" t="s">
        <v>73</v>
      </c>
      <c r="K57" s="10" t="s">
        <v>34</v>
      </c>
      <c r="N57" s="10" t="s">
        <v>35</v>
      </c>
      <c r="V57" s="9"/>
      <c r="W57" s="13" t="s">
        <v>36</v>
      </c>
      <c r="X57" s="10" t="s">
        <v>37</v>
      </c>
      <c r="Y57" s="10" t="s">
        <v>0</v>
      </c>
    </row>
    <row r="58">
      <c r="A58" s="10" t="s">
        <v>288</v>
      </c>
      <c r="B58" s="11">
        <v>44235.97410796296</v>
      </c>
      <c r="C58" s="10" t="s">
        <v>124</v>
      </c>
      <c r="D58" s="10" t="s">
        <v>103</v>
      </c>
      <c r="E58" s="10" t="s">
        <v>289</v>
      </c>
      <c r="F58" s="10" t="s">
        <v>290</v>
      </c>
      <c r="G58" s="10" t="s">
        <v>291</v>
      </c>
      <c r="H58" s="12">
        <v>44235.833333333336</v>
      </c>
      <c r="I58" s="12">
        <v>44235.885416666664</v>
      </c>
      <c r="J58" s="10" t="s">
        <v>128</v>
      </c>
      <c r="K58" s="10" t="s">
        <v>34</v>
      </c>
      <c r="N58" s="10" t="s">
        <v>35</v>
      </c>
      <c r="V58" s="9"/>
      <c r="W58" s="13" t="s">
        <v>36</v>
      </c>
      <c r="X58" s="10" t="s">
        <v>37</v>
      </c>
      <c r="Y58" s="10" t="s">
        <v>0</v>
      </c>
    </row>
    <row r="59">
      <c r="A59" s="10" t="s">
        <v>292</v>
      </c>
      <c r="B59" s="11">
        <v>44228.65858849537</v>
      </c>
      <c r="C59" s="10" t="s">
        <v>96</v>
      </c>
      <c r="D59" s="10" t="s">
        <v>97</v>
      </c>
      <c r="E59" s="10" t="s">
        <v>293</v>
      </c>
      <c r="F59" s="10" t="s">
        <v>294</v>
      </c>
      <c r="G59" s="10" t="s">
        <v>295</v>
      </c>
      <c r="H59" s="12">
        <v>44232.458333333336</v>
      </c>
      <c r="I59" s="12">
        <v>44232.520833333336</v>
      </c>
      <c r="J59" s="10" t="s">
        <v>43</v>
      </c>
      <c r="K59" s="10" t="s">
        <v>34</v>
      </c>
      <c r="N59" s="10" t="s">
        <v>296</v>
      </c>
      <c r="O59" s="18" t="s">
        <v>297</v>
      </c>
      <c r="P59" s="10" t="s">
        <v>35</v>
      </c>
      <c r="R59" s="10" t="s">
        <v>296</v>
      </c>
      <c r="S59" s="10">
        <v>1.0</v>
      </c>
      <c r="T59" s="10" t="s">
        <v>35</v>
      </c>
      <c r="V59" s="9"/>
      <c r="W59" s="13" t="s">
        <v>66</v>
      </c>
      <c r="X59" s="10" t="s">
        <v>37</v>
      </c>
      <c r="Y59" s="10" t="s">
        <v>0</v>
      </c>
    </row>
    <row r="60">
      <c r="A60" s="10" t="s">
        <v>298</v>
      </c>
      <c r="B60" s="11">
        <v>44230.911967858796</v>
      </c>
      <c r="C60" s="10" t="s">
        <v>299</v>
      </c>
      <c r="D60" s="10" t="s">
        <v>47</v>
      </c>
      <c r="E60" s="10" t="s">
        <v>300</v>
      </c>
      <c r="F60" s="10" t="s">
        <v>301</v>
      </c>
      <c r="G60" s="10" t="s">
        <v>302</v>
      </c>
      <c r="H60" s="12">
        <v>44232.708333333336</v>
      </c>
      <c r="I60" s="12">
        <v>44232.75</v>
      </c>
      <c r="J60" s="10" t="s">
        <v>43</v>
      </c>
      <c r="K60" s="10" t="s">
        <v>34</v>
      </c>
      <c r="N60" s="10" t="s">
        <v>296</v>
      </c>
      <c r="O60" s="18" t="s">
        <v>303</v>
      </c>
      <c r="P60" s="10" t="s">
        <v>296</v>
      </c>
      <c r="Q60" s="10">
        <v>1.0</v>
      </c>
      <c r="R60" s="10" t="s">
        <v>35</v>
      </c>
      <c r="T60" s="10" t="s">
        <v>35</v>
      </c>
      <c r="V60" s="9"/>
      <c r="W60" s="13" t="s">
        <v>66</v>
      </c>
      <c r="X60" s="10" t="s">
        <v>37</v>
      </c>
      <c r="Y60" s="10" t="s">
        <v>0</v>
      </c>
    </row>
    <row r="61">
      <c r="A61" s="10" t="s">
        <v>304</v>
      </c>
      <c r="B61" s="11">
        <v>44235.68425535879</v>
      </c>
      <c r="C61" s="10" t="s">
        <v>239</v>
      </c>
      <c r="D61" s="10" t="s">
        <v>240</v>
      </c>
      <c r="E61" s="10" t="s">
        <v>305</v>
      </c>
      <c r="F61" s="10" t="s">
        <v>306</v>
      </c>
      <c r="G61" s="10" t="s">
        <v>307</v>
      </c>
      <c r="H61" s="12">
        <v>44236.291666666664</v>
      </c>
      <c r="I61" s="12">
        <v>44238.75</v>
      </c>
      <c r="J61" s="10" t="s">
        <v>51</v>
      </c>
      <c r="K61" s="10" t="s">
        <v>34</v>
      </c>
      <c r="N61" s="10" t="s">
        <v>35</v>
      </c>
      <c r="V61" s="9"/>
      <c r="W61" s="13" t="s">
        <v>36</v>
      </c>
      <c r="X61" s="10" t="s">
        <v>37</v>
      </c>
      <c r="Y61" s="10" t="s">
        <v>0</v>
      </c>
    </row>
    <row r="62">
      <c r="A62" s="10" t="s">
        <v>308</v>
      </c>
      <c r="B62" s="11">
        <v>44246.5469528588</v>
      </c>
      <c r="C62" s="10" t="s">
        <v>160</v>
      </c>
      <c r="D62" s="10" t="s">
        <v>161</v>
      </c>
      <c r="E62" s="10" t="s">
        <v>309</v>
      </c>
      <c r="F62" s="10" t="s">
        <v>310</v>
      </c>
      <c r="G62" s="10" t="s">
        <v>311</v>
      </c>
      <c r="H62" s="16">
        <v>44236.0</v>
      </c>
      <c r="I62" s="16">
        <v>44238.99930555555</v>
      </c>
      <c r="J62" s="10" t="s">
        <v>172</v>
      </c>
      <c r="K62" s="10" t="s">
        <v>34</v>
      </c>
      <c r="M62" s="10" t="s">
        <v>173</v>
      </c>
      <c r="N62" s="10" t="s">
        <v>35</v>
      </c>
      <c r="V62" s="9"/>
      <c r="W62" s="13" t="s">
        <v>36</v>
      </c>
      <c r="X62" s="10" t="s">
        <v>165</v>
      </c>
      <c r="Y62" s="10" t="s">
        <v>0</v>
      </c>
    </row>
    <row r="63">
      <c r="A63" s="10" t="s">
        <v>312</v>
      </c>
      <c r="B63" s="11">
        <v>44242.39983391204</v>
      </c>
      <c r="C63" s="10" t="s">
        <v>181</v>
      </c>
      <c r="D63" s="10" t="s">
        <v>69</v>
      </c>
      <c r="E63" s="10" t="s">
        <v>313</v>
      </c>
      <c r="F63" s="10" t="s">
        <v>314</v>
      </c>
      <c r="G63" s="10" t="s">
        <v>315</v>
      </c>
      <c r="H63" s="16">
        <v>44236.3125</v>
      </c>
      <c r="I63" s="16">
        <v>44236.4375</v>
      </c>
      <c r="J63" s="10" t="s">
        <v>128</v>
      </c>
      <c r="K63" s="10" t="s">
        <v>34</v>
      </c>
      <c r="N63" s="10" t="s">
        <v>35</v>
      </c>
      <c r="V63" s="9"/>
      <c r="W63" s="13" t="s">
        <v>36</v>
      </c>
      <c r="X63" s="10" t="s">
        <v>37</v>
      </c>
      <c r="Y63" s="10" t="s">
        <v>0</v>
      </c>
    </row>
    <row r="64">
      <c r="A64" s="10" t="s">
        <v>316</v>
      </c>
      <c r="B64" s="11">
        <v>44242.756276898144</v>
      </c>
      <c r="C64" s="10" t="s">
        <v>181</v>
      </c>
      <c r="D64" s="10" t="s">
        <v>69</v>
      </c>
      <c r="E64" s="10" t="s">
        <v>313</v>
      </c>
      <c r="F64" s="10" t="s">
        <v>317</v>
      </c>
      <c r="G64" s="10" t="s">
        <v>318</v>
      </c>
      <c r="H64" s="16">
        <v>44236.25</v>
      </c>
      <c r="I64" s="16">
        <v>44238.75</v>
      </c>
      <c r="J64" s="10" t="s">
        <v>172</v>
      </c>
      <c r="K64" s="10" t="s">
        <v>34</v>
      </c>
      <c r="M64" s="10" t="s">
        <v>173</v>
      </c>
      <c r="N64" s="10" t="s">
        <v>35</v>
      </c>
      <c r="V64" s="9"/>
      <c r="W64" s="13" t="s">
        <v>66</v>
      </c>
      <c r="X64" s="10" t="s">
        <v>37</v>
      </c>
      <c r="Y64" s="10" t="s">
        <v>0</v>
      </c>
    </row>
    <row r="65">
      <c r="A65" s="10" t="s">
        <v>319</v>
      </c>
      <c r="B65" s="11">
        <v>44225.99618202546</v>
      </c>
      <c r="C65" s="10" t="s">
        <v>320</v>
      </c>
      <c r="D65" s="10" t="s">
        <v>321</v>
      </c>
      <c r="E65" s="10" t="s">
        <v>322</v>
      </c>
      <c r="F65" s="10" t="s">
        <v>323</v>
      </c>
      <c r="G65" s="10" t="s">
        <v>324</v>
      </c>
      <c r="H65" s="12">
        <v>44236.3125</v>
      </c>
      <c r="I65" s="12">
        <v>44238.770833333336</v>
      </c>
      <c r="J65" s="10" t="s">
        <v>172</v>
      </c>
      <c r="K65" s="10" t="s">
        <v>34</v>
      </c>
      <c r="M65" s="10" t="s">
        <v>173</v>
      </c>
      <c r="N65" s="10" t="s">
        <v>35</v>
      </c>
      <c r="V65" s="9"/>
      <c r="W65" s="13" t="s">
        <v>36</v>
      </c>
      <c r="X65" s="10" t="s">
        <v>37</v>
      </c>
      <c r="Y65" s="10" t="s">
        <v>0</v>
      </c>
    </row>
    <row r="66">
      <c r="A66" s="10" t="s">
        <v>325</v>
      </c>
      <c r="B66" s="11">
        <v>44326.68725721065</v>
      </c>
      <c r="C66" s="10" t="s">
        <v>46</v>
      </c>
      <c r="D66" s="10" t="s">
        <v>47</v>
      </c>
      <c r="E66" s="10" t="s">
        <v>326</v>
      </c>
      <c r="F66" s="10" t="s">
        <v>327</v>
      </c>
      <c r="G66" s="10" t="s">
        <v>328</v>
      </c>
      <c r="H66" s="16">
        <v>44236.33333333333</v>
      </c>
      <c r="I66" s="16">
        <v>44238.77083333333</v>
      </c>
      <c r="J66" s="10" t="s">
        <v>172</v>
      </c>
      <c r="K66" s="10" t="s">
        <v>34</v>
      </c>
      <c r="M66" s="10" t="s">
        <v>173</v>
      </c>
      <c r="N66" s="10" t="s">
        <v>35</v>
      </c>
      <c r="V66" s="9"/>
      <c r="W66" s="13" t="s">
        <v>36</v>
      </c>
      <c r="X66" s="10" t="s">
        <v>237</v>
      </c>
      <c r="Y66" s="10" t="s">
        <v>0</v>
      </c>
    </row>
    <row r="67">
      <c r="A67" s="10" t="s">
        <v>329</v>
      </c>
      <c r="B67" s="11">
        <v>44226.51363383102</v>
      </c>
      <c r="C67" s="10" t="s">
        <v>330</v>
      </c>
      <c r="D67" s="10" t="s">
        <v>331</v>
      </c>
      <c r="E67" s="10" t="s">
        <v>332</v>
      </c>
      <c r="F67" s="10" t="s">
        <v>333</v>
      </c>
      <c r="G67" s="10" t="s">
        <v>334</v>
      </c>
      <c r="H67" s="12">
        <v>44236.333333333336</v>
      </c>
      <c r="I67" s="12">
        <v>44238.770833333336</v>
      </c>
      <c r="J67" s="10" t="s">
        <v>128</v>
      </c>
      <c r="K67" s="10" t="s">
        <v>34</v>
      </c>
      <c r="N67" s="10" t="s">
        <v>35</v>
      </c>
      <c r="V67" s="9"/>
      <c r="W67" s="13" t="s">
        <v>36</v>
      </c>
      <c r="X67" s="10" t="s">
        <v>37</v>
      </c>
      <c r="Y67" s="10" t="s">
        <v>0</v>
      </c>
    </row>
    <row r="68">
      <c r="A68" s="10" t="s">
        <v>335</v>
      </c>
      <c r="B68" s="11">
        <v>44224.92845063657</v>
      </c>
      <c r="C68" s="10" t="s">
        <v>336</v>
      </c>
      <c r="D68" s="10" t="s">
        <v>337</v>
      </c>
      <c r="E68" s="10" t="s">
        <v>338</v>
      </c>
      <c r="F68" s="10" t="s">
        <v>339</v>
      </c>
      <c r="G68" s="10" t="s">
        <v>340</v>
      </c>
      <c r="H68" s="12">
        <v>44236.333333333336</v>
      </c>
      <c r="I68" s="12">
        <v>44238.770833333336</v>
      </c>
      <c r="J68" s="10" t="s">
        <v>172</v>
      </c>
      <c r="K68" s="10" t="s">
        <v>34</v>
      </c>
      <c r="M68" s="10" t="s">
        <v>173</v>
      </c>
      <c r="N68" s="10" t="s">
        <v>35</v>
      </c>
      <c r="V68" s="9"/>
      <c r="W68" s="13" t="s">
        <v>36</v>
      </c>
      <c r="X68" s="10" t="s">
        <v>37</v>
      </c>
      <c r="Y68" s="10" t="s">
        <v>0</v>
      </c>
    </row>
    <row r="69">
      <c r="A69" s="10" t="s">
        <v>341</v>
      </c>
      <c r="B69" s="11">
        <v>44225.71248829861</v>
      </c>
      <c r="C69" s="10" t="s">
        <v>342</v>
      </c>
      <c r="D69" s="10" t="s">
        <v>187</v>
      </c>
      <c r="E69" s="10" t="s">
        <v>343</v>
      </c>
      <c r="F69" s="10" t="s">
        <v>344</v>
      </c>
      <c r="G69" s="10" t="s">
        <v>345</v>
      </c>
      <c r="H69" s="12">
        <v>44236.333333333336</v>
      </c>
      <c r="I69" s="12">
        <v>44238.770833333336</v>
      </c>
      <c r="J69" s="10" t="s">
        <v>172</v>
      </c>
      <c r="K69" s="10" t="s">
        <v>34</v>
      </c>
      <c r="M69" s="10" t="s">
        <v>173</v>
      </c>
      <c r="N69" s="10" t="s">
        <v>35</v>
      </c>
      <c r="V69" s="9"/>
      <c r="W69" s="13" t="s">
        <v>36</v>
      </c>
      <c r="X69" s="10" t="s">
        <v>37</v>
      </c>
      <c r="Y69" s="10" t="s">
        <v>0</v>
      </c>
    </row>
    <row r="70">
      <c r="A70" s="10" t="s">
        <v>346</v>
      </c>
      <c r="B70" s="11">
        <v>44225.79485863426</v>
      </c>
      <c r="C70" s="10" t="s">
        <v>347</v>
      </c>
      <c r="D70" s="10" t="s">
        <v>348</v>
      </c>
      <c r="E70" s="10" t="s">
        <v>349</v>
      </c>
      <c r="F70" s="10" t="s">
        <v>173</v>
      </c>
      <c r="G70" s="10" t="s">
        <v>350</v>
      </c>
      <c r="H70" s="12">
        <v>44236.333333333336</v>
      </c>
      <c r="I70" s="12">
        <v>44238.770833333336</v>
      </c>
      <c r="J70" s="10" t="s">
        <v>172</v>
      </c>
      <c r="K70" s="10" t="s">
        <v>34</v>
      </c>
      <c r="M70" s="10" t="s">
        <v>173</v>
      </c>
      <c r="N70" s="10" t="s">
        <v>296</v>
      </c>
      <c r="O70" s="19" t="s">
        <v>351</v>
      </c>
      <c r="P70" s="10" t="s">
        <v>296</v>
      </c>
      <c r="Q70" s="10">
        <v>2.0</v>
      </c>
      <c r="R70" s="10" t="s">
        <v>35</v>
      </c>
      <c r="T70" s="10" t="s">
        <v>35</v>
      </c>
      <c r="V70" s="9"/>
      <c r="W70" s="13" t="s">
        <v>66</v>
      </c>
      <c r="X70" s="10" t="s">
        <v>37</v>
      </c>
      <c r="Y70" s="10" t="s">
        <v>0</v>
      </c>
    </row>
    <row r="71">
      <c r="A71" s="10" t="s">
        <v>352</v>
      </c>
      <c r="B71" s="11">
        <v>44228.764886296296</v>
      </c>
      <c r="C71" s="10" t="s">
        <v>186</v>
      </c>
      <c r="D71" s="10" t="s">
        <v>187</v>
      </c>
      <c r="E71" s="10" t="s">
        <v>353</v>
      </c>
      <c r="F71" s="10" t="s">
        <v>354</v>
      </c>
      <c r="G71" s="10" t="s">
        <v>355</v>
      </c>
      <c r="H71" s="12">
        <v>44236.333333333336</v>
      </c>
      <c r="I71" s="12">
        <v>44238.770833333336</v>
      </c>
      <c r="J71" s="10" t="s">
        <v>172</v>
      </c>
      <c r="K71" s="10" t="s">
        <v>34</v>
      </c>
      <c r="M71" s="10" t="s">
        <v>173</v>
      </c>
      <c r="N71" s="10" t="s">
        <v>35</v>
      </c>
      <c r="V71" s="9"/>
      <c r="W71" s="13" t="s">
        <v>66</v>
      </c>
      <c r="X71" s="10" t="s">
        <v>37</v>
      </c>
      <c r="Y71" s="10" t="s">
        <v>0</v>
      </c>
    </row>
    <row r="72">
      <c r="A72" s="10" t="s">
        <v>356</v>
      </c>
      <c r="B72" s="11">
        <v>44229.54667380787</v>
      </c>
      <c r="C72" s="10" t="s">
        <v>80</v>
      </c>
      <c r="D72" s="10" t="s">
        <v>81</v>
      </c>
      <c r="E72" s="10" t="s">
        <v>357</v>
      </c>
      <c r="F72" s="10" t="s">
        <v>358</v>
      </c>
      <c r="G72" s="10" t="s">
        <v>359</v>
      </c>
      <c r="H72" s="12">
        <v>44236.333333333336</v>
      </c>
      <c r="I72" s="12">
        <v>44238.75</v>
      </c>
      <c r="J72" s="10" t="s">
        <v>172</v>
      </c>
      <c r="K72" s="10" t="s">
        <v>34</v>
      </c>
      <c r="M72" s="10" t="s">
        <v>173</v>
      </c>
      <c r="N72" s="10" t="s">
        <v>35</v>
      </c>
      <c r="V72" s="9"/>
      <c r="W72" s="13" t="s">
        <v>36</v>
      </c>
      <c r="X72" s="10" t="s">
        <v>37</v>
      </c>
      <c r="Y72" s="10" t="s">
        <v>0</v>
      </c>
    </row>
    <row r="73">
      <c r="A73" s="10" t="s">
        <v>360</v>
      </c>
      <c r="B73" s="11">
        <v>44230.69543078703</v>
      </c>
      <c r="C73" s="10" t="s">
        <v>361</v>
      </c>
      <c r="D73" s="10" t="s">
        <v>362</v>
      </c>
      <c r="E73" s="10" t="s">
        <v>363</v>
      </c>
      <c r="F73" s="10" t="s">
        <v>364</v>
      </c>
      <c r="G73" s="10" t="s">
        <v>365</v>
      </c>
      <c r="H73" s="12">
        <v>44236.333333333336</v>
      </c>
      <c r="I73" s="12">
        <v>44238.770833333336</v>
      </c>
      <c r="J73" s="10" t="s">
        <v>172</v>
      </c>
      <c r="K73" s="10" t="s">
        <v>34</v>
      </c>
      <c r="M73" s="10" t="s">
        <v>173</v>
      </c>
      <c r="N73" s="10" t="s">
        <v>35</v>
      </c>
      <c r="V73" s="9"/>
      <c r="W73" s="13" t="s">
        <v>36</v>
      </c>
      <c r="X73" s="10" t="s">
        <v>37</v>
      </c>
      <c r="Y73" s="10" t="s">
        <v>0</v>
      </c>
    </row>
    <row r="74">
      <c r="A74" s="10" t="s">
        <v>366</v>
      </c>
      <c r="B74" s="11">
        <v>44231.65812594908</v>
      </c>
      <c r="C74" s="10" t="s">
        <v>137</v>
      </c>
      <c r="D74" s="10" t="s">
        <v>138</v>
      </c>
      <c r="E74" s="10" t="s">
        <v>225</v>
      </c>
      <c r="F74" s="10" t="s">
        <v>367</v>
      </c>
      <c r="G74" s="10" t="s">
        <v>368</v>
      </c>
      <c r="H74" s="12">
        <v>44236.333333333336</v>
      </c>
      <c r="I74" s="12">
        <v>44238.770833333336</v>
      </c>
      <c r="J74" s="10" t="s">
        <v>172</v>
      </c>
      <c r="K74" s="10" t="s">
        <v>34</v>
      </c>
      <c r="M74" s="10" t="s">
        <v>173</v>
      </c>
      <c r="N74" s="10" t="s">
        <v>35</v>
      </c>
      <c r="V74" s="9"/>
      <c r="W74" s="13" t="s">
        <v>36</v>
      </c>
      <c r="X74" s="10" t="s">
        <v>37</v>
      </c>
      <c r="Y74" s="10" t="s">
        <v>0</v>
      </c>
    </row>
    <row r="75">
      <c r="A75" s="10" t="s">
        <v>369</v>
      </c>
      <c r="B75" s="11">
        <v>44224.81106630787</v>
      </c>
      <c r="C75" s="10" t="s">
        <v>80</v>
      </c>
      <c r="D75" s="10" t="s">
        <v>81</v>
      </c>
      <c r="E75" s="10" t="s">
        <v>370</v>
      </c>
      <c r="F75" s="10" t="s">
        <v>371</v>
      </c>
      <c r="G75" s="10" t="s">
        <v>372</v>
      </c>
      <c r="H75" s="12">
        <v>44236.5</v>
      </c>
      <c r="I75" s="12">
        <v>44236.520833333336</v>
      </c>
      <c r="J75" s="10" t="s">
        <v>73</v>
      </c>
      <c r="K75" s="10" t="s">
        <v>34</v>
      </c>
      <c r="N75" s="10" t="s">
        <v>35</v>
      </c>
      <c r="V75" s="9"/>
      <c r="W75" s="13" t="s">
        <v>36</v>
      </c>
      <c r="X75" s="10" t="s">
        <v>37</v>
      </c>
      <c r="Y75" s="10" t="s">
        <v>0</v>
      </c>
    </row>
    <row r="76">
      <c r="A76" s="10" t="s">
        <v>373</v>
      </c>
      <c r="B76" s="11">
        <v>44235.51889594908</v>
      </c>
      <c r="C76" s="10" t="s">
        <v>374</v>
      </c>
      <c r="D76" s="10" t="s">
        <v>375</v>
      </c>
      <c r="E76" s="10" t="s">
        <v>261</v>
      </c>
      <c r="F76" s="10" t="s">
        <v>262</v>
      </c>
      <c r="G76" s="10" t="s">
        <v>376</v>
      </c>
      <c r="H76" s="12">
        <v>44236.520833333336</v>
      </c>
      <c r="I76" s="12">
        <v>44236.521527777775</v>
      </c>
      <c r="J76" s="10" t="s">
        <v>73</v>
      </c>
      <c r="K76" s="10" t="s">
        <v>34</v>
      </c>
      <c r="N76" s="10" t="s">
        <v>35</v>
      </c>
      <c r="V76" s="9"/>
      <c r="W76" s="13" t="s">
        <v>36</v>
      </c>
      <c r="X76" s="10" t="s">
        <v>37</v>
      </c>
      <c r="Y76" s="10" t="s">
        <v>0</v>
      </c>
    </row>
    <row r="77">
      <c r="A77" s="10" t="s">
        <v>377</v>
      </c>
      <c r="B77" s="11">
        <v>44229.04509053241</v>
      </c>
      <c r="C77" s="10" t="s">
        <v>374</v>
      </c>
      <c r="D77" s="10" t="s">
        <v>375</v>
      </c>
      <c r="E77" s="10" t="s">
        <v>261</v>
      </c>
      <c r="F77" s="10" t="s">
        <v>378</v>
      </c>
      <c r="G77" s="10" t="s">
        <v>379</v>
      </c>
      <c r="H77" s="12">
        <v>44236.5625</v>
      </c>
      <c r="I77" s="12">
        <v>44236.604166666664</v>
      </c>
      <c r="J77" s="10" t="s">
        <v>128</v>
      </c>
      <c r="K77" s="10" t="s">
        <v>34</v>
      </c>
      <c r="N77" s="10" t="s">
        <v>35</v>
      </c>
      <c r="V77" s="9"/>
      <c r="W77" s="13" t="s">
        <v>36</v>
      </c>
      <c r="X77" s="10" t="s">
        <v>37</v>
      </c>
      <c r="Y77" s="10" t="s">
        <v>0</v>
      </c>
    </row>
    <row r="78">
      <c r="A78" s="10" t="s">
        <v>380</v>
      </c>
      <c r="B78" s="11">
        <v>44235.44469045139</v>
      </c>
      <c r="C78" s="10" t="s">
        <v>381</v>
      </c>
      <c r="D78" s="10" t="s">
        <v>382</v>
      </c>
      <c r="E78" s="10" t="s">
        <v>383</v>
      </c>
      <c r="F78" s="10" t="s">
        <v>384</v>
      </c>
      <c r="G78" s="10" t="s">
        <v>385</v>
      </c>
      <c r="H78" s="12">
        <v>44236.333333333336</v>
      </c>
      <c r="I78" s="12">
        <v>44238.770833333336</v>
      </c>
      <c r="J78" s="10" t="s">
        <v>172</v>
      </c>
      <c r="K78" s="10" t="s">
        <v>34</v>
      </c>
      <c r="M78" s="10" t="s">
        <v>173</v>
      </c>
      <c r="N78" s="10" t="s">
        <v>35</v>
      </c>
      <c r="V78" s="9"/>
      <c r="W78" s="13" t="s">
        <v>36</v>
      </c>
      <c r="X78" s="10" t="s">
        <v>37</v>
      </c>
      <c r="Y78" s="10" t="s">
        <v>0</v>
      </c>
    </row>
    <row r="79">
      <c r="A79" s="10" t="s">
        <v>386</v>
      </c>
      <c r="B79" s="11">
        <v>44235.69172459491</v>
      </c>
      <c r="C79" s="10" t="s">
        <v>387</v>
      </c>
      <c r="D79" s="10" t="s">
        <v>388</v>
      </c>
      <c r="E79" s="10" t="s">
        <v>389</v>
      </c>
      <c r="F79" s="10" t="s">
        <v>358</v>
      </c>
      <c r="G79" s="10" t="s">
        <v>390</v>
      </c>
      <c r="H79" s="12">
        <v>44236.333333333336</v>
      </c>
      <c r="I79" s="12">
        <v>44237.75</v>
      </c>
      <c r="J79" s="10" t="s">
        <v>172</v>
      </c>
      <c r="K79" s="10" t="s">
        <v>34</v>
      </c>
      <c r="M79" s="10" t="s">
        <v>173</v>
      </c>
      <c r="N79" s="10" t="s">
        <v>35</v>
      </c>
      <c r="V79" s="9"/>
      <c r="W79" s="13" t="s">
        <v>36</v>
      </c>
      <c r="X79" s="10" t="s">
        <v>37</v>
      </c>
      <c r="Y79" s="10" t="s">
        <v>0</v>
      </c>
    </row>
    <row r="80">
      <c r="A80" s="10" t="s">
        <v>391</v>
      </c>
      <c r="B80" s="11">
        <v>44235.79475616898</v>
      </c>
      <c r="C80" s="10" t="s">
        <v>392</v>
      </c>
      <c r="D80" s="10" t="s">
        <v>393</v>
      </c>
      <c r="E80" s="10" t="s">
        <v>394</v>
      </c>
      <c r="F80" s="10" t="s">
        <v>395</v>
      </c>
      <c r="G80" s="10" t="s">
        <v>396</v>
      </c>
      <c r="H80" s="12">
        <v>44236.375</v>
      </c>
      <c r="I80" s="12">
        <v>44238.25</v>
      </c>
      <c r="J80" s="10" t="s">
        <v>172</v>
      </c>
      <c r="K80" s="10" t="s">
        <v>34</v>
      </c>
      <c r="M80" s="10" t="s">
        <v>173</v>
      </c>
      <c r="N80" s="10" t="s">
        <v>35</v>
      </c>
      <c r="V80" s="9"/>
      <c r="W80" s="13" t="s">
        <v>36</v>
      </c>
      <c r="X80" s="10" t="s">
        <v>37</v>
      </c>
      <c r="Y80" s="10" t="s">
        <v>0</v>
      </c>
    </row>
    <row r="81">
      <c r="A81" s="10" t="s">
        <v>397</v>
      </c>
      <c r="B81" s="11">
        <v>44232.89076171296</v>
      </c>
      <c r="C81" s="10" t="s">
        <v>239</v>
      </c>
      <c r="D81" s="10" t="s">
        <v>240</v>
      </c>
      <c r="E81" s="10" t="s">
        <v>398</v>
      </c>
      <c r="F81" s="10" t="s">
        <v>399</v>
      </c>
      <c r="G81" s="10" t="s">
        <v>400</v>
      </c>
      <c r="H81" s="12">
        <v>44236.583333333336</v>
      </c>
      <c r="I81" s="12">
        <v>44236.604166666664</v>
      </c>
      <c r="J81" s="10" t="s">
        <v>172</v>
      </c>
      <c r="K81" s="10" t="s">
        <v>34</v>
      </c>
      <c r="M81" s="10" t="s">
        <v>173</v>
      </c>
      <c r="N81" s="10" t="s">
        <v>35</v>
      </c>
      <c r="V81" s="9"/>
      <c r="W81" s="13" t="s">
        <v>36</v>
      </c>
      <c r="X81" s="10" t="s">
        <v>37</v>
      </c>
      <c r="Y81" s="10" t="s">
        <v>0</v>
      </c>
    </row>
    <row r="82">
      <c r="A82" s="10" t="s">
        <v>401</v>
      </c>
      <c r="B82" s="11">
        <v>44229.5651759375</v>
      </c>
      <c r="C82" s="10" t="s">
        <v>80</v>
      </c>
      <c r="D82" s="10" t="s">
        <v>81</v>
      </c>
      <c r="E82" s="10" t="s">
        <v>402</v>
      </c>
      <c r="F82" s="10" t="s">
        <v>403</v>
      </c>
      <c r="G82" s="10" t="s">
        <v>404</v>
      </c>
      <c r="H82" s="12">
        <v>44236.729166666664</v>
      </c>
      <c r="I82" s="12">
        <v>44236.770833333336</v>
      </c>
      <c r="J82" s="10" t="s">
        <v>128</v>
      </c>
      <c r="K82" s="10" t="s">
        <v>34</v>
      </c>
      <c r="N82" s="10" t="s">
        <v>35</v>
      </c>
      <c r="V82" s="9"/>
      <c r="W82" s="13" t="s">
        <v>36</v>
      </c>
      <c r="X82" s="10" t="s">
        <v>37</v>
      </c>
      <c r="Y82" s="10" t="s">
        <v>0</v>
      </c>
    </row>
    <row r="83">
      <c r="A83" s="10" t="s">
        <v>405</v>
      </c>
      <c r="B83" s="11">
        <v>44246.79553594907</v>
      </c>
      <c r="C83" s="10" t="s">
        <v>406</v>
      </c>
      <c r="D83" s="10" t="s">
        <v>103</v>
      </c>
      <c r="E83" s="10" t="s">
        <v>407</v>
      </c>
      <c r="F83" s="10" t="s">
        <v>408</v>
      </c>
      <c r="G83" s="10" t="s">
        <v>409</v>
      </c>
      <c r="H83" s="16">
        <v>44236.79166666667</v>
      </c>
      <c r="I83" s="16">
        <v>44236.819444444445</v>
      </c>
      <c r="J83" s="10" t="s">
        <v>51</v>
      </c>
      <c r="K83" s="10" t="s">
        <v>34</v>
      </c>
      <c r="N83" s="10" t="s">
        <v>35</v>
      </c>
      <c r="V83" s="9"/>
      <c r="W83" s="13" t="s">
        <v>66</v>
      </c>
      <c r="X83" s="10" t="s">
        <v>37</v>
      </c>
      <c r="Y83" s="10" t="s">
        <v>0</v>
      </c>
    </row>
    <row r="84">
      <c r="A84" s="10" t="s">
        <v>410</v>
      </c>
      <c r="B84" s="11">
        <v>44230.68575484953</v>
      </c>
      <c r="C84" s="10" t="s">
        <v>361</v>
      </c>
      <c r="D84" s="10" t="s">
        <v>362</v>
      </c>
      <c r="E84" s="10" t="s">
        <v>411</v>
      </c>
      <c r="F84" s="10" t="s">
        <v>412</v>
      </c>
      <c r="G84" s="10" t="s">
        <v>413</v>
      </c>
      <c r="H84" s="12">
        <v>44236.604166666664</v>
      </c>
      <c r="I84" s="12">
        <v>44236.645833333336</v>
      </c>
      <c r="J84" s="10" t="s">
        <v>43</v>
      </c>
      <c r="K84" s="10" t="s">
        <v>34</v>
      </c>
      <c r="N84" s="10" t="s">
        <v>35</v>
      </c>
      <c r="V84" s="9"/>
      <c r="W84" s="13" t="s">
        <v>36</v>
      </c>
      <c r="X84" s="10" t="s">
        <v>37</v>
      </c>
      <c r="Y84" s="10" t="s">
        <v>0</v>
      </c>
    </row>
    <row r="85">
      <c r="A85" s="10" t="s">
        <v>414</v>
      </c>
      <c r="B85" s="11">
        <v>44224.713518969904</v>
      </c>
      <c r="C85" s="10" t="s">
        <v>80</v>
      </c>
      <c r="D85" s="10" t="s">
        <v>81</v>
      </c>
      <c r="E85" s="10" t="s">
        <v>130</v>
      </c>
      <c r="F85" s="10" t="s">
        <v>415</v>
      </c>
      <c r="G85" s="10" t="s">
        <v>416</v>
      </c>
      <c r="H85" s="12">
        <v>44237.5</v>
      </c>
      <c r="I85" s="12">
        <v>44237.520833333336</v>
      </c>
      <c r="J85" s="10" t="s">
        <v>73</v>
      </c>
      <c r="K85" s="10" t="s">
        <v>34</v>
      </c>
      <c r="N85" s="10" t="s">
        <v>35</v>
      </c>
      <c r="V85" s="9"/>
      <c r="W85" s="13" t="s">
        <v>36</v>
      </c>
      <c r="X85" s="10" t="s">
        <v>37</v>
      </c>
      <c r="Y85" s="10" t="s">
        <v>0</v>
      </c>
    </row>
    <row r="86">
      <c r="A86" s="10" t="s">
        <v>417</v>
      </c>
      <c r="B86" s="11">
        <v>44231.74004967592</v>
      </c>
      <c r="C86" s="10" t="s">
        <v>418</v>
      </c>
      <c r="D86" s="10" t="s">
        <v>419</v>
      </c>
      <c r="E86" s="10" t="s">
        <v>420</v>
      </c>
      <c r="F86" s="10" t="s">
        <v>421</v>
      </c>
      <c r="G86" s="10" t="s">
        <v>422</v>
      </c>
      <c r="H86" s="12">
        <v>44237.583333333336</v>
      </c>
      <c r="I86" s="12">
        <v>44237.645833333336</v>
      </c>
      <c r="J86" s="10" t="s">
        <v>128</v>
      </c>
      <c r="K86" s="10" t="s">
        <v>34</v>
      </c>
      <c r="N86" s="10" t="s">
        <v>35</v>
      </c>
      <c r="V86" s="9"/>
      <c r="W86" s="13" t="s">
        <v>36</v>
      </c>
      <c r="X86" s="10" t="s">
        <v>37</v>
      </c>
      <c r="Y86" s="10" t="s">
        <v>0</v>
      </c>
    </row>
    <row r="87">
      <c r="A87" s="10" t="s">
        <v>423</v>
      </c>
      <c r="B87" s="11">
        <v>44234.72667434027</v>
      </c>
      <c r="C87" s="10" t="s">
        <v>239</v>
      </c>
      <c r="D87" s="10" t="s">
        <v>240</v>
      </c>
      <c r="E87" s="10" t="s">
        <v>424</v>
      </c>
      <c r="F87" s="10" t="s">
        <v>425</v>
      </c>
      <c r="G87" s="10" t="s">
        <v>426</v>
      </c>
      <c r="H87" s="12">
        <v>44236.625</v>
      </c>
      <c r="I87" s="12">
        <v>44236.666666666664</v>
      </c>
      <c r="J87" s="10" t="s">
        <v>172</v>
      </c>
      <c r="K87" s="10" t="s">
        <v>34</v>
      </c>
      <c r="M87" s="10" t="s">
        <v>173</v>
      </c>
      <c r="N87" s="10" t="s">
        <v>35</v>
      </c>
      <c r="V87" s="9"/>
      <c r="W87" s="13" t="s">
        <v>36</v>
      </c>
      <c r="X87" s="10" t="s">
        <v>37</v>
      </c>
      <c r="Y87" s="10" t="s">
        <v>0</v>
      </c>
    </row>
    <row r="88">
      <c r="A88" s="10" t="s">
        <v>427</v>
      </c>
      <c r="B88" s="11">
        <v>44232.88888883102</v>
      </c>
      <c r="C88" s="10" t="s">
        <v>239</v>
      </c>
      <c r="D88" s="10" t="s">
        <v>240</v>
      </c>
      <c r="E88" s="10" t="s">
        <v>428</v>
      </c>
      <c r="F88" s="10" t="s">
        <v>429</v>
      </c>
      <c r="G88" s="10" t="s">
        <v>430</v>
      </c>
      <c r="H88" s="12">
        <v>44236.6875</v>
      </c>
      <c r="I88" s="12">
        <v>44236.729166666664</v>
      </c>
      <c r="J88" s="10" t="s">
        <v>43</v>
      </c>
      <c r="K88" s="10" t="s">
        <v>34</v>
      </c>
      <c r="N88" s="10" t="s">
        <v>35</v>
      </c>
      <c r="V88" s="9"/>
      <c r="W88" s="13" t="s">
        <v>36</v>
      </c>
      <c r="X88" s="10" t="s">
        <v>37</v>
      </c>
      <c r="Y88" s="10" t="s">
        <v>0</v>
      </c>
    </row>
    <row r="89">
      <c r="A89" s="10" t="s">
        <v>431</v>
      </c>
      <c r="B89" s="11">
        <v>44272.62781006945</v>
      </c>
      <c r="C89" s="10" t="s">
        <v>46</v>
      </c>
      <c r="D89" s="10" t="s">
        <v>47</v>
      </c>
      <c r="E89" s="10" t="s">
        <v>432</v>
      </c>
      <c r="F89" s="10" t="s">
        <v>433</v>
      </c>
      <c r="G89" s="10" t="s">
        <v>434</v>
      </c>
      <c r="H89" s="17">
        <v>44238.33333333333</v>
      </c>
      <c r="I89" s="17">
        <v>44238.66666666667</v>
      </c>
      <c r="J89" s="10" t="s">
        <v>51</v>
      </c>
      <c r="K89" s="10" t="s">
        <v>34</v>
      </c>
      <c r="N89" s="10" t="s">
        <v>35</v>
      </c>
      <c r="V89" s="9"/>
      <c r="W89" s="13" t="s">
        <v>78</v>
      </c>
      <c r="X89" s="10" t="s">
        <v>37</v>
      </c>
      <c r="Y89" s="10" t="s">
        <v>0</v>
      </c>
    </row>
    <row r="90">
      <c r="A90" s="10" t="s">
        <v>435</v>
      </c>
      <c r="B90" s="11">
        <v>44232.89271451389</v>
      </c>
      <c r="C90" s="10" t="s">
        <v>239</v>
      </c>
      <c r="D90" s="10" t="s">
        <v>240</v>
      </c>
      <c r="E90" s="10" t="s">
        <v>436</v>
      </c>
      <c r="F90" s="10" t="s">
        <v>437</v>
      </c>
      <c r="G90" s="10" t="s">
        <v>438</v>
      </c>
      <c r="H90" s="12">
        <v>44237.4375</v>
      </c>
      <c r="I90" s="12">
        <v>44237.479166666664</v>
      </c>
      <c r="J90" s="10" t="s">
        <v>172</v>
      </c>
      <c r="K90" s="10" t="s">
        <v>34</v>
      </c>
      <c r="M90" s="10" t="s">
        <v>173</v>
      </c>
      <c r="N90" s="10" t="s">
        <v>35</v>
      </c>
      <c r="V90" s="9"/>
      <c r="W90" s="13" t="s">
        <v>36</v>
      </c>
      <c r="X90" s="10" t="s">
        <v>37</v>
      </c>
      <c r="Y90" s="10" t="s">
        <v>0</v>
      </c>
    </row>
    <row r="91">
      <c r="A91" s="10" t="s">
        <v>439</v>
      </c>
      <c r="B91" s="11">
        <v>44230.69127196759</v>
      </c>
      <c r="C91" s="10" t="s">
        <v>361</v>
      </c>
      <c r="D91" s="10" t="s">
        <v>362</v>
      </c>
      <c r="E91" s="10" t="s">
        <v>363</v>
      </c>
      <c r="F91" s="10" t="s">
        <v>440</v>
      </c>
      <c r="G91" s="10" t="s">
        <v>441</v>
      </c>
      <c r="H91" s="12">
        <v>44237.604166666664</v>
      </c>
      <c r="I91" s="12">
        <v>44237.5625</v>
      </c>
      <c r="J91" s="10" t="s">
        <v>43</v>
      </c>
      <c r="K91" s="10" t="s">
        <v>34</v>
      </c>
      <c r="N91" s="10" t="s">
        <v>35</v>
      </c>
      <c r="V91" s="9"/>
      <c r="W91" s="13" t="s">
        <v>36</v>
      </c>
      <c r="X91" s="10" t="s">
        <v>37</v>
      </c>
      <c r="Y91" s="10" t="s">
        <v>0</v>
      </c>
    </row>
    <row r="92">
      <c r="A92" s="10" t="s">
        <v>442</v>
      </c>
      <c r="B92" s="11">
        <v>44223.88014658565</v>
      </c>
      <c r="C92" s="10" t="s">
        <v>443</v>
      </c>
      <c r="D92" s="10" t="s">
        <v>444</v>
      </c>
      <c r="E92" s="10" t="s">
        <v>445</v>
      </c>
      <c r="F92" s="10" t="s">
        <v>446</v>
      </c>
      <c r="G92" s="10" t="s">
        <v>447</v>
      </c>
      <c r="H92" s="12">
        <v>44237.645833333336</v>
      </c>
      <c r="I92" s="12">
        <v>44237.729166666664</v>
      </c>
      <c r="J92" s="10" t="s">
        <v>43</v>
      </c>
      <c r="K92" s="10" t="s">
        <v>34</v>
      </c>
      <c r="N92" s="10" t="s">
        <v>296</v>
      </c>
      <c r="O92" s="18" t="s">
        <v>448</v>
      </c>
      <c r="P92" s="10" t="s">
        <v>296</v>
      </c>
      <c r="Q92" s="10">
        <v>1.0</v>
      </c>
      <c r="R92" s="10" t="s">
        <v>296</v>
      </c>
      <c r="S92" s="10">
        <v>1.0</v>
      </c>
      <c r="T92" s="10" t="s">
        <v>35</v>
      </c>
      <c r="V92" s="9"/>
      <c r="W92" s="13" t="s">
        <v>36</v>
      </c>
      <c r="X92" s="10" t="s">
        <v>37</v>
      </c>
      <c r="Y92" s="10" t="s">
        <v>0</v>
      </c>
    </row>
    <row r="93">
      <c r="A93" s="10" t="s">
        <v>449</v>
      </c>
      <c r="B93" s="11">
        <v>44231.74248246528</v>
      </c>
      <c r="C93" s="10" t="s">
        <v>80</v>
      </c>
      <c r="D93" s="10" t="s">
        <v>81</v>
      </c>
      <c r="E93" s="10" t="s">
        <v>281</v>
      </c>
      <c r="F93" s="10" t="s">
        <v>450</v>
      </c>
      <c r="G93" s="10" t="s">
        <v>451</v>
      </c>
      <c r="H93" s="12">
        <v>44238.5</v>
      </c>
      <c r="I93" s="12">
        <v>44238.5</v>
      </c>
      <c r="J93" s="10" t="s">
        <v>73</v>
      </c>
      <c r="K93" s="10" t="s">
        <v>34</v>
      </c>
      <c r="N93" s="10" t="s">
        <v>35</v>
      </c>
      <c r="V93" s="9"/>
      <c r="W93" s="13" t="s">
        <v>36</v>
      </c>
      <c r="X93" s="10" t="s">
        <v>37</v>
      </c>
      <c r="Y93" s="10" t="s">
        <v>0</v>
      </c>
    </row>
    <row r="94">
      <c r="A94" s="10" t="s">
        <v>452</v>
      </c>
      <c r="B94" s="11">
        <v>44235.803867372684</v>
      </c>
      <c r="C94" s="10" t="s">
        <v>453</v>
      </c>
      <c r="D94" s="10" t="s">
        <v>393</v>
      </c>
      <c r="E94" s="10" t="s">
        <v>454</v>
      </c>
      <c r="F94" s="10" t="s">
        <v>455</v>
      </c>
      <c r="G94" s="10" t="s">
        <v>456</v>
      </c>
      <c r="H94" s="12">
        <v>44238.395833333336</v>
      </c>
      <c r="I94" s="12">
        <v>44238.416666666664</v>
      </c>
      <c r="J94" s="10" t="s">
        <v>172</v>
      </c>
      <c r="K94" s="10" t="s">
        <v>34</v>
      </c>
      <c r="M94" s="10" t="s">
        <v>173</v>
      </c>
      <c r="N94" s="10" t="s">
        <v>296</v>
      </c>
      <c r="O94" s="18" t="s">
        <v>457</v>
      </c>
      <c r="P94" s="10" t="s">
        <v>296</v>
      </c>
      <c r="Q94" s="10">
        <v>1.0</v>
      </c>
      <c r="R94" s="10" t="s">
        <v>296</v>
      </c>
      <c r="S94" s="10">
        <v>1.0</v>
      </c>
      <c r="T94" s="10" t="s">
        <v>35</v>
      </c>
      <c r="V94" s="9"/>
      <c r="W94" s="13" t="s">
        <v>36</v>
      </c>
      <c r="X94" s="10" t="s">
        <v>37</v>
      </c>
      <c r="Y94" s="10" t="s">
        <v>0</v>
      </c>
    </row>
    <row r="95">
      <c r="A95" s="10" t="s">
        <v>458</v>
      </c>
      <c r="B95" s="11">
        <v>44232.021206006946</v>
      </c>
      <c r="C95" s="10" t="s">
        <v>459</v>
      </c>
      <c r="D95" s="10" t="s">
        <v>444</v>
      </c>
      <c r="E95" s="10" t="s">
        <v>460</v>
      </c>
      <c r="F95" s="10" t="s">
        <v>461</v>
      </c>
      <c r="G95" s="10" t="s">
        <v>462</v>
      </c>
      <c r="H95" s="12">
        <v>44238.416666666664</v>
      </c>
      <c r="I95" s="12">
        <v>44238.458333333336</v>
      </c>
      <c r="J95" s="10" t="s">
        <v>43</v>
      </c>
      <c r="K95" s="10" t="s">
        <v>34</v>
      </c>
      <c r="N95" s="10" t="s">
        <v>296</v>
      </c>
      <c r="O95" s="18" t="s">
        <v>463</v>
      </c>
      <c r="P95" s="10" t="s">
        <v>35</v>
      </c>
      <c r="R95" s="10" t="s">
        <v>296</v>
      </c>
      <c r="S95" s="10">
        <v>1.0</v>
      </c>
      <c r="T95" s="10" t="s">
        <v>35</v>
      </c>
      <c r="V95" s="9"/>
      <c r="W95" s="13" t="s">
        <v>36</v>
      </c>
      <c r="X95" s="10" t="s">
        <v>37</v>
      </c>
      <c r="Y95" s="10" t="s">
        <v>0</v>
      </c>
    </row>
    <row r="96">
      <c r="A96" s="10" t="s">
        <v>464</v>
      </c>
      <c r="B96" s="11">
        <v>44235.863809421295</v>
      </c>
      <c r="C96" s="10" t="s">
        <v>219</v>
      </c>
      <c r="D96" s="10" t="s">
        <v>220</v>
      </c>
      <c r="E96" s="10" t="s">
        <v>465</v>
      </c>
      <c r="F96" s="10" t="s">
        <v>466</v>
      </c>
      <c r="G96" s="10" t="s">
        <v>467</v>
      </c>
      <c r="H96" s="12">
        <v>44238.833333333336</v>
      </c>
      <c r="I96" s="12">
        <v>44238.875</v>
      </c>
      <c r="J96" s="10" t="s">
        <v>128</v>
      </c>
      <c r="K96" s="10" t="s">
        <v>34</v>
      </c>
      <c r="N96" s="10" t="s">
        <v>35</v>
      </c>
      <c r="V96" s="9"/>
      <c r="W96" s="13" t="s">
        <v>36</v>
      </c>
      <c r="X96" s="10" t="s">
        <v>37</v>
      </c>
      <c r="Y96" s="10" t="s">
        <v>0</v>
      </c>
    </row>
    <row r="97">
      <c r="A97" s="10" t="s">
        <v>468</v>
      </c>
      <c r="B97" s="11">
        <v>44235.684220752315</v>
      </c>
      <c r="C97" s="10" t="s">
        <v>80</v>
      </c>
      <c r="D97" s="10" t="s">
        <v>81</v>
      </c>
      <c r="E97" s="10" t="s">
        <v>469</v>
      </c>
      <c r="F97" s="10" t="s">
        <v>470</v>
      </c>
      <c r="G97" s="10" t="s">
        <v>471</v>
      </c>
      <c r="H97" s="12">
        <v>44239.104166666664</v>
      </c>
      <c r="I97" s="12">
        <v>44239.145833333336</v>
      </c>
      <c r="J97" s="10" t="s">
        <v>128</v>
      </c>
      <c r="K97" s="10" t="s">
        <v>34</v>
      </c>
      <c r="N97" s="10" t="s">
        <v>35</v>
      </c>
      <c r="V97" s="9"/>
      <c r="W97" s="13" t="s">
        <v>36</v>
      </c>
      <c r="X97" s="10" t="s">
        <v>37</v>
      </c>
      <c r="Y97" s="10" t="s">
        <v>0</v>
      </c>
    </row>
    <row r="98">
      <c r="A98" s="10" t="s">
        <v>472</v>
      </c>
      <c r="B98" s="11">
        <v>44225.81000217593</v>
      </c>
      <c r="C98" s="10" t="s">
        <v>347</v>
      </c>
      <c r="D98" s="10" t="s">
        <v>348</v>
      </c>
      <c r="E98" s="10" t="s">
        <v>349</v>
      </c>
      <c r="F98" s="10" t="s">
        <v>473</v>
      </c>
      <c r="G98" s="10" t="s">
        <v>474</v>
      </c>
      <c r="H98" s="12">
        <v>44238.479166666664</v>
      </c>
      <c r="I98" s="12">
        <v>44238.506944444445</v>
      </c>
      <c r="J98" s="10" t="s">
        <v>43</v>
      </c>
      <c r="K98" s="10" t="s">
        <v>34</v>
      </c>
      <c r="N98" s="10" t="s">
        <v>296</v>
      </c>
      <c r="O98" s="18" t="s">
        <v>475</v>
      </c>
      <c r="P98" s="10" t="s">
        <v>296</v>
      </c>
      <c r="Q98" s="10">
        <v>2.0</v>
      </c>
      <c r="R98" s="10" t="s">
        <v>35</v>
      </c>
      <c r="T98" s="10" t="s">
        <v>35</v>
      </c>
      <c r="V98" s="9"/>
      <c r="W98" s="13" t="s">
        <v>36</v>
      </c>
      <c r="X98" s="10" t="s">
        <v>37</v>
      </c>
      <c r="Y98" s="10" t="s">
        <v>0</v>
      </c>
    </row>
    <row r="99">
      <c r="A99" s="10" t="s">
        <v>476</v>
      </c>
      <c r="B99" s="11">
        <v>44232.95419081018</v>
      </c>
      <c r="C99" s="10" t="s">
        <v>80</v>
      </c>
      <c r="D99" s="10" t="s">
        <v>81</v>
      </c>
      <c r="E99" s="10" t="s">
        <v>82</v>
      </c>
      <c r="F99" s="10" t="s">
        <v>477</v>
      </c>
      <c r="G99" s="10" t="s">
        <v>478</v>
      </c>
      <c r="H99" s="12">
        <v>44239.5</v>
      </c>
      <c r="I99" s="12">
        <v>44239.541666666664</v>
      </c>
      <c r="J99" s="10" t="s">
        <v>73</v>
      </c>
      <c r="K99" s="10" t="s">
        <v>34</v>
      </c>
      <c r="N99" s="10" t="s">
        <v>35</v>
      </c>
      <c r="V99" s="9"/>
      <c r="W99" s="13" t="s">
        <v>36</v>
      </c>
      <c r="X99" s="10" t="s">
        <v>37</v>
      </c>
      <c r="Y99" s="10" t="s">
        <v>0</v>
      </c>
    </row>
    <row r="100">
      <c r="A100" s="10" t="s">
        <v>479</v>
      </c>
      <c r="B100" s="11">
        <v>44229.94211567129</v>
      </c>
      <c r="C100" s="10" t="s">
        <v>209</v>
      </c>
      <c r="D100" s="10" t="s">
        <v>210</v>
      </c>
      <c r="E100" s="10" t="s">
        <v>261</v>
      </c>
      <c r="F100" s="10" t="s">
        <v>212</v>
      </c>
      <c r="G100" s="10" t="s">
        <v>480</v>
      </c>
      <c r="H100" s="12">
        <v>44239.520833333336</v>
      </c>
      <c r="I100" s="12">
        <v>44239.604166666664</v>
      </c>
      <c r="J100" s="10" t="s">
        <v>128</v>
      </c>
      <c r="K100" s="10" t="s">
        <v>34</v>
      </c>
      <c r="N100" s="10" t="s">
        <v>35</v>
      </c>
      <c r="V100" s="9"/>
      <c r="W100" s="13" t="s">
        <v>36</v>
      </c>
      <c r="X100" s="10" t="s">
        <v>37</v>
      </c>
      <c r="Y100" s="10" t="s">
        <v>0</v>
      </c>
    </row>
    <row r="101">
      <c r="A101" s="10" t="s">
        <v>481</v>
      </c>
      <c r="B101" s="11">
        <v>44234.79094756945</v>
      </c>
      <c r="C101" s="10" t="s">
        <v>137</v>
      </c>
      <c r="D101" s="10" t="s">
        <v>138</v>
      </c>
      <c r="E101" s="10" t="s">
        <v>225</v>
      </c>
      <c r="F101" s="10" t="s">
        <v>482</v>
      </c>
      <c r="G101" s="10" t="s">
        <v>483</v>
      </c>
      <c r="H101" s="12">
        <v>44239.583333333336</v>
      </c>
      <c r="I101" s="12">
        <v>44239.666666666664</v>
      </c>
      <c r="J101" s="10" t="s">
        <v>128</v>
      </c>
      <c r="K101" s="10" t="s">
        <v>34</v>
      </c>
      <c r="N101" s="10" t="s">
        <v>35</v>
      </c>
      <c r="V101" s="9"/>
      <c r="W101" s="13" t="s">
        <v>36</v>
      </c>
      <c r="X101" s="10" t="s">
        <v>37</v>
      </c>
      <c r="Y101" s="10" t="s">
        <v>0</v>
      </c>
    </row>
    <row r="102">
      <c r="A102" s="10" t="s">
        <v>484</v>
      </c>
      <c r="B102" s="11">
        <v>44230.692940486115</v>
      </c>
      <c r="C102" s="10" t="s">
        <v>361</v>
      </c>
      <c r="D102" s="10" t="s">
        <v>362</v>
      </c>
      <c r="E102" s="10" t="s">
        <v>363</v>
      </c>
      <c r="F102" s="10" t="s">
        <v>485</v>
      </c>
      <c r="G102" s="10" t="s">
        <v>486</v>
      </c>
      <c r="H102" s="12">
        <v>44238.604166666664</v>
      </c>
      <c r="I102" s="12">
        <v>44238.5625</v>
      </c>
      <c r="J102" s="10" t="s">
        <v>43</v>
      </c>
      <c r="K102" s="10" t="s">
        <v>34</v>
      </c>
      <c r="N102" s="10" t="s">
        <v>35</v>
      </c>
      <c r="V102" s="9"/>
      <c r="W102" s="13" t="s">
        <v>36</v>
      </c>
      <c r="X102" s="10" t="s">
        <v>37</v>
      </c>
      <c r="Y102" s="10" t="s">
        <v>0</v>
      </c>
    </row>
    <row r="103">
      <c r="A103" s="10" t="s">
        <v>487</v>
      </c>
      <c r="B103" s="11">
        <v>44229.9541415625</v>
      </c>
      <c r="C103" s="10" t="s">
        <v>374</v>
      </c>
      <c r="D103" s="10" t="s">
        <v>375</v>
      </c>
      <c r="E103" s="10" t="s">
        <v>261</v>
      </c>
      <c r="F103" s="10" t="s">
        <v>488</v>
      </c>
      <c r="G103" s="10" t="s">
        <v>489</v>
      </c>
      <c r="H103" s="12">
        <v>44239.645833333336</v>
      </c>
      <c r="I103" s="12">
        <v>44239.6875</v>
      </c>
      <c r="J103" s="10" t="s">
        <v>128</v>
      </c>
      <c r="K103" s="10" t="s">
        <v>34</v>
      </c>
      <c r="N103" s="10" t="s">
        <v>35</v>
      </c>
      <c r="V103" s="9"/>
      <c r="W103" s="13" t="s">
        <v>36</v>
      </c>
      <c r="X103" s="10" t="s">
        <v>37</v>
      </c>
      <c r="Y103" s="10" t="s">
        <v>0</v>
      </c>
    </row>
    <row r="104">
      <c r="A104" s="10" t="s">
        <v>490</v>
      </c>
      <c r="B104" s="11">
        <v>44241.56563777778</v>
      </c>
      <c r="C104" s="10" t="s">
        <v>491</v>
      </c>
      <c r="D104" s="10" t="s">
        <v>492</v>
      </c>
      <c r="E104" s="10" t="s">
        <v>493</v>
      </c>
      <c r="F104" s="10" t="s">
        <v>494</v>
      </c>
      <c r="G104" s="10" t="s">
        <v>495</v>
      </c>
      <c r="H104" s="16">
        <v>44239.66666666667</v>
      </c>
      <c r="I104" s="16">
        <v>44239.694444444445</v>
      </c>
      <c r="J104" s="10" t="s">
        <v>128</v>
      </c>
      <c r="K104" s="10" t="s">
        <v>34</v>
      </c>
      <c r="N104" s="10" t="s">
        <v>35</v>
      </c>
      <c r="V104" s="9"/>
      <c r="W104" s="13" t="s">
        <v>36</v>
      </c>
      <c r="X104" s="10" t="s">
        <v>37</v>
      </c>
      <c r="Y104" s="10" t="s">
        <v>0</v>
      </c>
    </row>
    <row r="105">
      <c r="A105" s="10" t="s">
        <v>496</v>
      </c>
      <c r="B105" s="11">
        <v>44239.72609986112</v>
      </c>
      <c r="C105" s="10" t="s">
        <v>186</v>
      </c>
      <c r="D105" s="10" t="s">
        <v>187</v>
      </c>
      <c r="E105" s="10" t="s">
        <v>188</v>
      </c>
      <c r="F105" s="10" t="s">
        <v>497</v>
      </c>
      <c r="G105" s="10" t="s">
        <v>498</v>
      </c>
      <c r="H105" s="16">
        <v>44239.6875</v>
      </c>
      <c r="I105" s="16">
        <v>44239.72916666667</v>
      </c>
      <c r="J105" s="10" t="s">
        <v>128</v>
      </c>
      <c r="K105" s="10" t="s">
        <v>34</v>
      </c>
      <c r="N105" s="10" t="s">
        <v>35</v>
      </c>
      <c r="V105" s="9"/>
      <c r="W105" s="13" t="s">
        <v>36</v>
      </c>
      <c r="X105" s="10" t="s">
        <v>37</v>
      </c>
      <c r="Y105" s="10" t="s">
        <v>0</v>
      </c>
    </row>
    <row r="106">
      <c r="A106" s="10" t="s">
        <v>499</v>
      </c>
      <c r="B106" s="11">
        <v>44236.89870791667</v>
      </c>
      <c r="C106" s="10" t="s">
        <v>347</v>
      </c>
      <c r="D106" s="10" t="s">
        <v>348</v>
      </c>
      <c r="E106" s="10" t="s">
        <v>349</v>
      </c>
      <c r="F106" s="10" t="s">
        <v>500</v>
      </c>
      <c r="G106" s="10" t="s">
        <v>501</v>
      </c>
      <c r="H106" s="12">
        <v>44238.729166666664</v>
      </c>
      <c r="I106" s="12">
        <v>44238.8125</v>
      </c>
      <c r="J106" s="10" t="s">
        <v>43</v>
      </c>
      <c r="K106" s="10" t="s">
        <v>34</v>
      </c>
      <c r="N106" s="10" t="s">
        <v>296</v>
      </c>
      <c r="O106" s="18" t="s">
        <v>502</v>
      </c>
      <c r="P106" s="10" t="s">
        <v>296</v>
      </c>
      <c r="Q106" s="10">
        <v>1.0</v>
      </c>
      <c r="R106" s="10" t="s">
        <v>35</v>
      </c>
      <c r="T106" s="10" t="s">
        <v>35</v>
      </c>
      <c r="V106" s="9"/>
      <c r="W106" s="13" t="s">
        <v>36</v>
      </c>
      <c r="X106" s="10" t="s">
        <v>37</v>
      </c>
      <c r="Y106" s="10" t="s">
        <v>0</v>
      </c>
    </row>
    <row r="107">
      <c r="A107" s="10" t="s">
        <v>503</v>
      </c>
      <c r="B107" s="11">
        <v>44237.514633935185</v>
      </c>
      <c r="C107" s="10" t="s">
        <v>504</v>
      </c>
      <c r="D107" s="10" t="s">
        <v>505</v>
      </c>
      <c r="E107" s="10" t="s">
        <v>506</v>
      </c>
      <c r="F107" s="10" t="s">
        <v>507</v>
      </c>
      <c r="G107" s="10" t="s">
        <v>508</v>
      </c>
      <c r="H107" s="12">
        <v>44239.229166666664</v>
      </c>
      <c r="I107" s="12">
        <v>44239.3125</v>
      </c>
      <c r="J107" s="10" t="s">
        <v>43</v>
      </c>
      <c r="K107" s="10" t="s">
        <v>34</v>
      </c>
      <c r="N107" s="10" t="s">
        <v>35</v>
      </c>
      <c r="V107" s="9"/>
      <c r="W107" s="13" t="s">
        <v>36</v>
      </c>
      <c r="X107" s="10" t="s">
        <v>37</v>
      </c>
      <c r="Y107" s="10" t="s">
        <v>0</v>
      </c>
    </row>
    <row r="108">
      <c r="A108" s="10" t="s">
        <v>509</v>
      </c>
      <c r="B108" s="11">
        <v>44238.86187313657</v>
      </c>
      <c r="C108" s="10" t="s">
        <v>510</v>
      </c>
      <c r="D108" s="10" t="s">
        <v>511</v>
      </c>
      <c r="E108" s="10" t="s">
        <v>512</v>
      </c>
      <c r="F108" s="10" t="s">
        <v>513</v>
      </c>
      <c r="G108" s="10" t="s">
        <v>514</v>
      </c>
      <c r="H108" s="16">
        <v>44240.4375</v>
      </c>
      <c r="I108" s="16">
        <v>44240.52083333333</v>
      </c>
      <c r="J108" s="10" t="s">
        <v>128</v>
      </c>
      <c r="K108" s="10" t="s">
        <v>34</v>
      </c>
      <c r="N108" s="10" t="s">
        <v>35</v>
      </c>
      <c r="V108" s="9"/>
      <c r="W108" s="13" t="s">
        <v>36</v>
      </c>
      <c r="X108" s="10" t="s">
        <v>37</v>
      </c>
      <c r="Y108" s="10" t="s">
        <v>0</v>
      </c>
    </row>
    <row r="109">
      <c r="A109" s="10" t="s">
        <v>515</v>
      </c>
      <c r="B109" s="11">
        <v>44238.87423311343</v>
      </c>
      <c r="C109" s="10" t="s">
        <v>516</v>
      </c>
      <c r="D109" s="10" t="s">
        <v>511</v>
      </c>
      <c r="E109" s="10" t="s">
        <v>517</v>
      </c>
      <c r="F109" s="10" t="s">
        <v>518</v>
      </c>
      <c r="G109" s="10" t="s">
        <v>519</v>
      </c>
      <c r="H109" s="16">
        <v>44240.4375</v>
      </c>
      <c r="I109" s="16">
        <v>44240.52083333333</v>
      </c>
      <c r="J109" s="10" t="s">
        <v>128</v>
      </c>
      <c r="K109" s="10" t="s">
        <v>34</v>
      </c>
      <c r="N109" s="10" t="s">
        <v>35</v>
      </c>
      <c r="V109" s="9"/>
      <c r="W109" s="13" t="s">
        <v>36</v>
      </c>
      <c r="X109" s="10" t="s">
        <v>37</v>
      </c>
      <c r="Y109" s="10" t="s">
        <v>0</v>
      </c>
    </row>
    <row r="110">
      <c r="A110" s="10" t="s">
        <v>520</v>
      </c>
      <c r="B110" s="11">
        <v>44238.938793877314</v>
      </c>
      <c r="C110" s="10" t="s">
        <v>516</v>
      </c>
      <c r="D110" s="10" t="s">
        <v>511</v>
      </c>
      <c r="E110" s="10" t="s">
        <v>517</v>
      </c>
      <c r="F110" s="10" t="s">
        <v>521</v>
      </c>
      <c r="G110" s="10" t="s">
        <v>522</v>
      </c>
      <c r="H110" s="16">
        <v>44240.4375</v>
      </c>
      <c r="I110" s="16">
        <v>44240.52083333333</v>
      </c>
      <c r="J110" s="10" t="s">
        <v>128</v>
      </c>
      <c r="K110" s="10" t="s">
        <v>34</v>
      </c>
      <c r="N110" s="10" t="s">
        <v>35</v>
      </c>
      <c r="V110" s="9"/>
      <c r="W110" s="13" t="s">
        <v>36</v>
      </c>
      <c r="X110" s="10" t="s">
        <v>37</v>
      </c>
      <c r="Y110" s="10" t="s">
        <v>0</v>
      </c>
    </row>
    <row r="111">
      <c r="A111" s="10" t="s">
        <v>523</v>
      </c>
      <c r="B111" s="11">
        <v>44241.630460625005</v>
      </c>
      <c r="C111" s="10" t="s">
        <v>516</v>
      </c>
      <c r="D111" s="10" t="s">
        <v>511</v>
      </c>
      <c r="E111" s="10" t="s">
        <v>524</v>
      </c>
      <c r="F111" s="10" t="s">
        <v>525</v>
      </c>
      <c r="G111" s="10" t="s">
        <v>526</v>
      </c>
      <c r="H111" s="16">
        <v>44240.4375</v>
      </c>
      <c r="I111" s="16">
        <v>44240.52083333333</v>
      </c>
      <c r="J111" s="10" t="s">
        <v>128</v>
      </c>
      <c r="K111" s="10" t="s">
        <v>34</v>
      </c>
      <c r="N111" s="10" t="s">
        <v>35</v>
      </c>
      <c r="V111" s="9"/>
      <c r="W111" s="13" t="s">
        <v>36</v>
      </c>
      <c r="X111" s="10" t="s">
        <v>37</v>
      </c>
      <c r="Y111" s="10" t="s">
        <v>0</v>
      </c>
    </row>
    <row r="112">
      <c r="A112" s="10" t="s">
        <v>527</v>
      </c>
      <c r="B112" s="11">
        <v>44224.71396371528</v>
      </c>
      <c r="C112" s="10" t="s">
        <v>80</v>
      </c>
      <c r="D112" s="10" t="s">
        <v>81</v>
      </c>
      <c r="E112" s="10" t="s">
        <v>130</v>
      </c>
      <c r="F112" s="10" t="s">
        <v>528</v>
      </c>
      <c r="G112" s="10" t="s">
        <v>529</v>
      </c>
      <c r="H112" s="12">
        <v>44240.5</v>
      </c>
      <c r="I112" s="12">
        <v>44240.520833333336</v>
      </c>
      <c r="J112" s="10" t="s">
        <v>73</v>
      </c>
      <c r="K112" s="10" t="s">
        <v>34</v>
      </c>
      <c r="N112" s="10" t="s">
        <v>35</v>
      </c>
      <c r="V112" s="9"/>
      <c r="W112" s="13" t="s">
        <v>36</v>
      </c>
      <c r="X112" s="10" t="s">
        <v>37</v>
      </c>
      <c r="Y112" s="10" t="s">
        <v>0</v>
      </c>
    </row>
    <row r="113">
      <c r="A113" s="10" t="s">
        <v>530</v>
      </c>
      <c r="B113" s="11">
        <v>44240.783778599536</v>
      </c>
      <c r="C113" s="10" t="s">
        <v>247</v>
      </c>
      <c r="D113" s="10" t="s">
        <v>248</v>
      </c>
      <c r="E113" s="10" t="s">
        <v>531</v>
      </c>
      <c r="F113" s="10" t="s">
        <v>532</v>
      </c>
      <c r="G113" s="10" t="s">
        <v>533</v>
      </c>
      <c r="H113" s="16">
        <v>44240.66666666667</v>
      </c>
      <c r="I113" s="16">
        <v>44240.78333333333</v>
      </c>
      <c r="J113" s="10" t="s">
        <v>128</v>
      </c>
      <c r="K113" s="10" t="s">
        <v>34</v>
      </c>
      <c r="N113" s="10" t="s">
        <v>35</v>
      </c>
      <c r="V113" s="9"/>
      <c r="W113" s="13" t="s">
        <v>36</v>
      </c>
      <c r="X113" s="10" t="s">
        <v>37</v>
      </c>
      <c r="Y113" s="10" t="s">
        <v>0</v>
      </c>
    </row>
    <row r="114">
      <c r="A114" s="10" t="s">
        <v>534</v>
      </c>
      <c r="B114" s="11">
        <v>44229.94029613426</v>
      </c>
      <c r="C114" s="10" t="s">
        <v>209</v>
      </c>
      <c r="D114" s="10" t="s">
        <v>210</v>
      </c>
      <c r="E114" s="10" t="s">
        <v>261</v>
      </c>
      <c r="F114" s="10" t="s">
        <v>535</v>
      </c>
      <c r="G114" s="10" t="s">
        <v>536</v>
      </c>
      <c r="H114" s="12">
        <v>44239.604166666664</v>
      </c>
      <c r="I114" s="12">
        <v>44239.6875</v>
      </c>
      <c r="J114" s="10" t="s">
        <v>43</v>
      </c>
      <c r="K114" s="10" t="s">
        <v>34</v>
      </c>
      <c r="N114" s="10" t="s">
        <v>296</v>
      </c>
      <c r="O114" s="18" t="s">
        <v>537</v>
      </c>
      <c r="P114" s="10" t="s">
        <v>35</v>
      </c>
      <c r="R114" s="10" t="s">
        <v>296</v>
      </c>
      <c r="S114" s="10">
        <v>3.0</v>
      </c>
      <c r="T114" s="10" t="s">
        <v>35</v>
      </c>
      <c r="V114" s="9"/>
      <c r="W114" s="13" t="s">
        <v>36</v>
      </c>
      <c r="X114" s="10" t="s">
        <v>37</v>
      </c>
      <c r="Y114" s="10" t="s">
        <v>0</v>
      </c>
    </row>
    <row r="115">
      <c r="A115" s="10" t="s">
        <v>538</v>
      </c>
      <c r="B115" s="11">
        <v>44244.63574010417</v>
      </c>
      <c r="C115" s="10" t="s">
        <v>539</v>
      </c>
      <c r="D115" s="10" t="s">
        <v>540</v>
      </c>
      <c r="E115" s="10" t="s">
        <v>541</v>
      </c>
      <c r="F115" s="10" t="s">
        <v>542</v>
      </c>
      <c r="G115" s="10" t="s">
        <v>543</v>
      </c>
      <c r="H115" s="17">
        <v>44241.29166666667</v>
      </c>
      <c r="I115" s="17">
        <v>44246.83333333333</v>
      </c>
      <c r="J115" s="10" t="s">
        <v>128</v>
      </c>
      <c r="K115" s="10" t="s">
        <v>34</v>
      </c>
      <c r="N115" s="10" t="s">
        <v>296</v>
      </c>
      <c r="O115" s="18" t="s">
        <v>544</v>
      </c>
      <c r="P115" s="10" t="s">
        <v>296</v>
      </c>
      <c r="Q115" s="10">
        <v>4.0</v>
      </c>
      <c r="R115" s="10" t="s">
        <v>35</v>
      </c>
      <c r="T115" s="10" t="s">
        <v>35</v>
      </c>
      <c r="V115" s="9"/>
      <c r="W115" s="13" t="s">
        <v>36</v>
      </c>
      <c r="X115" s="10" t="s">
        <v>37</v>
      </c>
      <c r="Y115" s="10" t="s">
        <v>0</v>
      </c>
    </row>
    <row r="116">
      <c r="A116" s="10" t="s">
        <v>545</v>
      </c>
      <c r="B116" s="11">
        <v>44232.5495228588</v>
      </c>
      <c r="C116" s="10" t="s">
        <v>491</v>
      </c>
      <c r="D116" s="10" t="s">
        <v>492</v>
      </c>
      <c r="E116" s="10" t="s">
        <v>546</v>
      </c>
      <c r="F116" s="10" t="s">
        <v>547</v>
      </c>
      <c r="G116" s="10" t="s">
        <v>548</v>
      </c>
      <c r="H116" s="12">
        <v>44239.729166666664</v>
      </c>
      <c r="I116" s="12">
        <v>44239.78125</v>
      </c>
      <c r="J116" s="10" t="s">
        <v>43</v>
      </c>
      <c r="K116" s="10" t="s">
        <v>34</v>
      </c>
      <c r="N116" s="10" t="s">
        <v>35</v>
      </c>
      <c r="V116" s="9"/>
      <c r="W116" s="20" t="s">
        <v>549</v>
      </c>
      <c r="X116" s="10" t="s">
        <v>37</v>
      </c>
      <c r="Y116" s="10" t="s">
        <v>0</v>
      </c>
    </row>
    <row r="117">
      <c r="A117" s="10" t="s">
        <v>550</v>
      </c>
      <c r="B117" s="11">
        <v>44232.89995578704</v>
      </c>
      <c r="C117" s="10" t="s">
        <v>491</v>
      </c>
      <c r="D117" s="10" t="s">
        <v>492</v>
      </c>
      <c r="E117" s="10" t="s">
        <v>546</v>
      </c>
      <c r="F117" s="10" t="s">
        <v>547</v>
      </c>
      <c r="G117" s="10" t="s">
        <v>551</v>
      </c>
      <c r="H117" s="12">
        <v>44239.729166666664</v>
      </c>
      <c r="I117" s="12">
        <v>44239.78125</v>
      </c>
      <c r="J117" s="10" t="s">
        <v>43</v>
      </c>
      <c r="K117" s="10" t="s">
        <v>34</v>
      </c>
      <c r="N117" s="10" t="s">
        <v>35</v>
      </c>
      <c r="V117" s="9"/>
      <c r="W117" s="20" t="s">
        <v>549</v>
      </c>
      <c r="X117" s="10" t="s">
        <v>37</v>
      </c>
      <c r="Y117" s="10" t="s">
        <v>0</v>
      </c>
    </row>
    <row r="118">
      <c r="A118" s="10" t="s">
        <v>552</v>
      </c>
      <c r="B118" s="11">
        <v>44229.955837824076</v>
      </c>
      <c r="C118" s="10" t="s">
        <v>374</v>
      </c>
      <c r="D118" s="10" t="s">
        <v>375</v>
      </c>
      <c r="E118" s="10" t="s">
        <v>261</v>
      </c>
      <c r="F118" s="10" t="s">
        <v>212</v>
      </c>
      <c r="G118" s="10" t="s">
        <v>553</v>
      </c>
      <c r="H118" s="12">
        <v>44241.645833333336</v>
      </c>
      <c r="I118" s="12">
        <v>44241.6875</v>
      </c>
      <c r="J118" s="10" t="s">
        <v>128</v>
      </c>
      <c r="K118" s="10" t="s">
        <v>34</v>
      </c>
      <c r="N118" s="10" t="s">
        <v>35</v>
      </c>
      <c r="V118" s="9"/>
      <c r="W118" s="13" t="s">
        <v>36</v>
      </c>
      <c r="X118" s="10" t="s">
        <v>37</v>
      </c>
      <c r="Y118" s="10" t="s">
        <v>0</v>
      </c>
    </row>
    <row r="119">
      <c r="A119" s="10" t="s">
        <v>554</v>
      </c>
      <c r="B119" s="11">
        <v>44235.7378135301</v>
      </c>
      <c r="C119" s="10" t="s">
        <v>320</v>
      </c>
      <c r="D119" s="10" t="s">
        <v>321</v>
      </c>
      <c r="E119" s="10" t="s">
        <v>555</v>
      </c>
      <c r="F119" s="10" t="s">
        <v>556</v>
      </c>
      <c r="G119" s="10" t="s">
        <v>557</v>
      </c>
      <c r="H119" s="12">
        <v>44242.333333333336</v>
      </c>
      <c r="I119" s="12">
        <v>44246.75</v>
      </c>
      <c r="J119" s="10" t="s">
        <v>128</v>
      </c>
      <c r="K119" s="10" t="s">
        <v>34</v>
      </c>
      <c r="N119" s="10" t="s">
        <v>35</v>
      </c>
      <c r="V119" s="9"/>
      <c r="W119" s="13" t="s">
        <v>36</v>
      </c>
      <c r="X119" s="10" t="s">
        <v>37</v>
      </c>
      <c r="Y119" s="10" t="s">
        <v>0</v>
      </c>
    </row>
    <row r="120">
      <c r="A120" s="10" t="s">
        <v>558</v>
      </c>
      <c r="B120" s="11">
        <v>44235.977309305556</v>
      </c>
      <c r="C120" s="10" t="s">
        <v>559</v>
      </c>
      <c r="D120" s="10" t="s">
        <v>560</v>
      </c>
      <c r="E120" s="10" t="s">
        <v>561</v>
      </c>
      <c r="F120" s="10" t="s">
        <v>562</v>
      </c>
      <c r="G120" s="10" t="s">
        <v>563</v>
      </c>
      <c r="H120" s="12">
        <v>44242.375</v>
      </c>
      <c r="I120" s="12">
        <v>44242.541666666664</v>
      </c>
      <c r="J120" s="10" t="s">
        <v>128</v>
      </c>
      <c r="K120" s="10" t="s">
        <v>34</v>
      </c>
      <c r="N120" s="10" t="s">
        <v>35</v>
      </c>
      <c r="V120" s="9"/>
      <c r="W120" s="13" t="s">
        <v>36</v>
      </c>
      <c r="X120" s="10" t="s">
        <v>37</v>
      </c>
      <c r="Y120" s="10" t="s">
        <v>0</v>
      </c>
    </row>
    <row r="121">
      <c r="A121" s="10" t="s">
        <v>564</v>
      </c>
      <c r="B121" s="11">
        <v>44240.78042417824</v>
      </c>
      <c r="C121" s="10" t="s">
        <v>137</v>
      </c>
      <c r="D121" s="10" t="s">
        <v>138</v>
      </c>
      <c r="E121" s="10" t="s">
        <v>225</v>
      </c>
      <c r="F121" s="10" t="s">
        <v>565</v>
      </c>
      <c r="G121" s="10" t="s">
        <v>566</v>
      </c>
      <c r="H121" s="16">
        <v>44242.41666666667</v>
      </c>
      <c r="I121" s="16">
        <v>44245.75</v>
      </c>
      <c r="J121" s="10" t="s">
        <v>128</v>
      </c>
      <c r="K121" s="10" t="s">
        <v>34</v>
      </c>
      <c r="N121" s="10" t="s">
        <v>35</v>
      </c>
      <c r="V121" s="9"/>
      <c r="W121" s="13" t="s">
        <v>36</v>
      </c>
      <c r="X121" s="10" t="s">
        <v>37</v>
      </c>
      <c r="Y121" s="10" t="s">
        <v>0</v>
      </c>
    </row>
    <row r="122">
      <c r="A122" s="10" t="s">
        <v>567</v>
      </c>
      <c r="B122" s="11">
        <v>44242.40131265046</v>
      </c>
      <c r="C122" s="10" t="s">
        <v>80</v>
      </c>
      <c r="D122" s="10" t="s">
        <v>81</v>
      </c>
      <c r="E122" s="10" t="s">
        <v>285</v>
      </c>
      <c r="F122" s="10" t="s">
        <v>568</v>
      </c>
      <c r="G122" s="10" t="s">
        <v>569</v>
      </c>
      <c r="H122" s="16">
        <v>44242.45833333333</v>
      </c>
      <c r="I122" s="16">
        <v>44242.5</v>
      </c>
      <c r="J122" s="10" t="s">
        <v>73</v>
      </c>
      <c r="K122" s="10" t="s">
        <v>34</v>
      </c>
      <c r="N122" s="10" t="s">
        <v>35</v>
      </c>
      <c r="V122" s="9"/>
      <c r="W122" s="13" t="s">
        <v>36</v>
      </c>
      <c r="X122" s="10" t="s">
        <v>37</v>
      </c>
      <c r="Y122" s="10" t="s">
        <v>0</v>
      </c>
    </row>
    <row r="123">
      <c r="A123" s="10" t="s">
        <v>570</v>
      </c>
      <c r="B123" s="11">
        <v>44231.744773240745</v>
      </c>
      <c r="C123" s="10" t="s">
        <v>80</v>
      </c>
      <c r="D123" s="10" t="s">
        <v>81</v>
      </c>
      <c r="E123" s="10" t="s">
        <v>281</v>
      </c>
      <c r="F123" s="10" t="s">
        <v>571</v>
      </c>
      <c r="G123" s="10" t="s">
        <v>572</v>
      </c>
      <c r="H123" s="12">
        <v>44242.5</v>
      </c>
      <c r="I123" s="12">
        <v>44247.5</v>
      </c>
      <c r="J123" s="10" t="s">
        <v>51</v>
      </c>
      <c r="K123" s="10" t="s">
        <v>34</v>
      </c>
      <c r="N123" s="10" t="s">
        <v>35</v>
      </c>
      <c r="V123" s="9"/>
      <c r="W123" s="13" t="s">
        <v>36</v>
      </c>
      <c r="X123" s="10" t="s">
        <v>37</v>
      </c>
      <c r="Y123" s="10" t="s">
        <v>0</v>
      </c>
    </row>
    <row r="124">
      <c r="A124" s="10" t="s">
        <v>573</v>
      </c>
      <c r="B124" s="11">
        <v>44241.436900636574</v>
      </c>
      <c r="C124" s="10" t="s">
        <v>209</v>
      </c>
      <c r="D124" s="10" t="s">
        <v>210</v>
      </c>
      <c r="E124" s="10" t="s">
        <v>261</v>
      </c>
      <c r="F124" s="10" t="s">
        <v>574</v>
      </c>
      <c r="G124" s="10" t="s">
        <v>575</v>
      </c>
      <c r="H124" s="16">
        <v>44242.52083333333</v>
      </c>
      <c r="I124" s="16">
        <v>44246.52083333333</v>
      </c>
      <c r="J124" s="10" t="s">
        <v>33</v>
      </c>
      <c r="K124" s="10" t="s">
        <v>34</v>
      </c>
      <c r="N124" s="10" t="s">
        <v>35</v>
      </c>
      <c r="V124" s="9"/>
      <c r="W124" s="13" t="s">
        <v>36</v>
      </c>
      <c r="X124" s="10" t="s">
        <v>37</v>
      </c>
      <c r="Y124" s="10" t="s">
        <v>0</v>
      </c>
    </row>
    <row r="125">
      <c r="A125" s="10" t="s">
        <v>576</v>
      </c>
      <c r="B125" s="11">
        <v>44238.79985167824</v>
      </c>
      <c r="C125" s="10" t="s">
        <v>181</v>
      </c>
      <c r="D125" s="10" t="s">
        <v>69</v>
      </c>
      <c r="E125" s="10" t="s">
        <v>577</v>
      </c>
      <c r="F125" s="10" t="s">
        <v>578</v>
      </c>
      <c r="G125" s="10" t="s">
        <v>579</v>
      </c>
      <c r="H125" s="16">
        <v>44243.27083333333</v>
      </c>
      <c r="I125" s="16">
        <v>44243.36111111111</v>
      </c>
      <c r="J125" s="10" t="s">
        <v>128</v>
      </c>
      <c r="K125" s="10" t="s">
        <v>34</v>
      </c>
      <c r="N125" s="10" t="s">
        <v>35</v>
      </c>
      <c r="V125" s="9"/>
      <c r="W125" s="13" t="s">
        <v>36</v>
      </c>
      <c r="X125" s="10" t="s">
        <v>37</v>
      </c>
      <c r="Y125" s="10" t="s">
        <v>0</v>
      </c>
    </row>
    <row r="126">
      <c r="A126" s="10" t="s">
        <v>580</v>
      </c>
      <c r="B126" s="11">
        <v>44242.54912836806</v>
      </c>
      <c r="C126" s="10" t="s">
        <v>581</v>
      </c>
      <c r="D126" s="10" t="s">
        <v>220</v>
      </c>
      <c r="E126" s="10" t="s">
        <v>582</v>
      </c>
      <c r="F126" s="10" t="s">
        <v>583</v>
      </c>
      <c r="G126" s="10" t="s">
        <v>584</v>
      </c>
      <c r="H126" s="16">
        <v>44243.39583333333</v>
      </c>
      <c r="I126" s="16">
        <v>44243.4375</v>
      </c>
      <c r="J126" s="10" t="s">
        <v>73</v>
      </c>
      <c r="K126" s="10" t="s">
        <v>34</v>
      </c>
      <c r="N126" s="10" t="s">
        <v>35</v>
      </c>
      <c r="V126" s="9"/>
      <c r="W126" s="13" t="s">
        <v>36</v>
      </c>
      <c r="X126" s="10" t="s">
        <v>37</v>
      </c>
      <c r="Y126" s="10" t="s">
        <v>0</v>
      </c>
    </row>
    <row r="127">
      <c r="A127" s="10" t="s">
        <v>585</v>
      </c>
      <c r="B127" s="11">
        <v>44236.96580377315</v>
      </c>
      <c r="C127" s="10" t="s">
        <v>80</v>
      </c>
      <c r="D127" s="10" t="s">
        <v>81</v>
      </c>
      <c r="E127" s="10" t="s">
        <v>82</v>
      </c>
      <c r="F127" s="10" t="s">
        <v>586</v>
      </c>
      <c r="G127" s="10" t="s">
        <v>587</v>
      </c>
      <c r="H127" s="12">
        <v>44243.5</v>
      </c>
      <c r="I127" s="12">
        <v>44243.541666666664</v>
      </c>
      <c r="J127" s="10" t="s">
        <v>73</v>
      </c>
      <c r="K127" s="10" t="s">
        <v>34</v>
      </c>
      <c r="N127" s="10" t="s">
        <v>35</v>
      </c>
      <c r="V127" s="9"/>
      <c r="W127" s="13" t="s">
        <v>36</v>
      </c>
      <c r="X127" s="10" t="s">
        <v>37</v>
      </c>
      <c r="Y127" s="10" t="s">
        <v>0</v>
      </c>
    </row>
    <row r="128">
      <c r="A128" s="10" t="s">
        <v>588</v>
      </c>
      <c r="B128" s="11">
        <v>44242.55114253472</v>
      </c>
      <c r="C128" s="10" t="s">
        <v>581</v>
      </c>
      <c r="D128" s="10" t="s">
        <v>220</v>
      </c>
      <c r="E128" s="10" t="s">
        <v>589</v>
      </c>
      <c r="F128" s="10" t="s">
        <v>590</v>
      </c>
      <c r="G128" s="10" t="s">
        <v>591</v>
      </c>
      <c r="H128" s="16">
        <v>44243.54166666667</v>
      </c>
      <c r="I128" s="16" t="s">
        <v>592</v>
      </c>
      <c r="J128" s="10" t="s">
        <v>73</v>
      </c>
      <c r="K128" s="10" t="s">
        <v>34</v>
      </c>
      <c r="N128" s="10" t="s">
        <v>35</v>
      </c>
      <c r="V128" s="9"/>
      <c r="W128" s="13" t="s">
        <v>36</v>
      </c>
      <c r="X128" s="10" t="s">
        <v>37</v>
      </c>
      <c r="Y128" s="10" t="s">
        <v>0</v>
      </c>
    </row>
    <row r="129">
      <c r="A129" s="10" t="s">
        <v>593</v>
      </c>
      <c r="B129" s="11">
        <v>44242.557485474535</v>
      </c>
      <c r="C129" s="10" t="s">
        <v>581</v>
      </c>
      <c r="D129" s="10" t="s">
        <v>220</v>
      </c>
      <c r="E129" s="10" t="s">
        <v>465</v>
      </c>
      <c r="F129" s="10" t="s">
        <v>594</v>
      </c>
      <c r="G129" s="10" t="s">
        <v>595</v>
      </c>
      <c r="H129" s="16">
        <v>44243.58333333333</v>
      </c>
      <c r="I129" s="16">
        <v>44243.625</v>
      </c>
      <c r="J129" s="10" t="s">
        <v>128</v>
      </c>
      <c r="K129" s="10" t="s">
        <v>34</v>
      </c>
      <c r="N129" s="10" t="s">
        <v>35</v>
      </c>
      <c r="V129" s="9"/>
      <c r="W129" s="13" t="s">
        <v>36</v>
      </c>
      <c r="X129" s="10" t="s">
        <v>37</v>
      </c>
      <c r="Y129" s="10" t="s">
        <v>0</v>
      </c>
    </row>
    <row r="130">
      <c r="A130" s="10" t="s">
        <v>596</v>
      </c>
      <c r="B130" s="11">
        <v>44242.67681518519</v>
      </c>
      <c r="C130" s="10" t="s">
        <v>80</v>
      </c>
      <c r="D130" s="10" t="s">
        <v>81</v>
      </c>
      <c r="E130" s="10" t="s">
        <v>597</v>
      </c>
      <c r="F130" s="10" t="s">
        <v>568</v>
      </c>
      <c r="G130" s="10" t="s">
        <v>569</v>
      </c>
      <c r="H130" s="16">
        <v>44243.625</v>
      </c>
      <c r="I130" s="16">
        <v>44243.75</v>
      </c>
      <c r="J130" s="10" t="s">
        <v>73</v>
      </c>
      <c r="K130" s="10" t="s">
        <v>34</v>
      </c>
      <c r="N130" s="10" t="s">
        <v>35</v>
      </c>
      <c r="V130" s="9"/>
      <c r="W130" s="13" t="s">
        <v>36</v>
      </c>
      <c r="X130" s="10" t="s">
        <v>37</v>
      </c>
      <c r="Y130" s="10" t="s">
        <v>0</v>
      </c>
    </row>
    <row r="131">
      <c r="A131" s="10" t="s">
        <v>598</v>
      </c>
      <c r="B131" s="11">
        <v>44236.969950520834</v>
      </c>
      <c r="C131" s="10" t="s">
        <v>80</v>
      </c>
      <c r="D131" s="10" t="s">
        <v>81</v>
      </c>
      <c r="E131" s="10" t="s">
        <v>82</v>
      </c>
      <c r="F131" s="10" t="s">
        <v>599</v>
      </c>
      <c r="G131" s="10" t="s">
        <v>600</v>
      </c>
      <c r="H131" s="12">
        <v>44244.5</v>
      </c>
      <c r="I131" s="12">
        <v>44244.75</v>
      </c>
      <c r="J131" s="10" t="s">
        <v>73</v>
      </c>
      <c r="K131" s="10" t="s">
        <v>34</v>
      </c>
      <c r="N131" s="10" t="s">
        <v>35</v>
      </c>
      <c r="V131" s="9"/>
      <c r="W131" s="13" t="s">
        <v>36</v>
      </c>
      <c r="X131" s="10" t="s">
        <v>37</v>
      </c>
      <c r="Y131" s="10" t="s">
        <v>0</v>
      </c>
    </row>
    <row r="132">
      <c r="A132" s="10" t="s">
        <v>601</v>
      </c>
      <c r="B132" s="11">
        <v>44242.55257226852</v>
      </c>
      <c r="C132" s="10" t="s">
        <v>581</v>
      </c>
      <c r="D132" s="10" t="s">
        <v>220</v>
      </c>
      <c r="E132" s="10" t="s">
        <v>602</v>
      </c>
      <c r="F132" s="10" t="s">
        <v>603</v>
      </c>
      <c r="G132" s="10" t="s">
        <v>604</v>
      </c>
      <c r="H132" s="16">
        <v>44244.54166666667</v>
      </c>
      <c r="I132" s="16">
        <v>44244.58333333333</v>
      </c>
      <c r="J132" s="10" t="s">
        <v>73</v>
      </c>
      <c r="K132" s="10" t="s">
        <v>34</v>
      </c>
      <c r="N132" s="10" t="s">
        <v>35</v>
      </c>
      <c r="V132" s="9"/>
      <c r="W132" s="13" t="s">
        <v>36</v>
      </c>
      <c r="X132" s="10" t="s">
        <v>37</v>
      </c>
      <c r="Y132" s="10" t="s">
        <v>0</v>
      </c>
    </row>
    <row r="133">
      <c r="A133" s="10" t="s">
        <v>605</v>
      </c>
      <c r="B133" s="11">
        <v>44242.40160193287</v>
      </c>
      <c r="C133" s="10" t="s">
        <v>181</v>
      </c>
      <c r="D133" s="10" t="s">
        <v>69</v>
      </c>
      <c r="E133" s="10" t="s">
        <v>606</v>
      </c>
      <c r="F133" s="10" t="s">
        <v>607</v>
      </c>
      <c r="G133" s="10" t="s">
        <v>608</v>
      </c>
      <c r="H133" s="16">
        <v>44244.5625</v>
      </c>
      <c r="I133" s="16">
        <v>44244.64583333333</v>
      </c>
      <c r="J133" s="10" t="s">
        <v>128</v>
      </c>
      <c r="K133" s="10" t="s">
        <v>34</v>
      </c>
      <c r="N133" s="10" t="s">
        <v>35</v>
      </c>
      <c r="V133" s="9"/>
      <c r="W133" s="13" t="s">
        <v>36</v>
      </c>
      <c r="X133" s="10" t="s">
        <v>37</v>
      </c>
      <c r="Y133" s="10" t="s">
        <v>0</v>
      </c>
    </row>
    <row r="134">
      <c r="A134" s="10" t="s">
        <v>609</v>
      </c>
      <c r="B134" s="11">
        <v>44242.70227674769</v>
      </c>
      <c r="C134" s="10" t="s">
        <v>610</v>
      </c>
      <c r="D134" s="21" t="s">
        <v>611</v>
      </c>
      <c r="E134" s="21" t="s">
        <v>612</v>
      </c>
      <c r="F134" s="21" t="s">
        <v>542</v>
      </c>
      <c r="G134" s="21" t="s">
        <v>613</v>
      </c>
      <c r="H134" s="22">
        <v>44241.0</v>
      </c>
      <c r="I134" s="22">
        <v>44246.99930555555</v>
      </c>
      <c r="J134" s="10" t="s">
        <v>236</v>
      </c>
      <c r="K134" s="10" t="s">
        <v>34</v>
      </c>
      <c r="N134" s="10" t="s">
        <v>35</v>
      </c>
      <c r="V134" s="9"/>
      <c r="W134" s="13" t="s">
        <v>36</v>
      </c>
      <c r="X134" s="10" t="s">
        <v>37</v>
      </c>
      <c r="Y134" s="10" t="s">
        <v>0</v>
      </c>
    </row>
    <row r="135">
      <c r="A135" s="10" t="s">
        <v>614</v>
      </c>
      <c r="B135" s="11">
        <v>44243.71509972222</v>
      </c>
      <c r="C135" s="10" t="s">
        <v>374</v>
      </c>
      <c r="D135" s="10" t="s">
        <v>375</v>
      </c>
      <c r="E135" s="10" t="s">
        <v>615</v>
      </c>
      <c r="F135" s="10" t="s">
        <v>616</v>
      </c>
      <c r="G135" s="10" t="s">
        <v>617</v>
      </c>
      <c r="H135" s="16">
        <v>44244.6875</v>
      </c>
      <c r="I135" s="16">
        <v>44246.6875</v>
      </c>
      <c r="J135" s="10" t="s">
        <v>73</v>
      </c>
      <c r="K135" s="10" t="s">
        <v>34</v>
      </c>
      <c r="N135" s="10" t="s">
        <v>35</v>
      </c>
      <c r="V135" s="9"/>
      <c r="W135" s="13" t="s">
        <v>36</v>
      </c>
      <c r="X135" s="10" t="s">
        <v>37</v>
      </c>
      <c r="Y135" s="10" t="s">
        <v>0</v>
      </c>
    </row>
    <row r="136">
      <c r="A136" s="10" t="s">
        <v>618</v>
      </c>
      <c r="B136" s="11">
        <v>44242.411327291666</v>
      </c>
      <c r="C136" s="10" t="s">
        <v>80</v>
      </c>
      <c r="D136" s="10" t="s">
        <v>81</v>
      </c>
      <c r="E136" s="10" t="s">
        <v>619</v>
      </c>
      <c r="F136" s="10" t="s">
        <v>620</v>
      </c>
      <c r="G136" s="10" t="s">
        <v>621</v>
      </c>
      <c r="H136" s="16">
        <v>44245.125</v>
      </c>
      <c r="I136" s="16">
        <v>44245.1875</v>
      </c>
      <c r="J136" s="10" t="s">
        <v>33</v>
      </c>
      <c r="K136" s="10" t="s">
        <v>34</v>
      </c>
      <c r="N136" s="10" t="s">
        <v>296</v>
      </c>
      <c r="O136" s="18" t="s">
        <v>622</v>
      </c>
      <c r="P136" s="10" t="s">
        <v>296</v>
      </c>
      <c r="Q136" s="10">
        <v>1.0</v>
      </c>
      <c r="R136" s="10" t="s">
        <v>35</v>
      </c>
      <c r="T136" s="10" t="s">
        <v>35</v>
      </c>
      <c r="V136" s="9"/>
      <c r="W136" s="13" t="s">
        <v>36</v>
      </c>
      <c r="X136" s="10" t="s">
        <v>37</v>
      </c>
      <c r="Y136" s="10" t="s">
        <v>0</v>
      </c>
    </row>
    <row r="137">
      <c r="A137" s="10" t="s">
        <v>623</v>
      </c>
      <c r="B137" s="11">
        <v>44241.654777407406</v>
      </c>
      <c r="C137" s="10" t="s">
        <v>186</v>
      </c>
      <c r="D137" s="21" t="s">
        <v>187</v>
      </c>
      <c r="E137" s="21" t="s">
        <v>624</v>
      </c>
      <c r="F137" s="21" t="s">
        <v>625</v>
      </c>
      <c r="G137" s="21" t="s">
        <v>626</v>
      </c>
      <c r="H137" s="22">
        <v>44241.33333333333</v>
      </c>
      <c r="I137" s="22">
        <v>44246.79166666667</v>
      </c>
      <c r="J137" s="10" t="s">
        <v>236</v>
      </c>
      <c r="K137" s="10" t="s">
        <v>34</v>
      </c>
      <c r="N137" s="10" t="s">
        <v>35</v>
      </c>
      <c r="V137" s="9"/>
      <c r="W137" s="13" t="s">
        <v>36</v>
      </c>
      <c r="X137" s="21" t="s">
        <v>37</v>
      </c>
      <c r="Y137" s="21" t="s">
        <v>0</v>
      </c>
    </row>
    <row r="138">
      <c r="A138" s="10" t="s">
        <v>627</v>
      </c>
      <c r="B138" s="11">
        <v>44238.794685416666</v>
      </c>
      <c r="C138" s="10" t="s">
        <v>181</v>
      </c>
      <c r="D138" s="10" t="s">
        <v>69</v>
      </c>
      <c r="E138" s="10" t="s">
        <v>628</v>
      </c>
      <c r="F138" s="10" t="s">
        <v>629</v>
      </c>
      <c r="G138" s="10" t="s">
        <v>630</v>
      </c>
      <c r="H138" s="16">
        <v>44245.39583333333</v>
      </c>
      <c r="I138" s="16">
        <v>44341.4375</v>
      </c>
      <c r="J138" s="10" t="s">
        <v>128</v>
      </c>
      <c r="K138" s="10" t="s">
        <v>34</v>
      </c>
      <c r="N138" s="10" t="s">
        <v>35</v>
      </c>
      <c r="V138" s="9"/>
      <c r="W138" s="13" t="s">
        <v>36</v>
      </c>
      <c r="X138" s="10" t="s">
        <v>37</v>
      </c>
      <c r="Y138" s="10" t="s">
        <v>0</v>
      </c>
    </row>
    <row r="139">
      <c r="A139" s="10" t="s">
        <v>631</v>
      </c>
      <c r="B139" s="11">
        <v>44238.78269730324</v>
      </c>
      <c r="C139" s="10" t="s">
        <v>181</v>
      </c>
      <c r="D139" s="10" t="s">
        <v>69</v>
      </c>
      <c r="E139" s="10" t="s">
        <v>70</v>
      </c>
      <c r="F139" s="10" t="s">
        <v>632</v>
      </c>
      <c r="G139" s="10" t="s">
        <v>633</v>
      </c>
      <c r="H139" s="16">
        <v>44245.41666666667</v>
      </c>
      <c r="I139" s="16">
        <v>44339.66666666667</v>
      </c>
      <c r="J139" s="10" t="s">
        <v>73</v>
      </c>
      <c r="K139" s="10" t="s">
        <v>34</v>
      </c>
      <c r="N139" s="10" t="s">
        <v>35</v>
      </c>
      <c r="V139" s="9"/>
      <c r="W139" s="13" t="s">
        <v>36</v>
      </c>
      <c r="X139" s="10" t="s">
        <v>37</v>
      </c>
      <c r="Y139" s="10" t="s">
        <v>0</v>
      </c>
    </row>
    <row r="140">
      <c r="A140" s="10" t="s">
        <v>634</v>
      </c>
      <c r="B140" s="11">
        <v>44238.78405637731</v>
      </c>
      <c r="C140" s="10" t="s">
        <v>181</v>
      </c>
      <c r="D140" s="10" t="s">
        <v>69</v>
      </c>
      <c r="E140" s="10" t="s">
        <v>70</v>
      </c>
      <c r="F140" s="10" t="s">
        <v>635</v>
      </c>
      <c r="G140" s="10" t="s">
        <v>636</v>
      </c>
      <c r="H140" s="16">
        <v>44245.41666666667</v>
      </c>
      <c r="I140" s="16">
        <v>44341.66666666667</v>
      </c>
      <c r="J140" s="10" t="s">
        <v>73</v>
      </c>
      <c r="K140" s="10" t="s">
        <v>34</v>
      </c>
      <c r="N140" s="10" t="s">
        <v>35</v>
      </c>
      <c r="V140" s="9"/>
      <c r="W140" s="13" t="s">
        <v>36</v>
      </c>
      <c r="X140" s="10" t="s">
        <v>37</v>
      </c>
      <c r="Y140" s="10" t="s">
        <v>0</v>
      </c>
    </row>
    <row r="141">
      <c r="A141" s="10" t="s">
        <v>637</v>
      </c>
      <c r="B141" s="11">
        <v>44238.78583364583</v>
      </c>
      <c r="C141" s="10" t="s">
        <v>181</v>
      </c>
      <c r="D141" s="10" t="s">
        <v>69</v>
      </c>
      <c r="E141" s="10" t="s">
        <v>70</v>
      </c>
      <c r="F141" s="10" t="s">
        <v>638</v>
      </c>
      <c r="G141" s="10" t="s">
        <v>639</v>
      </c>
      <c r="H141" s="16">
        <v>44245.41666666667</v>
      </c>
      <c r="I141" s="16">
        <v>44341.66666666667</v>
      </c>
      <c r="J141" s="10" t="s">
        <v>73</v>
      </c>
      <c r="K141" s="10" t="s">
        <v>34</v>
      </c>
      <c r="N141" s="10" t="s">
        <v>35</v>
      </c>
      <c r="V141" s="9"/>
      <c r="W141" s="13" t="s">
        <v>36</v>
      </c>
      <c r="X141" s="10" t="s">
        <v>37</v>
      </c>
      <c r="Y141" s="10" t="s">
        <v>0</v>
      </c>
    </row>
    <row r="142">
      <c r="A142" s="10" t="s">
        <v>640</v>
      </c>
      <c r="B142" s="11">
        <v>44244.65243990741</v>
      </c>
      <c r="C142" s="10" t="s">
        <v>539</v>
      </c>
      <c r="D142" s="10" t="s">
        <v>540</v>
      </c>
      <c r="E142" s="10" t="s">
        <v>541</v>
      </c>
      <c r="F142" s="10" t="s">
        <v>641</v>
      </c>
      <c r="G142" s="10" t="s">
        <v>642</v>
      </c>
      <c r="H142" s="17">
        <v>44245.4375</v>
      </c>
      <c r="I142" s="17">
        <v>44246.52083333333</v>
      </c>
      <c r="J142" s="10" t="s">
        <v>128</v>
      </c>
      <c r="K142" s="10" t="s">
        <v>34</v>
      </c>
      <c r="N142" s="10" t="s">
        <v>35</v>
      </c>
      <c r="V142" s="9"/>
      <c r="W142" s="13" t="s">
        <v>36</v>
      </c>
      <c r="X142" s="10" t="s">
        <v>37</v>
      </c>
      <c r="Y142" s="10" t="s">
        <v>0</v>
      </c>
    </row>
    <row r="143">
      <c r="A143" s="10" t="s">
        <v>643</v>
      </c>
      <c r="B143" s="11">
        <v>44238.94330878472</v>
      </c>
      <c r="C143" s="10" t="s">
        <v>516</v>
      </c>
      <c r="D143" s="10" t="s">
        <v>511</v>
      </c>
      <c r="E143" s="10" t="s">
        <v>644</v>
      </c>
      <c r="F143" s="10" t="s">
        <v>645</v>
      </c>
      <c r="G143" s="10" t="s">
        <v>646</v>
      </c>
      <c r="H143" s="16">
        <v>44245.52083333333</v>
      </c>
      <c r="I143" s="16">
        <v>44245.5625</v>
      </c>
      <c r="J143" s="10" t="s">
        <v>128</v>
      </c>
      <c r="K143" s="10" t="s">
        <v>34</v>
      </c>
      <c r="N143" s="10" t="s">
        <v>35</v>
      </c>
      <c r="V143" s="9"/>
      <c r="W143" s="13" t="s">
        <v>36</v>
      </c>
      <c r="X143" s="10" t="s">
        <v>37</v>
      </c>
      <c r="Y143" s="10" t="s">
        <v>0</v>
      </c>
    </row>
    <row r="144">
      <c r="A144" s="10" t="s">
        <v>647</v>
      </c>
      <c r="B144" s="11">
        <v>44263.85491837963</v>
      </c>
      <c r="C144" s="10" t="s">
        <v>96</v>
      </c>
      <c r="D144" s="10" t="s">
        <v>97</v>
      </c>
      <c r="E144" s="10" t="s">
        <v>648</v>
      </c>
      <c r="F144" s="10" t="s">
        <v>649</v>
      </c>
      <c r="G144" s="10" t="s">
        <v>650</v>
      </c>
      <c r="H144" s="16">
        <v>44245.60416666667</v>
      </c>
      <c r="I144" s="16">
        <v>44336.60416666667</v>
      </c>
      <c r="J144" s="10" t="s">
        <v>51</v>
      </c>
      <c r="K144" s="10" t="s">
        <v>34</v>
      </c>
      <c r="N144" s="10" t="s">
        <v>35</v>
      </c>
      <c r="V144" s="9"/>
      <c r="W144" s="13" t="s">
        <v>78</v>
      </c>
      <c r="X144" s="10" t="s">
        <v>37</v>
      </c>
      <c r="Y144" s="10" t="s">
        <v>0</v>
      </c>
    </row>
    <row r="145">
      <c r="A145" s="10" t="s">
        <v>651</v>
      </c>
      <c r="B145" s="11">
        <v>44243.988735810184</v>
      </c>
      <c r="C145" s="10" t="s">
        <v>96</v>
      </c>
      <c r="D145" s="10" t="s">
        <v>97</v>
      </c>
      <c r="E145" s="10" t="s">
        <v>652</v>
      </c>
      <c r="F145" s="10" t="s">
        <v>653</v>
      </c>
      <c r="G145" s="10" t="s">
        <v>654</v>
      </c>
      <c r="H145" s="16">
        <v>44245.625</v>
      </c>
      <c r="I145" s="16">
        <v>44245.6875</v>
      </c>
      <c r="J145" s="10" t="s">
        <v>33</v>
      </c>
      <c r="K145" s="10" t="s">
        <v>34</v>
      </c>
      <c r="N145" s="10" t="s">
        <v>296</v>
      </c>
      <c r="O145" s="18" t="s">
        <v>655</v>
      </c>
      <c r="P145" s="10" t="s">
        <v>296</v>
      </c>
      <c r="Q145" s="10">
        <v>1.0</v>
      </c>
      <c r="R145" s="10" t="s">
        <v>35</v>
      </c>
      <c r="T145" s="10" t="s">
        <v>35</v>
      </c>
      <c r="V145" s="9"/>
      <c r="W145" s="13" t="s">
        <v>36</v>
      </c>
      <c r="X145" s="10" t="s">
        <v>37</v>
      </c>
      <c r="Y145" s="10" t="s">
        <v>0</v>
      </c>
    </row>
    <row r="146">
      <c r="A146" s="10" t="s">
        <v>656</v>
      </c>
      <c r="B146" s="11">
        <v>44245.61461956019</v>
      </c>
      <c r="C146" s="10" t="s">
        <v>491</v>
      </c>
      <c r="D146" s="10" t="s">
        <v>492</v>
      </c>
      <c r="E146" s="10" t="s">
        <v>657</v>
      </c>
      <c r="F146" s="10" t="s">
        <v>658</v>
      </c>
      <c r="G146" s="10" t="s">
        <v>659</v>
      </c>
      <c r="H146" s="16">
        <v>44245.66666666667</v>
      </c>
      <c r="I146" s="16">
        <v>44245.875</v>
      </c>
      <c r="J146" s="10" t="s">
        <v>128</v>
      </c>
      <c r="K146" s="10" t="s">
        <v>34</v>
      </c>
      <c r="N146" s="10" t="s">
        <v>35</v>
      </c>
      <c r="V146" s="9"/>
      <c r="W146" s="13" t="s">
        <v>36</v>
      </c>
      <c r="X146" s="10" t="s">
        <v>37</v>
      </c>
      <c r="Y146" s="10" t="s">
        <v>0</v>
      </c>
    </row>
    <row r="147">
      <c r="A147" s="10" t="s">
        <v>660</v>
      </c>
      <c r="B147" s="11">
        <v>44244.368032025464</v>
      </c>
      <c r="C147" s="10" t="s">
        <v>661</v>
      </c>
      <c r="D147" s="21" t="s">
        <v>662</v>
      </c>
      <c r="E147" s="21" t="s">
        <v>663</v>
      </c>
      <c r="F147" s="21" t="s">
        <v>664</v>
      </c>
      <c r="G147" s="21" t="s">
        <v>665</v>
      </c>
      <c r="H147" s="22">
        <v>44241.35416666667</v>
      </c>
      <c r="I147" s="22">
        <v>44246.80208333333</v>
      </c>
      <c r="J147" s="10" t="s">
        <v>236</v>
      </c>
      <c r="K147" s="10" t="s">
        <v>34</v>
      </c>
      <c r="N147" s="10" t="s">
        <v>296</v>
      </c>
      <c r="O147" s="18" t="s">
        <v>666</v>
      </c>
      <c r="P147" s="10" t="s">
        <v>296</v>
      </c>
      <c r="Q147" s="10">
        <v>3.0</v>
      </c>
      <c r="R147" s="10" t="s">
        <v>35</v>
      </c>
      <c r="T147" s="10" t="s">
        <v>35</v>
      </c>
      <c r="V147" s="9"/>
      <c r="W147" s="13" t="s">
        <v>36</v>
      </c>
      <c r="X147" s="21" t="s">
        <v>37</v>
      </c>
      <c r="Y147" s="21" t="s">
        <v>0</v>
      </c>
    </row>
    <row r="148">
      <c r="A148" s="10" t="s">
        <v>667</v>
      </c>
      <c r="B148" s="11">
        <v>44244.60901935185</v>
      </c>
      <c r="C148" s="10" t="s">
        <v>181</v>
      </c>
      <c r="D148" s="10" t="s">
        <v>69</v>
      </c>
      <c r="E148" s="10" t="s">
        <v>313</v>
      </c>
      <c r="F148" s="10" t="s">
        <v>668</v>
      </c>
      <c r="G148" s="10" t="s">
        <v>669</v>
      </c>
      <c r="H148" s="23">
        <v>44244.618055555555</v>
      </c>
      <c r="I148" s="24">
        <v>44253.99930555555</v>
      </c>
      <c r="J148" s="10" t="s">
        <v>43</v>
      </c>
      <c r="K148" s="10" t="s">
        <v>34</v>
      </c>
      <c r="N148" s="10" t="s">
        <v>35</v>
      </c>
      <c r="V148" s="9"/>
      <c r="W148" s="13" t="s">
        <v>36</v>
      </c>
      <c r="X148" s="10" t="s">
        <v>37</v>
      </c>
      <c r="Y148" s="10" t="s">
        <v>0</v>
      </c>
    </row>
    <row r="149">
      <c r="A149" s="10" t="s">
        <v>670</v>
      </c>
      <c r="B149" s="11">
        <v>44238.74792746527</v>
      </c>
      <c r="C149" s="10" t="s">
        <v>671</v>
      </c>
      <c r="D149" s="10" t="s">
        <v>672</v>
      </c>
      <c r="E149" s="10" t="s">
        <v>673</v>
      </c>
      <c r="F149" s="10" t="s">
        <v>674</v>
      </c>
      <c r="G149" s="10" t="s">
        <v>675</v>
      </c>
      <c r="H149" s="16">
        <v>44246.35416666667</v>
      </c>
      <c r="I149" s="16">
        <v>44246.52083333333</v>
      </c>
      <c r="J149" s="10" t="s">
        <v>128</v>
      </c>
      <c r="K149" s="10" t="s">
        <v>34</v>
      </c>
      <c r="N149" s="10" t="s">
        <v>35</v>
      </c>
      <c r="V149" s="9"/>
      <c r="W149" s="13" t="s">
        <v>36</v>
      </c>
      <c r="X149" s="10" t="s">
        <v>37</v>
      </c>
      <c r="Y149" s="10" t="s">
        <v>0</v>
      </c>
    </row>
    <row r="150">
      <c r="A150" s="10" t="s">
        <v>676</v>
      </c>
      <c r="B150" s="11">
        <v>44242.86693891203</v>
      </c>
      <c r="C150" s="10" t="s">
        <v>80</v>
      </c>
      <c r="D150" s="10" t="s">
        <v>81</v>
      </c>
      <c r="E150" s="10" t="s">
        <v>285</v>
      </c>
      <c r="F150" s="10" t="s">
        <v>677</v>
      </c>
      <c r="G150" s="10" t="s">
        <v>678</v>
      </c>
      <c r="H150" s="16">
        <v>44246.375</v>
      </c>
      <c r="I150" s="16">
        <v>44246.41666666667</v>
      </c>
      <c r="J150" s="10" t="s">
        <v>73</v>
      </c>
      <c r="K150" s="10" t="s">
        <v>34</v>
      </c>
      <c r="N150" s="10" t="s">
        <v>35</v>
      </c>
      <c r="V150" s="9"/>
      <c r="W150" s="13" t="s">
        <v>36</v>
      </c>
      <c r="X150" s="10" t="s">
        <v>37</v>
      </c>
      <c r="Y150" s="10" t="s">
        <v>0</v>
      </c>
    </row>
    <row r="151">
      <c r="A151" s="10" t="s">
        <v>679</v>
      </c>
      <c r="B151" s="11">
        <v>44242.55510179398</v>
      </c>
      <c r="C151" s="10" t="s">
        <v>581</v>
      </c>
      <c r="D151" s="10" t="s">
        <v>220</v>
      </c>
      <c r="E151" s="10" t="s">
        <v>602</v>
      </c>
      <c r="F151" s="10" t="s">
        <v>680</v>
      </c>
      <c r="G151" s="10" t="s">
        <v>681</v>
      </c>
      <c r="H151" s="16">
        <v>44246.39583333333</v>
      </c>
      <c r="I151" s="16">
        <v>44246.4375</v>
      </c>
      <c r="J151" s="10" t="s">
        <v>73</v>
      </c>
      <c r="K151" s="10" t="s">
        <v>34</v>
      </c>
      <c r="N151" s="10" t="s">
        <v>35</v>
      </c>
      <c r="V151" s="9"/>
      <c r="W151" s="13" t="s">
        <v>36</v>
      </c>
      <c r="X151" s="10" t="s">
        <v>37</v>
      </c>
      <c r="Y151" s="10" t="s">
        <v>0</v>
      </c>
    </row>
    <row r="152">
      <c r="A152" s="10" t="s">
        <v>682</v>
      </c>
      <c r="B152" s="11">
        <v>44240.58506733796</v>
      </c>
      <c r="C152" s="10" t="s">
        <v>336</v>
      </c>
      <c r="D152" s="10" t="s">
        <v>337</v>
      </c>
      <c r="E152" s="10" t="s">
        <v>683</v>
      </c>
      <c r="F152" s="10" t="s">
        <v>684</v>
      </c>
      <c r="G152" s="10" t="s">
        <v>685</v>
      </c>
      <c r="H152" s="16">
        <v>44246.45833333333</v>
      </c>
      <c r="I152" s="16">
        <v>44246.5</v>
      </c>
      <c r="J152" s="10" t="s">
        <v>128</v>
      </c>
      <c r="K152" s="10" t="s">
        <v>34</v>
      </c>
      <c r="N152" s="10" t="s">
        <v>35</v>
      </c>
      <c r="V152" s="9"/>
      <c r="W152" s="13" t="s">
        <v>36</v>
      </c>
      <c r="X152" s="10" t="s">
        <v>37</v>
      </c>
      <c r="Y152" s="10" t="s">
        <v>0</v>
      </c>
    </row>
    <row r="153">
      <c r="A153" s="10" t="s">
        <v>686</v>
      </c>
      <c r="B153" s="11">
        <v>44242.403106956015</v>
      </c>
      <c r="C153" s="10" t="s">
        <v>687</v>
      </c>
      <c r="D153" s="10" t="s">
        <v>81</v>
      </c>
      <c r="E153" s="10" t="s">
        <v>285</v>
      </c>
      <c r="F153" s="10" t="s">
        <v>688</v>
      </c>
      <c r="G153" s="10" t="s">
        <v>689</v>
      </c>
      <c r="H153" s="16">
        <v>44246.5</v>
      </c>
      <c r="I153" s="16">
        <v>44246.09097222222</v>
      </c>
      <c r="J153" s="10" t="s">
        <v>73</v>
      </c>
      <c r="K153" s="10" t="s">
        <v>34</v>
      </c>
      <c r="N153" s="10" t="s">
        <v>35</v>
      </c>
      <c r="V153" s="9"/>
      <c r="W153" s="13" t="s">
        <v>36</v>
      </c>
      <c r="X153" s="10" t="s">
        <v>37</v>
      </c>
      <c r="Y153" s="10" t="s">
        <v>0</v>
      </c>
    </row>
    <row r="154">
      <c r="A154" s="10" t="s">
        <v>690</v>
      </c>
      <c r="B154" s="11">
        <v>44238.99532094908</v>
      </c>
      <c r="C154" s="10" t="s">
        <v>209</v>
      </c>
      <c r="D154" s="10" t="s">
        <v>210</v>
      </c>
      <c r="E154" s="10" t="s">
        <v>691</v>
      </c>
      <c r="F154" s="10" t="s">
        <v>212</v>
      </c>
      <c r="G154" s="10" t="s">
        <v>692</v>
      </c>
      <c r="H154" s="16">
        <v>44246.52083333333</v>
      </c>
      <c r="I154" s="16">
        <v>44246.60416666667</v>
      </c>
      <c r="J154" s="10" t="s">
        <v>128</v>
      </c>
      <c r="K154" s="10" t="s">
        <v>34</v>
      </c>
      <c r="N154" s="10" t="s">
        <v>35</v>
      </c>
      <c r="V154" s="9"/>
      <c r="W154" s="13" t="s">
        <v>36</v>
      </c>
      <c r="X154" s="10" t="s">
        <v>37</v>
      </c>
      <c r="Y154" s="10" t="s">
        <v>0</v>
      </c>
    </row>
    <row r="155">
      <c r="A155" s="10" t="s">
        <v>693</v>
      </c>
      <c r="B155" s="11">
        <v>44247.42823309028</v>
      </c>
      <c r="C155" s="10" t="s">
        <v>694</v>
      </c>
      <c r="D155" s="10" t="s">
        <v>695</v>
      </c>
      <c r="E155" s="10" t="s">
        <v>696</v>
      </c>
      <c r="F155" s="10" t="s">
        <v>697</v>
      </c>
      <c r="G155" s="10" t="s">
        <v>698</v>
      </c>
      <c r="H155" s="16">
        <v>44246.52083333333</v>
      </c>
      <c r="I155" s="16">
        <v>44246.5625</v>
      </c>
      <c r="J155" s="10" t="s">
        <v>128</v>
      </c>
      <c r="K155" s="10" t="s">
        <v>34</v>
      </c>
      <c r="N155" s="10" t="s">
        <v>35</v>
      </c>
      <c r="V155" s="9"/>
      <c r="W155" s="13" t="s">
        <v>66</v>
      </c>
      <c r="X155" s="10" t="s">
        <v>37</v>
      </c>
      <c r="Y155" s="10" t="s">
        <v>0</v>
      </c>
    </row>
    <row r="156">
      <c r="A156" s="10" t="s">
        <v>699</v>
      </c>
      <c r="B156" s="11">
        <v>44240.77874100694</v>
      </c>
      <c r="C156" s="10" t="s">
        <v>137</v>
      </c>
      <c r="D156" s="10" t="s">
        <v>138</v>
      </c>
      <c r="E156" s="10" t="s">
        <v>700</v>
      </c>
      <c r="F156" s="10" t="s">
        <v>482</v>
      </c>
      <c r="G156" s="10" t="s">
        <v>701</v>
      </c>
      <c r="H156" s="16">
        <v>44246.58333333333</v>
      </c>
      <c r="I156" s="16">
        <v>44246.66666666667</v>
      </c>
      <c r="J156" s="10" t="s">
        <v>128</v>
      </c>
      <c r="K156" s="10" t="s">
        <v>34</v>
      </c>
      <c r="N156" s="10" t="s">
        <v>35</v>
      </c>
      <c r="V156" s="9"/>
      <c r="W156" s="13" t="s">
        <v>36</v>
      </c>
      <c r="X156" s="10" t="s">
        <v>37</v>
      </c>
      <c r="Y156" s="10" t="s">
        <v>0</v>
      </c>
    </row>
    <row r="157">
      <c r="A157" s="10" t="s">
        <v>702</v>
      </c>
      <c r="B157" s="11">
        <v>44238.75091261574</v>
      </c>
      <c r="C157" s="10" t="s">
        <v>671</v>
      </c>
      <c r="D157" s="10" t="s">
        <v>672</v>
      </c>
      <c r="E157" s="10" t="s">
        <v>703</v>
      </c>
      <c r="F157" s="10" t="s">
        <v>704</v>
      </c>
      <c r="G157" s="10" t="s">
        <v>675</v>
      </c>
      <c r="H157" s="16">
        <v>44246.60416666667</v>
      </c>
      <c r="I157" s="16">
        <v>44246.77083333333</v>
      </c>
      <c r="J157" s="10" t="s">
        <v>128</v>
      </c>
      <c r="K157" s="10" t="s">
        <v>34</v>
      </c>
      <c r="N157" s="10" t="s">
        <v>35</v>
      </c>
      <c r="V157" s="9"/>
      <c r="W157" s="13" t="s">
        <v>36</v>
      </c>
      <c r="X157" s="10" t="s">
        <v>37</v>
      </c>
      <c r="Y157" s="10" t="s">
        <v>0</v>
      </c>
    </row>
    <row r="158">
      <c r="A158" s="10" t="s">
        <v>705</v>
      </c>
      <c r="B158" s="11">
        <v>44238.75186586806</v>
      </c>
      <c r="C158" s="10" t="s">
        <v>671</v>
      </c>
      <c r="D158" s="10" t="s">
        <v>672</v>
      </c>
      <c r="E158" s="10" t="s">
        <v>673</v>
      </c>
      <c r="F158" s="10" t="s">
        <v>706</v>
      </c>
      <c r="G158" s="10" t="s">
        <v>707</v>
      </c>
      <c r="H158" s="16">
        <v>44246.60416666667</v>
      </c>
      <c r="I158" s="16">
        <v>44246.6875</v>
      </c>
      <c r="J158" s="10" t="s">
        <v>128</v>
      </c>
      <c r="K158" s="10" t="s">
        <v>34</v>
      </c>
      <c r="N158" s="10" t="s">
        <v>35</v>
      </c>
      <c r="V158" s="9"/>
      <c r="W158" s="13" t="s">
        <v>36</v>
      </c>
      <c r="X158" s="10" t="s">
        <v>37</v>
      </c>
      <c r="Y158" s="10" t="s">
        <v>0</v>
      </c>
    </row>
    <row r="159">
      <c r="A159" s="10" t="s">
        <v>708</v>
      </c>
      <c r="B159" s="11">
        <v>44243.74548788194</v>
      </c>
      <c r="C159" s="10" t="s">
        <v>102</v>
      </c>
      <c r="D159" s="10" t="s">
        <v>103</v>
      </c>
      <c r="E159" s="10" t="s">
        <v>709</v>
      </c>
      <c r="F159" s="10" t="s">
        <v>710</v>
      </c>
      <c r="G159" s="10" t="s">
        <v>711</v>
      </c>
      <c r="H159" s="16">
        <v>44245.20833333333</v>
      </c>
      <c r="I159" s="16">
        <v>44245.29166666667</v>
      </c>
      <c r="J159" s="10" t="s">
        <v>43</v>
      </c>
      <c r="K159" s="10" t="s">
        <v>34</v>
      </c>
      <c r="N159" s="10" t="s">
        <v>35</v>
      </c>
      <c r="V159" s="9"/>
      <c r="W159" s="13" t="s">
        <v>36</v>
      </c>
      <c r="X159" s="10" t="s">
        <v>37</v>
      </c>
      <c r="Y159" s="10" t="s">
        <v>0</v>
      </c>
    </row>
    <row r="160">
      <c r="A160" s="10" t="s">
        <v>712</v>
      </c>
      <c r="B160" s="11">
        <v>44245.60900141204</v>
      </c>
      <c r="C160" s="10" t="s">
        <v>713</v>
      </c>
      <c r="D160" s="10" t="s">
        <v>103</v>
      </c>
      <c r="E160" s="10" t="s">
        <v>714</v>
      </c>
      <c r="F160" s="10" t="s">
        <v>715</v>
      </c>
      <c r="G160" s="10" t="s">
        <v>716</v>
      </c>
      <c r="H160" s="16">
        <v>44246.125</v>
      </c>
      <c r="I160" s="16">
        <v>44246.20833333333</v>
      </c>
      <c r="J160" s="10" t="s">
        <v>43</v>
      </c>
      <c r="K160" s="10" t="s">
        <v>34</v>
      </c>
      <c r="N160" s="10" t="s">
        <v>296</v>
      </c>
      <c r="O160" s="18" t="s">
        <v>717</v>
      </c>
      <c r="P160" s="10" t="s">
        <v>296</v>
      </c>
      <c r="Q160" s="10">
        <v>1.0</v>
      </c>
      <c r="R160" s="10" t="s">
        <v>296</v>
      </c>
      <c r="S160" s="10">
        <v>1.0</v>
      </c>
      <c r="T160" s="10" t="s">
        <v>35</v>
      </c>
      <c r="V160" s="9"/>
      <c r="W160" s="13" t="s">
        <v>36</v>
      </c>
      <c r="X160" s="10" t="s">
        <v>37</v>
      </c>
      <c r="Y160" s="10" t="s">
        <v>0</v>
      </c>
    </row>
    <row r="161">
      <c r="A161" s="10" t="s">
        <v>718</v>
      </c>
      <c r="B161" s="11">
        <v>44246.58356204861</v>
      </c>
      <c r="C161" s="10" t="s">
        <v>719</v>
      </c>
      <c r="D161" s="10" t="s">
        <v>161</v>
      </c>
      <c r="E161" s="10" t="s">
        <v>720</v>
      </c>
      <c r="F161" s="10" t="s">
        <v>721</v>
      </c>
      <c r="G161" s="10" t="s">
        <v>722</v>
      </c>
      <c r="H161" s="16">
        <v>44246.64583333333</v>
      </c>
      <c r="I161" s="16">
        <v>44246.70833333333</v>
      </c>
      <c r="J161" s="10" t="s">
        <v>128</v>
      </c>
      <c r="K161" s="10" t="s">
        <v>34</v>
      </c>
      <c r="N161" s="10" t="s">
        <v>35</v>
      </c>
      <c r="V161" s="9"/>
      <c r="W161" s="13" t="s">
        <v>78</v>
      </c>
      <c r="X161" s="10" t="s">
        <v>37</v>
      </c>
      <c r="Y161" s="10" t="s">
        <v>0</v>
      </c>
    </row>
    <row r="162">
      <c r="A162" s="10" t="s">
        <v>723</v>
      </c>
      <c r="B162" s="11">
        <v>44246.58548173611</v>
      </c>
      <c r="C162" s="10" t="s">
        <v>160</v>
      </c>
      <c r="D162" s="10" t="s">
        <v>161</v>
      </c>
      <c r="E162" s="10" t="s">
        <v>724</v>
      </c>
      <c r="F162" s="10" t="s">
        <v>721</v>
      </c>
      <c r="G162" s="10" t="s">
        <v>725</v>
      </c>
      <c r="H162" s="16">
        <v>44246.64583333333</v>
      </c>
      <c r="I162" s="16">
        <v>44246.70833333333</v>
      </c>
      <c r="J162" s="10" t="s">
        <v>128</v>
      </c>
      <c r="K162" s="10" t="s">
        <v>34</v>
      </c>
      <c r="N162" s="10" t="s">
        <v>35</v>
      </c>
      <c r="V162" s="9"/>
      <c r="W162" s="13" t="s">
        <v>78</v>
      </c>
      <c r="X162" s="10" t="s">
        <v>37</v>
      </c>
      <c r="Y162" s="10" t="s">
        <v>0</v>
      </c>
    </row>
    <row r="163">
      <c r="A163" s="10" t="s">
        <v>726</v>
      </c>
      <c r="B163" s="11">
        <v>44246.92190284722</v>
      </c>
      <c r="C163" s="10" t="s">
        <v>727</v>
      </c>
      <c r="D163" s="10" t="s">
        <v>728</v>
      </c>
      <c r="E163" s="10" t="s">
        <v>729</v>
      </c>
      <c r="F163" s="10" t="s">
        <v>730</v>
      </c>
      <c r="G163" s="10" t="s">
        <v>731</v>
      </c>
      <c r="H163" s="16">
        <v>44246.64583333333</v>
      </c>
      <c r="I163" s="16">
        <v>44246.72916666667</v>
      </c>
      <c r="J163" s="10" t="s">
        <v>128</v>
      </c>
      <c r="K163" s="10" t="s">
        <v>34</v>
      </c>
      <c r="N163" s="10" t="s">
        <v>35</v>
      </c>
      <c r="V163" s="9"/>
      <c r="W163" s="13" t="s">
        <v>66</v>
      </c>
      <c r="X163" s="10" t="s">
        <v>37</v>
      </c>
      <c r="Y163" s="10" t="s">
        <v>0</v>
      </c>
    </row>
    <row r="164">
      <c r="A164" s="10" t="s">
        <v>732</v>
      </c>
      <c r="B164" s="11">
        <v>44235.45752358796</v>
      </c>
      <c r="C164" s="10" t="s">
        <v>381</v>
      </c>
      <c r="D164" s="10" t="s">
        <v>382</v>
      </c>
      <c r="E164" s="10" t="s">
        <v>733</v>
      </c>
      <c r="F164" s="10" t="s">
        <v>734</v>
      </c>
      <c r="G164" s="10" t="s">
        <v>735</v>
      </c>
      <c r="H164" s="12">
        <v>44246.6875</v>
      </c>
      <c r="I164" s="12">
        <v>44246.729166666664</v>
      </c>
      <c r="J164" s="10" t="s">
        <v>128</v>
      </c>
      <c r="K164" s="10" t="s">
        <v>34</v>
      </c>
      <c r="N164" s="10" t="s">
        <v>35</v>
      </c>
      <c r="V164" s="9"/>
      <c r="W164" s="13" t="s">
        <v>36</v>
      </c>
      <c r="X164" s="10" t="s">
        <v>37</v>
      </c>
      <c r="Y164" s="10" t="s">
        <v>0</v>
      </c>
    </row>
    <row r="165">
      <c r="A165" s="10" t="s">
        <v>736</v>
      </c>
      <c r="B165" s="11">
        <v>44238.990145578704</v>
      </c>
      <c r="C165" s="10" t="s">
        <v>374</v>
      </c>
      <c r="D165" s="10" t="s">
        <v>375</v>
      </c>
      <c r="E165" s="10" t="s">
        <v>737</v>
      </c>
      <c r="F165" s="10" t="s">
        <v>738</v>
      </c>
      <c r="G165" s="10" t="s">
        <v>739</v>
      </c>
      <c r="H165" s="16">
        <v>44246.6875</v>
      </c>
      <c r="I165" s="16">
        <v>44246.72916666667</v>
      </c>
      <c r="J165" s="10" t="s">
        <v>128</v>
      </c>
      <c r="K165" s="10" t="s">
        <v>34</v>
      </c>
      <c r="N165" s="10" t="s">
        <v>35</v>
      </c>
      <c r="V165" s="9"/>
      <c r="W165" s="13" t="s">
        <v>36</v>
      </c>
      <c r="X165" s="10" t="s">
        <v>37</v>
      </c>
      <c r="Y165" s="10" t="s">
        <v>0</v>
      </c>
    </row>
    <row r="166">
      <c r="A166" s="10" t="s">
        <v>740</v>
      </c>
      <c r="B166" s="11">
        <v>44242.41689594908</v>
      </c>
      <c r="C166" s="10" t="s">
        <v>80</v>
      </c>
      <c r="D166" s="10" t="s">
        <v>81</v>
      </c>
      <c r="E166" s="10" t="s">
        <v>741</v>
      </c>
      <c r="F166" s="10" t="s">
        <v>742</v>
      </c>
      <c r="G166" s="10" t="s">
        <v>743</v>
      </c>
      <c r="H166" s="16">
        <v>44246.6875</v>
      </c>
      <c r="I166" s="16">
        <v>44246.72916666667</v>
      </c>
      <c r="J166" s="10" t="s">
        <v>33</v>
      </c>
      <c r="K166" s="10" t="s">
        <v>34</v>
      </c>
      <c r="N166" s="10" t="s">
        <v>296</v>
      </c>
      <c r="O166" s="18" t="s">
        <v>744</v>
      </c>
      <c r="P166" s="10" t="s">
        <v>296</v>
      </c>
      <c r="Q166" s="10">
        <v>1.0</v>
      </c>
      <c r="R166" s="10" t="s">
        <v>35</v>
      </c>
      <c r="T166" s="10" t="s">
        <v>35</v>
      </c>
      <c r="V166" s="9"/>
      <c r="W166" s="13" t="s">
        <v>36</v>
      </c>
      <c r="X166" s="10" t="s">
        <v>37</v>
      </c>
      <c r="Y166" s="10" t="s">
        <v>0</v>
      </c>
    </row>
    <row r="167">
      <c r="A167" s="10" t="s">
        <v>745</v>
      </c>
      <c r="B167" s="11">
        <v>44243.67059356481</v>
      </c>
      <c r="C167" s="10" t="s">
        <v>239</v>
      </c>
      <c r="D167" s="10" t="s">
        <v>240</v>
      </c>
      <c r="E167" s="10" t="s">
        <v>305</v>
      </c>
      <c r="F167" s="10" t="s">
        <v>746</v>
      </c>
      <c r="G167" s="10" t="s">
        <v>747</v>
      </c>
      <c r="H167" s="16">
        <v>44246.694444444445</v>
      </c>
      <c r="I167" s="16">
        <v>44237.77083333333</v>
      </c>
      <c r="J167" s="10" t="s">
        <v>128</v>
      </c>
      <c r="K167" s="10" t="s">
        <v>34</v>
      </c>
      <c r="N167" s="10" t="s">
        <v>35</v>
      </c>
      <c r="V167" s="9"/>
      <c r="W167" s="13" t="s">
        <v>36</v>
      </c>
      <c r="X167" s="10" t="s">
        <v>37</v>
      </c>
      <c r="Y167" s="10" t="s">
        <v>0</v>
      </c>
    </row>
    <row r="168">
      <c r="A168" s="10" t="s">
        <v>748</v>
      </c>
      <c r="B168" s="11">
        <v>44244.3706069676</v>
      </c>
      <c r="C168" s="10" t="s">
        <v>661</v>
      </c>
      <c r="D168" s="10" t="s">
        <v>662</v>
      </c>
      <c r="E168" s="10" t="s">
        <v>749</v>
      </c>
      <c r="F168" s="10" t="s">
        <v>750</v>
      </c>
      <c r="G168" s="10" t="s">
        <v>751</v>
      </c>
      <c r="H168" s="16">
        <v>44246.70833333333</v>
      </c>
      <c r="I168" s="16">
        <v>44246.72916666667</v>
      </c>
      <c r="J168" s="10" t="s">
        <v>51</v>
      </c>
      <c r="K168" s="10" t="s">
        <v>34</v>
      </c>
      <c r="N168" s="10" t="s">
        <v>296</v>
      </c>
      <c r="O168" s="18" t="s">
        <v>752</v>
      </c>
      <c r="P168" s="10" t="s">
        <v>296</v>
      </c>
      <c r="Q168" s="10">
        <v>1.0</v>
      </c>
      <c r="R168" s="10" t="s">
        <v>35</v>
      </c>
      <c r="T168" s="10" t="s">
        <v>35</v>
      </c>
      <c r="V168" s="9"/>
      <c r="W168" s="13" t="s">
        <v>36</v>
      </c>
      <c r="X168" s="10" t="s">
        <v>37</v>
      </c>
      <c r="Y168" s="10" t="s">
        <v>0</v>
      </c>
    </row>
    <row r="169">
      <c r="A169" s="10" t="s">
        <v>753</v>
      </c>
      <c r="B169" s="11">
        <v>44245.683041620374</v>
      </c>
      <c r="C169" s="10" t="s">
        <v>102</v>
      </c>
      <c r="D169" s="10" t="s">
        <v>103</v>
      </c>
      <c r="E169" s="10" t="s">
        <v>754</v>
      </c>
      <c r="F169" s="10" t="s">
        <v>755</v>
      </c>
      <c r="G169" s="10" t="s">
        <v>716</v>
      </c>
      <c r="H169" s="16">
        <v>44246.125</v>
      </c>
      <c r="I169" s="16">
        <v>44246.20833333333</v>
      </c>
      <c r="J169" s="10" t="s">
        <v>43</v>
      </c>
      <c r="K169" s="10" t="s">
        <v>34</v>
      </c>
      <c r="N169" s="10" t="s">
        <v>296</v>
      </c>
      <c r="O169" s="18" t="s">
        <v>756</v>
      </c>
      <c r="P169" s="10" t="s">
        <v>296</v>
      </c>
      <c r="Q169" s="10">
        <v>1.0</v>
      </c>
      <c r="R169" s="10" t="s">
        <v>296</v>
      </c>
      <c r="S169" s="10">
        <v>1.0</v>
      </c>
      <c r="T169" s="10" t="s">
        <v>35</v>
      </c>
      <c r="V169" s="9"/>
      <c r="W169" s="20" t="s">
        <v>549</v>
      </c>
      <c r="X169" s="10" t="s">
        <v>37</v>
      </c>
      <c r="Y169" s="10" t="s">
        <v>0</v>
      </c>
    </row>
    <row r="170">
      <c r="A170" s="10" t="s">
        <v>757</v>
      </c>
      <c r="B170" s="11">
        <v>44247.82402143518</v>
      </c>
      <c r="C170" s="10" t="s">
        <v>102</v>
      </c>
      <c r="D170" s="10" t="s">
        <v>103</v>
      </c>
      <c r="E170" s="10" t="s">
        <v>758</v>
      </c>
      <c r="F170" s="10" t="s">
        <v>759</v>
      </c>
      <c r="G170" s="10" t="s">
        <v>760</v>
      </c>
      <c r="H170" s="16">
        <v>44247.29166666667</v>
      </c>
      <c r="I170" s="16">
        <v>44247.319444444445</v>
      </c>
      <c r="J170" s="10" t="s">
        <v>128</v>
      </c>
      <c r="K170" s="10" t="s">
        <v>34</v>
      </c>
      <c r="N170" s="10" t="s">
        <v>35</v>
      </c>
      <c r="V170" s="9"/>
      <c r="W170" s="13" t="s">
        <v>66</v>
      </c>
      <c r="X170" s="10" t="s">
        <v>37</v>
      </c>
      <c r="Y170" s="10" t="s">
        <v>0</v>
      </c>
    </row>
    <row r="171">
      <c r="A171" s="10" t="s">
        <v>761</v>
      </c>
      <c r="B171" s="11">
        <v>44239.93846804398</v>
      </c>
      <c r="C171" s="10" t="s">
        <v>671</v>
      </c>
      <c r="D171" s="10" t="s">
        <v>672</v>
      </c>
      <c r="E171" s="10" t="s">
        <v>673</v>
      </c>
      <c r="F171" s="10" t="s">
        <v>762</v>
      </c>
      <c r="G171" s="10" t="s">
        <v>763</v>
      </c>
      <c r="H171" s="16">
        <v>44247.35416666667</v>
      </c>
      <c r="I171" s="16">
        <v>44247.52083333333</v>
      </c>
      <c r="J171" s="10" t="s">
        <v>128</v>
      </c>
      <c r="K171" s="10" t="s">
        <v>34</v>
      </c>
      <c r="N171" s="10" t="s">
        <v>35</v>
      </c>
      <c r="V171" s="9"/>
      <c r="W171" s="13" t="s">
        <v>36</v>
      </c>
      <c r="X171" s="10" t="s">
        <v>37</v>
      </c>
      <c r="Y171" s="10" t="s">
        <v>0</v>
      </c>
    </row>
    <row r="172">
      <c r="A172" s="10" t="s">
        <v>764</v>
      </c>
      <c r="B172" s="11">
        <v>44242.40455103009</v>
      </c>
      <c r="C172" s="10" t="s">
        <v>687</v>
      </c>
      <c r="D172" s="10" t="s">
        <v>81</v>
      </c>
      <c r="E172" s="10" t="s">
        <v>765</v>
      </c>
      <c r="F172" s="10" t="s">
        <v>766</v>
      </c>
      <c r="G172" s="10" t="s">
        <v>767</v>
      </c>
      <c r="H172" s="16">
        <v>44247.36458333333</v>
      </c>
      <c r="I172" s="16">
        <v>44247.25</v>
      </c>
      <c r="J172" s="10" t="s">
        <v>73</v>
      </c>
      <c r="K172" s="10" t="s">
        <v>34</v>
      </c>
      <c r="N172" s="10" t="s">
        <v>35</v>
      </c>
      <c r="V172" s="9"/>
      <c r="W172" s="13" t="s">
        <v>36</v>
      </c>
      <c r="X172" s="10" t="s">
        <v>37</v>
      </c>
      <c r="Y172" s="10" t="s">
        <v>0</v>
      </c>
    </row>
    <row r="173">
      <c r="A173" s="10" t="s">
        <v>768</v>
      </c>
      <c r="B173" s="11">
        <v>44242.41038287037</v>
      </c>
      <c r="C173" s="10" t="s">
        <v>687</v>
      </c>
      <c r="D173" s="10" t="s">
        <v>81</v>
      </c>
      <c r="E173" s="10" t="s">
        <v>765</v>
      </c>
      <c r="F173" s="10" t="s">
        <v>766</v>
      </c>
      <c r="G173" s="10" t="s">
        <v>767</v>
      </c>
      <c r="H173" s="16">
        <v>44247.36458333333</v>
      </c>
      <c r="I173" s="16">
        <v>44247.25</v>
      </c>
      <c r="J173" s="10" t="s">
        <v>73</v>
      </c>
      <c r="K173" s="10" t="s">
        <v>34</v>
      </c>
      <c r="N173" s="10" t="s">
        <v>35</v>
      </c>
      <c r="V173" s="9"/>
      <c r="W173" s="13" t="s">
        <v>36</v>
      </c>
      <c r="X173" s="10" t="s">
        <v>37</v>
      </c>
      <c r="Y173" s="10" t="s">
        <v>0</v>
      </c>
    </row>
    <row r="174">
      <c r="A174" s="10" t="s">
        <v>769</v>
      </c>
      <c r="B174" s="11">
        <v>44243.35680620371</v>
      </c>
      <c r="C174" s="10" t="s">
        <v>150</v>
      </c>
      <c r="D174" s="10" t="s">
        <v>151</v>
      </c>
      <c r="E174" s="10" t="s">
        <v>152</v>
      </c>
      <c r="F174" s="10" t="s">
        <v>770</v>
      </c>
      <c r="G174" s="10" t="s">
        <v>771</v>
      </c>
      <c r="H174" s="16">
        <v>44247.375</v>
      </c>
      <c r="I174" s="16">
        <v>44247.41666666667</v>
      </c>
      <c r="J174" s="10" t="s">
        <v>128</v>
      </c>
      <c r="K174" s="10" t="s">
        <v>34</v>
      </c>
      <c r="N174" s="10" t="s">
        <v>35</v>
      </c>
      <c r="V174" s="9"/>
      <c r="W174" s="13" t="s">
        <v>36</v>
      </c>
      <c r="X174" s="10" t="s">
        <v>37</v>
      </c>
      <c r="Y174" s="10" t="s">
        <v>0</v>
      </c>
    </row>
    <row r="175">
      <c r="A175" s="10" t="s">
        <v>772</v>
      </c>
      <c r="B175" s="11">
        <v>44243.358419282406</v>
      </c>
      <c r="C175" s="10" t="s">
        <v>150</v>
      </c>
      <c r="D175" s="10" t="s">
        <v>151</v>
      </c>
      <c r="E175" s="10" t="s">
        <v>152</v>
      </c>
      <c r="F175" s="10" t="s">
        <v>773</v>
      </c>
      <c r="G175" s="10" t="s">
        <v>774</v>
      </c>
      <c r="H175" s="16">
        <v>44247.41666666667</v>
      </c>
      <c r="I175" s="16">
        <v>44247.5</v>
      </c>
      <c r="J175" s="10" t="s">
        <v>128</v>
      </c>
      <c r="K175" s="10" t="s">
        <v>34</v>
      </c>
      <c r="N175" s="10" t="s">
        <v>35</v>
      </c>
      <c r="V175" s="9"/>
      <c r="W175" s="13" t="s">
        <v>36</v>
      </c>
      <c r="X175" s="10" t="s">
        <v>37</v>
      </c>
      <c r="Y175" s="10" t="s">
        <v>0</v>
      </c>
    </row>
    <row r="176">
      <c r="A176" s="10" t="s">
        <v>775</v>
      </c>
      <c r="B176" s="11">
        <v>44245.67597607639</v>
      </c>
      <c r="C176" s="10" t="s">
        <v>610</v>
      </c>
      <c r="D176" s="10" t="s">
        <v>611</v>
      </c>
      <c r="E176" s="10" t="s">
        <v>612</v>
      </c>
      <c r="F176" s="10" t="s">
        <v>776</v>
      </c>
      <c r="G176" s="10" t="s">
        <v>777</v>
      </c>
      <c r="H176" s="16">
        <v>44247.4375</v>
      </c>
      <c r="I176" s="16">
        <v>44247.47916666667</v>
      </c>
      <c r="J176" s="10" t="s">
        <v>128</v>
      </c>
      <c r="K176" s="10" t="s">
        <v>34</v>
      </c>
      <c r="N176" s="10" t="s">
        <v>35</v>
      </c>
      <c r="V176" s="9"/>
      <c r="W176" s="13" t="s">
        <v>36</v>
      </c>
      <c r="X176" s="10" t="s">
        <v>37</v>
      </c>
      <c r="Y176" s="10" t="s">
        <v>0</v>
      </c>
    </row>
    <row r="177">
      <c r="A177" s="10" t="s">
        <v>778</v>
      </c>
      <c r="B177" s="11">
        <v>44236.975092974535</v>
      </c>
      <c r="C177" s="10" t="s">
        <v>80</v>
      </c>
      <c r="D177" s="10" t="s">
        <v>81</v>
      </c>
      <c r="E177" s="10" t="s">
        <v>82</v>
      </c>
      <c r="F177" s="10" t="s">
        <v>599</v>
      </c>
      <c r="G177" s="10" t="s">
        <v>779</v>
      </c>
      <c r="H177" s="12">
        <v>44247.5</v>
      </c>
      <c r="I177" s="12">
        <v>44247.75</v>
      </c>
      <c r="J177" s="10" t="s">
        <v>73</v>
      </c>
      <c r="K177" s="10" t="s">
        <v>34</v>
      </c>
      <c r="N177" s="10" t="s">
        <v>35</v>
      </c>
      <c r="V177" s="9"/>
      <c r="W177" s="13" t="s">
        <v>36</v>
      </c>
      <c r="X177" s="10" t="s">
        <v>37</v>
      </c>
      <c r="Y177" s="10" t="s">
        <v>0</v>
      </c>
    </row>
    <row r="178">
      <c r="A178" s="10" t="s">
        <v>780</v>
      </c>
      <c r="B178" s="11">
        <v>44242.864461053236</v>
      </c>
      <c r="C178" s="10" t="s">
        <v>80</v>
      </c>
      <c r="D178" s="10" t="s">
        <v>81</v>
      </c>
      <c r="E178" s="10" t="s">
        <v>285</v>
      </c>
      <c r="F178" s="10" t="s">
        <v>781</v>
      </c>
      <c r="G178" s="10" t="s">
        <v>767</v>
      </c>
      <c r="H178" s="16">
        <v>44247.5</v>
      </c>
      <c r="I178" s="16">
        <v>44247.125</v>
      </c>
      <c r="J178" s="10" t="s">
        <v>73</v>
      </c>
      <c r="K178" s="10" t="s">
        <v>34</v>
      </c>
      <c r="N178" s="10" t="s">
        <v>35</v>
      </c>
      <c r="V178" s="9"/>
      <c r="W178" s="13" t="s">
        <v>36</v>
      </c>
      <c r="X178" s="10" t="s">
        <v>37</v>
      </c>
      <c r="Y178" s="10" t="s">
        <v>0</v>
      </c>
    </row>
    <row r="179">
      <c r="A179" s="10" t="s">
        <v>782</v>
      </c>
      <c r="B179" s="11">
        <v>44247.59425822917</v>
      </c>
      <c r="C179" s="10" t="s">
        <v>491</v>
      </c>
      <c r="D179" s="10" t="s">
        <v>492</v>
      </c>
      <c r="E179" s="10" t="s">
        <v>783</v>
      </c>
      <c r="F179" s="10" t="s">
        <v>784</v>
      </c>
      <c r="G179" s="10" t="s">
        <v>785</v>
      </c>
      <c r="H179" s="16">
        <v>44247.5625</v>
      </c>
      <c r="I179" s="16">
        <v>44247.60416666667</v>
      </c>
      <c r="J179" s="10" t="s">
        <v>128</v>
      </c>
      <c r="K179" s="10" t="s">
        <v>34</v>
      </c>
      <c r="N179" s="10" t="s">
        <v>35</v>
      </c>
      <c r="V179" s="9"/>
      <c r="W179" s="13" t="s">
        <v>66</v>
      </c>
      <c r="X179" s="10" t="s">
        <v>37</v>
      </c>
      <c r="Y179" s="10" t="s">
        <v>0</v>
      </c>
    </row>
    <row r="180">
      <c r="A180" s="10" t="s">
        <v>786</v>
      </c>
      <c r="B180" s="11">
        <v>44238.624939814814</v>
      </c>
      <c r="C180" s="10" t="s">
        <v>330</v>
      </c>
      <c r="D180" s="10" t="s">
        <v>331</v>
      </c>
      <c r="E180" s="10" t="s">
        <v>787</v>
      </c>
      <c r="F180" s="10" t="s">
        <v>788</v>
      </c>
      <c r="G180" s="10" t="s">
        <v>789</v>
      </c>
      <c r="H180" s="16">
        <v>44246.64583333333</v>
      </c>
      <c r="I180" s="16">
        <v>44246.75</v>
      </c>
      <c r="J180" s="10" t="s">
        <v>43</v>
      </c>
      <c r="K180" s="10" t="s">
        <v>34</v>
      </c>
      <c r="N180" s="10" t="s">
        <v>35</v>
      </c>
      <c r="V180" s="9"/>
      <c r="W180" s="13" t="s">
        <v>36</v>
      </c>
      <c r="X180" s="10" t="s">
        <v>37</v>
      </c>
      <c r="Y180" s="10" t="s">
        <v>0</v>
      </c>
    </row>
    <row r="181">
      <c r="A181" s="10" t="s">
        <v>790</v>
      </c>
      <c r="B181" s="11">
        <v>44239.93935068287</v>
      </c>
      <c r="C181" s="10" t="s">
        <v>671</v>
      </c>
      <c r="D181" s="10" t="s">
        <v>672</v>
      </c>
      <c r="E181" s="10" t="s">
        <v>673</v>
      </c>
      <c r="F181" s="10" t="s">
        <v>791</v>
      </c>
      <c r="G181" s="10" t="s">
        <v>792</v>
      </c>
      <c r="H181" s="16">
        <v>44247.60416666667</v>
      </c>
      <c r="I181" s="16">
        <v>44247.6875</v>
      </c>
      <c r="J181" s="10" t="s">
        <v>128</v>
      </c>
      <c r="K181" s="10" t="s">
        <v>34</v>
      </c>
      <c r="N181" s="10" t="s">
        <v>35</v>
      </c>
      <c r="V181" s="9"/>
      <c r="W181" s="13" t="s">
        <v>36</v>
      </c>
      <c r="X181" s="10" t="s">
        <v>37</v>
      </c>
      <c r="Y181" s="10" t="s">
        <v>0</v>
      </c>
    </row>
    <row r="182">
      <c r="A182" s="10" t="s">
        <v>793</v>
      </c>
      <c r="B182" s="11">
        <v>44244.919129629634</v>
      </c>
      <c r="C182" s="10" t="s">
        <v>28</v>
      </c>
      <c r="D182" s="10" t="s">
        <v>29</v>
      </c>
      <c r="E182" s="10" t="s">
        <v>63</v>
      </c>
      <c r="F182" s="10" t="s">
        <v>794</v>
      </c>
      <c r="G182" s="10" t="s">
        <v>795</v>
      </c>
      <c r="H182" s="16">
        <v>44247.60416666667</v>
      </c>
      <c r="I182" s="16">
        <v>44247.60416666667</v>
      </c>
      <c r="J182" s="10" t="s">
        <v>128</v>
      </c>
      <c r="K182" s="10" t="s">
        <v>34</v>
      </c>
      <c r="N182" s="10" t="s">
        <v>35</v>
      </c>
      <c r="V182" s="9"/>
      <c r="W182" s="13" t="s">
        <v>36</v>
      </c>
      <c r="X182" s="10" t="s">
        <v>37</v>
      </c>
      <c r="Y182" s="10" t="s">
        <v>0</v>
      </c>
    </row>
    <row r="183">
      <c r="A183" s="10" t="s">
        <v>796</v>
      </c>
      <c r="B183" s="11">
        <v>44245.65073857638</v>
      </c>
      <c r="C183" s="10" t="s">
        <v>80</v>
      </c>
      <c r="D183" s="10" t="s">
        <v>81</v>
      </c>
      <c r="E183" s="10" t="s">
        <v>82</v>
      </c>
      <c r="F183" s="10" t="s">
        <v>797</v>
      </c>
      <c r="G183" s="10" t="s">
        <v>798</v>
      </c>
      <c r="H183" s="16">
        <v>44247.60416666667</v>
      </c>
      <c r="I183" s="16">
        <v>44247.66666666667</v>
      </c>
      <c r="J183" s="10" t="s">
        <v>128</v>
      </c>
      <c r="K183" s="10" t="s">
        <v>34</v>
      </c>
      <c r="N183" s="10" t="s">
        <v>35</v>
      </c>
      <c r="V183" s="9"/>
      <c r="W183" s="13" t="s">
        <v>36</v>
      </c>
      <c r="X183" s="10" t="s">
        <v>37</v>
      </c>
      <c r="Y183" s="10" t="s">
        <v>0</v>
      </c>
    </row>
    <row r="184">
      <c r="A184" s="10" t="s">
        <v>799</v>
      </c>
      <c r="B184" s="11">
        <v>44238.99812267361</v>
      </c>
      <c r="C184" s="10" t="s">
        <v>209</v>
      </c>
      <c r="D184" s="10" t="s">
        <v>210</v>
      </c>
      <c r="E184" s="10" t="s">
        <v>261</v>
      </c>
      <c r="F184" s="10" t="s">
        <v>800</v>
      </c>
      <c r="G184" s="10" t="s">
        <v>801</v>
      </c>
      <c r="H184" s="16">
        <v>44247.64583333333</v>
      </c>
      <c r="I184" s="16">
        <v>44247.72916666667</v>
      </c>
      <c r="J184" s="10" t="s">
        <v>128</v>
      </c>
      <c r="K184" s="10" t="s">
        <v>34</v>
      </c>
      <c r="N184" s="10" t="s">
        <v>35</v>
      </c>
      <c r="V184" s="9"/>
      <c r="W184" s="13" t="s">
        <v>36</v>
      </c>
      <c r="X184" s="10" t="s">
        <v>37</v>
      </c>
      <c r="Y184" s="10" t="s">
        <v>0</v>
      </c>
    </row>
    <row r="185">
      <c r="A185" s="10" t="s">
        <v>802</v>
      </c>
      <c r="B185" s="11">
        <v>44240.58704615741</v>
      </c>
      <c r="C185" s="10" t="s">
        <v>336</v>
      </c>
      <c r="D185" s="10" t="s">
        <v>337</v>
      </c>
      <c r="E185" s="10" t="s">
        <v>683</v>
      </c>
      <c r="F185" s="10" t="s">
        <v>803</v>
      </c>
      <c r="G185" s="10" t="s">
        <v>804</v>
      </c>
      <c r="H185" s="16">
        <v>44247.66666666667</v>
      </c>
      <c r="I185" s="16">
        <v>44247.72916666667</v>
      </c>
      <c r="J185" s="10" t="s">
        <v>128</v>
      </c>
      <c r="K185" s="10" t="s">
        <v>34</v>
      </c>
      <c r="N185" s="10" t="s">
        <v>35</v>
      </c>
      <c r="V185" s="9"/>
      <c r="W185" s="13" t="s">
        <v>36</v>
      </c>
      <c r="X185" s="10" t="s">
        <v>37</v>
      </c>
      <c r="Y185" s="10" t="s">
        <v>0</v>
      </c>
    </row>
    <row r="186">
      <c r="A186" s="10" t="s">
        <v>805</v>
      </c>
      <c r="B186" s="11">
        <v>44238.992271192124</v>
      </c>
      <c r="C186" s="10" t="s">
        <v>374</v>
      </c>
      <c r="D186" s="10" t="s">
        <v>375</v>
      </c>
      <c r="E186" s="10" t="s">
        <v>737</v>
      </c>
      <c r="F186" s="10" t="s">
        <v>212</v>
      </c>
      <c r="G186" s="10" t="s">
        <v>806</v>
      </c>
      <c r="H186" s="16">
        <v>44248.5625</v>
      </c>
      <c r="I186" s="16">
        <v>44248.60416666667</v>
      </c>
      <c r="J186" s="10" t="s">
        <v>128</v>
      </c>
      <c r="K186" s="10" t="s">
        <v>34</v>
      </c>
      <c r="N186" s="10" t="s">
        <v>35</v>
      </c>
      <c r="V186" s="9"/>
      <c r="W186" s="13" t="s">
        <v>36</v>
      </c>
      <c r="X186" s="10" t="s">
        <v>37</v>
      </c>
      <c r="Y186" s="10" t="s">
        <v>0</v>
      </c>
    </row>
    <row r="187">
      <c r="A187" s="10" t="s">
        <v>807</v>
      </c>
      <c r="B187" s="11">
        <v>44242.74847590278</v>
      </c>
      <c r="C187" s="10" t="s">
        <v>181</v>
      </c>
      <c r="D187" s="10" t="s">
        <v>69</v>
      </c>
      <c r="E187" s="10" t="s">
        <v>808</v>
      </c>
      <c r="F187" s="10" t="s">
        <v>809</v>
      </c>
      <c r="G187" s="10" t="s">
        <v>810</v>
      </c>
      <c r="H187" s="17">
        <v>44249.35416666667</v>
      </c>
      <c r="I187" s="17">
        <v>44262.35416666667</v>
      </c>
      <c r="J187" s="10" t="s">
        <v>73</v>
      </c>
      <c r="K187" s="10" t="s">
        <v>34</v>
      </c>
      <c r="N187" s="10" t="s">
        <v>35</v>
      </c>
      <c r="V187" s="9"/>
      <c r="W187" s="13" t="s">
        <v>36</v>
      </c>
      <c r="X187" s="10" t="s">
        <v>37</v>
      </c>
      <c r="Y187" s="10" t="s">
        <v>0</v>
      </c>
    </row>
    <row r="188">
      <c r="A188" s="10" t="s">
        <v>811</v>
      </c>
      <c r="B188" s="11">
        <v>44242.403171990736</v>
      </c>
      <c r="C188" s="10" t="s">
        <v>80</v>
      </c>
      <c r="D188" s="10" t="s">
        <v>81</v>
      </c>
      <c r="E188" s="10" t="s">
        <v>469</v>
      </c>
      <c r="F188" s="10" t="s">
        <v>812</v>
      </c>
      <c r="G188" s="10" t="s">
        <v>813</v>
      </c>
      <c r="H188" s="17">
        <v>44249.375</v>
      </c>
      <c r="I188" s="17">
        <v>44249.41666666667</v>
      </c>
      <c r="J188" s="10" t="s">
        <v>73</v>
      </c>
      <c r="K188" s="10" t="s">
        <v>34</v>
      </c>
      <c r="N188" s="10" t="s">
        <v>35</v>
      </c>
      <c r="V188" s="9"/>
      <c r="W188" s="13" t="s">
        <v>36</v>
      </c>
      <c r="X188" s="10" t="s">
        <v>37</v>
      </c>
      <c r="Y188" s="10" t="s">
        <v>0</v>
      </c>
    </row>
    <row r="189">
      <c r="A189" s="10" t="s">
        <v>814</v>
      </c>
      <c r="B189" s="11">
        <v>44242.74779851852</v>
      </c>
      <c r="C189" s="10" t="s">
        <v>181</v>
      </c>
      <c r="D189" s="10" t="s">
        <v>69</v>
      </c>
      <c r="E189" s="10" t="s">
        <v>815</v>
      </c>
      <c r="F189" s="10" t="s">
        <v>816</v>
      </c>
      <c r="G189" s="10" t="s">
        <v>817</v>
      </c>
      <c r="H189" s="17">
        <v>44249.4375</v>
      </c>
      <c r="I189" s="17">
        <v>44318.4375</v>
      </c>
      <c r="J189" s="10" t="s">
        <v>73</v>
      </c>
      <c r="K189" s="10" t="s">
        <v>34</v>
      </c>
      <c r="N189" s="10" t="s">
        <v>35</v>
      </c>
      <c r="V189" s="9"/>
      <c r="W189" s="13" t="s">
        <v>36</v>
      </c>
      <c r="X189" s="10" t="s">
        <v>37</v>
      </c>
      <c r="Y189" s="10" t="s">
        <v>0</v>
      </c>
    </row>
    <row r="190">
      <c r="A190" s="10" t="s">
        <v>818</v>
      </c>
      <c r="B190" s="11">
        <v>44231.86539527778</v>
      </c>
      <c r="C190" s="10" t="s">
        <v>80</v>
      </c>
      <c r="D190" s="10" t="s">
        <v>81</v>
      </c>
      <c r="E190" s="10" t="s">
        <v>281</v>
      </c>
      <c r="F190" s="10" t="s">
        <v>819</v>
      </c>
      <c r="G190" s="10" t="s">
        <v>820</v>
      </c>
      <c r="H190" s="25">
        <v>44249.5</v>
      </c>
      <c r="I190" s="25">
        <v>44249.5</v>
      </c>
      <c r="J190" s="10" t="s">
        <v>73</v>
      </c>
      <c r="K190" s="10" t="s">
        <v>34</v>
      </c>
      <c r="N190" s="10" t="s">
        <v>35</v>
      </c>
      <c r="V190" s="9"/>
      <c r="W190" s="13" t="s">
        <v>36</v>
      </c>
      <c r="X190" s="10" t="s">
        <v>37</v>
      </c>
      <c r="Y190" s="10" t="s">
        <v>0</v>
      </c>
    </row>
    <row r="191">
      <c r="A191" s="10" t="s">
        <v>821</v>
      </c>
      <c r="B191" s="11">
        <v>44245.78518251158</v>
      </c>
      <c r="C191" s="10" t="s">
        <v>186</v>
      </c>
      <c r="D191" s="10" t="s">
        <v>187</v>
      </c>
      <c r="E191" s="10" t="s">
        <v>188</v>
      </c>
      <c r="F191" s="10" t="s">
        <v>822</v>
      </c>
      <c r="G191" s="26" t="s">
        <v>6002</v>
      </c>
      <c r="H191" s="24">
        <v>44249.60416666667</v>
      </c>
      <c r="I191" s="24">
        <v>44249.6875</v>
      </c>
      <c r="J191" s="10" t="s">
        <v>128</v>
      </c>
      <c r="K191" s="10" t="s">
        <v>34</v>
      </c>
      <c r="N191" s="10" t="s">
        <v>35</v>
      </c>
      <c r="V191" s="9"/>
      <c r="W191" s="13" t="s">
        <v>36</v>
      </c>
      <c r="X191" s="10" t="s">
        <v>37</v>
      </c>
      <c r="Y191" s="10" t="s">
        <v>0</v>
      </c>
    </row>
    <row r="192">
      <c r="A192" s="10" t="s">
        <v>824</v>
      </c>
      <c r="B192" s="11">
        <v>44249.83795826389</v>
      </c>
      <c r="C192" s="10" t="s">
        <v>247</v>
      </c>
      <c r="D192" s="10" t="s">
        <v>248</v>
      </c>
      <c r="E192" s="10" t="s">
        <v>825</v>
      </c>
      <c r="F192" s="10" t="s">
        <v>826</v>
      </c>
      <c r="G192" s="10" t="s">
        <v>827</v>
      </c>
      <c r="H192" s="16">
        <v>44249.60416666667</v>
      </c>
      <c r="I192" s="16">
        <v>44249.6875</v>
      </c>
      <c r="J192" s="10" t="s">
        <v>128</v>
      </c>
      <c r="K192" s="10" t="s">
        <v>34</v>
      </c>
      <c r="N192" s="10" t="s">
        <v>35</v>
      </c>
      <c r="V192" s="9"/>
      <c r="W192" s="13" t="s">
        <v>66</v>
      </c>
      <c r="X192" s="10" t="s">
        <v>37</v>
      </c>
      <c r="Y192" s="10" t="s">
        <v>0</v>
      </c>
    </row>
    <row r="193">
      <c r="A193" s="10" t="s">
        <v>828</v>
      </c>
      <c r="B193" s="11">
        <v>44243.5122963426</v>
      </c>
      <c r="C193" s="10" t="s">
        <v>829</v>
      </c>
      <c r="D193" s="10" t="s">
        <v>331</v>
      </c>
      <c r="E193" s="10" t="s">
        <v>830</v>
      </c>
      <c r="F193" s="10" t="s">
        <v>831</v>
      </c>
      <c r="G193" s="10" t="s">
        <v>789</v>
      </c>
      <c r="H193" s="16">
        <v>44246.64583333333</v>
      </c>
      <c r="I193" s="16">
        <v>44246.75</v>
      </c>
      <c r="J193" s="10" t="s">
        <v>43</v>
      </c>
      <c r="K193" s="10" t="s">
        <v>34</v>
      </c>
      <c r="N193" s="10" t="s">
        <v>296</v>
      </c>
      <c r="O193" s="18" t="s">
        <v>832</v>
      </c>
      <c r="P193" s="10" t="s">
        <v>35</v>
      </c>
      <c r="R193" s="10" t="s">
        <v>35</v>
      </c>
      <c r="T193" s="10" t="s">
        <v>296</v>
      </c>
      <c r="U193" s="10">
        <v>1.0</v>
      </c>
      <c r="V193" s="27"/>
      <c r="W193" s="20" t="s">
        <v>833</v>
      </c>
      <c r="X193" s="10" t="s">
        <v>37</v>
      </c>
      <c r="Y193" s="10" t="s">
        <v>0</v>
      </c>
    </row>
    <row r="194">
      <c r="A194" s="10" t="s">
        <v>834</v>
      </c>
      <c r="B194" s="11">
        <v>44244.35638153936</v>
      </c>
      <c r="C194" s="10" t="s">
        <v>661</v>
      </c>
      <c r="D194" s="21" t="s">
        <v>662</v>
      </c>
      <c r="E194" s="21" t="s">
        <v>749</v>
      </c>
      <c r="F194" s="21" t="s">
        <v>835</v>
      </c>
      <c r="G194" s="21" t="s">
        <v>836</v>
      </c>
      <c r="H194" s="22">
        <v>44246.79166666667</v>
      </c>
      <c r="I194" s="22">
        <v>44246.80208333333</v>
      </c>
      <c r="J194" s="10" t="s">
        <v>236</v>
      </c>
      <c r="K194" s="10" t="s">
        <v>34</v>
      </c>
      <c r="N194" s="10" t="s">
        <v>35</v>
      </c>
      <c r="V194" s="9"/>
      <c r="W194" s="13" t="s">
        <v>36</v>
      </c>
      <c r="X194" s="21" t="s">
        <v>37</v>
      </c>
      <c r="Y194" s="21" t="s">
        <v>0</v>
      </c>
    </row>
    <row r="195">
      <c r="A195" s="10" t="s">
        <v>837</v>
      </c>
      <c r="B195" s="11">
        <v>44238.797590636575</v>
      </c>
      <c r="C195" s="10" t="s">
        <v>181</v>
      </c>
      <c r="D195" s="10" t="s">
        <v>69</v>
      </c>
      <c r="E195" s="10" t="s">
        <v>838</v>
      </c>
      <c r="F195" s="10" t="s">
        <v>839</v>
      </c>
      <c r="G195" s="10" t="s">
        <v>840</v>
      </c>
      <c r="H195" s="16">
        <v>44247.60416666667</v>
      </c>
      <c r="I195" s="16">
        <v>44247.6875</v>
      </c>
      <c r="J195" s="10" t="s">
        <v>43</v>
      </c>
      <c r="K195" s="10" t="s">
        <v>34</v>
      </c>
      <c r="N195" s="10" t="s">
        <v>35</v>
      </c>
      <c r="V195" s="9"/>
      <c r="W195" s="13" t="s">
        <v>36</v>
      </c>
      <c r="X195" s="10" t="s">
        <v>37</v>
      </c>
      <c r="Y195" s="10" t="s">
        <v>0</v>
      </c>
    </row>
    <row r="196">
      <c r="A196" s="10" t="s">
        <v>841</v>
      </c>
      <c r="B196" s="11">
        <v>44242.39504690972</v>
      </c>
      <c r="C196" s="10" t="s">
        <v>181</v>
      </c>
      <c r="D196" s="10" t="s">
        <v>69</v>
      </c>
      <c r="E196" s="10" t="s">
        <v>842</v>
      </c>
      <c r="F196" s="10" t="s">
        <v>843</v>
      </c>
      <c r="G196" s="10" t="s">
        <v>844</v>
      </c>
      <c r="H196" s="17">
        <v>44249.8125</v>
      </c>
      <c r="I196" s="17">
        <v>44249.85416666667</v>
      </c>
      <c r="J196" s="10" t="s">
        <v>128</v>
      </c>
      <c r="K196" s="10" t="s">
        <v>34</v>
      </c>
      <c r="N196" s="10" t="s">
        <v>35</v>
      </c>
      <c r="V196" s="9"/>
      <c r="W196" s="13" t="s">
        <v>36</v>
      </c>
      <c r="X196" s="10" t="s">
        <v>37</v>
      </c>
      <c r="Y196" s="10" t="s">
        <v>0</v>
      </c>
    </row>
    <row r="197">
      <c r="A197" s="10" t="s">
        <v>845</v>
      </c>
      <c r="B197" s="11">
        <v>44242.74126700232</v>
      </c>
      <c r="C197" s="10" t="s">
        <v>181</v>
      </c>
      <c r="D197" s="10" t="s">
        <v>69</v>
      </c>
      <c r="E197" s="10" t="s">
        <v>313</v>
      </c>
      <c r="F197" s="10" t="s">
        <v>846</v>
      </c>
      <c r="G197" s="10" t="s">
        <v>847</v>
      </c>
      <c r="H197" s="17">
        <v>44250.4375</v>
      </c>
      <c r="I197" s="17">
        <v>44346.4375</v>
      </c>
      <c r="J197" s="10" t="s">
        <v>51</v>
      </c>
      <c r="K197" s="10" t="s">
        <v>34</v>
      </c>
      <c r="N197" s="10" t="s">
        <v>35</v>
      </c>
      <c r="V197" s="9"/>
      <c r="W197" s="13" t="s">
        <v>36</v>
      </c>
      <c r="X197" s="10" t="s">
        <v>37</v>
      </c>
      <c r="Y197" s="10" t="s">
        <v>0</v>
      </c>
    </row>
    <row r="198">
      <c r="A198" s="10" t="s">
        <v>848</v>
      </c>
      <c r="B198" s="11">
        <v>44242.39629101852</v>
      </c>
      <c r="C198" s="10" t="s">
        <v>181</v>
      </c>
      <c r="D198" s="10" t="s">
        <v>69</v>
      </c>
      <c r="E198" s="10" t="s">
        <v>849</v>
      </c>
      <c r="F198" s="10" t="s">
        <v>850</v>
      </c>
      <c r="G198" s="10" t="s">
        <v>851</v>
      </c>
      <c r="H198" s="17">
        <v>44250.58333333333</v>
      </c>
      <c r="I198" s="17">
        <v>44250.66666666667</v>
      </c>
      <c r="J198" s="10" t="s">
        <v>128</v>
      </c>
      <c r="K198" s="10" t="s">
        <v>34</v>
      </c>
      <c r="N198" s="10" t="s">
        <v>35</v>
      </c>
      <c r="V198" s="9"/>
      <c r="W198" s="13" t="s">
        <v>36</v>
      </c>
      <c r="X198" s="10" t="s">
        <v>37</v>
      </c>
      <c r="Y198" s="10" t="s">
        <v>0</v>
      </c>
    </row>
    <row r="199">
      <c r="A199" s="10" t="s">
        <v>852</v>
      </c>
      <c r="B199" s="11">
        <v>44250.83752212963</v>
      </c>
      <c r="C199" s="10" t="s">
        <v>491</v>
      </c>
      <c r="D199" s="10" t="s">
        <v>492</v>
      </c>
      <c r="E199" s="10" t="s">
        <v>853</v>
      </c>
      <c r="F199" s="10" t="s">
        <v>854</v>
      </c>
      <c r="G199" s="10" t="s">
        <v>855</v>
      </c>
      <c r="H199" s="17">
        <v>44250.79166666667</v>
      </c>
      <c r="I199" s="17">
        <v>44250.79166666667</v>
      </c>
      <c r="J199" s="10" t="s">
        <v>73</v>
      </c>
      <c r="K199" s="10" t="s">
        <v>34</v>
      </c>
      <c r="N199" s="10" t="s">
        <v>35</v>
      </c>
      <c r="V199" s="9"/>
      <c r="W199" s="13" t="s">
        <v>78</v>
      </c>
      <c r="X199" s="10" t="s">
        <v>37</v>
      </c>
      <c r="Y199" s="10" t="s">
        <v>0</v>
      </c>
    </row>
    <row r="200">
      <c r="A200" s="10" t="s">
        <v>856</v>
      </c>
      <c r="B200" s="11">
        <v>44242.7430509375</v>
      </c>
      <c r="C200" s="10" t="s">
        <v>181</v>
      </c>
      <c r="D200" s="10" t="s">
        <v>69</v>
      </c>
      <c r="E200" s="10" t="s">
        <v>808</v>
      </c>
      <c r="F200" s="10" t="s">
        <v>857</v>
      </c>
      <c r="G200" s="10" t="s">
        <v>858</v>
      </c>
      <c r="H200" s="17">
        <v>44251.35416666667</v>
      </c>
      <c r="I200" s="17">
        <v>44347.35416666667</v>
      </c>
      <c r="J200" s="10" t="s">
        <v>73</v>
      </c>
      <c r="K200" s="10" t="s">
        <v>34</v>
      </c>
      <c r="N200" s="10" t="s">
        <v>35</v>
      </c>
      <c r="V200" s="9"/>
      <c r="W200" s="13" t="s">
        <v>36</v>
      </c>
      <c r="X200" s="10" t="s">
        <v>37</v>
      </c>
      <c r="Y200" s="10" t="s">
        <v>0</v>
      </c>
    </row>
    <row r="201">
      <c r="A201" s="10" t="s">
        <v>859</v>
      </c>
      <c r="B201" s="11">
        <v>44246.576535844906</v>
      </c>
      <c r="C201" s="10" t="s">
        <v>181</v>
      </c>
      <c r="D201" s="10" t="s">
        <v>69</v>
      </c>
      <c r="E201" s="10" t="s">
        <v>860</v>
      </c>
      <c r="F201" s="10" t="s">
        <v>861</v>
      </c>
      <c r="G201" s="10" t="s">
        <v>862</v>
      </c>
      <c r="H201" s="24">
        <v>44251.375</v>
      </c>
      <c r="I201" s="24">
        <v>44251.99930555555</v>
      </c>
      <c r="J201" s="10" t="s">
        <v>73</v>
      </c>
      <c r="K201" s="10" t="s">
        <v>34</v>
      </c>
      <c r="N201" s="10" t="s">
        <v>35</v>
      </c>
      <c r="V201" s="9"/>
      <c r="W201" s="13" t="s">
        <v>78</v>
      </c>
      <c r="X201" s="10" t="s">
        <v>37</v>
      </c>
      <c r="Y201" s="10" t="s">
        <v>0</v>
      </c>
    </row>
    <row r="202">
      <c r="A202" s="10" t="s">
        <v>863</v>
      </c>
      <c r="B202" s="11">
        <v>44242.397501168976</v>
      </c>
      <c r="C202" s="10" t="s">
        <v>181</v>
      </c>
      <c r="D202" s="10" t="s">
        <v>69</v>
      </c>
      <c r="E202" s="10" t="s">
        <v>864</v>
      </c>
      <c r="F202" s="10" t="s">
        <v>865</v>
      </c>
      <c r="G202" s="10" t="s">
        <v>866</v>
      </c>
      <c r="H202" s="17">
        <v>44251.41666666667</v>
      </c>
      <c r="I202" s="17">
        <v>44251.41666666667</v>
      </c>
      <c r="J202" s="10" t="s">
        <v>51</v>
      </c>
      <c r="K202" s="10" t="s">
        <v>34</v>
      </c>
      <c r="N202" s="10" t="s">
        <v>35</v>
      </c>
      <c r="V202" s="9"/>
      <c r="W202" s="13" t="s">
        <v>36</v>
      </c>
      <c r="X202" s="10" t="s">
        <v>37</v>
      </c>
      <c r="Y202" s="10" t="s">
        <v>0</v>
      </c>
    </row>
    <row r="203">
      <c r="A203" s="10" t="s">
        <v>867</v>
      </c>
      <c r="B203" s="11">
        <v>44247.61032491898</v>
      </c>
      <c r="C203" s="10" t="s">
        <v>80</v>
      </c>
      <c r="D203" s="10" t="s">
        <v>81</v>
      </c>
      <c r="E203" s="10" t="s">
        <v>469</v>
      </c>
      <c r="F203" s="10" t="s">
        <v>868</v>
      </c>
      <c r="G203" s="10" t="s">
        <v>869</v>
      </c>
      <c r="H203" s="16">
        <v>44252.375</v>
      </c>
      <c r="I203" s="16">
        <v>44252.41666666667</v>
      </c>
      <c r="J203" s="10" t="s">
        <v>73</v>
      </c>
      <c r="K203" s="10" t="s">
        <v>34</v>
      </c>
      <c r="N203" s="10" t="s">
        <v>35</v>
      </c>
      <c r="V203" s="9"/>
      <c r="W203" s="13" t="s">
        <v>78</v>
      </c>
      <c r="X203" s="10" t="s">
        <v>37</v>
      </c>
      <c r="Y203" s="10" t="s">
        <v>0</v>
      </c>
    </row>
    <row r="204">
      <c r="A204" s="10" t="s">
        <v>870</v>
      </c>
      <c r="B204" s="11">
        <v>44242.40245685185</v>
      </c>
      <c r="C204" s="10" t="s">
        <v>181</v>
      </c>
      <c r="D204" s="10" t="s">
        <v>69</v>
      </c>
      <c r="E204" s="10" t="s">
        <v>871</v>
      </c>
      <c r="F204" s="10" t="s">
        <v>872</v>
      </c>
      <c r="G204" s="10" t="s">
        <v>873</v>
      </c>
      <c r="H204" s="17">
        <v>44252.41666666667</v>
      </c>
      <c r="I204" s="17">
        <v>44252.52083333333</v>
      </c>
      <c r="J204" s="10" t="s">
        <v>128</v>
      </c>
      <c r="K204" s="10" t="s">
        <v>34</v>
      </c>
      <c r="N204" s="10" t="s">
        <v>35</v>
      </c>
      <c r="V204" s="9"/>
      <c r="W204" s="13" t="s">
        <v>36</v>
      </c>
      <c r="X204" s="10" t="s">
        <v>37</v>
      </c>
      <c r="Y204" s="10" t="s">
        <v>0</v>
      </c>
    </row>
    <row r="205">
      <c r="A205" s="10" t="s">
        <v>874</v>
      </c>
      <c r="B205" s="11">
        <v>44242.40320539352</v>
      </c>
      <c r="C205" s="10" t="s">
        <v>181</v>
      </c>
      <c r="D205" s="10" t="s">
        <v>69</v>
      </c>
      <c r="E205" s="10" t="s">
        <v>871</v>
      </c>
      <c r="F205" s="10" t="s">
        <v>875</v>
      </c>
      <c r="G205" s="10" t="s">
        <v>876</v>
      </c>
      <c r="H205" s="17">
        <v>44252.41666666667</v>
      </c>
      <c r="I205" s="17">
        <v>44252.52083333333</v>
      </c>
      <c r="J205" s="10" t="s">
        <v>128</v>
      </c>
      <c r="K205" s="10" t="s">
        <v>34</v>
      </c>
      <c r="N205" s="10" t="s">
        <v>35</v>
      </c>
      <c r="V205" s="9"/>
      <c r="W205" s="13" t="s">
        <v>36</v>
      </c>
      <c r="X205" s="10" t="s">
        <v>37</v>
      </c>
      <c r="Y205" s="10" t="s">
        <v>0</v>
      </c>
    </row>
    <row r="206">
      <c r="A206" s="10" t="s">
        <v>877</v>
      </c>
      <c r="B206" s="11">
        <v>44231.866248935185</v>
      </c>
      <c r="C206" s="10" t="s">
        <v>80</v>
      </c>
      <c r="D206" s="10" t="s">
        <v>81</v>
      </c>
      <c r="E206" s="10" t="s">
        <v>281</v>
      </c>
      <c r="F206" s="10" t="s">
        <v>878</v>
      </c>
      <c r="G206" s="10" t="s">
        <v>451</v>
      </c>
      <c r="H206" s="25">
        <v>44252.5</v>
      </c>
      <c r="I206" s="25">
        <v>44252.5</v>
      </c>
      <c r="J206" s="10" t="s">
        <v>73</v>
      </c>
      <c r="K206" s="10" t="s">
        <v>34</v>
      </c>
      <c r="N206" s="10" t="s">
        <v>35</v>
      </c>
      <c r="V206" s="9"/>
      <c r="W206" s="13" t="s">
        <v>36</v>
      </c>
      <c r="X206" s="10" t="s">
        <v>37</v>
      </c>
      <c r="Y206" s="10" t="s">
        <v>0</v>
      </c>
    </row>
    <row r="207">
      <c r="A207" s="10" t="s">
        <v>879</v>
      </c>
      <c r="B207" s="11">
        <v>44242.86843030092</v>
      </c>
      <c r="C207" s="10" t="s">
        <v>80</v>
      </c>
      <c r="D207" s="10" t="s">
        <v>81</v>
      </c>
      <c r="E207" s="10" t="s">
        <v>765</v>
      </c>
      <c r="F207" s="10" t="s">
        <v>880</v>
      </c>
      <c r="G207" s="10" t="s">
        <v>881</v>
      </c>
      <c r="H207" s="17">
        <v>44252.5</v>
      </c>
      <c r="I207" s="17">
        <v>44252.45833333333</v>
      </c>
      <c r="J207" s="10" t="s">
        <v>73</v>
      </c>
      <c r="K207" s="10" t="s">
        <v>34</v>
      </c>
      <c r="N207" s="10" t="s">
        <v>35</v>
      </c>
      <c r="V207" s="9"/>
      <c r="W207" s="13" t="s">
        <v>36</v>
      </c>
      <c r="X207" s="10" t="s">
        <v>37</v>
      </c>
      <c r="Y207" s="10" t="s">
        <v>0</v>
      </c>
    </row>
    <row r="208">
      <c r="A208" s="10" t="s">
        <v>882</v>
      </c>
      <c r="B208" s="11">
        <v>44242.40505028935</v>
      </c>
      <c r="C208" s="10" t="s">
        <v>181</v>
      </c>
      <c r="D208" s="21" t="s">
        <v>69</v>
      </c>
      <c r="E208" s="21" t="s">
        <v>313</v>
      </c>
      <c r="F208" s="21" t="s">
        <v>883</v>
      </c>
      <c r="G208" s="21" t="s">
        <v>884</v>
      </c>
      <c r="H208" s="22">
        <v>44249.64583333333</v>
      </c>
      <c r="I208" s="22">
        <v>44249.72916666667</v>
      </c>
      <c r="J208" s="10" t="s">
        <v>236</v>
      </c>
      <c r="K208" s="10" t="s">
        <v>34</v>
      </c>
      <c r="N208" s="10" t="s">
        <v>35</v>
      </c>
      <c r="V208" s="9"/>
      <c r="W208" s="13" t="s">
        <v>36</v>
      </c>
      <c r="X208" s="21" t="s">
        <v>37</v>
      </c>
      <c r="Y208" s="21" t="s">
        <v>0</v>
      </c>
    </row>
    <row r="209">
      <c r="A209" s="10" t="s">
        <v>885</v>
      </c>
      <c r="B209" s="11">
        <v>44263.84986744213</v>
      </c>
      <c r="C209" s="10" t="s">
        <v>96</v>
      </c>
      <c r="D209" s="10" t="s">
        <v>97</v>
      </c>
      <c r="E209" s="10" t="s">
        <v>120</v>
      </c>
      <c r="F209" s="10" t="s">
        <v>886</v>
      </c>
      <c r="G209" s="10" t="s">
        <v>887</v>
      </c>
      <c r="H209" s="16">
        <v>44252.60416666667</v>
      </c>
      <c r="I209" s="16">
        <v>44336.60416666667</v>
      </c>
      <c r="J209" s="10" t="s">
        <v>51</v>
      </c>
      <c r="K209" s="10" t="s">
        <v>34</v>
      </c>
      <c r="N209" s="10" t="s">
        <v>35</v>
      </c>
      <c r="V209" s="9"/>
      <c r="W209" s="13" t="s">
        <v>78</v>
      </c>
      <c r="X209" s="10" t="s">
        <v>37</v>
      </c>
      <c r="Y209" s="10" t="s">
        <v>0</v>
      </c>
    </row>
    <row r="210">
      <c r="A210" s="10" t="s">
        <v>888</v>
      </c>
      <c r="B210" s="11">
        <v>44245.61851782407</v>
      </c>
      <c r="C210" s="10" t="s">
        <v>491</v>
      </c>
      <c r="D210" s="10" t="s">
        <v>492</v>
      </c>
      <c r="E210" s="10" t="s">
        <v>657</v>
      </c>
      <c r="F210" s="10" t="s">
        <v>889</v>
      </c>
      <c r="G210" s="10" t="s">
        <v>890</v>
      </c>
      <c r="H210" s="24">
        <v>44252.79166666667</v>
      </c>
      <c r="I210" s="24">
        <v>44252.83333333333</v>
      </c>
      <c r="J210" s="10" t="s">
        <v>128</v>
      </c>
      <c r="K210" s="10" t="s">
        <v>34</v>
      </c>
      <c r="N210" s="10" t="s">
        <v>35</v>
      </c>
      <c r="V210" s="9"/>
      <c r="W210" s="13" t="s">
        <v>36</v>
      </c>
      <c r="X210" s="10" t="s">
        <v>37</v>
      </c>
      <c r="Y210" s="10" t="s">
        <v>0</v>
      </c>
    </row>
    <row r="211">
      <c r="A211" s="10" t="s">
        <v>891</v>
      </c>
      <c r="B211" s="11">
        <v>44251.497375439816</v>
      </c>
      <c r="C211" s="10" t="s">
        <v>181</v>
      </c>
      <c r="D211" s="10" t="s">
        <v>69</v>
      </c>
      <c r="E211" s="10" t="s">
        <v>860</v>
      </c>
      <c r="F211" s="10" t="s">
        <v>892</v>
      </c>
      <c r="G211" s="10" t="s">
        <v>893</v>
      </c>
      <c r="H211" s="17">
        <v>44253.375</v>
      </c>
      <c r="I211" s="17">
        <v>44253.99930555555</v>
      </c>
      <c r="J211" s="10" t="s">
        <v>73</v>
      </c>
      <c r="K211" s="10" t="s">
        <v>34</v>
      </c>
      <c r="N211" s="10" t="s">
        <v>35</v>
      </c>
      <c r="V211" s="9"/>
      <c r="W211" s="13" t="s">
        <v>78</v>
      </c>
      <c r="X211" s="10" t="s">
        <v>37</v>
      </c>
      <c r="Y211" s="10" t="s">
        <v>0</v>
      </c>
    </row>
    <row r="212">
      <c r="A212" s="10" t="s">
        <v>894</v>
      </c>
      <c r="B212" s="11">
        <v>44242.75421408565</v>
      </c>
      <c r="C212" s="10" t="s">
        <v>181</v>
      </c>
      <c r="D212" s="10" t="s">
        <v>69</v>
      </c>
      <c r="E212" s="10" t="s">
        <v>313</v>
      </c>
      <c r="F212" s="10" t="s">
        <v>895</v>
      </c>
      <c r="G212" s="10" t="s">
        <v>896</v>
      </c>
      <c r="H212" s="24">
        <v>44249.6875</v>
      </c>
      <c r="I212" s="24">
        <v>44249.77083333333</v>
      </c>
      <c r="J212" s="10" t="s">
        <v>43</v>
      </c>
      <c r="K212" s="10" t="s">
        <v>34</v>
      </c>
      <c r="N212" s="10" t="s">
        <v>296</v>
      </c>
      <c r="O212" s="18" t="s">
        <v>897</v>
      </c>
      <c r="P212" s="10" t="s">
        <v>35</v>
      </c>
      <c r="R212" s="10" t="s">
        <v>296</v>
      </c>
      <c r="S212" s="10">
        <v>1.0</v>
      </c>
      <c r="T212" s="10" t="s">
        <v>35</v>
      </c>
      <c r="V212" s="9"/>
      <c r="W212" s="13" t="s">
        <v>36</v>
      </c>
      <c r="X212" s="10" t="s">
        <v>37</v>
      </c>
      <c r="Y212" s="10" t="s">
        <v>0</v>
      </c>
    </row>
    <row r="213">
      <c r="A213" s="10" t="s">
        <v>898</v>
      </c>
      <c r="B213" s="11">
        <v>44242.73242965278</v>
      </c>
      <c r="C213" s="10" t="s">
        <v>181</v>
      </c>
      <c r="D213" s="10" t="s">
        <v>69</v>
      </c>
      <c r="E213" s="10" t="s">
        <v>313</v>
      </c>
      <c r="F213" s="10" t="s">
        <v>899</v>
      </c>
      <c r="G213" s="10" t="s">
        <v>900</v>
      </c>
      <c r="H213" s="24">
        <v>44249.72916666667</v>
      </c>
      <c r="I213" s="24">
        <v>44249.8125</v>
      </c>
      <c r="J213" s="10" t="s">
        <v>43</v>
      </c>
      <c r="K213" s="10" t="s">
        <v>34</v>
      </c>
      <c r="N213" s="10" t="s">
        <v>296</v>
      </c>
      <c r="O213" s="18" t="s">
        <v>901</v>
      </c>
      <c r="P213" s="10" t="s">
        <v>35</v>
      </c>
      <c r="R213" s="10" t="s">
        <v>35</v>
      </c>
      <c r="T213" s="10" t="s">
        <v>296</v>
      </c>
      <c r="U213" s="10">
        <v>1.0</v>
      </c>
      <c r="V213" s="27"/>
      <c r="W213" s="13" t="s">
        <v>78</v>
      </c>
      <c r="X213" s="10" t="s">
        <v>37</v>
      </c>
      <c r="Y213" s="10" t="s">
        <v>0</v>
      </c>
    </row>
    <row r="214">
      <c r="A214" s="10" t="s">
        <v>902</v>
      </c>
      <c r="B214" s="11">
        <v>44247.59857869213</v>
      </c>
      <c r="C214" s="10" t="s">
        <v>336</v>
      </c>
      <c r="D214" s="10" t="s">
        <v>337</v>
      </c>
      <c r="E214" s="10" t="s">
        <v>903</v>
      </c>
      <c r="F214" s="10" t="s">
        <v>684</v>
      </c>
      <c r="G214" s="10" t="s">
        <v>904</v>
      </c>
      <c r="H214" s="16">
        <v>44253.41666666667</v>
      </c>
      <c r="I214" s="16">
        <v>44253.45833333333</v>
      </c>
      <c r="J214" s="10" t="s">
        <v>128</v>
      </c>
      <c r="K214" s="10" t="s">
        <v>34</v>
      </c>
      <c r="N214" s="10" t="s">
        <v>35</v>
      </c>
      <c r="V214" s="9"/>
      <c r="W214" s="13" t="s">
        <v>78</v>
      </c>
      <c r="X214" s="10" t="s">
        <v>37</v>
      </c>
      <c r="Y214" s="10" t="s">
        <v>0</v>
      </c>
    </row>
    <row r="215">
      <c r="A215" s="10" t="s">
        <v>905</v>
      </c>
      <c r="B215" s="11">
        <v>44242.742239224535</v>
      </c>
      <c r="C215" s="10" t="s">
        <v>181</v>
      </c>
      <c r="D215" s="10" t="s">
        <v>69</v>
      </c>
      <c r="E215" s="10" t="s">
        <v>313</v>
      </c>
      <c r="F215" s="10" t="s">
        <v>906</v>
      </c>
      <c r="G215" s="10" t="s">
        <v>907</v>
      </c>
      <c r="H215" s="17">
        <v>44253.47916666667</v>
      </c>
      <c r="I215" s="17">
        <v>44347.47916666667</v>
      </c>
      <c r="J215" s="10" t="s">
        <v>73</v>
      </c>
      <c r="K215" s="10" t="s">
        <v>34</v>
      </c>
      <c r="N215" s="10" t="s">
        <v>35</v>
      </c>
      <c r="V215" s="9"/>
      <c r="W215" s="13" t="s">
        <v>36</v>
      </c>
      <c r="X215" s="10" t="s">
        <v>37</v>
      </c>
      <c r="Y215" s="10" t="s">
        <v>0</v>
      </c>
    </row>
    <row r="216">
      <c r="A216" s="10" t="s">
        <v>908</v>
      </c>
      <c r="B216" s="11">
        <v>44253.948174247686</v>
      </c>
      <c r="C216" s="10" t="s">
        <v>909</v>
      </c>
      <c r="D216" s="10" t="s">
        <v>662</v>
      </c>
      <c r="E216" s="10" t="s">
        <v>910</v>
      </c>
      <c r="F216" s="10" t="s">
        <v>911</v>
      </c>
      <c r="G216" s="10" t="s">
        <v>912</v>
      </c>
      <c r="H216" s="16">
        <v>44253.47916666667</v>
      </c>
      <c r="I216" s="16">
        <v>44253.52083333333</v>
      </c>
      <c r="J216" s="10" t="s">
        <v>128</v>
      </c>
      <c r="K216" s="10" t="s">
        <v>34</v>
      </c>
      <c r="N216" s="10" t="s">
        <v>296</v>
      </c>
      <c r="O216" s="18" t="s">
        <v>913</v>
      </c>
      <c r="P216" s="10" t="s">
        <v>35</v>
      </c>
      <c r="R216" s="10" t="s">
        <v>296</v>
      </c>
      <c r="S216" s="10">
        <v>1.0</v>
      </c>
      <c r="T216" s="10" t="s">
        <v>35</v>
      </c>
      <c r="V216" s="9"/>
      <c r="W216" s="13" t="s">
        <v>78</v>
      </c>
      <c r="X216" s="10" t="s">
        <v>37</v>
      </c>
      <c r="Y216" s="10" t="s">
        <v>0</v>
      </c>
    </row>
    <row r="217">
      <c r="A217" s="10" t="s">
        <v>914</v>
      </c>
      <c r="B217" s="11">
        <v>44235.847555925924</v>
      </c>
      <c r="C217" s="10" t="s">
        <v>219</v>
      </c>
      <c r="D217" s="10" t="s">
        <v>220</v>
      </c>
      <c r="E217" s="10" t="s">
        <v>915</v>
      </c>
      <c r="F217" s="10" t="s">
        <v>916</v>
      </c>
      <c r="G217" s="10" t="s">
        <v>917</v>
      </c>
      <c r="H217" s="25">
        <v>44253.5</v>
      </c>
      <c r="I217" s="25">
        <v>44306.5</v>
      </c>
      <c r="J217" s="10" t="s">
        <v>128</v>
      </c>
      <c r="K217" s="10" t="s">
        <v>34</v>
      </c>
      <c r="N217" s="10" t="s">
        <v>35</v>
      </c>
      <c r="V217" s="9"/>
      <c r="W217" s="13" t="s">
        <v>36</v>
      </c>
      <c r="X217" s="10" t="s">
        <v>37</v>
      </c>
      <c r="Y217" s="10" t="s">
        <v>0</v>
      </c>
    </row>
    <row r="218">
      <c r="A218" s="10" t="s">
        <v>918</v>
      </c>
      <c r="B218" s="11">
        <v>44247.42946277778</v>
      </c>
      <c r="C218" s="10" t="s">
        <v>694</v>
      </c>
      <c r="D218" s="10" t="s">
        <v>695</v>
      </c>
      <c r="E218" s="10" t="s">
        <v>696</v>
      </c>
      <c r="F218" s="10" t="s">
        <v>697</v>
      </c>
      <c r="G218" s="10" t="s">
        <v>698</v>
      </c>
      <c r="H218" s="16">
        <v>44253.52083333333</v>
      </c>
      <c r="I218" s="16">
        <v>44253.5625</v>
      </c>
      <c r="J218" s="10" t="s">
        <v>128</v>
      </c>
      <c r="K218" s="10" t="s">
        <v>34</v>
      </c>
      <c r="N218" s="10" t="s">
        <v>35</v>
      </c>
      <c r="V218" s="9"/>
      <c r="W218" s="13" t="s">
        <v>78</v>
      </c>
      <c r="X218" s="10" t="s">
        <v>37</v>
      </c>
      <c r="Y218" s="10" t="s">
        <v>0</v>
      </c>
    </row>
    <row r="219">
      <c r="A219" s="10" t="s">
        <v>919</v>
      </c>
      <c r="B219" s="11">
        <v>44240.78628438657</v>
      </c>
      <c r="C219" s="10" t="s">
        <v>137</v>
      </c>
      <c r="D219" s="10" t="s">
        <v>138</v>
      </c>
      <c r="E219" s="10" t="s">
        <v>920</v>
      </c>
      <c r="F219" s="10" t="s">
        <v>921</v>
      </c>
      <c r="G219" s="10" t="s">
        <v>922</v>
      </c>
      <c r="H219" s="17">
        <v>44253.58333333333</v>
      </c>
      <c r="I219" s="17">
        <v>44253.66666666667</v>
      </c>
      <c r="J219" s="10" t="s">
        <v>128</v>
      </c>
      <c r="K219" s="10" t="s">
        <v>34</v>
      </c>
      <c r="N219" s="10" t="s">
        <v>35</v>
      </c>
      <c r="V219" s="9"/>
      <c r="W219" s="13" t="s">
        <v>36</v>
      </c>
      <c r="X219" s="10" t="s">
        <v>37</v>
      </c>
      <c r="Y219" s="10" t="s">
        <v>0</v>
      </c>
    </row>
    <row r="220">
      <c r="A220" s="10" t="s">
        <v>923</v>
      </c>
      <c r="B220" s="11">
        <v>44242.73918355324</v>
      </c>
      <c r="C220" s="10" t="s">
        <v>181</v>
      </c>
      <c r="D220" s="10" t="s">
        <v>69</v>
      </c>
      <c r="E220" s="10" t="s">
        <v>924</v>
      </c>
      <c r="F220" s="10" t="s">
        <v>925</v>
      </c>
      <c r="G220" s="10" t="s">
        <v>926</v>
      </c>
      <c r="H220" s="17">
        <v>44253.60416666667</v>
      </c>
      <c r="I220" s="17">
        <v>44253.6875</v>
      </c>
      <c r="J220" s="10" t="s">
        <v>128</v>
      </c>
      <c r="K220" s="10" t="s">
        <v>34</v>
      </c>
      <c r="N220" s="10" t="s">
        <v>35</v>
      </c>
      <c r="V220" s="9"/>
      <c r="W220" s="13" t="s">
        <v>36</v>
      </c>
      <c r="X220" s="10" t="s">
        <v>37</v>
      </c>
      <c r="Y220" s="10" t="s">
        <v>0</v>
      </c>
    </row>
    <row r="221">
      <c r="A221" s="10" t="s">
        <v>927</v>
      </c>
      <c r="B221" s="11">
        <v>44246.73696940972</v>
      </c>
      <c r="C221" s="10" t="s">
        <v>671</v>
      </c>
      <c r="D221" s="10" t="s">
        <v>672</v>
      </c>
      <c r="E221" s="10" t="s">
        <v>928</v>
      </c>
      <c r="F221" s="10" t="s">
        <v>929</v>
      </c>
      <c r="G221" s="10" t="s">
        <v>930</v>
      </c>
      <c r="H221" s="17">
        <v>44253.60416666667</v>
      </c>
      <c r="I221" s="17">
        <v>44253.6875</v>
      </c>
      <c r="J221" s="10" t="s">
        <v>128</v>
      </c>
      <c r="K221" s="10" t="s">
        <v>34</v>
      </c>
      <c r="N221" s="10" t="s">
        <v>35</v>
      </c>
      <c r="V221" s="9"/>
      <c r="W221" s="13" t="s">
        <v>78</v>
      </c>
      <c r="X221" s="10" t="s">
        <v>37</v>
      </c>
      <c r="Y221" s="10" t="s">
        <v>0</v>
      </c>
    </row>
    <row r="222">
      <c r="A222" s="10" t="s">
        <v>931</v>
      </c>
      <c r="B222" s="11">
        <v>44244.99862829861</v>
      </c>
      <c r="C222" s="10" t="s">
        <v>186</v>
      </c>
      <c r="D222" s="10" t="s">
        <v>187</v>
      </c>
      <c r="E222" s="10" t="s">
        <v>188</v>
      </c>
      <c r="F222" s="10" t="s">
        <v>932</v>
      </c>
      <c r="G222" s="10" t="s">
        <v>933</v>
      </c>
      <c r="H222" s="24">
        <v>44253.625</v>
      </c>
      <c r="I222" s="24">
        <v>44253.66666666667</v>
      </c>
      <c r="J222" s="10" t="s">
        <v>128</v>
      </c>
      <c r="K222" s="10" t="s">
        <v>34</v>
      </c>
      <c r="N222" s="10" t="s">
        <v>35</v>
      </c>
      <c r="V222" s="9"/>
      <c r="W222" s="13" t="s">
        <v>36</v>
      </c>
      <c r="X222" s="10" t="s">
        <v>37</v>
      </c>
      <c r="Y222" s="10" t="s">
        <v>0</v>
      </c>
    </row>
    <row r="223">
      <c r="A223" s="10" t="s">
        <v>934</v>
      </c>
      <c r="B223" s="11">
        <v>44246.469862858794</v>
      </c>
      <c r="C223" s="10" t="s">
        <v>381</v>
      </c>
      <c r="D223" s="10" t="s">
        <v>382</v>
      </c>
      <c r="E223" s="10" t="s">
        <v>935</v>
      </c>
      <c r="F223" s="10" t="s">
        <v>936</v>
      </c>
      <c r="G223" s="10" t="s">
        <v>937</v>
      </c>
      <c r="H223" s="24">
        <v>44253.6875</v>
      </c>
      <c r="I223" s="24">
        <v>44253.72916666667</v>
      </c>
      <c r="J223" s="10" t="s">
        <v>128</v>
      </c>
      <c r="K223" s="10" t="s">
        <v>34</v>
      </c>
      <c r="N223" s="10" t="s">
        <v>35</v>
      </c>
      <c r="V223" s="9"/>
      <c r="W223" s="13" t="s">
        <v>36</v>
      </c>
      <c r="X223" s="10" t="s">
        <v>37</v>
      </c>
      <c r="Y223" s="10" t="s">
        <v>0</v>
      </c>
    </row>
    <row r="224">
      <c r="A224" s="10" t="s">
        <v>938</v>
      </c>
      <c r="B224" s="11">
        <v>44247.60727409722</v>
      </c>
      <c r="C224" s="10" t="s">
        <v>80</v>
      </c>
      <c r="D224" s="10" t="s">
        <v>81</v>
      </c>
      <c r="E224" s="10" t="s">
        <v>469</v>
      </c>
      <c r="F224" s="10" t="s">
        <v>939</v>
      </c>
      <c r="G224" s="10" t="s">
        <v>940</v>
      </c>
      <c r="H224" s="16">
        <v>44253.6875</v>
      </c>
      <c r="I224" s="16">
        <v>44253.72916666667</v>
      </c>
      <c r="J224" s="10" t="s">
        <v>33</v>
      </c>
      <c r="K224" s="10" t="s">
        <v>34</v>
      </c>
      <c r="N224" s="10" t="s">
        <v>296</v>
      </c>
      <c r="O224" s="18" t="s">
        <v>941</v>
      </c>
      <c r="P224" s="10" t="s">
        <v>296</v>
      </c>
      <c r="Q224" s="10">
        <v>1.0</v>
      </c>
      <c r="R224" s="10" t="s">
        <v>35</v>
      </c>
      <c r="T224" s="10" t="s">
        <v>35</v>
      </c>
      <c r="V224" s="9"/>
      <c r="W224" s="13" t="s">
        <v>78</v>
      </c>
      <c r="X224" s="10" t="s">
        <v>37</v>
      </c>
      <c r="Y224" s="10" t="s">
        <v>0</v>
      </c>
    </row>
    <row r="225">
      <c r="A225" s="10" t="s">
        <v>942</v>
      </c>
      <c r="B225" s="11">
        <v>44252.897555497686</v>
      </c>
      <c r="C225" s="10" t="s">
        <v>269</v>
      </c>
      <c r="D225" s="10" t="s">
        <v>168</v>
      </c>
      <c r="E225" s="10" t="s">
        <v>943</v>
      </c>
      <c r="F225" s="10" t="s">
        <v>944</v>
      </c>
      <c r="G225" s="10" t="s">
        <v>945</v>
      </c>
      <c r="H225" s="17">
        <v>44253.6875</v>
      </c>
      <c r="I225" s="17">
        <v>44253.72916666667</v>
      </c>
      <c r="J225" s="10" t="s">
        <v>128</v>
      </c>
      <c r="K225" s="10" t="s">
        <v>34</v>
      </c>
      <c r="N225" s="10" t="s">
        <v>35</v>
      </c>
      <c r="V225" s="9"/>
      <c r="W225" s="13" t="s">
        <v>78</v>
      </c>
      <c r="X225" s="10" t="s">
        <v>37</v>
      </c>
      <c r="Y225" s="10" t="s">
        <v>0</v>
      </c>
    </row>
    <row r="226">
      <c r="A226" s="10" t="s">
        <v>946</v>
      </c>
      <c r="B226" s="11">
        <v>44259.74114615741</v>
      </c>
      <c r="C226" s="10" t="s">
        <v>160</v>
      </c>
      <c r="D226" s="10" t="s">
        <v>161</v>
      </c>
      <c r="E226" s="10" t="s">
        <v>947</v>
      </c>
      <c r="F226" s="10" t="s">
        <v>948</v>
      </c>
      <c r="G226" s="10" t="s">
        <v>949</v>
      </c>
      <c r="H226" s="17">
        <v>44253.77083333333</v>
      </c>
      <c r="I226" s="17">
        <v>44253.72916666667</v>
      </c>
      <c r="J226" s="10" t="s">
        <v>128</v>
      </c>
      <c r="K226" s="10" t="s">
        <v>34</v>
      </c>
      <c r="N226" s="10" t="s">
        <v>35</v>
      </c>
      <c r="V226" s="9"/>
      <c r="W226" s="13" t="s">
        <v>78</v>
      </c>
      <c r="X226" s="10" t="s">
        <v>37</v>
      </c>
      <c r="Y226" s="10" t="s">
        <v>0</v>
      </c>
    </row>
    <row r="227">
      <c r="A227" s="10" t="s">
        <v>950</v>
      </c>
      <c r="B227" s="11">
        <v>44250.93366821759</v>
      </c>
      <c r="C227" s="10" t="s">
        <v>150</v>
      </c>
      <c r="D227" s="10" t="s">
        <v>151</v>
      </c>
      <c r="E227" s="10" t="s">
        <v>951</v>
      </c>
      <c r="F227" s="10" t="s">
        <v>952</v>
      </c>
      <c r="G227" s="10" t="s">
        <v>953</v>
      </c>
      <c r="H227" s="17">
        <v>44254.41666666667</v>
      </c>
      <c r="I227" s="17">
        <v>44254.5</v>
      </c>
      <c r="J227" s="10" t="s">
        <v>128</v>
      </c>
      <c r="K227" s="10" t="s">
        <v>34</v>
      </c>
      <c r="N227" s="10" t="s">
        <v>296</v>
      </c>
      <c r="O227" s="18" t="s">
        <v>954</v>
      </c>
      <c r="P227" s="10" t="s">
        <v>35</v>
      </c>
      <c r="R227" s="10" t="s">
        <v>35</v>
      </c>
      <c r="T227" s="10" t="s">
        <v>296</v>
      </c>
      <c r="U227" s="10">
        <v>1.0</v>
      </c>
      <c r="V227" s="27"/>
      <c r="W227" s="13" t="s">
        <v>78</v>
      </c>
      <c r="X227" s="10" t="s">
        <v>37</v>
      </c>
      <c r="Y227" s="10" t="s">
        <v>0</v>
      </c>
    </row>
    <row r="228">
      <c r="A228" s="10" t="s">
        <v>955</v>
      </c>
      <c r="B228" s="11">
        <v>44254.434974895834</v>
      </c>
      <c r="C228" s="10" t="s">
        <v>418</v>
      </c>
      <c r="D228" s="10" t="s">
        <v>419</v>
      </c>
      <c r="E228" s="10" t="s">
        <v>956</v>
      </c>
      <c r="F228" s="10" t="s">
        <v>957</v>
      </c>
      <c r="G228" s="10" t="s">
        <v>958</v>
      </c>
      <c r="H228" s="16">
        <v>44254.41666666667</v>
      </c>
      <c r="I228" s="16">
        <v>44254.5</v>
      </c>
      <c r="J228" s="10" t="s">
        <v>128</v>
      </c>
      <c r="K228" s="10" t="s">
        <v>34</v>
      </c>
      <c r="N228" s="10" t="s">
        <v>296</v>
      </c>
      <c r="O228" s="18" t="s">
        <v>959</v>
      </c>
      <c r="P228" s="10" t="s">
        <v>296</v>
      </c>
      <c r="Q228" s="10">
        <v>1.0</v>
      </c>
      <c r="R228" s="10" t="s">
        <v>296</v>
      </c>
      <c r="S228" s="10">
        <v>1.0</v>
      </c>
      <c r="T228" s="10" t="s">
        <v>35</v>
      </c>
      <c r="V228" s="9"/>
      <c r="W228" s="13" t="s">
        <v>78</v>
      </c>
      <c r="X228" s="10" t="s">
        <v>37</v>
      </c>
      <c r="Y228" s="10" t="s">
        <v>0</v>
      </c>
    </row>
    <row r="229">
      <c r="A229" s="10" t="s">
        <v>960</v>
      </c>
      <c r="B229" s="11">
        <v>44245.70424265046</v>
      </c>
      <c r="C229" s="10" t="s">
        <v>347</v>
      </c>
      <c r="D229" s="10" t="s">
        <v>348</v>
      </c>
      <c r="E229" s="10" t="s">
        <v>349</v>
      </c>
      <c r="F229" s="10" t="s">
        <v>961</v>
      </c>
      <c r="G229" s="10" t="s">
        <v>962</v>
      </c>
      <c r="H229" s="24">
        <v>44254.4375</v>
      </c>
      <c r="I229" s="24">
        <v>44254.52083333333</v>
      </c>
      <c r="J229" s="10" t="s">
        <v>128</v>
      </c>
      <c r="K229" s="10" t="s">
        <v>34</v>
      </c>
      <c r="N229" s="10" t="s">
        <v>35</v>
      </c>
      <c r="V229" s="9"/>
      <c r="W229" s="13" t="s">
        <v>36</v>
      </c>
      <c r="X229" s="10" t="s">
        <v>37</v>
      </c>
      <c r="Y229" s="10" t="s">
        <v>0</v>
      </c>
    </row>
    <row r="230">
      <c r="A230" s="10" t="s">
        <v>963</v>
      </c>
      <c r="B230" s="11">
        <v>44246.57725769676</v>
      </c>
      <c r="C230" s="10" t="s">
        <v>181</v>
      </c>
      <c r="D230" s="10" t="s">
        <v>69</v>
      </c>
      <c r="E230" s="10" t="s">
        <v>964</v>
      </c>
      <c r="F230" s="10" t="s">
        <v>965</v>
      </c>
      <c r="G230" s="10" t="s">
        <v>966</v>
      </c>
      <c r="H230" s="24">
        <v>44254.60416666667</v>
      </c>
      <c r="I230" s="24">
        <v>44254.6875</v>
      </c>
      <c r="J230" s="10" t="s">
        <v>33</v>
      </c>
      <c r="K230" s="10" t="s">
        <v>34</v>
      </c>
      <c r="N230" s="10" t="s">
        <v>35</v>
      </c>
      <c r="V230" s="9"/>
      <c r="W230" s="13" t="s">
        <v>78</v>
      </c>
      <c r="X230" s="10" t="s">
        <v>37</v>
      </c>
      <c r="Y230" s="10" t="s">
        <v>0</v>
      </c>
    </row>
    <row r="231">
      <c r="A231" s="10" t="s">
        <v>967</v>
      </c>
      <c r="B231" s="11">
        <v>44259.74433366898</v>
      </c>
      <c r="C231" s="10" t="s">
        <v>160</v>
      </c>
      <c r="D231" s="10" t="s">
        <v>161</v>
      </c>
      <c r="E231" s="10" t="s">
        <v>968</v>
      </c>
      <c r="F231" s="10" t="s">
        <v>969</v>
      </c>
      <c r="G231" s="10" t="s">
        <v>970</v>
      </c>
      <c r="H231" s="17">
        <v>44254.60416666667</v>
      </c>
      <c r="I231" s="17">
        <v>44254.64583333333</v>
      </c>
      <c r="J231" s="10" t="s">
        <v>128</v>
      </c>
      <c r="K231" s="10" t="s">
        <v>34</v>
      </c>
      <c r="N231" s="10" t="s">
        <v>35</v>
      </c>
      <c r="V231" s="9"/>
      <c r="W231" s="13" t="s">
        <v>78</v>
      </c>
      <c r="X231" s="10" t="s">
        <v>37</v>
      </c>
      <c r="Y231" s="10" t="s">
        <v>0</v>
      </c>
    </row>
    <row r="232">
      <c r="A232" s="10" t="s">
        <v>971</v>
      </c>
      <c r="B232" s="11">
        <v>44244.90825142361</v>
      </c>
      <c r="C232" s="10" t="s">
        <v>28</v>
      </c>
      <c r="D232" s="10" t="s">
        <v>29</v>
      </c>
      <c r="E232" s="10" t="s">
        <v>63</v>
      </c>
      <c r="F232" s="10" t="s">
        <v>972</v>
      </c>
      <c r="G232" s="10" t="s">
        <v>973</v>
      </c>
      <c r="H232" s="24">
        <v>44252.60416666667</v>
      </c>
      <c r="I232" s="24">
        <v>44252.64583333333</v>
      </c>
      <c r="J232" s="10" t="s">
        <v>43</v>
      </c>
      <c r="K232" s="10" t="s">
        <v>34</v>
      </c>
      <c r="N232" s="10" t="s">
        <v>35</v>
      </c>
      <c r="V232" s="9"/>
      <c r="W232" s="13" t="s">
        <v>36</v>
      </c>
      <c r="X232" s="10" t="s">
        <v>37</v>
      </c>
      <c r="Y232" s="10" t="s">
        <v>0</v>
      </c>
    </row>
    <row r="233">
      <c r="A233" s="10" t="s">
        <v>974</v>
      </c>
      <c r="B233" s="11">
        <v>44250.515914814816</v>
      </c>
      <c r="C233" s="10" t="s">
        <v>975</v>
      </c>
      <c r="D233" s="10" t="s">
        <v>976</v>
      </c>
      <c r="E233" s="10" t="s">
        <v>977</v>
      </c>
      <c r="F233" s="10" t="s">
        <v>978</v>
      </c>
      <c r="G233" s="10" t="s">
        <v>979</v>
      </c>
      <c r="H233" s="17">
        <v>44254.625</v>
      </c>
      <c r="I233" s="17">
        <v>44254.66666666667</v>
      </c>
      <c r="J233" s="10" t="s">
        <v>128</v>
      </c>
      <c r="K233" s="10" t="s">
        <v>34</v>
      </c>
      <c r="N233" s="10" t="s">
        <v>35</v>
      </c>
      <c r="V233" s="9"/>
      <c r="W233" s="13" t="s">
        <v>78</v>
      </c>
      <c r="X233" s="10" t="s">
        <v>37</v>
      </c>
      <c r="Y233" s="10" t="s">
        <v>0</v>
      </c>
    </row>
    <row r="234">
      <c r="A234" s="10" t="s">
        <v>980</v>
      </c>
      <c r="B234" s="11">
        <v>44250.7128859375</v>
      </c>
      <c r="C234" s="10" t="s">
        <v>336</v>
      </c>
      <c r="D234" s="10" t="s">
        <v>337</v>
      </c>
      <c r="E234" s="10" t="s">
        <v>981</v>
      </c>
      <c r="F234" s="10" t="s">
        <v>982</v>
      </c>
      <c r="G234" s="10" t="s">
        <v>983</v>
      </c>
      <c r="H234" s="17">
        <v>44254.625</v>
      </c>
      <c r="I234" s="17">
        <v>44254.66666666667</v>
      </c>
      <c r="J234" s="10" t="s">
        <v>128</v>
      </c>
      <c r="K234" s="10" t="s">
        <v>34</v>
      </c>
      <c r="N234" s="10" t="s">
        <v>35</v>
      </c>
      <c r="V234" s="9"/>
      <c r="W234" s="13" t="s">
        <v>78</v>
      </c>
      <c r="X234" s="10" t="s">
        <v>37</v>
      </c>
      <c r="Y234" s="10" t="s">
        <v>0</v>
      </c>
    </row>
    <row r="235">
      <c r="A235" s="10" t="s">
        <v>984</v>
      </c>
      <c r="B235" s="11">
        <v>44259.74294615741</v>
      </c>
      <c r="C235" s="10" t="s">
        <v>160</v>
      </c>
      <c r="D235" s="10" t="s">
        <v>161</v>
      </c>
      <c r="E235" s="10" t="s">
        <v>985</v>
      </c>
      <c r="F235" s="10" t="s">
        <v>986</v>
      </c>
      <c r="G235" s="10" t="s">
        <v>970</v>
      </c>
      <c r="H235" s="17">
        <v>44254.64583333333</v>
      </c>
      <c r="I235" s="17">
        <v>44254.6875</v>
      </c>
      <c r="J235" s="10" t="s">
        <v>128</v>
      </c>
      <c r="K235" s="10" t="s">
        <v>34</v>
      </c>
      <c r="N235" s="10" t="s">
        <v>35</v>
      </c>
      <c r="V235" s="9"/>
      <c r="W235" s="13" t="s">
        <v>78</v>
      </c>
      <c r="X235" s="10" t="s">
        <v>37</v>
      </c>
      <c r="Y235" s="10" t="s">
        <v>0</v>
      </c>
    </row>
    <row r="236">
      <c r="A236" s="10" t="s">
        <v>987</v>
      </c>
      <c r="B236" s="11">
        <v>44240.810671377316</v>
      </c>
      <c r="C236" s="10" t="s">
        <v>137</v>
      </c>
      <c r="D236" s="10" t="s">
        <v>138</v>
      </c>
      <c r="E236" s="10" t="s">
        <v>920</v>
      </c>
      <c r="F236" s="10" t="s">
        <v>988</v>
      </c>
      <c r="G236" s="10" t="s">
        <v>989</v>
      </c>
      <c r="H236" s="24">
        <v>44254.66666666667</v>
      </c>
      <c r="I236" s="24">
        <v>44254.75</v>
      </c>
      <c r="J236" s="10" t="s">
        <v>60</v>
      </c>
      <c r="K236" s="10" t="s">
        <v>34</v>
      </c>
      <c r="N236" s="10" t="s">
        <v>35</v>
      </c>
      <c r="V236" s="9"/>
      <c r="W236" s="13" t="s">
        <v>36</v>
      </c>
      <c r="X236" s="10" t="s">
        <v>37</v>
      </c>
      <c r="Y236" s="10" t="s">
        <v>0</v>
      </c>
    </row>
    <row r="237">
      <c r="A237" s="10" t="s">
        <v>990</v>
      </c>
      <c r="B237" s="11">
        <v>44249.9867835301</v>
      </c>
      <c r="C237" s="10" t="s">
        <v>239</v>
      </c>
      <c r="D237" s="10" t="s">
        <v>240</v>
      </c>
      <c r="E237" s="10" t="s">
        <v>991</v>
      </c>
      <c r="F237" s="10" t="s">
        <v>992</v>
      </c>
      <c r="G237" s="10" t="s">
        <v>993</v>
      </c>
      <c r="H237" s="16">
        <v>44255.0</v>
      </c>
      <c r="I237" s="16">
        <v>44255.5</v>
      </c>
      <c r="J237" s="10" t="s">
        <v>73</v>
      </c>
      <c r="K237" s="10" t="s">
        <v>34</v>
      </c>
      <c r="N237" s="10" t="s">
        <v>35</v>
      </c>
      <c r="V237" s="9"/>
      <c r="W237" s="13" t="s">
        <v>78</v>
      </c>
      <c r="X237" s="10" t="s">
        <v>37</v>
      </c>
      <c r="Y237" s="10" t="s">
        <v>0</v>
      </c>
    </row>
    <row r="238">
      <c r="A238" s="10" t="s">
        <v>994</v>
      </c>
      <c r="B238" s="11">
        <v>44242.74443795139</v>
      </c>
      <c r="C238" s="10" t="s">
        <v>181</v>
      </c>
      <c r="D238" s="10" t="s">
        <v>69</v>
      </c>
      <c r="E238" s="10" t="s">
        <v>808</v>
      </c>
      <c r="F238" s="10" t="s">
        <v>995</v>
      </c>
      <c r="G238" s="10" t="s">
        <v>72</v>
      </c>
      <c r="H238" s="17">
        <v>44255.3125</v>
      </c>
      <c r="I238" s="17">
        <v>44347.3125</v>
      </c>
      <c r="J238" s="10" t="s">
        <v>73</v>
      </c>
      <c r="K238" s="10" t="s">
        <v>34</v>
      </c>
      <c r="N238" s="10" t="s">
        <v>35</v>
      </c>
      <c r="V238" s="9"/>
      <c r="W238" s="13" t="s">
        <v>36</v>
      </c>
      <c r="X238" s="10" t="s">
        <v>37</v>
      </c>
      <c r="Y238" s="10" t="s">
        <v>0</v>
      </c>
    </row>
    <row r="239">
      <c r="A239" s="10" t="s">
        <v>996</v>
      </c>
      <c r="B239" s="11">
        <v>44251.49963265046</v>
      </c>
      <c r="C239" s="10" t="s">
        <v>181</v>
      </c>
      <c r="D239" s="10" t="s">
        <v>69</v>
      </c>
      <c r="E239" s="10" t="s">
        <v>860</v>
      </c>
      <c r="F239" s="10" t="s">
        <v>997</v>
      </c>
      <c r="G239" s="10" t="s">
        <v>998</v>
      </c>
      <c r="H239" s="17">
        <v>44255.375</v>
      </c>
      <c r="I239" s="17">
        <v>44255.95833333333</v>
      </c>
      <c r="J239" s="10" t="s">
        <v>73</v>
      </c>
      <c r="K239" s="10" t="s">
        <v>34</v>
      </c>
      <c r="N239" s="10" t="s">
        <v>35</v>
      </c>
      <c r="V239" s="9"/>
      <c r="W239" s="13" t="s">
        <v>78</v>
      </c>
      <c r="X239" s="10" t="s">
        <v>37</v>
      </c>
      <c r="Y239" s="10" t="s">
        <v>0</v>
      </c>
    </row>
    <row r="240">
      <c r="A240" s="10" t="s">
        <v>999</v>
      </c>
      <c r="B240" s="11">
        <v>44249.98822799769</v>
      </c>
      <c r="C240" s="10" t="s">
        <v>239</v>
      </c>
      <c r="D240" s="10" t="s">
        <v>240</v>
      </c>
      <c r="E240" s="10" t="s">
        <v>991</v>
      </c>
      <c r="F240" s="10" t="s">
        <v>1000</v>
      </c>
      <c r="G240" s="10" t="s">
        <v>1001</v>
      </c>
      <c r="H240" s="24">
        <v>44256.0</v>
      </c>
      <c r="I240" s="24">
        <v>44260.6875</v>
      </c>
      <c r="J240" s="10" t="s">
        <v>51</v>
      </c>
      <c r="K240" s="10" t="s">
        <v>34</v>
      </c>
      <c r="N240" s="10" t="s">
        <v>35</v>
      </c>
      <c r="V240" s="9"/>
      <c r="W240" s="13" t="s">
        <v>78</v>
      </c>
      <c r="X240" s="10" t="s">
        <v>37</v>
      </c>
      <c r="Y240" s="10" t="s">
        <v>0</v>
      </c>
    </row>
    <row r="241">
      <c r="A241" s="10" t="s">
        <v>1002</v>
      </c>
      <c r="B241" s="11">
        <v>44269.694119224536</v>
      </c>
      <c r="C241" s="10" t="s">
        <v>102</v>
      </c>
      <c r="D241" s="10" t="s">
        <v>103</v>
      </c>
      <c r="E241" s="10" t="s">
        <v>1003</v>
      </c>
      <c r="F241" s="10" t="s">
        <v>1004</v>
      </c>
      <c r="G241" s="10" t="s">
        <v>1005</v>
      </c>
      <c r="H241" s="17">
        <v>44256.125</v>
      </c>
      <c r="I241" s="17">
        <v>44256.20833333333</v>
      </c>
      <c r="J241" s="10" t="s">
        <v>128</v>
      </c>
      <c r="K241" s="10" t="s">
        <v>34</v>
      </c>
      <c r="N241" s="10" t="s">
        <v>35</v>
      </c>
      <c r="V241" s="9"/>
      <c r="W241" s="13" t="s">
        <v>78</v>
      </c>
      <c r="X241" s="10" t="s">
        <v>37</v>
      </c>
      <c r="Y241" s="10" t="s">
        <v>0</v>
      </c>
    </row>
    <row r="242">
      <c r="A242" s="10" t="s">
        <v>1006</v>
      </c>
      <c r="B242" s="11">
        <v>44253.66622971065</v>
      </c>
      <c r="C242" s="10" t="s">
        <v>1007</v>
      </c>
      <c r="D242" s="10" t="s">
        <v>1008</v>
      </c>
      <c r="E242" s="10" t="s">
        <v>1009</v>
      </c>
      <c r="F242" s="10" t="s">
        <v>1010</v>
      </c>
      <c r="G242" s="10" t="s">
        <v>1011</v>
      </c>
      <c r="H242" s="17">
        <v>44256.20833333333</v>
      </c>
      <c r="I242" s="17">
        <v>44256.29166666667</v>
      </c>
      <c r="J242" s="10" t="s">
        <v>128</v>
      </c>
      <c r="K242" s="10" t="s">
        <v>34</v>
      </c>
      <c r="N242" s="10" t="s">
        <v>35</v>
      </c>
      <c r="V242" s="9"/>
      <c r="W242" s="13" t="s">
        <v>78</v>
      </c>
      <c r="X242" s="10" t="s">
        <v>37</v>
      </c>
      <c r="Y242" s="10" t="s">
        <v>0</v>
      </c>
    </row>
    <row r="243">
      <c r="A243" s="10" t="s">
        <v>1012</v>
      </c>
      <c r="B243" s="11">
        <v>44253.64820054398</v>
      </c>
      <c r="C243" s="10" t="s">
        <v>539</v>
      </c>
      <c r="D243" s="10" t="s">
        <v>540</v>
      </c>
      <c r="E243" s="10" t="s">
        <v>541</v>
      </c>
      <c r="F243" s="10" t="s">
        <v>1013</v>
      </c>
      <c r="G243" s="10" t="s">
        <v>1014</v>
      </c>
      <c r="H243" s="17">
        <v>44256.47916666667</v>
      </c>
      <c r="I243" s="17">
        <v>44256.83333333333</v>
      </c>
      <c r="J243" s="10" t="s">
        <v>73</v>
      </c>
      <c r="K243" s="10" t="s">
        <v>34</v>
      </c>
      <c r="N243" s="10" t="s">
        <v>35</v>
      </c>
      <c r="V243" s="9"/>
      <c r="W243" s="13" t="s">
        <v>78</v>
      </c>
      <c r="X243" s="10" t="s">
        <v>37</v>
      </c>
      <c r="Y243" s="10" t="s">
        <v>0</v>
      </c>
    </row>
    <row r="244">
      <c r="A244" s="10" t="s">
        <v>1015</v>
      </c>
      <c r="B244" s="11">
        <v>44252.93936671296</v>
      </c>
      <c r="C244" s="10" t="s">
        <v>269</v>
      </c>
      <c r="D244" s="10" t="s">
        <v>168</v>
      </c>
      <c r="E244" s="10" t="s">
        <v>943</v>
      </c>
      <c r="F244" s="10" t="s">
        <v>1016</v>
      </c>
      <c r="G244" s="10" t="s">
        <v>1017</v>
      </c>
      <c r="H244" s="24">
        <v>44256.58333333333</v>
      </c>
      <c r="I244" s="24">
        <v>44263.58333333333</v>
      </c>
      <c r="J244" s="10" t="s">
        <v>51</v>
      </c>
      <c r="K244" s="10" t="s">
        <v>34</v>
      </c>
      <c r="N244" s="10" t="s">
        <v>35</v>
      </c>
      <c r="V244" s="9"/>
      <c r="W244" s="13" t="s">
        <v>78</v>
      </c>
      <c r="X244" s="10" t="s">
        <v>37</v>
      </c>
      <c r="Y244" s="10" t="s">
        <v>0</v>
      </c>
    </row>
    <row r="245">
      <c r="A245" s="10" t="s">
        <v>1018</v>
      </c>
      <c r="B245" s="11">
        <v>44256.786600127314</v>
      </c>
      <c r="C245" s="10" t="s">
        <v>491</v>
      </c>
      <c r="D245" s="10" t="s">
        <v>492</v>
      </c>
      <c r="E245" s="10" t="s">
        <v>853</v>
      </c>
      <c r="F245" s="10" t="s">
        <v>1019</v>
      </c>
      <c r="G245" s="10" t="s">
        <v>1020</v>
      </c>
      <c r="H245" s="16">
        <v>44256.75</v>
      </c>
      <c r="I245" s="16">
        <v>44256.75</v>
      </c>
      <c r="J245" s="10" t="s">
        <v>73</v>
      </c>
      <c r="K245" s="10" t="s">
        <v>34</v>
      </c>
      <c r="N245" s="10" t="s">
        <v>35</v>
      </c>
      <c r="V245" s="9"/>
      <c r="W245" s="13" t="s">
        <v>78</v>
      </c>
      <c r="X245" s="10" t="s">
        <v>37</v>
      </c>
      <c r="Y245" s="10" t="s">
        <v>0</v>
      </c>
    </row>
    <row r="246">
      <c r="A246" s="10" t="s">
        <v>1021</v>
      </c>
      <c r="B246" s="11">
        <v>44251.50513659722</v>
      </c>
      <c r="C246" s="10" t="s">
        <v>181</v>
      </c>
      <c r="D246" s="10" t="s">
        <v>69</v>
      </c>
      <c r="E246" s="10" t="s">
        <v>1022</v>
      </c>
      <c r="F246" s="10" t="s">
        <v>1023</v>
      </c>
      <c r="G246" s="10" t="s">
        <v>1024</v>
      </c>
      <c r="H246" s="17">
        <v>44257.375</v>
      </c>
      <c r="I246" s="17">
        <v>44257.375</v>
      </c>
      <c r="J246" s="10" t="s">
        <v>73</v>
      </c>
      <c r="K246" s="10" t="s">
        <v>34</v>
      </c>
      <c r="N246" s="10" t="s">
        <v>35</v>
      </c>
      <c r="V246" s="9"/>
      <c r="W246" s="13" t="s">
        <v>78</v>
      </c>
      <c r="X246" s="10" t="s">
        <v>37</v>
      </c>
      <c r="Y246" s="10" t="s">
        <v>0</v>
      </c>
    </row>
    <row r="247">
      <c r="A247" s="10" t="s">
        <v>1025</v>
      </c>
      <c r="B247" s="11">
        <v>44248.40563105324</v>
      </c>
      <c r="C247" s="10" t="s">
        <v>80</v>
      </c>
      <c r="D247" s="10" t="s">
        <v>81</v>
      </c>
      <c r="E247" s="10" t="s">
        <v>82</v>
      </c>
      <c r="F247" s="10" t="s">
        <v>590</v>
      </c>
      <c r="G247" s="10" t="s">
        <v>587</v>
      </c>
      <c r="H247" s="24">
        <v>44257.52083333333</v>
      </c>
      <c r="I247" s="24">
        <v>44257.70833333333</v>
      </c>
      <c r="J247" s="10" t="s">
        <v>73</v>
      </c>
      <c r="K247" s="10" t="s">
        <v>34</v>
      </c>
      <c r="N247" s="10" t="s">
        <v>35</v>
      </c>
      <c r="V247" s="9"/>
      <c r="W247" s="13" t="s">
        <v>78</v>
      </c>
      <c r="X247" s="10" t="s">
        <v>37</v>
      </c>
      <c r="Y247" s="10" t="s">
        <v>0</v>
      </c>
    </row>
    <row r="248">
      <c r="A248" s="10" t="s">
        <v>1026</v>
      </c>
      <c r="B248" s="11">
        <v>44256.586447939815</v>
      </c>
      <c r="C248" s="10" t="s">
        <v>209</v>
      </c>
      <c r="D248" s="10" t="s">
        <v>210</v>
      </c>
      <c r="E248" s="10" t="s">
        <v>1027</v>
      </c>
      <c r="F248" s="10" t="s">
        <v>1028</v>
      </c>
      <c r="G248" s="10" t="s">
        <v>1029</v>
      </c>
      <c r="H248" s="16">
        <v>44258.41666666667</v>
      </c>
      <c r="I248" s="16">
        <v>44258.41666666667</v>
      </c>
      <c r="J248" s="10" t="s">
        <v>51</v>
      </c>
      <c r="K248" s="10" t="s">
        <v>34</v>
      </c>
      <c r="N248" s="10" t="s">
        <v>35</v>
      </c>
      <c r="V248" s="9"/>
      <c r="W248" s="13" t="s">
        <v>78</v>
      </c>
      <c r="X248" s="10" t="s">
        <v>37</v>
      </c>
      <c r="Y248" s="10" t="s">
        <v>0</v>
      </c>
    </row>
    <row r="249">
      <c r="A249" s="10" t="s">
        <v>1030</v>
      </c>
      <c r="B249" s="11">
        <v>44253.690487314816</v>
      </c>
      <c r="C249" s="10" t="s">
        <v>539</v>
      </c>
      <c r="D249" s="10" t="s">
        <v>540</v>
      </c>
      <c r="E249" s="10" t="s">
        <v>1031</v>
      </c>
      <c r="F249" s="10" t="s">
        <v>1032</v>
      </c>
      <c r="G249" s="10" t="s">
        <v>1033</v>
      </c>
      <c r="H249" s="17">
        <v>44258.47916666667</v>
      </c>
      <c r="I249" s="17">
        <v>44258.83333333333</v>
      </c>
      <c r="J249" s="10" t="s">
        <v>73</v>
      </c>
      <c r="K249" s="10" t="s">
        <v>34</v>
      </c>
      <c r="N249" s="10" t="s">
        <v>35</v>
      </c>
      <c r="V249" s="9"/>
      <c r="W249" s="13" t="s">
        <v>78</v>
      </c>
      <c r="X249" s="10" t="s">
        <v>37</v>
      </c>
      <c r="Y249" s="10" t="s">
        <v>0</v>
      </c>
    </row>
    <row r="250">
      <c r="A250" s="10" t="s">
        <v>1034</v>
      </c>
      <c r="B250" s="11">
        <v>44272.508236828704</v>
      </c>
      <c r="C250" s="10" t="s">
        <v>1035</v>
      </c>
      <c r="D250" s="10" t="s">
        <v>1036</v>
      </c>
      <c r="E250" s="10" t="s">
        <v>1037</v>
      </c>
      <c r="F250" s="10" t="s">
        <v>1038</v>
      </c>
      <c r="G250" s="10" t="s">
        <v>1039</v>
      </c>
      <c r="H250" s="17">
        <v>44258.625</v>
      </c>
      <c r="I250" s="17">
        <v>44258.66666666667</v>
      </c>
      <c r="J250" s="10" t="s">
        <v>128</v>
      </c>
      <c r="K250" s="10" t="s">
        <v>34</v>
      </c>
      <c r="N250" s="10" t="s">
        <v>35</v>
      </c>
      <c r="V250" s="9"/>
      <c r="W250" s="13" t="s">
        <v>78</v>
      </c>
      <c r="X250" s="10" t="s">
        <v>37</v>
      </c>
      <c r="Y250" s="10" t="s">
        <v>0</v>
      </c>
    </row>
    <row r="251">
      <c r="A251" s="10" t="s">
        <v>1040</v>
      </c>
      <c r="B251" s="11">
        <v>44259.333641550926</v>
      </c>
      <c r="C251" s="10" t="s">
        <v>491</v>
      </c>
      <c r="D251" s="10" t="s">
        <v>492</v>
      </c>
      <c r="E251" s="10" t="s">
        <v>853</v>
      </c>
      <c r="F251" s="10" t="s">
        <v>1041</v>
      </c>
      <c r="G251" s="10" t="s">
        <v>1042</v>
      </c>
      <c r="H251" s="16">
        <v>44258.79166666667</v>
      </c>
      <c r="I251" s="16">
        <v>44258.79166666667</v>
      </c>
      <c r="J251" s="10" t="s">
        <v>73</v>
      </c>
      <c r="K251" s="10" t="s">
        <v>34</v>
      </c>
      <c r="N251" s="10" t="s">
        <v>35</v>
      </c>
      <c r="V251" s="9"/>
      <c r="W251" s="13" t="s">
        <v>78</v>
      </c>
      <c r="X251" s="10" t="s">
        <v>37</v>
      </c>
      <c r="Y251" s="10" t="s">
        <v>0</v>
      </c>
    </row>
    <row r="252">
      <c r="A252" s="10" t="s">
        <v>1043</v>
      </c>
      <c r="B252" s="11">
        <v>44242.74691689815</v>
      </c>
      <c r="C252" s="10" t="s">
        <v>181</v>
      </c>
      <c r="D252" s="21" t="s">
        <v>69</v>
      </c>
      <c r="E252" s="21" t="s">
        <v>313</v>
      </c>
      <c r="F252" s="21" t="s">
        <v>1044</v>
      </c>
      <c r="G252" s="21" t="s">
        <v>1045</v>
      </c>
      <c r="H252" s="22">
        <v>44253.39583333333</v>
      </c>
      <c r="I252" s="22">
        <v>44253.47916666667</v>
      </c>
      <c r="J252" s="10" t="s">
        <v>236</v>
      </c>
      <c r="K252" s="10" t="s">
        <v>34</v>
      </c>
      <c r="N252" s="10" t="s">
        <v>296</v>
      </c>
      <c r="O252" s="18" t="s">
        <v>1046</v>
      </c>
      <c r="P252" s="10" t="s">
        <v>296</v>
      </c>
      <c r="Q252" s="10">
        <v>1.0</v>
      </c>
      <c r="R252" s="10" t="s">
        <v>35</v>
      </c>
      <c r="T252" s="10" t="s">
        <v>35</v>
      </c>
      <c r="V252" s="9"/>
      <c r="W252" s="13" t="s">
        <v>78</v>
      </c>
      <c r="X252" s="10" t="s">
        <v>37</v>
      </c>
      <c r="Y252" s="10" t="s">
        <v>0</v>
      </c>
    </row>
    <row r="253">
      <c r="A253" s="10" t="s">
        <v>1047</v>
      </c>
      <c r="B253" s="11">
        <v>44247.51246736111</v>
      </c>
      <c r="C253" s="10" t="s">
        <v>694</v>
      </c>
      <c r="D253" s="10" t="s">
        <v>695</v>
      </c>
      <c r="E253" s="10" t="s">
        <v>696</v>
      </c>
      <c r="F253" s="10" t="s">
        <v>1048</v>
      </c>
      <c r="G253" s="10" t="s">
        <v>1049</v>
      </c>
      <c r="H253" s="16">
        <v>44253.39583333333</v>
      </c>
      <c r="I253" s="16">
        <v>44253.4375</v>
      </c>
      <c r="J253" s="10" t="s">
        <v>43</v>
      </c>
      <c r="K253" s="10" t="s">
        <v>34</v>
      </c>
      <c r="N253" s="10" t="s">
        <v>35</v>
      </c>
      <c r="V253" s="9"/>
      <c r="W253" s="13" t="s">
        <v>78</v>
      </c>
      <c r="X253" s="10" t="s">
        <v>37</v>
      </c>
      <c r="Y253" s="10" t="s">
        <v>0</v>
      </c>
    </row>
    <row r="254">
      <c r="A254" s="10" t="s">
        <v>1050</v>
      </c>
      <c r="B254" s="11">
        <v>44253.3332519213</v>
      </c>
      <c r="C254" s="10" t="s">
        <v>181</v>
      </c>
      <c r="D254" s="10" t="s">
        <v>69</v>
      </c>
      <c r="E254" s="10" t="s">
        <v>1051</v>
      </c>
      <c r="F254" s="10" t="s">
        <v>1052</v>
      </c>
      <c r="G254" s="10" t="s">
        <v>1053</v>
      </c>
      <c r="H254" s="17">
        <v>44259.375</v>
      </c>
      <c r="I254" s="17">
        <v>44259.95833333333</v>
      </c>
      <c r="J254" s="10" t="s">
        <v>73</v>
      </c>
      <c r="K254" s="10" t="s">
        <v>34</v>
      </c>
      <c r="N254" s="10" t="s">
        <v>296</v>
      </c>
      <c r="O254" s="18" t="s">
        <v>1054</v>
      </c>
      <c r="P254" s="10" t="s">
        <v>35</v>
      </c>
      <c r="R254" s="10" t="s">
        <v>35</v>
      </c>
      <c r="T254" s="10" t="s">
        <v>296</v>
      </c>
      <c r="U254" s="10">
        <v>1.0</v>
      </c>
      <c r="V254" s="27"/>
      <c r="W254" s="13" t="s">
        <v>78</v>
      </c>
      <c r="X254" s="10" t="s">
        <v>37</v>
      </c>
      <c r="Y254" s="10" t="s">
        <v>0</v>
      </c>
    </row>
    <row r="255">
      <c r="A255" s="10" t="s">
        <v>1055</v>
      </c>
      <c r="B255" s="11">
        <v>44257.76791962963</v>
      </c>
      <c r="C255" s="10" t="s">
        <v>181</v>
      </c>
      <c r="D255" s="10" t="s">
        <v>69</v>
      </c>
      <c r="E255" s="10" t="s">
        <v>1051</v>
      </c>
      <c r="F255" s="10" t="s">
        <v>1052</v>
      </c>
      <c r="G255" s="10" t="s">
        <v>1056</v>
      </c>
      <c r="H255" s="17">
        <v>44259.375</v>
      </c>
      <c r="I255" s="17">
        <v>44259.95833333333</v>
      </c>
      <c r="J255" s="10" t="s">
        <v>73</v>
      </c>
      <c r="K255" s="10" t="s">
        <v>34</v>
      </c>
      <c r="N255" s="10" t="s">
        <v>296</v>
      </c>
      <c r="O255" s="18" t="s">
        <v>1057</v>
      </c>
      <c r="P255" s="10" t="s">
        <v>35</v>
      </c>
      <c r="R255" s="10" t="s">
        <v>35</v>
      </c>
      <c r="T255" s="10" t="s">
        <v>296</v>
      </c>
      <c r="U255" s="10">
        <v>1.0</v>
      </c>
      <c r="V255" s="27"/>
      <c r="W255" s="13" t="s">
        <v>78</v>
      </c>
      <c r="X255" s="10" t="s">
        <v>37</v>
      </c>
      <c r="Y255" s="10" t="s">
        <v>0</v>
      </c>
    </row>
    <row r="256">
      <c r="A256" s="10" t="s">
        <v>1058</v>
      </c>
      <c r="B256" s="11">
        <v>44248.408734826386</v>
      </c>
      <c r="C256" s="10" t="s">
        <v>80</v>
      </c>
      <c r="D256" s="10" t="s">
        <v>81</v>
      </c>
      <c r="E256" s="10" t="s">
        <v>82</v>
      </c>
      <c r="F256" s="10" t="s">
        <v>1059</v>
      </c>
      <c r="G256" s="10" t="s">
        <v>1060</v>
      </c>
      <c r="H256" s="24">
        <v>44259.52083333333</v>
      </c>
      <c r="I256" s="24">
        <v>44259.70833333333</v>
      </c>
      <c r="J256" s="10" t="s">
        <v>73</v>
      </c>
      <c r="K256" s="10" t="s">
        <v>34</v>
      </c>
      <c r="N256" s="10" t="s">
        <v>35</v>
      </c>
      <c r="V256" s="9"/>
      <c r="W256" s="13" t="s">
        <v>78</v>
      </c>
      <c r="X256" s="10" t="s">
        <v>37</v>
      </c>
      <c r="Y256" s="10" t="s">
        <v>0</v>
      </c>
    </row>
    <row r="257">
      <c r="A257" s="10" t="s">
        <v>1061</v>
      </c>
      <c r="B257" s="11">
        <v>44261.578338067135</v>
      </c>
      <c r="C257" s="10" t="s">
        <v>727</v>
      </c>
      <c r="D257" s="10" t="s">
        <v>728</v>
      </c>
      <c r="E257" s="10" t="s">
        <v>1062</v>
      </c>
      <c r="F257" s="10" t="s">
        <v>1063</v>
      </c>
      <c r="G257" s="10" t="s">
        <v>1064</v>
      </c>
      <c r="H257" s="17">
        <v>44259.5625</v>
      </c>
      <c r="I257" s="17">
        <v>44259.60416666667</v>
      </c>
      <c r="J257" s="10" t="s">
        <v>128</v>
      </c>
      <c r="K257" s="10" t="s">
        <v>34</v>
      </c>
      <c r="N257" s="10" t="s">
        <v>35</v>
      </c>
      <c r="V257" s="9"/>
      <c r="W257" s="13" t="s">
        <v>66</v>
      </c>
      <c r="X257" s="10" t="s">
        <v>37</v>
      </c>
      <c r="Y257" s="10" t="s">
        <v>0</v>
      </c>
    </row>
    <row r="258">
      <c r="A258" s="10" t="s">
        <v>1065</v>
      </c>
      <c r="B258" s="11">
        <v>44257.77965251157</v>
      </c>
      <c r="C258" s="10" t="s">
        <v>694</v>
      </c>
      <c r="D258" s="10" t="s">
        <v>695</v>
      </c>
      <c r="E258" s="10" t="s">
        <v>696</v>
      </c>
      <c r="F258" s="10" t="s">
        <v>1066</v>
      </c>
      <c r="G258" s="10" t="s">
        <v>1067</v>
      </c>
      <c r="H258" s="16">
        <v>44259.60416666667</v>
      </c>
      <c r="I258" s="16">
        <v>44260.64583333333</v>
      </c>
      <c r="J258" s="10" t="s">
        <v>33</v>
      </c>
      <c r="K258" s="10" t="s">
        <v>34</v>
      </c>
      <c r="N258" s="10" t="s">
        <v>35</v>
      </c>
      <c r="V258" s="9"/>
      <c r="W258" s="13" t="s">
        <v>78</v>
      </c>
      <c r="X258" s="10" t="s">
        <v>37</v>
      </c>
      <c r="Y258" s="10" t="s">
        <v>0</v>
      </c>
    </row>
    <row r="259">
      <c r="A259" s="10" t="s">
        <v>1068</v>
      </c>
      <c r="B259" s="11">
        <v>44244.762540763884</v>
      </c>
      <c r="C259" s="10" t="s">
        <v>150</v>
      </c>
      <c r="D259" s="10" t="s">
        <v>151</v>
      </c>
      <c r="E259" s="10" t="s">
        <v>1069</v>
      </c>
      <c r="F259" s="10" t="s">
        <v>1070</v>
      </c>
      <c r="G259" s="10" t="s">
        <v>1071</v>
      </c>
      <c r="H259" s="24">
        <v>44254.625</v>
      </c>
      <c r="I259" s="24">
        <v>44254.75</v>
      </c>
      <c r="J259" s="10" t="s">
        <v>43</v>
      </c>
      <c r="K259" s="10" t="s">
        <v>34</v>
      </c>
      <c r="N259" s="10" t="s">
        <v>35</v>
      </c>
      <c r="V259" s="9"/>
      <c r="W259" s="13" t="s">
        <v>78</v>
      </c>
      <c r="X259" s="10" t="s">
        <v>37</v>
      </c>
      <c r="Y259" s="10" t="s">
        <v>0</v>
      </c>
    </row>
    <row r="260">
      <c r="A260" s="10" t="s">
        <v>1072</v>
      </c>
      <c r="B260" s="11">
        <v>44259.857913078704</v>
      </c>
      <c r="C260" s="10" t="s">
        <v>1073</v>
      </c>
      <c r="D260" s="10" t="s">
        <v>29</v>
      </c>
      <c r="E260" s="10" t="s">
        <v>63</v>
      </c>
      <c r="F260" s="10" t="s">
        <v>1074</v>
      </c>
      <c r="G260" s="10" t="s">
        <v>1075</v>
      </c>
      <c r="H260" s="16">
        <v>44260.0</v>
      </c>
      <c r="I260" s="16">
        <v>44286.49930555555</v>
      </c>
      <c r="J260" s="10" t="s">
        <v>51</v>
      </c>
      <c r="K260" s="10" t="s">
        <v>34</v>
      </c>
      <c r="N260" s="10" t="s">
        <v>35</v>
      </c>
      <c r="V260" s="9"/>
      <c r="W260" s="13" t="s">
        <v>78</v>
      </c>
      <c r="X260" s="10" t="s">
        <v>37</v>
      </c>
      <c r="Y260" s="10" t="s">
        <v>0</v>
      </c>
    </row>
    <row r="261">
      <c r="A261" s="10" t="s">
        <v>1076</v>
      </c>
      <c r="B261" s="11">
        <v>44256.62992493056</v>
      </c>
      <c r="C261" s="10" t="s">
        <v>1077</v>
      </c>
      <c r="D261" s="10" t="s">
        <v>81</v>
      </c>
      <c r="E261" s="10" t="s">
        <v>619</v>
      </c>
      <c r="F261" s="10" t="s">
        <v>1078</v>
      </c>
      <c r="G261" s="10" t="s">
        <v>1079</v>
      </c>
      <c r="H261" s="16">
        <v>44259.10416666667</v>
      </c>
      <c r="I261" s="16">
        <v>44259.10416666667</v>
      </c>
      <c r="J261" s="10" t="s">
        <v>43</v>
      </c>
      <c r="K261" s="10" t="s">
        <v>34</v>
      </c>
      <c r="N261" s="10" t="s">
        <v>296</v>
      </c>
      <c r="O261" s="18" t="s">
        <v>1080</v>
      </c>
      <c r="P261" s="10" t="s">
        <v>296</v>
      </c>
      <c r="Q261" s="10">
        <v>1.0</v>
      </c>
      <c r="R261" s="10" t="s">
        <v>296</v>
      </c>
      <c r="S261" s="10">
        <v>1.0</v>
      </c>
      <c r="T261" s="10" t="s">
        <v>35</v>
      </c>
      <c r="V261" s="9"/>
      <c r="W261" s="13" t="s">
        <v>78</v>
      </c>
      <c r="X261" s="10" t="s">
        <v>37</v>
      </c>
      <c r="Y261" s="10" t="s">
        <v>0</v>
      </c>
    </row>
    <row r="262">
      <c r="A262" s="10" t="s">
        <v>1081</v>
      </c>
      <c r="B262" s="11">
        <v>44258.40356738426</v>
      </c>
      <c r="C262" s="10" t="s">
        <v>80</v>
      </c>
      <c r="D262" s="10" t="s">
        <v>81</v>
      </c>
      <c r="E262" s="10" t="s">
        <v>1082</v>
      </c>
      <c r="F262" s="10" t="s">
        <v>1078</v>
      </c>
      <c r="G262" s="10" t="s">
        <v>1083</v>
      </c>
      <c r="H262" s="16">
        <v>44259.10416666667</v>
      </c>
      <c r="I262" s="16">
        <v>44259.1875</v>
      </c>
      <c r="J262" s="10" t="s">
        <v>43</v>
      </c>
      <c r="K262" s="10" t="s">
        <v>34</v>
      </c>
      <c r="N262" s="10" t="s">
        <v>296</v>
      </c>
      <c r="O262" s="18" t="s">
        <v>1084</v>
      </c>
      <c r="P262" s="10" t="s">
        <v>296</v>
      </c>
      <c r="Q262" s="10">
        <v>1.0</v>
      </c>
      <c r="R262" s="10" t="s">
        <v>296</v>
      </c>
      <c r="S262" s="10">
        <v>1.0</v>
      </c>
      <c r="T262" s="10" t="s">
        <v>35</v>
      </c>
      <c r="V262" s="9"/>
      <c r="W262" s="13" t="s">
        <v>78</v>
      </c>
      <c r="X262" s="10" t="s">
        <v>37</v>
      </c>
      <c r="Y262" s="10" t="s">
        <v>0</v>
      </c>
    </row>
    <row r="263">
      <c r="A263" s="10" t="s">
        <v>1085</v>
      </c>
      <c r="B263" s="11">
        <v>44259.69895177083</v>
      </c>
      <c r="C263" s="10" t="s">
        <v>160</v>
      </c>
      <c r="D263" s="10" t="s">
        <v>161</v>
      </c>
      <c r="E263" s="10" t="s">
        <v>947</v>
      </c>
      <c r="F263" s="10" t="s">
        <v>1078</v>
      </c>
      <c r="G263" s="10" t="s">
        <v>1086</v>
      </c>
      <c r="H263" s="16">
        <v>44259.60416666667</v>
      </c>
      <c r="I263" s="16">
        <v>44259.6875</v>
      </c>
      <c r="J263" s="10" t="s">
        <v>43</v>
      </c>
      <c r="K263" s="10" t="s">
        <v>34</v>
      </c>
      <c r="N263" s="10" t="s">
        <v>296</v>
      </c>
      <c r="O263" s="18" t="s">
        <v>1087</v>
      </c>
      <c r="P263" s="10" t="s">
        <v>296</v>
      </c>
      <c r="Q263" s="10">
        <v>2.0</v>
      </c>
      <c r="R263" s="10" t="s">
        <v>296</v>
      </c>
      <c r="S263" s="10">
        <v>2.0</v>
      </c>
      <c r="T263" s="10" t="s">
        <v>35</v>
      </c>
      <c r="V263" s="9"/>
      <c r="W263" s="13" t="s">
        <v>78</v>
      </c>
      <c r="X263" s="10" t="s">
        <v>37</v>
      </c>
      <c r="Y263" s="10" t="s">
        <v>0</v>
      </c>
    </row>
    <row r="264">
      <c r="A264" s="10" t="s">
        <v>1088</v>
      </c>
      <c r="B264" s="11">
        <v>44250.47903326389</v>
      </c>
      <c r="C264" s="10" t="s">
        <v>516</v>
      </c>
      <c r="D264" s="10" t="s">
        <v>511</v>
      </c>
      <c r="E264" s="10" t="s">
        <v>518</v>
      </c>
      <c r="F264" s="10" t="s">
        <v>1089</v>
      </c>
      <c r="G264" s="10" t="s">
        <v>1090</v>
      </c>
      <c r="H264" s="24">
        <v>44260.4375</v>
      </c>
      <c r="I264" s="24">
        <v>44260.4375</v>
      </c>
      <c r="J264" s="10" t="s">
        <v>128</v>
      </c>
      <c r="K264" s="10" t="s">
        <v>34</v>
      </c>
      <c r="N264" s="10" t="s">
        <v>35</v>
      </c>
      <c r="V264" s="9"/>
      <c r="W264" s="13" t="s">
        <v>78</v>
      </c>
      <c r="X264" s="10" t="s">
        <v>37</v>
      </c>
      <c r="Y264" s="10" t="s">
        <v>0</v>
      </c>
    </row>
    <row r="265">
      <c r="A265" s="10" t="s">
        <v>1091</v>
      </c>
      <c r="B265" s="11">
        <v>44257.78145458333</v>
      </c>
      <c r="C265" s="10" t="s">
        <v>694</v>
      </c>
      <c r="D265" s="10" t="s">
        <v>695</v>
      </c>
      <c r="E265" s="10" t="s">
        <v>696</v>
      </c>
      <c r="F265" s="10" t="s">
        <v>697</v>
      </c>
      <c r="G265" s="10" t="s">
        <v>698</v>
      </c>
      <c r="H265" s="17">
        <v>44260.52083333333</v>
      </c>
      <c r="I265" s="17">
        <v>44260.5625</v>
      </c>
      <c r="J265" s="10" t="s">
        <v>128</v>
      </c>
      <c r="K265" s="10" t="s">
        <v>34</v>
      </c>
      <c r="N265" s="10" t="s">
        <v>35</v>
      </c>
      <c r="V265" s="9"/>
      <c r="W265" s="13" t="s">
        <v>78</v>
      </c>
      <c r="X265" s="10" t="s">
        <v>37</v>
      </c>
      <c r="Y265" s="10" t="s">
        <v>0</v>
      </c>
    </row>
    <row r="266">
      <c r="A266" s="10" t="s">
        <v>1092</v>
      </c>
      <c r="B266" s="11">
        <v>44256.479390023145</v>
      </c>
      <c r="C266" s="10" t="s">
        <v>137</v>
      </c>
      <c r="D266" s="10" t="s">
        <v>138</v>
      </c>
      <c r="E266" s="10" t="s">
        <v>1093</v>
      </c>
      <c r="F266" s="10" t="s">
        <v>482</v>
      </c>
      <c r="G266" s="10" t="s">
        <v>1094</v>
      </c>
      <c r="H266" s="17">
        <v>44260.58333333333</v>
      </c>
      <c r="I266" s="17">
        <v>44260.66666666667</v>
      </c>
      <c r="J266" s="10" t="s">
        <v>128</v>
      </c>
      <c r="K266" s="10" t="s">
        <v>34</v>
      </c>
      <c r="N266" s="10" t="s">
        <v>35</v>
      </c>
      <c r="V266" s="9"/>
      <c r="W266" s="13" t="s">
        <v>78</v>
      </c>
      <c r="X266" s="10" t="s">
        <v>37</v>
      </c>
      <c r="Y266" s="10" t="s">
        <v>0</v>
      </c>
    </row>
    <row r="267">
      <c r="A267" s="10" t="s">
        <v>1095</v>
      </c>
      <c r="B267" s="11">
        <v>44252.81885303241</v>
      </c>
      <c r="C267" s="10" t="s">
        <v>181</v>
      </c>
      <c r="D267" s="10" t="s">
        <v>69</v>
      </c>
      <c r="E267" s="10" t="s">
        <v>1096</v>
      </c>
      <c r="F267" s="10" t="s">
        <v>1097</v>
      </c>
      <c r="G267" s="10" t="s">
        <v>1098</v>
      </c>
      <c r="H267" s="17">
        <v>44260.60416666667</v>
      </c>
      <c r="I267" s="17">
        <v>44260.6875</v>
      </c>
      <c r="J267" s="10" t="s">
        <v>33</v>
      </c>
      <c r="K267" s="10" t="s">
        <v>34</v>
      </c>
      <c r="N267" s="10" t="s">
        <v>35</v>
      </c>
      <c r="V267" s="9"/>
      <c r="W267" s="13" t="s">
        <v>78</v>
      </c>
      <c r="X267" s="10" t="s">
        <v>37</v>
      </c>
      <c r="Y267" s="10" t="s">
        <v>0</v>
      </c>
    </row>
    <row r="268">
      <c r="A268" s="10" t="s">
        <v>1099</v>
      </c>
      <c r="B268" s="11">
        <v>44253.4334078588</v>
      </c>
      <c r="C268" s="10" t="s">
        <v>671</v>
      </c>
      <c r="D268" s="10" t="s">
        <v>672</v>
      </c>
      <c r="E268" s="10" t="s">
        <v>928</v>
      </c>
      <c r="F268" s="10" t="s">
        <v>1100</v>
      </c>
      <c r="G268" s="10" t="s">
        <v>1101</v>
      </c>
      <c r="H268" s="17">
        <v>44260.60416666667</v>
      </c>
      <c r="I268" s="17">
        <v>44260.6875</v>
      </c>
      <c r="J268" s="10" t="s">
        <v>128</v>
      </c>
      <c r="K268" s="10" t="s">
        <v>34</v>
      </c>
      <c r="N268" s="10" t="s">
        <v>296</v>
      </c>
      <c r="O268" s="18" t="s">
        <v>1102</v>
      </c>
      <c r="P268" s="10" t="s">
        <v>35</v>
      </c>
      <c r="R268" s="10" t="s">
        <v>296</v>
      </c>
      <c r="S268" s="10">
        <v>1.0</v>
      </c>
      <c r="T268" s="10" t="s">
        <v>35</v>
      </c>
      <c r="V268" s="9"/>
      <c r="W268" s="13" t="s">
        <v>78</v>
      </c>
      <c r="X268" s="10" t="s">
        <v>37</v>
      </c>
      <c r="Y268" s="10" t="s">
        <v>0</v>
      </c>
    </row>
    <row r="269">
      <c r="A269" s="10" t="s">
        <v>1103</v>
      </c>
      <c r="B269" s="11">
        <v>44257.638913981486</v>
      </c>
      <c r="C269" s="10" t="s">
        <v>1077</v>
      </c>
      <c r="D269" s="10" t="s">
        <v>81</v>
      </c>
      <c r="E269" s="10" t="s">
        <v>619</v>
      </c>
      <c r="F269" s="10" t="s">
        <v>1104</v>
      </c>
      <c r="G269" s="10" t="s">
        <v>1105</v>
      </c>
      <c r="H269" s="16">
        <v>44260.125</v>
      </c>
      <c r="I269" s="16">
        <v>44260.1875</v>
      </c>
      <c r="J269" s="10" t="s">
        <v>43</v>
      </c>
      <c r="K269" s="10" t="s">
        <v>34</v>
      </c>
      <c r="N269" s="10" t="s">
        <v>296</v>
      </c>
      <c r="O269" s="18" t="s">
        <v>1106</v>
      </c>
      <c r="P269" s="10" t="s">
        <v>296</v>
      </c>
      <c r="Q269" s="10">
        <v>1.0</v>
      </c>
      <c r="R269" s="10" t="s">
        <v>35</v>
      </c>
      <c r="T269" s="10" t="s">
        <v>35</v>
      </c>
      <c r="V269" s="9"/>
      <c r="W269" s="13" t="s">
        <v>78</v>
      </c>
      <c r="X269" s="10" t="s">
        <v>37</v>
      </c>
      <c r="Y269" s="10" t="s">
        <v>0</v>
      </c>
    </row>
    <row r="270">
      <c r="A270" s="10" t="s">
        <v>1107</v>
      </c>
      <c r="B270" s="11">
        <v>44258.41290993056</v>
      </c>
      <c r="C270" s="10" t="s">
        <v>80</v>
      </c>
      <c r="D270" s="10" t="s">
        <v>81</v>
      </c>
      <c r="E270" s="10" t="s">
        <v>1082</v>
      </c>
      <c r="F270" s="10" t="s">
        <v>1108</v>
      </c>
      <c r="G270" s="10" t="s">
        <v>1109</v>
      </c>
      <c r="H270" s="16">
        <v>44260.125</v>
      </c>
      <c r="I270" s="16">
        <v>44260.1875</v>
      </c>
      <c r="J270" s="10" t="s">
        <v>43</v>
      </c>
      <c r="K270" s="10" t="s">
        <v>34</v>
      </c>
      <c r="N270" s="10" t="s">
        <v>296</v>
      </c>
      <c r="O270" s="18" t="s">
        <v>1110</v>
      </c>
      <c r="P270" s="10" t="s">
        <v>296</v>
      </c>
      <c r="Q270" s="10">
        <v>1.0</v>
      </c>
      <c r="R270" s="10" t="s">
        <v>35</v>
      </c>
      <c r="T270" s="10" t="s">
        <v>35</v>
      </c>
      <c r="V270" s="9"/>
      <c r="W270" s="13" t="s">
        <v>78</v>
      </c>
      <c r="X270" s="10" t="s">
        <v>37</v>
      </c>
      <c r="Y270" s="10" t="s">
        <v>0</v>
      </c>
    </row>
    <row r="271">
      <c r="A271" s="10" t="s">
        <v>1111</v>
      </c>
      <c r="B271" s="11">
        <v>44259.7268869213</v>
      </c>
      <c r="C271" s="10" t="s">
        <v>160</v>
      </c>
      <c r="D271" s="10" t="s">
        <v>161</v>
      </c>
      <c r="E271" s="10" t="s">
        <v>947</v>
      </c>
      <c r="F271" s="10" t="s">
        <v>1112</v>
      </c>
      <c r="G271" s="10" t="s">
        <v>1113</v>
      </c>
      <c r="H271" s="17">
        <v>44260.64583333333</v>
      </c>
      <c r="I271" s="17">
        <v>44260.6875</v>
      </c>
      <c r="J271" s="10" t="s">
        <v>128</v>
      </c>
      <c r="K271" s="10" t="s">
        <v>34</v>
      </c>
      <c r="N271" s="10" t="s">
        <v>35</v>
      </c>
      <c r="V271" s="9"/>
      <c r="W271" s="13" t="s">
        <v>78</v>
      </c>
      <c r="X271" s="10" t="s">
        <v>37</v>
      </c>
      <c r="Y271" s="10" t="s">
        <v>0</v>
      </c>
    </row>
    <row r="272">
      <c r="A272" s="10" t="s">
        <v>1114</v>
      </c>
      <c r="B272" s="11">
        <v>44253.44192412037</v>
      </c>
      <c r="C272" s="10" t="s">
        <v>671</v>
      </c>
      <c r="D272" s="10" t="s">
        <v>672</v>
      </c>
      <c r="E272" s="10" t="s">
        <v>1115</v>
      </c>
      <c r="F272" s="10" t="s">
        <v>1116</v>
      </c>
      <c r="G272" s="10" t="s">
        <v>1117</v>
      </c>
      <c r="H272" s="17">
        <v>44260.6875</v>
      </c>
      <c r="I272" s="17">
        <v>44260.72916666667</v>
      </c>
      <c r="J272" s="10" t="s">
        <v>128</v>
      </c>
      <c r="K272" s="10" t="s">
        <v>34</v>
      </c>
      <c r="N272" s="10" t="s">
        <v>35</v>
      </c>
      <c r="V272" s="9"/>
      <c r="W272" s="13" t="s">
        <v>78</v>
      </c>
      <c r="X272" s="10" t="s">
        <v>37</v>
      </c>
      <c r="Y272" s="10" t="s">
        <v>0</v>
      </c>
    </row>
    <row r="273">
      <c r="A273" s="10" t="s">
        <v>1118</v>
      </c>
      <c r="B273" s="11">
        <v>44253.66580855324</v>
      </c>
      <c r="C273" s="10" t="s">
        <v>381</v>
      </c>
      <c r="D273" s="10" t="s">
        <v>382</v>
      </c>
      <c r="E273" s="10" t="s">
        <v>1119</v>
      </c>
      <c r="F273" s="10" t="s">
        <v>1120</v>
      </c>
      <c r="G273" s="10" t="s">
        <v>1121</v>
      </c>
      <c r="H273" s="24">
        <v>44260.6875</v>
      </c>
      <c r="I273" s="24">
        <v>44260.64583333333</v>
      </c>
      <c r="J273" s="10" t="s">
        <v>128</v>
      </c>
      <c r="K273" s="10" t="s">
        <v>34</v>
      </c>
      <c r="N273" s="10" t="s">
        <v>35</v>
      </c>
      <c r="V273" s="9"/>
      <c r="W273" s="13" t="s">
        <v>78</v>
      </c>
      <c r="X273" s="10" t="s">
        <v>37</v>
      </c>
      <c r="Y273" s="10" t="s">
        <v>0</v>
      </c>
    </row>
    <row r="274">
      <c r="A274" s="10" t="s">
        <v>1122</v>
      </c>
      <c r="B274" s="11">
        <v>44259.33571479167</v>
      </c>
      <c r="C274" s="10" t="s">
        <v>491</v>
      </c>
      <c r="D274" s="10" t="s">
        <v>492</v>
      </c>
      <c r="E274" s="10" t="s">
        <v>853</v>
      </c>
      <c r="F274" s="10" t="s">
        <v>1123</v>
      </c>
      <c r="G274" s="10" t="s">
        <v>1124</v>
      </c>
      <c r="H274" s="17">
        <v>44260.79166666667</v>
      </c>
      <c r="I274" s="17">
        <v>44260.79166666667</v>
      </c>
      <c r="J274" s="10" t="s">
        <v>73</v>
      </c>
      <c r="K274" s="10" t="s">
        <v>34</v>
      </c>
      <c r="N274" s="10" t="s">
        <v>35</v>
      </c>
      <c r="V274" s="9"/>
      <c r="W274" s="13" t="s">
        <v>78</v>
      </c>
      <c r="X274" s="10" t="s">
        <v>37</v>
      </c>
      <c r="Y274" s="10" t="s">
        <v>0</v>
      </c>
    </row>
    <row r="275">
      <c r="A275" s="10" t="s">
        <v>1125</v>
      </c>
      <c r="B275" s="11">
        <v>44256.63316899305</v>
      </c>
      <c r="C275" s="10" t="s">
        <v>1077</v>
      </c>
      <c r="D275" s="10" t="s">
        <v>81</v>
      </c>
      <c r="E275" s="10" t="s">
        <v>619</v>
      </c>
      <c r="F275" s="10" t="s">
        <v>1126</v>
      </c>
      <c r="G275" s="10" t="s">
        <v>1127</v>
      </c>
      <c r="H275" s="17">
        <v>44261.16666666667</v>
      </c>
      <c r="I275" s="17">
        <v>44261.211111111115</v>
      </c>
      <c r="J275" s="10" t="s">
        <v>128</v>
      </c>
      <c r="K275" s="10" t="s">
        <v>34</v>
      </c>
      <c r="N275" s="10" t="s">
        <v>296</v>
      </c>
      <c r="O275" s="18" t="s">
        <v>1128</v>
      </c>
      <c r="P275" s="10" t="s">
        <v>296</v>
      </c>
      <c r="Q275" s="10">
        <v>1.0</v>
      </c>
      <c r="R275" s="10" t="s">
        <v>35</v>
      </c>
      <c r="T275" s="10" t="s">
        <v>35</v>
      </c>
      <c r="V275" s="9"/>
      <c r="W275" s="13" t="s">
        <v>78</v>
      </c>
      <c r="X275" s="10" t="s">
        <v>37</v>
      </c>
      <c r="Y275" s="10" t="s">
        <v>0</v>
      </c>
    </row>
    <row r="276">
      <c r="A276" s="10" t="s">
        <v>1129</v>
      </c>
      <c r="B276" s="11">
        <v>44258.41551762732</v>
      </c>
      <c r="C276" s="10" t="s">
        <v>80</v>
      </c>
      <c r="D276" s="10" t="s">
        <v>81</v>
      </c>
      <c r="E276" s="10" t="s">
        <v>1082</v>
      </c>
      <c r="F276" s="10" t="s">
        <v>1130</v>
      </c>
      <c r="G276" s="10" t="s">
        <v>1131</v>
      </c>
      <c r="H276" s="17">
        <v>44261.16666666667</v>
      </c>
      <c r="I276" s="17">
        <v>44261.20833333333</v>
      </c>
      <c r="J276" s="10" t="s">
        <v>128</v>
      </c>
      <c r="K276" s="10" t="s">
        <v>34</v>
      </c>
      <c r="N276" s="10" t="s">
        <v>296</v>
      </c>
      <c r="O276" s="18" t="s">
        <v>1132</v>
      </c>
      <c r="P276" s="10" t="s">
        <v>296</v>
      </c>
      <c r="Q276" s="10">
        <v>1.0</v>
      </c>
      <c r="R276" s="10" t="s">
        <v>35</v>
      </c>
      <c r="T276" s="10" t="s">
        <v>35</v>
      </c>
      <c r="V276" s="9"/>
      <c r="W276" s="13" t="s">
        <v>78</v>
      </c>
      <c r="X276" s="10" t="s">
        <v>37</v>
      </c>
      <c r="Y276" s="10" t="s">
        <v>0</v>
      </c>
    </row>
    <row r="277">
      <c r="A277" s="10" t="s">
        <v>1133</v>
      </c>
      <c r="B277" s="11">
        <v>44253.72888152778</v>
      </c>
      <c r="C277" s="10" t="s">
        <v>539</v>
      </c>
      <c r="D277" s="10" t="s">
        <v>540</v>
      </c>
      <c r="E277" s="10" t="s">
        <v>1031</v>
      </c>
      <c r="F277" s="10" t="s">
        <v>1134</v>
      </c>
      <c r="G277" s="10" t="s">
        <v>1135</v>
      </c>
      <c r="H277" s="17">
        <v>44261.375</v>
      </c>
      <c r="I277" s="17">
        <v>44261.83333333333</v>
      </c>
      <c r="J277" s="10" t="s">
        <v>73</v>
      </c>
      <c r="K277" s="10" t="s">
        <v>34</v>
      </c>
      <c r="N277" s="10" t="s">
        <v>35</v>
      </c>
      <c r="V277" s="9"/>
      <c r="W277" s="13" t="s">
        <v>78</v>
      </c>
      <c r="X277" s="10" t="s">
        <v>37</v>
      </c>
      <c r="Y277" s="10" t="s">
        <v>0</v>
      </c>
    </row>
    <row r="278">
      <c r="A278" s="10" t="s">
        <v>1136</v>
      </c>
      <c r="B278" s="11">
        <v>44257.40118299768</v>
      </c>
      <c r="C278" s="10" t="s">
        <v>150</v>
      </c>
      <c r="D278" s="10" t="s">
        <v>151</v>
      </c>
      <c r="E278" s="10" t="s">
        <v>152</v>
      </c>
      <c r="F278" s="10" t="s">
        <v>1137</v>
      </c>
      <c r="G278" s="10" t="s">
        <v>1138</v>
      </c>
      <c r="H278" s="17">
        <v>44261.41666666667</v>
      </c>
      <c r="I278" s="17">
        <v>44261.5</v>
      </c>
      <c r="J278" s="10" t="s">
        <v>128</v>
      </c>
      <c r="K278" s="10" t="s">
        <v>34</v>
      </c>
      <c r="N278" s="10" t="s">
        <v>35</v>
      </c>
      <c r="V278" s="9"/>
      <c r="W278" s="13" t="s">
        <v>78</v>
      </c>
      <c r="X278" s="10" t="s">
        <v>37</v>
      </c>
      <c r="Y278" s="10" t="s">
        <v>0</v>
      </c>
    </row>
    <row r="279">
      <c r="A279" s="10" t="s">
        <v>1139</v>
      </c>
      <c r="B279" s="11">
        <v>44252.44927887731</v>
      </c>
      <c r="C279" s="10" t="s">
        <v>671</v>
      </c>
      <c r="D279" s="10" t="s">
        <v>672</v>
      </c>
      <c r="E279" s="10" t="s">
        <v>1140</v>
      </c>
      <c r="F279" s="10" t="s">
        <v>1141</v>
      </c>
      <c r="G279" s="10" t="s">
        <v>1142</v>
      </c>
      <c r="H279" s="24">
        <v>44261.4375</v>
      </c>
      <c r="I279" s="24">
        <v>44261.52083333333</v>
      </c>
      <c r="J279" s="10" t="s">
        <v>128</v>
      </c>
      <c r="K279" s="10" t="s">
        <v>34</v>
      </c>
      <c r="N279" s="10" t="s">
        <v>35</v>
      </c>
      <c r="V279" s="9"/>
      <c r="W279" s="13" t="s">
        <v>78</v>
      </c>
      <c r="X279" s="10" t="s">
        <v>37</v>
      </c>
      <c r="Y279" s="10" t="s">
        <v>0</v>
      </c>
    </row>
    <row r="280">
      <c r="A280" s="10" t="s">
        <v>1143</v>
      </c>
      <c r="B280" s="11">
        <v>44248.41228131944</v>
      </c>
      <c r="C280" s="10" t="s">
        <v>80</v>
      </c>
      <c r="D280" s="10" t="s">
        <v>81</v>
      </c>
      <c r="E280" s="10" t="s">
        <v>82</v>
      </c>
      <c r="F280" s="10" t="s">
        <v>599</v>
      </c>
      <c r="G280" s="10" t="s">
        <v>779</v>
      </c>
      <c r="H280" s="24">
        <v>44261.52083333333</v>
      </c>
      <c r="I280" s="24">
        <v>44261.70833333333</v>
      </c>
      <c r="J280" s="10" t="s">
        <v>73</v>
      </c>
      <c r="K280" s="10" t="s">
        <v>34</v>
      </c>
      <c r="N280" s="10" t="s">
        <v>35</v>
      </c>
      <c r="V280" s="9"/>
      <c r="W280" s="13" t="s">
        <v>78</v>
      </c>
      <c r="X280" s="10" t="s">
        <v>37</v>
      </c>
      <c r="Y280" s="10" t="s">
        <v>0</v>
      </c>
    </row>
    <row r="281">
      <c r="A281" s="10" t="s">
        <v>1144</v>
      </c>
      <c r="B281" s="11">
        <v>44253.338033657405</v>
      </c>
      <c r="C281" s="10" t="s">
        <v>374</v>
      </c>
      <c r="D281" s="10" t="s">
        <v>375</v>
      </c>
      <c r="E281" s="10" t="s">
        <v>261</v>
      </c>
      <c r="F281" s="10" t="s">
        <v>1145</v>
      </c>
      <c r="G281" s="10" t="s">
        <v>1146</v>
      </c>
      <c r="H281" s="17">
        <v>44261.54166666667</v>
      </c>
      <c r="I281" s="17">
        <v>44267.54236111111</v>
      </c>
      <c r="J281" s="10" t="s">
        <v>51</v>
      </c>
      <c r="K281" s="10" t="s">
        <v>34</v>
      </c>
      <c r="N281" s="10" t="s">
        <v>35</v>
      </c>
      <c r="V281" s="9"/>
      <c r="W281" s="13" t="s">
        <v>78</v>
      </c>
      <c r="X281" s="10" t="s">
        <v>37</v>
      </c>
      <c r="Y281" s="10" t="s">
        <v>0</v>
      </c>
    </row>
    <row r="282">
      <c r="A282" s="10" t="s">
        <v>1147</v>
      </c>
      <c r="B282" s="11">
        <v>44255.987358750004</v>
      </c>
      <c r="C282" s="10" t="s">
        <v>1148</v>
      </c>
      <c r="D282" s="10" t="s">
        <v>240</v>
      </c>
      <c r="E282" s="10" t="s">
        <v>1149</v>
      </c>
      <c r="F282" s="10" t="s">
        <v>1150</v>
      </c>
      <c r="G282" s="10" t="s">
        <v>1151</v>
      </c>
      <c r="H282" s="17">
        <v>44261.64583333333</v>
      </c>
      <c r="I282" s="17">
        <v>44261.6875</v>
      </c>
      <c r="J282" s="10" t="s">
        <v>33</v>
      </c>
      <c r="K282" s="10" t="s">
        <v>34</v>
      </c>
      <c r="N282" s="10" t="s">
        <v>35</v>
      </c>
      <c r="V282" s="9"/>
      <c r="W282" s="13" t="s">
        <v>78</v>
      </c>
      <c r="X282" s="10" t="s">
        <v>37</v>
      </c>
      <c r="Y282" s="10" t="s">
        <v>0</v>
      </c>
    </row>
    <row r="283">
      <c r="A283" s="10" t="s">
        <v>1152</v>
      </c>
      <c r="B283" s="11">
        <v>44256.65853615741</v>
      </c>
      <c r="C283" s="10" t="s">
        <v>239</v>
      </c>
      <c r="D283" s="10" t="s">
        <v>240</v>
      </c>
      <c r="E283" s="10" t="s">
        <v>1153</v>
      </c>
      <c r="F283" s="10" t="s">
        <v>1150</v>
      </c>
      <c r="G283" s="10" t="s">
        <v>1151</v>
      </c>
      <c r="H283" s="17">
        <v>44261.64583333333</v>
      </c>
      <c r="I283" s="17">
        <v>44261.6875</v>
      </c>
      <c r="J283" s="10" t="s">
        <v>33</v>
      </c>
      <c r="K283" s="10" t="s">
        <v>34</v>
      </c>
      <c r="N283" s="10" t="s">
        <v>35</v>
      </c>
      <c r="V283" s="9"/>
      <c r="W283" s="13" t="s">
        <v>78</v>
      </c>
      <c r="X283" s="10" t="s">
        <v>37</v>
      </c>
      <c r="Y283" s="10" t="s">
        <v>0</v>
      </c>
    </row>
    <row r="284">
      <c r="A284" s="10" t="s">
        <v>1154</v>
      </c>
      <c r="B284" s="11">
        <v>44270.81652625</v>
      </c>
      <c r="C284" s="10" t="s">
        <v>160</v>
      </c>
      <c r="D284" s="10" t="s">
        <v>161</v>
      </c>
      <c r="E284" s="10" t="s">
        <v>947</v>
      </c>
      <c r="F284" s="10" t="s">
        <v>1155</v>
      </c>
      <c r="G284" s="10" t="s">
        <v>1156</v>
      </c>
      <c r="H284" s="16">
        <v>44262.625</v>
      </c>
      <c r="I284" s="16">
        <v>44268.5</v>
      </c>
      <c r="J284" s="10" t="s">
        <v>51</v>
      </c>
      <c r="K284" s="10" t="s">
        <v>34</v>
      </c>
      <c r="N284" s="10" t="s">
        <v>35</v>
      </c>
      <c r="V284" s="9"/>
      <c r="W284" s="13" t="s">
        <v>78</v>
      </c>
      <c r="X284" s="10" t="s">
        <v>37</v>
      </c>
      <c r="Y284" s="10" t="s">
        <v>0</v>
      </c>
    </row>
    <row r="285">
      <c r="A285" s="10" t="s">
        <v>1157</v>
      </c>
      <c r="B285" s="11">
        <v>44262.83024447916</v>
      </c>
      <c r="C285" s="10" t="s">
        <v>102</v>
      </c>
      <c r="D285" s="10" t="s">
        <v>103</v>
      </c>
      <c r="E285" s="10" t="s">
        <v>289</v>
      </c>
      <c r="F285" s="10" t="s">
        <v>1158</v>
      </c>
      <c r="G285" s="10" t="s">
        <v>1159</v>
      </c>
      <c r="H285" s="17">
        <v>44262.79166666667</v>
      </c>
      <c r="I285" s="17">
        <v>44262.82291666667</v>
      </c>
      <c r="J285" s="10" t="s">
        <v>128</v>
      </c>
      <c r="K285" s="10" t="s">
        <v>34</v>
      </c>
      <c r="N285" s="10" t="s">
        <v>35</v>
      </c>
      <c r="V285" s="9"/>
      <c r="W285" s="13" t="s">
        <v>78</v>
      </c>
      <c r="X285" s="10" t="s">
        <v>37</v>
      </c>
      <c r="Y285" s="10" t="s">
        <v>0</v>
      </c>
    </row>
    <row r="286">
      <c r="A286" s="10" t="s">
        <v>1160</v>
      </c>
      <c r="B286" s="11">
        <v>44257.76998390046</v>
      </c>
      <c r="C286" s="10" t="s">
        <v>181</v>
      </c>
      <c r="D286" s="10" t="s">
        <v>69</v>
      </c>
      <c r="E286" s="10" t="s">
        <v>1161</v>
      </c>
      <c r="F286" s="10" t="s">
        <v>1162</v>
      </c>
      <c r="G286" s="10" t="s">
        <v>1163</v>
      </c>
      <c r="H286" s="16">
        <v>44260.41666666667</v>
      </c>
      <c r="I286" s="16">
        <v>44260.5</v>
      </c>
      <c r="J286" s="10" t="s">
        <v>43</v>
      </c>
      <c r="K286" s="10" t="s">
        <v>34</v>
      </c>
      <c r="N286" s="10" t="s">
        <v>35</v>
      </c>
      <c r="V286" s="9"/>
      <c r="W286" s="13" t="s">
        <v>78</v>
      </c>
      <c r="X286" s="10" t="s">
        <v>37</v>
      </c>
      <c r="Y286" s="10" t="s">
        <v>0</v>
      </c>
    </row>
    <row r="287">
      <c r="A287" s="10" t="s">
        <v>1164</v>
      </c>
      <c r="B287" s="11">
        <v>44256.70942709491</v>
      </c>
      <c r="C287" s="10" t="s">
        <v>150</v>
      </c>
      <c r="D287" s="10" t="s">
        <v>151</v>
      </c>
      <c r="E287" s="10" t="s">
        <v>152</v>
      </c>
      <c r="F287" s="10" t="s">
        <v>1165</v>
      </c>
      <c r="G287" s="10" t="s">
        <v>1166</v>
      </c>
      <c r="H287" s="17">
        <v>44263.33333333333</v>
      </c>
      <c r="I287" s="17">
        <v>44267.79166666667</v>
      </c>
      <c r="J287" s="10" t="s">
        <v>51</v>
      </c>
      <c r="K287" s="10" t="s">
        <v>34</v>
      </c>
      <c r="N287" s="10" t="s">
        <v>35</v>
      </c>
      <c r="V287" s="9"/>
      <c r="W287" s="13" t="s">
        <v>78</v>
      </c>
      <c r="X287" s="10" t="s">
        <v>37</v>
      </c>
      <c r="Y287" s="10" t="s">
        <v>0</v>
      </c>
    </row>
    <row r="288">
      <c r="A288" s="10" t="s">
        <v>1167</v>
      </c>
      <c r="B288" s="11">
        <v>44256.8673708912</v>
      </c>
      <c r="C288" s="10" t="s">
        <v>80</v>
      </c>
      <c r="D288" s="10" t="s">
        <v>81</v>
      </c>
      <c r="E288" s="10" t="s">
        <v>1168</v>
      </c>
      <c r="F288" s="10" t="s">
        <v>1169</v>
      </c>
      <c r="G288" s="10" t="s">
        <v>1170</v>
      </c>
      <c r="H288" s="17">
        <v>44263.33333333333</v>
      </c>
      <c r="I288" s="17">
        <v>44263.375</v>
      </c>
      <c r="J288" s="10" t="s">
        <v>73</v>
      </c>
      <c r="K288" s="10" t="s">
        <v>34</v>
      </c>
      <c r="N288" s="10" t="s">
        <v>35</v>
      </c>
      <c r="V288" s="9"/>
      <c r="W288" s="13" t="s">
        <v>78</v>
      </c>
      <c r="X288" s="10" t="s">
        <v>37</v>
      </c>
      <c r="Y288" s="10" t="s">
        <v>0</v>
      </c>
    </row>
    <row r="289">
      <c r="A289" s="10" t="s">
        <v>1171</v>
      </c>
      <c r="B289" s="11">
        <v>44277.590559097225</v>
      </c>
      <c r="C289" s="10" t="s">
        <v>516</v>
      </c>
      <c r="D289" s="10" t="s">
        <v>511</v>
      </c>
      <c r="E289" s="10" t="s">
        <v>1172</v>
      </c>
      <c r="F289" s="10" t="s">
        <v>1173</v>
      </c>
      <c r="G289" s="10" t="s">
        <v>1174</v>
      </c>
      <c r="H289" s="17">
        <v>44263.33333333333</v>
      </c>
      <c r="I289" s="17">
        <v>44267.33333333333</v>
      </c>
      <c r="J289" s="10" t="s">
        <v>51</v>
      </c>
      <c r="K289" s="10" t="s">
        <v>34</v>
      </c>
      <c r="N289" s="10" t="s">
        <v>35</v>
      </c>
      <c r="V289" s="9"/>
      <c r="W289" s="13" t="s">
        <v>78</v>
      </c>
      <c r="X289" s="10" t="s">
        <v>37</v>
      </c>
      <c r="Y289" s="10" t="s">
        <v>0</v>
      </c>
    </row>
    <row r="290">
      <c r="A290" s="10" t="s">
        <v>1175</v>
      </c>
      <c r="B290" s="11">
        <v>44250.48252089121</v>
      </c>
      <c r="C290" s="10" t="s">
        <v>694</v>
      </c>
      <c r="D290" s="10" t="s">
        <v>695</v>
      </c>
      <c r="E290" s="10" t="s">
        <v>696</v>
      </c>
      <c r="F290" s="10" t="s">
        <v>1176</v>
      </c>
      <c r="G290" s="10" t="s">
        <v>1177</v>
      </c>
      <c r="H290" s="17">
        <v>44263.35416666667</v>
      </c>
      <c r="I290" s="17">
        <v>44267.77083333333</v>
      </c>
      <c r="J290" s="10" t="s">
        <v>51</v>
      </c>
      <c r="K290" s="10" t="s">
        <v>34</v>
      </c>
      <c r="N290" s="10" t="s">
        <v>35</v>
      </c>
      <c r="V290" s="9"/>
      <c r="W290" s="13" t="s">
        <v>78</v>
      </c>
      <c r="X290" s="10" t="s">
        <v>37</v>
      </c>
      <c r="Y290" s="10" t="s">
        <v>0</v>
      </c>
    </row>
    <row r="291">
      <c r="A291" s="10" t="s">
        <v>1178</v>
      </c>
      <c r="B291" s="11">
        <v>44257.769020312495</v>
      </c>
      <c r="C291" s="10" t="s">
        <v>181</v>
      </c>
      <c r="D291" s="10" t="s">
        <v>69</v>
      </c>
      <c r="E291" s="10" t="s">
        <v>1179</v>
      </c>
      <c r="F291" s="10" t="s">
        <v>1180</v>
      </c>
      <c r="G291" s="10" t="s">
        <v>1181</v>
      </c>
      <c r="H291" s="17">
        <v>44263.375</v>
      </c>
      <c r="I291" s="17">
        <v>44263.83333333333</v>
      </c>
      <c r="J291" s="10" t="s">
        <v>51</v>
      </c>
      <c r="K291" s="10" t="s">
        <v>34</v>
      </c>
      <c r="N291" s="10" t="s">
        <v>35</v>
      </c>
      <c r="V291" s="9"/>
      <c r="W291" s="13" t="s">
        <v>78</v>
      </c>
      <c r="X291" s="10" t="s">
        <v>37</v>
      </c>
      <c r="Y291" s="10" t="s">
        <v>0</v>
      </c>
    </row>
    <row r="292">
      <c r="A292" s="10" t="s">
        <v>1182</v>
      </c>
      <c r="B292" s="11">
        <v>44246.49071131945</v>
      </c>
      <c r="C292" s="10" t="s">
        <v>347</v>
      </c>
      <c r="D292" s="10" t="s">
        <v>348</v>
      </c>
      <c r="E292" s="10" t="s">
        <v>349</v>
      </c>
      <c r="F292" s="10" t="s">
        <v>1183</v>
      </c>
      <c r="G292" s="10" t="s">
        <v>1184</v>
      </c>
      <c r="H292" s="17">
        <v>44263.4375</v>
      </c>
      <c r="I292" s="17">
        <v>44263.52083333333</v>
      </c>
      <c r="J292" s="10" t="s">
        <v>51</v>
      </c>
      <c r="K292" s="10" t="s">
        <v>34</v>
      </c>
      <c r="N292" s="10" t="s">
        <v>35</v>
      </c>
      <c r="V292" s="9"/>
      <c r="W292" s="13" t="s">
        <v>36</v>
      </c>
      <c r="X292" s="10" t="s">
        <v>37</v>
      </c>
      <c r="Y292" s="10" t="s">
        <v>0</v>
      </c>
    </row>
    <row r="293">
      <c r="A293" s="10" t="s">
        <v>1185</v>
      </c>
      <c r="B293" s="11">
        <v>44253.950576504634</v>
      </c>
      <c r="C293" s="10" t="s">
        <v>330</v>
      </c>
      <c r="D293" s="10" t="s">
        <v>331</v>
      </c>
      <c r="E293" s="10" t="s">
        <v>1186</v>
      </c>
      <c r="F293" s="10" t="s">
        <v>1187</v>
      </c>
      <c r="G293" s="10" t="s">
        <v>1188</v>
      </c>
      <c r="H293" s="16">
        <v>44260.64583333333</v>
      </c>
      <c r="I293" s="16">
        <v>44260.75</v>
      </c>
      <c r="J293" s="10" t="s">
        <v>43</v>
      </c>
      <c r="K293" s="10" t="s">
        <v>34</v>
      </c>
      <c r="N293" s="10" t="s">
        <v>296</v>
      </c>
      <c r="O293" s="18" t="s">
        <v>1189</v>
      </c>
      <c r="P293" s="10" t="s">
        <v>296</v>
      </c>
      <c r="Q293" s="10">
        <v>2.0</v>
      </c>
      <c r="R293" s="10" t="s">
        <v>296</v>
      </c>
      <c r="S293" s="10">
        <v>2.0</v>
      </c>
      <c r="T293" s="10" t="s">
        <v>35</v>
      </c>
      <c r="V293" s="9"/>
      <c r="W293" s="13" t="s">
        <v>78</v>
      </c>
      <c r="X293" s="10" t="s">
        <v>37</v>
      </c>
      <c r="Y293" s="10" t="s">
        <v>0</v>
      </c>
    </row>
    <row r="294">
      <c r="A294" s="10" t="s">
        <v>1190</v>
      </c>
      <c r="B294" s="11">
        <v>44256.39186516203</v>
      </c>
      <c r="C294" s="10" t="s">
        <v>330</v>
      </c>
      <c r="D294" s="10" t="s">
        <v>331</v>
      </c>
      <c r="E294" s="10" t="s">
        <v>1191</v>
      </c>
      <c r="F294" s="10" t="s">
        <v>1187</v>
      </c>
      <c r="G294" s="10" t="s">
        <v>1192</v>
      </c>
      <c r="H294" s="16">
        <v>44260.64583333333</v>
      </c>
      <c r="I294" s="16">
        <v>44260.75</v>
      </c>
      <c r="J294" s="10" t="s">
        <v>43</v>
      </c>
      <c r="K294" s="10" t="s">
        <v>34</v>
      </c>
      <c r="N294" s="10" t="s">
        <v>296</v>
      </c>
      <c r="O294" s="18" t="s">
        <v>1193</v>
      </c>
      <c r="P294" s="10" t="s">
        <v>296</v>
      </c>
      <c r="Q294" s="10">
        <v>2.0</v>
      </c>
      <c r="R294" s="10" t="s">
        <v>296</v>
      </c>
      <c r="S294" s="10">
        <v>2.0</v>
      </c>
      <c r="T294" s="10" t="s">
        <v>35</v>
      </c>
      <c r="V294" s="9"/>
      <c r="W294" s="13" t="s">
        <v>78</v>
      </c>
      <c r="X294" s="10" t="s">
        <v>37</v>
      </c>
      <c r="Y294" s="10" t="s">
        <v>0</v>
      </c>
    </row>
    <row r="295">
      <c r="A295" s="10" t="s">
        <v>1194</v>
      </c>
      <c r="B295" s="11">
        <v>44260.61973070602</v>
      </c>
      <c r="C295" s="10" t="s">
        <v>342</v>
      </c>
      <c r="D295" s="10" t="s">
        <v>187</v>
      </c>
      <c r="E295" s="10" t="s">
        <v>188</v>
      </c>
      <c r="F295" s="10" t="s">
        <v>1183</v>
      </c>
      <c r="G295" s="10" t="s">
        <v>1195</v>
      </c>
      <c r="H295" s="24">
        <v>44263.4375</v>
      </c>
      <c r="I295" s="24">
        <v>44263.52083333333</v>
      </c>
      <c r="J295" s="10" t="s">
        <v>128</v>
      </c>
      <c r="K295" s="10" t="s">
        <v>34</v>
      </c>
      <c r="N295" s="10" t="s">
        <v>35</v>
      </c>
      <c r="V295" s="9"/>
      <c r="W295" s="13" t="s">
        <v>78</v>
      </c>
      <c r="X295" s="10" t="s">
        <v>37</v>
      </c>
      <c r="Y295" s="10" t="s">
        <v>0</v>
      </c>
    </row>
    <row r="296">
      <c r="A296" s="10" t="s">
        <v>1196</v>
      </c>
      <c r="B296" s="11">
        <v>44260.62228710648</v>
      </c>
      <c r="C296" s="10" t="s">
        <v>186</v>
      </c>
      <c r="D296" s="10" t="s">
        <v>187</v>
      </c>
      <c r="E296" s="10" t="s">
        <v>188</v>
      </c>
      <c r="F296" s="10" t="s">
        <v>1183</v>
      </c>
      <c r="G296" s="10" t="s">
        <v>1197</v>
      </c>
      <c r="H296" s="24">
        <v>44263.4375</v>
      </c>
      <c r="I296" s="24">
        <v>44263.52083333333</v>
      </c>
      <c r="J296" s="10" t="s">
        <v>128</v>
      </c>
      <c r="K296" s="10" t="s">
        <v>34</v>
      </c>
      <c r="N296" s="10" t="s">
        <v>35</v>
      </c>
      <c r="V296" s="9"/>
      <c r="W296" s="13" t="s">
        <v>78</v>
      </c>
      <c r="X296" s="10" t="s">
        <v>37</v>
      </c>
      <c r="Y296" s="10" t="s">
        <v>0</v>
      </c>
    </row>
    <row r="297">
      <c r="A297" s="10" t="s">
        <v>1198</v>
      </c>
      <c r="B297" s="11">
        <v>44257.96233313657</v>
      </c>
      <c r="C297" s="10" t="s">
        <v>80</v>
      </c>
      <c r="D297" s="10" t="s">
        <v>81</v>
      </c>
      <c r="E297" s="10" t="s">
        <v>1199</v>
      </c>
      <c r="F297" s="10" t="s">
        <v>1200</v>
      </c>
      <c r="G297" s="10" t="s">
        <v>1201</v>
      </c>
      <c r="H297" s="17">
        <v>44263.5</v>
      </c>
      <c r="I297" s="17">
        <v>44269.25</v>
      </c>
      <c r="J297" s="10" t="s">
        <v>51</v>
      </c>
      <c r="K297" s="10" t="s">
        <v>34</v>
      </c>
      <c r="N297" s="10" t="s">
        <v>35</v>
      </c>
      <c r="V297" s="9"/>
      <c r="W297" s="13" t="s">
        <v>78</v>
      </c>
      <c r="X297" s="10" t="s">
        <v>37</v>
      </c>
      <c r="Y297" s="10" t="s">
        <v>0</v>
      </c>
    </row>
    <row r="298">
      <c r="A298" s="10" t="s">
        <v>1202</v>
      </c>
      <c r="B298" s="11">
        <v>44263.789287604166</v>
      </c>
      <c r="C298" s="10" t="s">
        <v>491</v>
      </c>
      <c r="D298" s="10" t="s">
        <v>492</v>
      </c>
      <c r="E298" s="10" t="s">
        <v>853</v>
      </c>
      <c r="F298" s="10" t="s">
        <v>1203</v>
      </c>
      <c r="G298" s="10" t="s">
        <v>1204</v>
      </c>
      <c r="H298" s="17">
        <v>44263.5</v>
      </c>
      <c r="I298" s="17">
        <v>44263.5</v>
      </c>
      <c r="J298" s="10" t="s">
        <v>73</v>
      </c>
      <c r="K298" s="10" t="s">
        <v>34</v>
      </c>
      <c r="N298" s="10" t="s">
        <v>35</v>
      </c>
      <c r="V298" s="9"/>
      <c r="W298" s="13" t="s">
        <v>78</v>
      </c>
      <c r="X298" s="10" t="s">
        <v>37</v>
      </c>
      <c r="Y298" s="10" t="s">
        <v>0</v>
      </c>
    </row>
    <row r="299">
      <c r="A299" s="10" t="s">
        <v>1205</v>
      </c>
      <c r="B299" s="11">
        <v>44263.79475273148</v>
      </c>
      <c r="C299" s="10" t="s">
        <v>491</v>
      </c>
      <c r="D299" s="10" t="s">
        <v>492</v>
      </c>
      <c r="E299" s="10" t="s">
        <v>853</v>
      </c>
      <c r="F299" s="10" t="s">
        <v>1206</v>
      </c>
      <c r="G299" s="10" t="s">
        <v>1207</v>
      </c>
      <c r="H299" s="17">
        <v>44263.5</v>
      </c>
      <c r="I299" s="17">
        <v>44267.625</v>
      </c>
      <c r="J299" s="10" t="s">
        <v>51</v>
      </c>
      <c r="K299" s="10" t="s">
        <v>34</v>
      </c>
      <c r="N299" s="10" t="s">
        <v>35</v>
      </c>
      <c r="V299" s="9"/>
      <c r="W299" s="13" t="s">
        <v>78</v>
      </c>
      <c r="X299" s="10" t="s">
        <v>37</v>
      </c>
      <c r="Y299" s="10" t="s">
        <v>0</v>
      </c>
    </row>
    <row r="300">
      <c r="A300" s="10" t="s">
        <v>1208</v>
      </c>
      <c r="B300" s="11">
        <v>44260.48911216435</v>
      </c>
      <c r="C300" s="10" t="s">
        <v>80</v>
      </c>
      <c r="D300" s="10" t="s">
        <v>81</v>
      </c>
      <c r="E300" s="10" t="s">
        <v>1082</v>
      </c>
      <c r="F300" s="10" t="s">
        <v>1209</v>
      </c>
      <c r="G300" s="10" t="s">
        <v>1210</v>
      </c>
      <c r="H300" s="24">
        <v>44263.1875</v>
      </c>
      <c r="I300" s="24">
        <v>44263.22916666667</v>
      </c>
      <c r="J300" s="10" t="s">
        <v>43</v>
      </c>
      <c r="K300" s="10" t="s">
        <v>34</v>
      </c>
      <c r="N300" s="10" t="s">
        <v>296</v>
      </c>
      <c r="O300" s="18" t="s">
        <v>1211</v>
      </c>
      <c r="P300" s="10" t="s">
        <v>296</v>
      </c>
      <c r="Q300" s="10">
        <v>1.0</v>
      </c>
      <c r="R300" s="10" t="s">
        <v>35</v>
      </c>
      <c r="T300" s="10" t="s">
        <v>35</v>
      </c>
      <c r="V300" s="9"/>
      <c r="W300" s="13" t="s">
        <v>78</v>
      </c>
      <c r="X300" s="10" t="s">
        <v>37</v>
      </c>
      <c r="Y300" s="10" t="s">
        <v>0</v>
      </c>
    </row>
    <row r="301">
      <c r="A301" s="10" t="s">
        <v>1212</v>
      </c>
      <c r="B301" s="11">
        <v>44250.51238326389</v>
      </c>
      <c r="C301" s="10" t="s">
        <v>186</v>
      </c>
      <c r="D301" s="10" t="s">
        <v>187</v>
      </c>
      <c r="E301" s="10" t="s">
        <v>1213</v>
      </c>
      <c r="F301" s="10" t="s">
        <v>1183</v>
      </c>
      <c r="G301" s="10" t="s">
        <v>1214</v>
      </c>
      <c r="H301" s="24">
        <v>44263.4375</v>
      </c>
      <c r="I301" s="24">
        <v>44263.52083333333</v>
      </c>
      <c r="J301" s="10" t="s">
        <v>43</v>
      </c>
      <c r="K301" s="10" t="s">
        <v>34</v>
      </c>
      <c r="N301" s="10" t="s">
        <v>296</v>
      </c>
      <c r="O301" s="18" t="s">
        <v>1215</v>
      </c>
      <c r="P301" s="10" t="s">
        <v>296</v>
      </c>
      <c r="Q301" s="10">
        <v>4.0</v>
      </c>
      <c r="R301" s="10" t="s">
        <v>35</v>
      </c>
      <c r="T301" s="10" t="s">
        <v>35</v>
      </c>
      <c r="V301" s="9"/>
      <c r="W301" s="13" t="s">
        <v>78</v>
      </c>
      <c r="X301" s="10" t="s">
        <v>37</v>
      </c>
      <c r="Y301" s="10" t="s">
        <v>0</v>
      </c>
    </row>
    <row r="302">
      <c r="A302" s="10" t="s">
        <v>1216</v>
      </c>
      <c r="B302" s="11">
        <v>44250.718748113424</v>
      </c>
      <c r="C302" s="10" t="s">
        <v>28</v>
      </c>
      <c r="D302" s="10" t="s">
        <v>29</v>
      </c>
      <c r="E302" s="10" t="s">
        <v>1217</v>
      </c>
      <c r="F302" s="10" t="s">
        <v>1183</v>
      </c>
      <c r="G302" s="10" t="s">
        <v>1218</v>
      </c>
      <c r="H302" s="24">
        <v>44263.4375</v>
      </c>
      <c r="I302" s="24">
        <v>44263.52083333333</v>
      </c>
      <c r="J302" s="10" t="s">
        <v>43</v>
      </c>
      <c r="K302" s="10" t="s">
        <v>34</v>
      </c>
      <c r="N302" s="10" t="s">
        <v>35</v>
      </c>
      <c r="V302" s="9"/>
      <c r="W302" s="13" t="s">
        <v>78</v>
      </c>
      <c r="X302" s="10" t="s">
        <v>37</v>
      </c>
      <c r="Y302" s="10" t="s">
        <v>0</v>
      </c>
    </row>
    <row r="303">
      <c r="A303" s="10" t="s">
        <v>1219</v>
      </c>
      <c r="B303" s="11">
        <v>44263.54386780092</v>
      </c>
      <c r="C303" s="10" t="s">
        <v>247</v>
      </c>
      <c r="D303" s="10" t="s">
        <v>248</v>
      </c>
      <c r="E303" s="10" t="s">
        <v>1220</v>
      </c>
      <c r="F303" s="10" t="s">
        <v>1221</v>
      </c>
      <c r="G303" s="10" t="s">
        <v>1222</v>
      </c>
      <c r="H303" s="16">
        <v>44263.60416666667</v>
      </c>
      <c r="I303" s="16">
        <v>44263.66666666667</v>
      </c>
      <c r="J303" s="10" t="s">
        <v>43</v>
      </c>
      <c r="K303" s="10" t="s">
        <v>34</v>
      </c>
      <c r="N303" s="10" t="s">
        <v>296</v>
      </c>
      <c r="O303" s="18" t="s">
        <v>1223</v>
      </c>
      <c r="P303" s="10" t="s">
        <v>296</v>
      </c>
      <c r="Q303" s="10">
        <v>2.0</v>
      </c>
      <c r="R303" s="10" t="s">
        <v>35</v>
      </c>
      <c r="T303" s="10" t="s">
        <v>296</v>
      </c>
      <c r="U303" s="10">
        <v>1.0</v>
      </c>
      <c r="V303" s="27"/>
      <c r="W303" s="13" t="s">
        <v>78</v>
      </c>
      <c r="X303" s="10" t="s">
        <v>37</v>
      </c>
      <c r="Y303" s="10" t="s">
        <v>0</v>
      </c>
    </row>
    <row r="304">
      <c r="A304" s="10" t="s">
        <v>1224</v>
      </c>
      <c r="B304" s="11">
        <v>44250.61917924769</v>
      </c>
      <c r="C304" s="10" t="s">
        <v>239</v>
      </c>
      <c r="D304" s="10" t="s">
        <v>240</v>
      </c>
      <c r="E304" s="10" t="s">
        <v>1225</v>
      </c>
      <c r="F304" s="10" t="s">
        <v>1226</v>
      </c>
      <c r="G304" s="10" t="s">
        <v>1227</v>
      </c>
      <c r="H304" s="24">
        <v>44263.625</v>
      </c>
      <c r="I304" s="24">
        <v>44263.66666666667</v>
      </c>
      <c r="J304" s="10" t="s">
        <v>43</v>
      </c>
      <c r="K304" s="10" t="s">
        <v>34</v>
      </c>
      <c r="N304" s="10" t="s">
        <v>35</v>
      </c>
      <c r="V304" s="9"/>
      <c r="W304" s="13" t="s">
        <v>78</v>
      </c>
      <c r="X304" s="10" t="s">
        <v>37</v>
      </c>
      <c r="Y304" s="10" t="s">
        <v>0</v>
      </c>
    </row>
    <row r="305">
      <c r="A305" s="10" t="s">
        <v>1228</v>
      </c>
      <c r="B305" s="11">
        <v>44257.77536704861</v>
      </c>
      <c r="C305" s="10" t="s">
        <v>181</v>
      </c>
      <c r="D305" s="10" t="s">
        <v>69</v>
      </c>
      <c r="E305" s="10" t="s">
        <v>1229</v>
      </c>
      <c r="F305" s="10" t="s">
        <v>1230</v>
      </c>
      <c r="G305" s="10" t="s">
        <v>1231</v>
      </c>
      <c r="H305" s="17">
        <v>44264.27083333333</v>
      </c>
      <c r="I305" s="17">
        <v>44334.3125</v>
      </c>
      <c r="J305" s="10" t="s">
        <v>128</v>
      </c>
      <c r="K305" s="10" t="s">
        <v>34</v>
      </c>
      <c r="N305" s="10" t="s">
        <v>35</v>
      </c>
      <c r="V305" s="9"/>
      <c r="W305" s="13" t="s">
        <v>78</v>
      </c>
      <c r="X305" s="10" t="s">
        <v>37</v>
      </c>
      <c r="Y305" s="10" t="s">
        <v>0</v>
      </c>
    </row>
    <row r="306">
      <c r="A306" s="10" t="s">
        <v>1232</v>
      </c>
      <c r="B306" s="11">
        <v>44266.92346980324</v>
      </c>
      <c r="C306" s="10" t="s">
        <v>491</v>
      </c>
      <c r="D306" s="10" t="s">
        <v>492</v>
      </c>
      <c r="E306" s="10" t="s">
        <v>853</v>
      </c>
      <c r="F306" s="10" t="s">
        <v>1233</v>
      </c>
      <c r="G306" s="10" t="s">
        <v>1234</v>
      </c>
      <c r="H306" s="17">
        <v>44264.5</v>
      </c>
      <c r="I306" s="17">
        <v>44264.5</v>
      </c>
      <c r="J306" s="10" t="s">
        <v>73</v>
      </c>
      <c r="K306" s="10" t="s">
        <v>34</v>
      </c>
      <c r="N306" s="10" t="s">
        <v>35</v>
      </c>
      <c r="V306" s="9"/>
      <c r="W306" s="13" t="s">
        <v>78</v>
      </c>
      <c r="X306" s="10" t="s">
        <v>37</v>
      </c>
      <c r="Y306" s="10" t="s">
        <v>0</v>
      </c>
    </row>
    <row r="307">
      <c r="A307" s="10" t="s">
        <v>1235</v>
      </c>
      <c r="B307" s="11">
        <v>44264.00717328704</v>
      </c>
      <c r="C307" s="10" t="s">
        <v>186</v>
      </c>
      <c r="D307" s="10" t="s">
        <v>187</v>
      </c>
      <c r="E307" s="10" t="s">
        <v>343</v>
      </c>
      <c r="F307" s="10" t="s">
        <v>1236</v>
      </c>
      <c r="G307" s="10" t="s">
        <v>1237</v>
      </c>
      <c r="H307" s="16">
        <v>44264.625</v>
      </c>
      <c r="I307" s="16">
        <v>44264.70833333333</v>
      </c>
      <c r="J307" s="10" t="s">
        <v>128</v>
      </c>
      <c r="K307" s="10" t="s">
        <v>34</v>
      </c>
      <c r="N307" s="10" t="s">
        <v>35</v>
      </c>
      <c r="V307" s="9"/>
      <c r="W307" s="13" t="s">
        <v>78</v>
      </c>
      <c r="X307" s="10" t="s">
        <v>37</v>
      </c>
      <c r="Y307" s="10" t="s">
        <v>0</v>
      </c>
    </row>
    <row r="308">
      <c r="A308" s="10" t="s">
        <v>1238</v>
      </c>
      <c r="B308" s="11">
        <v>44256.43375087963</v>
      </c>
      <c r="C308" s="10" t="s">
        <v>209</v>
      </c>
      <c r="D308" s="10" t="s">
        <v>210</v>
      </c>
      <c r="E308" s="10" t="s">
        <v>261</v>
      </c>
      <c r="F308" s="10" t="s">
        <v>1239</v>
      </c>
      <c r="G308" s="10" t="s">
        <v>1240</v>
      </c>
      <c r="H308" s="24">
        <v>44263.64583333333</v>
      </c>
      <c r="I308" s="24">
        <v>44263.72916666667</v>
      </c>
      <c r="J308" s="10" t="s">
        <v>43</v>
      </c>
      <c r="K308" s="10" t="s">
        <v>34</v>
      </c>
      <c r="N308" s="10" t="s">
        <v>296</v>
      </c>
      <c r="O308" s="18" t="s">
        <v>1241</v>
      </c>
      <c r="P308" s="10" t="s">
        <v>296</v>
      </c>
      <c r="Q308" s="10">
        <v>2.0</v>
      </c>
      <c r="R308" s="10" t="s">
        <v>296</v>
      </c>
      <c r="S308" s="10">
        <v>1.0</v>
      </c>
      <c r="T308" s="10" t="s">
        <v>35</v>
      </c>
      <c r="V308" s="9"/>
      <c r="W308" s="13" t="s">
        <v>78</v>
      </c>
      <c r="X308" s="10" t="s">
        <v>37</v>
      </c>
      <c r="Y308" s="10" t="s">
        <v>0</v>
      </c>
    </row>
    <row r="309">
      <c r="A309" s="10" t="s">
        <v>1242</v>
      </c>
      <c r="B309" s="11">
        <v>44259.69678067129</v>
      </c>
      <c r="C309" s="10" t="s">
        <v>160</v>
      </c>
      <c r="D309" s="10" t="s">
        <v>161</v>
      </c>
      <c r="E309" s="10" t="s">
        <v>947</v>
      </c>
      <c r="F309" s="10" t="s">
        <v>1243</v>
      </c>
      <c r="G309" s="10" t="s">
        <v>1244</v>
      </c>
      <c r="H309" s="24">
        <v>44263.64583333333</v>
      </c>
      <c r="I309" s="24">
        <v>44270.6875</v>
      </c>
      <c r="J309" s="10" t="s">
        <v>43</v>
      </c>
      <c r="K309" s="10" t="s">
        <v>34</v>
      </c>
      <c r="N309" s="10" t="s">
        <v>296</v>
      </c>
      <c r="O309" s="18" t="s">
        <v>1245</v>
      </c>
      <c r="P309" s="10" t="s">
        <v>296</v>
      </c>
      <c r="Q309" s="10">
        <v>3.0</v>
      </c>
      <c r="R309" s="10" t="s">
        <v>296</v>
      </c>
      <c r="S309" s="10">
        <v>3.0</v>
      </c>
      <c r="T309" s="10" t="s">
        <v>35</v>
      </c>
      <c r="V309" s="9"/>
      <c r="W309" s="13" t="s">
        <v>78</v>
      </c>
      <c r="X309" s="10" t="s">
        <v>37</v>
      </c>
      <c r="Y309" s="10" t="s">
        <v>0</v>
      </c>
    </row>
    <row r="310">
      <c r="A310" s="10" t="s">
        <v>1246</v>
      </c>
      <c r="B310" s="11">
        <v>44257.77105851852</v>
      </c>
      <c r="C310" s="10" t="s">
        <v>181</v>
      </c>
      <c r="D310" s="10" t="s">
        <v>69</v>
      </c>
      <c r="E310" s="10" t="s">
        <v>1161</v>
      </c>
      <c r="F310" s="10" t="s">
        <v>1247</v>
      </c>
      <c r="G310" s="10" t="s">
        <v>1248</v>
      </c>
      <c r="H310" s="17">
        <v>44264.77083333333</v>
      </c>
      <c r="I310" s="17">
        <v>44264.85416666667</v>
      </c>
      <c r="J310" s="10" t="s">
        <v>128</v>
      </c>
      <c r="K310" s="10" t="s">
        <v>34</v>
      </c>
      <c r="N310" s="10" t="s">
        <v>35</v>
      </c>
      <c r="V310" s="9"/>
      <c r="W310" s="13" t="s">
        <v>78</v>
      </c>
      <c r="X310" s="10" t="s">
        <v>37</v>
      </c>
      <c r="Y310" s="10" t="s">
        <v>0</v>
      </c>
    </row>
    <row r="311">
      <c r="A311" s="10" t="s">
        <v>1249</v>
      </c>
      <c r="B311" s="11">
        <v>44259.49727409722</v>
      </c>
      <c r="C311" s="10" t="s">
        <v>347</v>
      </c>
      <c r="D311" s="10" t="s">
        <v>348</v>
      </c>
      <c r="E311" s="10" t="s">
        <v>349</v>
      </c>
      <c r="F311" s="10" t="s">
        <v>1250</v>
      </c>
      <c r="G311" s="10" t="s">
        <v>1251</v>
      </c>
      <c r="H311" s="17">
        <v>44265.0625</v>
      </c>
      <c r="I311" s="17">
        <v>44265.10416666667</v>
      </c>
      <c r="J311" s="10" t="s">
        <v>73</v>
      </c>
      <c r="K311" s="10" t="s">
        <v>34</v>
      </c>
      <c r="N311" s="10" t="s">
        <v>35</v>
      </c>
      <c r="V311" s="9"/>
      <c r="W311" s="13" t="s">
        <v>78</v>
      </c>
      <c r="X311" s="10" t="s">
        <v>37</v>
      </c>
      <c r="Y311" s="10" t="s">
        <v>0</v>
      </c>
    </row>
    <row r="312">
      <c r="A312" s="10" t="s">
        <v>1252</v>
      </c>
      <c r="B312" s="11">
        <v>44266.92578653935</v>
      </c>
      <c r="C312" s="10" t="s">
        <v>491</v>
      </c>
      <c r="D312" s="10" t="s">
        <v>492</v>
      </c>
      <c r="E312" s="10" t="s">
        <v>853</v>
      </c>
      <c r="F312" s="10" t="s">
        <v>1253</v>
      </c>
      <c r="G312" s="10" t="s">
        <v>1254</v>
      </c>
      <c r="H312" s="17">
        <v>44265.5</v>
      </c>
      <c r="I312" s="17">
        <v>44265.5</v>
      </c>
      <c r="J312" s="10" t="s">
        <v>73</v>
      </c>
      <c r="K312" s="10" t="s">
        <v>34</v>
      </c>
      <c r="N312" s="10" t="s">
        <v>35</v>
      </c>
      <c r="V312" s="9"/>
      <c r="W312" s="13" t="s">
        <v>78</v>
      </c>
      <c r="X312" s="10" t="s">
        <v>37</v>
      </c>
      <c r="Y312" s="10" t="s">
        <v>0</v>
      </c>
    </row>
    <row r="313">
      <c r="A313" s="10" t="s">
        <v>1255</v>
      </c>
      <c r="B313" s="11">
        <v>44260.68607877315</v>
      </c>
      <c r="C313" s="10" t="s">
        <v>387</v>
      </c>
      <c r="D313" s="10" t="s">
        <v>388</v>
      </c>
      <c r="E313" s="10" t="s">
        <v>1256</v>
      </c>
      <c r="F313" s="10" t="s">
        <v>1257</v>
      </c>
      <c r="G313" s="10" t="s">
        <v>1258</v>
      </c>
      <c r="H313" s="17">
        <v>44265.54166666667</v>
      </c>
      <c r="I313" s="17">
        <v>44265.70833333333</v>
      </c>
      <c r="J313" s="10" t="s">
        <v>128</v>
      </c>
      <c r="K313" s="10" t="s">
        <v>61</v>
      </c>
      <c r="N313" s="10" t="s">
        <v>35</v>
      </c>
      <c r="V313" s="9"/>
      <c r="W313" s="13" t="s">
        <v>78</v>
      </c>
      <c r="X313" s="10" t="s">
        <v>37</v>
      </c>
      <c r="Y313" s="10" t="s">
        <v>0</v>
      </c>
    </row>
    <row r="314">
      <c r="A314" s="10" t="s">
        <v>1259</v>
      </c>
      <c r="B314" s="11">
        <v>44253.89201378472</v>
      </c>
      <c r="C314" s="10" t="s">
        <v>269</v>
      </c>
      <c r="D314" s="10" t="s">
        <v>168</v>
      </c>
      <c r="E314" s="10" t="s">
        <v>1260</v>
      </c>
      <c r="F314" s="10" t="s">
        <v>1226</v>
      </c>
      <c r="G314" s="10" t="s">
        <v>1261</v>
      </c>
      <c r="H314" s="24">
        <v>44263.6875</v>
      </c>
      <c r="I314" s="24">
        <v>44263.75</v>
      </c>
      <c r="J314" s="10" t="s">
        <v>43</v>
      </c>
      <c r="K314" s="10" t="s">
        <v>34</v>
      </c>
      <c r="N314" s="10" t="s">
        <v>35</v>
      </c>
      <c r="V314" s="9"/>
      <c r="W314" s="13" t="s">
        <v>78</v>
      </c>
      <c r="X314" s="10" t="s">
        <v>37</v>
      </c>
      <c r="Y314" s="10" t="s">
        <v>0</v>
      </c>
    </row>
    <row r="315">
      <c r="A315" s="10" t="s">
        <v>1262</v>
      </c>
      <c r="B315" s="11">
        <v>44253.336244351856</v>
      </c>
      <c r="C315" s="10" t="s">
        <v>374</v>
      </c>
      <c r="D315" s="10" t="s">
        <v>375</v>
      </c>
      <c r="E315" s="10" t="s">
        <v>261</v>
      </c>
      <c r="F315" s="10" t="s">
        <v>1263</v>
      </c>
      <c r="G315" s="10" t="s">
        <v>1264</v>
      </c>
      <c r="H315" s="24">
        <v>44264.6875</v>
      </c>
      <c r="I315" s="24">
        <v>44264.75</v>
      </c>
      <c r="J315" s="10" t="s">
        <v>43</v>
      </c>
      <c r="K315" s="10" t="s">
        <v>34</v>
      </c>
      <c r="N315" s="10" t="s">
        <v>296</v>
      </c>
      <c r="O315" s="18" t="s">
        <v>1265</v>
      </c>
      <c r="P315" s="10" t="s">
        <v>296</v>
      </c>
      <c r="Q315" s="10">
        <v>1.0</v>
      </c>
      <c r="R315" s="10" t="s">
        <v>35</v>
      </c>
      <c r="T315" s="10" t="s">
        <v>35</v>
      </c>
      <c r="V315" s="9"/>
      <c r="W315" s="13" t="s">
        <v>78</v>
      </c>
      <c r="X315" s="10" t="s">
        <v>37</v>
      </c>
      <c r="Y315" s="10" t="s">
        <v>0</v>
      </c>
    </row>
    <row r="316">
      <c r="A316" s="10" t="s">
        <v>1266</v>
      </c>
      <c r="B316" s="11">
        <v>44259.70986150463</v>
      </c>
      <c r="C316" s="10" t="s">
        <v>160</v>
      </c>
      <c r="D316" s="10" t="s">
        <v>161</v>
      </c>
      <c r="E316" s="10" t="s">
        <v>947</v>
      </c>
      <c r="F316" s="10" t="s">
        <v>1267</v>
      </c>
      <c r="G316" s="10" t="s">
        <v>1268</v>
      </c>
      <c r="H316" s="24">
        <v>44264.6875</v>
      </c>
      <c r="I316" s="24">
        <v>44264.75</v>
      </c>
      <c r="J316" s="10" t="s">
        <v>43</v>
      </c>
      <c r="K316" s="10" t="s">
        <v>34</v>
      </c>
      <c r="N316" s="10" t="s">
        <v>296</v>
      </c>
      <c r="O316" s="18" t="s">
        <v>1269</v>
      </c>
      <c r="P316" s="10" t="s">
        <v>296</v>
      </c>
      <c r="Q316" s="10">
        <v>1.0</v>
      </c>
      <c r="R316" s="10" t="s">
        <v>296</v>
      </c>
      <c r="S316" s="10">
        <v>1.0</v>
      </c>
      <c r="T316" s="10" t="s">
        <v>35</v>
      </c>
      <c r="V316" s="9"/>
      <c r="W316" s="13" t="s">
        <v>78</v>
      </c>
      <c r="X316" s="10" t="s">
        <v>37</v>
      </c>
      <c r="Y316" s="10" t="s">
        <v>0</v>
      </c>
    </row>
    <row r="317">
      <c r="A317" s="10" t="s">
        <v>1270</v>
      </c>
      <c r="B317" s="11">
        <v>44252.363678124995</v>
      </c>
      <c r="C317" s="10" t="s">
        <v>1271</v>
      </c>
      <c r="D317" s="10" t="s">
        <v>976</v>
      </c>
      <c r="E317" s="10" t="s">
        <v>977</v>
      </c>
      <c r="F317" s="10" t="s">
        <v>1272</v>
      </c>
      <c r="G317" s="10" t="s">
        <v>1273</v>
      </c>
      <c r="H317" s="24">
        <v>44265.5625</v>
      </c>
      <c r="I317" s="24">
        <v>44265.60416666667</v>
      </c>
      <c r="J317" s="10" t="s">
        <v>43</v>
      </c>
      <c r="K317" s="10" t="s">
        <v>34</v>
      </c>
      <c r="N317" s="10" t="s">
        <v>296</v>
      </c>
      <c r="O317" s="18" t="s">
        <v>1274</v>
      </c>
      <c r="P317" s="10" t="s">
        <v>35</v>
      </c>
      <c r="R317" s="10" t="s">
        <v>35</v>
      </c>
      <c r="T317" s="10" t="s">
        <v>296</v>
      </c>
      <c r="U317" s="10">
        <v>1.0</v>
      </c>
      <c r="V317" s="27"/>
      <c r="W317" s="13" t="s">
        <v>78</v>
      </c>
      <c r="X317" s="10" t="s">
        <v>37</v>
      </c>
      <c r="Y317" s="10" t="s">
        <v>0</v>
      </c>
    </row>
    <row r="318">
      <c r="A318" s="10" t="s">
        <v>1275</v>
      </c>
      <c r="B318" s="11">
        <v>44265.87626767361</v>
      </c>
      <c r="C318" s="10" t="s">
        <v>80</v>
      </c>
      <c r="D318" s="10" t="s">
        <v>81</v>
      </c>
      <c r="E318" s="10" t="s">
        <v>1276</v>
      </c>
      <c r="F318" s="10" t="s">
        <v>1277</v>
      </c>
      <c r="G318" s="10" t="s">
        <v>1278</v>
      </c>
      <c r="H318" s="17">
        <v>44266.10416666667</v>
      </c>
      <c r="I318" s="17">
        <v>44266.16666666667</v>
      </c>
      <c r="J318" s="10" t="s">
        <v>33</v>
      </c>
      <c r="K318" s="10" t="s">
        <v>34</v>
      </c>
      <c r="N318" s="10" t="s">
        <v>296</v>
      </c>
      <c r="O318" s="18" t="s">
        <v>1279</v>
      </c>
      <c r="P318" s="10" t="s">
        <v>296</v>
      </c>
      <c r="Q318" s="10">
        <v>2.0</v>
      </c>
      <c r="R318" s="10" t="s">
        <v>35</v>
      </c>
      <c r="T318" s="10" t="s">
        <v>35</v>
      </c>
      <c r="V318" s="9"/>
      <c r="W318" s="13" t="s">
        <v>78</v>
      </c>
      <c r="X318" s="10" t="s">
        <v>37</v>
      </c>
      <c r="Y318" s="10" t="s">
        <v>0</v>
      </c>
    </row>
    <row r="319">
      <c r="A319" s="10" t="s">
        <v>1280</v>
      </c>
      <c r="B319" s="11">
        <v>44252.36571429398</v>
      </c>
      <c r="C319" s="10" t="s">
        <v>975</v>
      </c>
      <c r="D319" s="10" t="s">
        <v>976</v>
      </c>
      <c r="E319" s="10" t="s">
        <v>977</v>
      </c>
      <c r="F319" s="10" t="s">
        <v>1272</v>
      </c>
      <c r="G319" s="10" t="s">
        <v>1281</v>
      </c>
      <c r="H319" s="24">
        <v>44265.5625</v>
      </c>
      <c r="I319" s="24">
        <v>44265.60416666667</v>
      </c>
      <c r="J319" s="10" t="s">
        <v>43</v>
      </c>
      <c r="K319" s="10" t="s">
        <v>34</v>
      </c>
      <c r="N319" s="10" t="s">
        <v>296</v>
      </c>
      <c r="O319" s="18" t="s">
        <v>1282</v>
      </c>
      <c r="P319" s="10" t="s">
        <v>35</v>
      </c>
      <c r="R319" s="10" t="s">
        <v>35</v>
      </c>
      <c r="T319" s="10" t="s">
        <v>296</v>
      </c>
      <c r="U319" s="10">
        <v>1.0</v>
      </c>
      <c r="V319" s="27"/>
      <c r="W319" s="13" t="s">
        <v>78</v>
      </c>
      <c r="X319" s="10" t="s">
        <v>37</v>
      </c>
      <c r="Y319" s="10" t="s">
        <v>0</v>
      </c>
    </row>
    <row r="320">
      <c r="A320" s="10" t="s">
        <v>1283</v>
      </c>
      <c r="B320" s="11">
        <v>44257.776226435184</v>
      </c>
      <c r="C320" s="10" t="s">
        <v>181</v>
      </c>
      <c r="D320" s="10" t="s">
        <v>69</v>
      </c>
      <c r="E320" s="10" t="s">
        <v>1284</v>
      </c>
      <c r="F320" s="10" t="s">
        <v>1285</v>
      </c>
      <c r="G320" s="10" t="s">
        <v>1286</v>
      </c>
      <c r="H320" s="17">
        <v>44266.375</v>
      </c>
      <c r="I320" s="17">
        <v>44266.99930555555</v>
      </c>
      <c r="J320" s="10" t="s">
        <v>73</v>
      </c>
      <c r="K320" s="10" t="s">
        <v>34</v>
      </c>
      <c r="N320" s="10" t="s">
        <v>35</v>
      </c>
      <c r="V320" s="9"/>
      <c r="W320" s="13" t="s">
        <v>78</v>
      </c>
      <c r="X320" s="10" t="s">
        <v>37</v>
      </c>
      <c r="Y320" s="10" t="s">
        <v>0</v>
      </c>
    </row>
    <row r="321">
      <c r="A321" s="10" t="s">
        <v>1287</v>
      </c>
      <c r="B321" s="11">
        <v>44260.627266689815</v>
      </c>
      <c r="C321" s="10" t="s">
        <v>186</v>
      </c>
      <c r="D321" s="10" t="s">
        <v>187</v>
      </c>
      <c r="E321" s="10" t="s">
        <v>188</v>
      </c>
      <c r="F321" s="10" t="s">
        <v>1288</v>
      </c>
      <c r="G321" s="10" t="s">
        <v>1289</v>
      </c>
      <c r="H321" s="17">
        <v>44266.4375</v>
      </c>
      <c r="I321" s="17">
        <v>44266.52083333333</v>
      </c>
      <c r="J321" s="10" t="s">
        <v>128</v>
      </c>
      <c r="K321" s="10" t="s">
        <v>34</v>
      </c>
      <c r="N321" s="10" t="s">
        <v>35</v>
      </c>
      <c r="V321" s="9"/>
      <c r="W321" s="13" t="s">
        <v>78</v>
      </c>
      <c r="X321" s="10" t="s">
        <v>37</v>
      </c>
      <c r="Y321" s="10" t="s">
        <v>0</v>
      </c>
    </row>
    <row r="322">
      <c r="A322" s="10" t="s">
        <v>1290</v>
      </c>
      <c r="B322" s="11">
        <v>44256.60003259259</v>
      </c>
      <c r="C322" s="10" t="s">
        <v>330</v>
      </c>
      <c r="D322" s="10" t="s">
        <v>331</v>
      </c>
      <c r="E322" s="10" t="s">
        <v>1291</v>
      </c>
      <c r="F322" s="10" t="s">
        <v>1292</v>
      </c>
      <c r="G322" s="10" t="s">
        <v>1293</v>
      </c>
      <c r="H322" s="24">
        <v>44265.6875</v>
      </c>
      <c r="I322" s="24">
        <v>44265.77083333333</v>
      </c>
      <c r="J322" s="10" t="s">
        <v>43</v>
      </c>
      <c r="K322" s="10" t="s">
        <v>34</v>
      </c>
      <c r="N322" s="10" t="s">
        <v>296</v>
      </c>
      <c r="O322" s="18" t="s">
        <v>1294</v>
      </c>
      <c r="P322" s="10" t="s">
        <v>296</v>
      </c>
      <c r="Q322" s="10">
        <v>1.0</v>
      </c>
      <c r="R322" s="10" t="s">
        <v>296</v>
      </c>
      <c r="S322" s="10">
        <v>1.0</v>
      </c>
      <c r="T322" s="10" t="s">
        <v>35</v>
      </c>
      <c r="V322" s="9"/>
      <c r="W322" s="13" t="s">
        <v>78</v>
      </c>
      <c r="X322" s="10" t="s">
        <v>37</v>
      </c>
      <c r="Y322" s="10" t="s">
        <v>0</v>
      </c>
    </row>
    <row r="323">
      <c r="A323" s="10" t="s">
        <v>1295</v>
      </c>
      <c r="B323" s="11">
        <v>44263.87191087963</v>
      </c>
      <c r="C323" s="10" t="s">
        <v>96</v>
      </c>
      <c r="D323" s="10" t="s">
        <v>97</v>
      </c>
      <c r="E323" s="10" t="s">
        <v>1296</v>
      </c>
      <c r="F323" s="10" t="s">
        <v>1297</v>
      </c>
      <c r="G323" s="10" t="s">
        <v>1298</v>
      </c>
      <c r="H323" s="17">
        <v>44266.60416666667</v>
      </c>
      <c r="I323" s="17">
        <v>44266.66666666667</v>
      </c>
      <c r="J323" s="10" t="s">
        <v>33</v>
      </c>
      <c r="K323" s="10" t="s">
        <v>34</v>
      </c>
      <c r="N323" s="10" t="s">
        <v>296</v>
      </c>
      <c r="O323" s="18" t="s">
        <v>1299</v>
      </c>
      <c r="P323" s="10" t="s">
        <v>296</v>
      </c>
      <c r="Q323" s="10">
        <v>1.0</v>
      </c>
      <c r="R323" s="10" t="s">
        <v>35</v>
      </c>
      <c r="T323" s="10" t="s">
        <v>35</v>
      </c>
      <c r="V323" s="9"/>
      <c r="W323" s="13" t="s">
        <v>78</v>
      </c>
      <c r="X323" s="10" t="s">
        <v>37</v>
      </c>
      <c r="Y323" s="10" t="s">
        <v>0</v>
      </c>
    </row>
    <row r="324">
      <c r="A324" s="10" t="s">
        <v>1300</v>
      </c>
      <c r="B324" s="11">
        <v>44259.72415715278</v>
      </c>
      <c r="C324" s="10" t="s">
        <v>160</v>
      </c>
      <c r="D324" s="10" t="s">
        <v>161</v>
      </c>
      <c r="E324" s="10" t="s">
        <v>947</v>
      </c>
      <c r="F324" s="10" t="s">
        <v>1301</v>
      </c>
      <c r="G324" s="10" t="s">
        <v>1302</v>
      </c>
      <c r="H324" s="17">
        <v>44266.64583333333</v>
      </c>
      <c r="I324" s="17">
        <v>44266.70833333333</v>
      </c>
      <c r="J324" s="10" t="s">
        <v>128</v>
      </c>
      <c r="K324" s="10" t="s">
        <v>34</v>
      </c>
      <c r="N324" s="10" t="s">
        <v>296</v>
      </c>
      <c r="O324" s="18" t="s">
        <v>1303</v>
      </c>
      <c r="P324" s="10" t="s">
        <v>296</v>
      </c>
      <c r="Q324" s="10">
        <v>1.0</v>
      </c>
      <c r="R324" s="10" t="s">
        <v>296</v>
      </c>
      <c r="S324" s="10">
        <v>1.0</v>
      </c>
      <c r="T324" s="10" t="s">
        <v>35</v>
      </c>
      <c r="V324" s="9"/>
      <c r="W324" s="13" t="s">
        <v>78</v>
      </c>
      <c r="X324" s="10" t="s">
        <v>37</v>
      </c>
      <c r="Y324" s="10" t="s">
        <v>0</v>
      </c>
    </row>
    <row r="325">
      <c r="A325" s="10" t="s">
        <v>1304</v>
      </c>
      <c r="B325" s="11">
        <v>44260.62954666666</v>
      </c>
      <c r="C325" s="10" t="s">
        <v>186</v>
      </c>
      <c r="D325" s="10" t="s">
        <v>187</v>
      </c>
      <c r="E325" s="10" t="s">
        <v>188</v>
      </c>
      <c r="F325" s="10" t="s">
        <v>1305</v>
      </c>
      <c r="G325" s="10" t="s">
        <v>1306</v>
      </c>
      <c r="H325" s="17">
        <v>44266.64583333333</v>
      </c>
      <c r="I325" s="17">
        <v>44266.72916666667</v>
      </c>
      <c r="J325" s="10" t="s">
        <v>128</v>
      </c>
      <c r="K325" s="10" t="s">
        <v>34</v>
      </c>
      <c r="N325" s="10" t="s">
        <v>35</v>
      </c>
      <c r="V325" s="9"/>
      <c r="W325" s="13" t="s">
        <v>78</v>
      </c>
      <c r="X325" s="10" t="s">
        <v>37</v>
      </c>
      <c r="Y325" s="10" t="s">
        <v>0</v>
      </c>
    </row>
    <row r="326">
      <c r="A326" s="10" t="s">
        <v>1307</v>
      </c>
      <c r="B326" s="11">
        <v>44256.32360092593</v>
      </c>
      <c r="C326" s="10" t="s">
        <v>671</v>
      </c>
      <c r="D326" s="10" t="s">
        <v>672</v>
      </c>
      <c r="E326" s="10" t="s">
        <v>1308</v>
      </c>
      <c r="F326" s="10" t="s">
        <v>1309</v>
      </c>
      <c r="G326" s="10" t="s">
        <v>1310</v>
      </c>
      <c r="H326" s="17">
        <v>44266.6875</v>
      </c>
      <c r="I326" s="17">
        <v>44266.72916666667</v>
      </c>
      <c r="J326" s="10" t="s">
        <v>128</v>
      </c>
      <c r="K326" s="10" t="s">
        <v>34</v>
      </c>
      <c r="N326" s="10" t="s">
        <v>35</v>
      </c>
      <c r="V326" s="9"/>
      <c r="W326" s="13" t="s">
        <v>78</v>
      </c>
      <c r="X326" s="10" t="s">
        <v>37</v>
      </c>
      <c r="Y326" s="10" t="s">
        <v>0</v>
      </c>
    </row>
    <row r="327">
      <c r="A327" s="10" t="s">
        <v>1311</v>
      </c>
      <c r="B327" s="11">
        <v>44259.55019938658</v>
      </c>
      <c r="C327" s="10" t="s">
        <v>671</v>
      </c>
      <c r="D327" s="10" t="s">
        <v>672</v>
      </c>
      <c r="E327" s="10" t="s">
        <v>1140</v>
      </c>
      <c r="F327" s="10" t="s">
        <v>1312</v>
      </c>
      <c r="G327" s="10" t="s">
        <v>1313</v>
      </c>
      <c r="H327" s="17">
        <v>44266.6875</v>
      </c>
      <c r="I327" s="17">
        <v>44327.6875</v>
      </c>
      <c r="J327" s="10" t="s">
        <v>128</v>
      </c>
      <c r="K327" s="10" t="s">
        <v>34</v>
      </c>
      <c r="N327" s="10" t="s">
        <v>35</v>
      </c>
      <c r="V327" s="9"/>
      <c r="W327" s="13" t="s">
        <v>78</v>
      </c>
      <c r="X327" s="10" t="s">
        <v>37</v>
      </c>
      <c r="Y327" s="10" t="s">
        <v>0</v>
      </c>
    </row>
    <row r="328">
      <c r="A328" s="10" t="s">
        <v>1314</v>
      </c>
      <c r="B328" s="11">
        <v>44272.50950704861</v>
      </c>
      <c r="C328" s="10" t="s">
        <v>1035</v>
      </c>
      <c r="D328" s="10" t="s">
        <v>1036</v>
      </c>
      <c r="E328" s="10" t="s">
        <v>1037</v>
      </c>
      <c r="F328" s="10" t="s">
        <v>1315</v>
      </c>
      <c r="G328" s="10" t="s">
        <v>1316</v>
      </c>
      <c r="H328" s="17">
        <v>44266.75</v>
      </c>
      <c r="I328" s="17">
        <v>44266.79166666667</v>
      </c>
      <c r="J328" s="10" t="s">
        <v>128</v>
      </c>
      <c r="K328" s="10" t="s">
        <v>34</v>
      </c>
      <c r="N328" s="10" t="s">
        <v>35</v>
      </c>
      <c r="V328" s="9"/>
      <c r="W328" s="13" t="s">
        <v>78</v>
      </c>
      <c r="X328" s="10" t="s">
        <v>37</v>
      </c>
      <c r="Y328" s="10" t="s">
        <v>0</v>
      </c>
    </row>
    <row r="329">
      <c r="A329" s="10" t="s">
        <v>1317</v>
      </c>
      <c r="B329" s="11">
        <v>44259.33174298611</v>
      </c>
      <c r="C329" s="10" t="s">
        <v>491</v>
      </c>
      <c r="D329" s="10" t="s">
        <v>492</v>
      </c>
      <c r="E329" s="10" t="s">
        <v>1318</v>
      </c>
      <c r="F329" s="10" t="s">
        <v>1319</v>
      </c>
      <c r="G329" s="10" t="s">
        <v>1320</v>
      </c>
      <c r="H329" s="17">
        <v>44266.79166666667</v>
      </c>
      <c r="I329" s="17">
        <v>44266.84375</v>
      </c>
      <c r="J329" s="10" t="s">
        <v>128</v>
      </c>
      <c r="K329" s="10" t="s">
        <v>34</v>
      </c>
      <c r="N329" s="10" t="s">
        <v>35</v>
      </c>
      <c r="V329" s="9"/>
      <c r="W329" s="13" t="s">
        <v>78</v>
      </c>
      <c r="X329" s="10" t="s">
        <v>37</v>
      </c>
      <c r="Y329" s="10" t="s">
        <v>0</v>
      </c>
    </row>
    <row r="330">
      <c r="A330" s="10" t="s">
        <v>1321</v>
      </c>
      <c r="B330" s="11">
        <v>44269.696020347226</v>
      </c>
      <c r="C330" s="10" t="s">
        <v>102</v>
      </c>
      <c r="D330" s="10" t="s">
        <v>103</v>
      </c>
      <c r="E330" s="10" t="s">
        <v>1322</v>
      </c>
      <c r="F330" s="10" t="s">
        <v>1323</v>
      </c>
      <c r="G330" s="10" t="s">
        <v>1324</v>
      </c>
      <c r="H330" s="17">
        <v>44267.125</v>
      </c>
      <c r="I330" s="17">
        <v>44267.20833333333</v>
      </c>
      <c r="J330" s="10" t="s">
        <v>128</v>
      </c>
      <c r="K330" s="10" t="s">
        <v>34</v>
      </c>
      <c r="N330" s="10" t="s">
        <v>35</v>
      </c>
      <c r="V330" s="9"/>
      <c r="W330" s="13" t="s">
        <v>78</v>
      </c>
      <c r="X330" s="10" t="s">
        <v>37</v>
      </c>
      <c r="Y330" s="10" t="s">
        <v>0</v>
      </c>
    </row>
    <row r="331">
      <c r="A331" s="10" t="s">
        <v>1325</v>
      </c>
      <c r="B331" s="11">
        <v>44259.71398892361</v>
      </c>
      <c r="C331" s="10" t="s">
        <v>160</v>
      </c>
      <c r="D331" s="10" t="s">
        <v>161</v>
      </c>
      <c r="E331" s="10" t="s">
        <v>1326</v>
      </c>
      <c r="F331" s="10" t="s">
        <v>1292</v>
      </c>
      <c r="G331" s="10" t="s">
        <v>1327</v>
      </c>
      <c r="H331" s="24">
        <v>44265.6875</v>
      </c>
      <c r="I331" s="24">
        <v>44265.75</v>
      </c>
      <c r="J331" s="10" t="s">
        <v>43</v>
      </c>
      <c r="K331" s="10" t="s">
        <v>34</v>
      </c>
      <c r="N331" s="10" t="s">
        <v>296</v>
      </c>
      <c r="O331" s="18" t="s">
        <v>1328</v>
      </c>
      <c r="P331" s="10" t="s">
        <v>296</v>
      </c>
      <c r="Q331" s="10">
        <v>1.0</v>
      </c>
      <c r="R331" s="10" t="s">
        <v>296</v>
      </c>
      <c r="S331" s="10">
        <v>1.0</v>
      </c>
      <c r="T331" s="10" t="s">
        <v>35</v>
      </c>
      <c r="V331" s="9"/>
      <c r="W331" s="13" t="s">
        <v>78</v>
      </c>
      <c r="X331" s="10" t="s">
        <v>37</v>
      </c>
      <c r="Y331" s="10" t="s">
        <v>0</v>
      </c>
    </row>
    <row r="332">
      <c r="A332" s="10" t="s">
        <v>1329</v>
      </c>
      <c r="B332" s="11">
        <v>44260.65157793982</v>
      </c>
      <c r="C332" s="10" t="s">
        <v>453</v>
      </c>
      <c r="D332" s="10" t="s">
        <v>393</v>
      </c>
      <c r="E332" s="10" t="s">
        <v>1330</v>
      </c>
      <c r="F332" s="10" t="s">
        <v>1331</v>
      </c>
      <c r="G332" s="10" t="s">
        <v>1332</v>
      </c>
      <c r="H332" s="24">
        <v>44266.16666666667</v>
      </c>
      <c r="I332" s="24">
        <v>44266.20833333333</v>
      </c>
      <c r="J332" s="10" t="s">
        <v>1333</v>
      </c>
      <c r="K332" s="10" t="s">
        <v>34</v>
      </c>
      <c r="L332" s="10" t="s">
        <v>1334</v>
      </c>
      <c r="N332" s="10" t="s">
        <v>35</v>
      </c>
      <c r="V332" s="9"/>
      <c r="W332" s="13" t="s">
        <v>78</v>
      </c>
      <c r="X332" s="10" t="s">
        <v>37</v>
      </c>
      <c r="Y332" s="10" t="s">
        <v>0</v>
      </c>
    </row>
    <row r="333">
      <c r="A333" s="10" t="s">
        <v>1335</v>
      </c>
      <c r="B333" s="11">
        <v>44258.72982414352</v>
      </c>
      <c r="C333" s="10" t="s">
        <v>539</v>
      </c>
      <c r="D333" s="10" t="s">
        <v>540</v>
      </c>
      <c r="E333" s="10" t="s">
        <v>1336</v>
      </c>
      <c r="F333" s="10" t="s">
        <v>1337</v>
      </c>
      <c r="G333" s="10" t="s">
        <v>1338</v>
      </c>
      <c r="H333" s="17">
        <v>44267.29166666667</v>
      </c>
      <c r="I333" s="17">
        <v>44267.83333333333</v>
      </c>
      <c r="J333" s="10" t="s">
        <v>73</v>
      </c>
      <c r="K333" s="10" t="s">
        <v>34</v>
      </c>
      <c r="N333" s="10" t="s">
        <v>35</v>
      </c>
      <c r="V333" s="9"/>
      <c r="W333" s="13" t="s">
        <v>78</v>
      </c>
      <c r="X333" s="10" t="s">
        <v>37</v>
      </c>
      <c r="Y333" s="10" t="s">
        <v>0</v>
      </c>
    </row>
    <row r="334">
      <c r="A334" s="10" t="s">
        <v>1339</v>
      </c>
      <c r="B334" s="11">
        <v>44259.57274363426</v>
      </c>
      <c r="C334" s="10" t="s">
        <v>181</v>
      </c>
      <c r="D334" s="10" t="s">
        <v>69</v>
      </c>
      <c r="E334" s="10" t="s">
        <v>1340</v>
      </c>
      <c r="F334" s="10" t="s">
        <v>1341</v>
      </c>
      <c r="G334" s="10" t="s">
        <v>1342</v>
      </c>
      <c r="H334" s="24">
        <v>44266.60416666667</v>
      </c>
      <c r="I334" s="24">
        <v>44266.66666666667</v>
      </c>
      <c r="J334" s="10" t="s">
        <v>43</v>
      </c>
      <c r="K334" s="10" t="s">
        <v>34</v>
      </c>
      <c r="N334" s="10" t="s">
        <v>296</v>
      </c>
      <c r="O334" s="18" t="s">
        <v>1343</v>
      </c>
      <c r="P334" s="10" t="s">
        <v>35</v>
      </c>
      <c r="R334" s="10" t="s">
        <v>35</v>
      </c>
      <c r="T334" s="10" t="s">
        <v>296</v>
      </c>
      <c r="U334" s="10">
        <v>1.0</v>
      </c>
      <c r="V334" s="27"/>
      <c r="W334" s="13" t="s">
        <v>78</v>
      </c>
      <c r="X334" s="10" t="s">
        <v>37</v>
      </c>
      <c r="Y334" s="10" t="s">
        <v>0</v>
      </c>
    </row>
    <row r="335">
      <c r="A335" s="10" t="s">
        <v>1344</v>
      </c>
      <c r="B335" s="11">
        <v>44272.5103925</v>
      </c>
      <c r="C335" s="10" t="s">
        <v>1035</v>
      </c>
      <c r="D335" s="10" t="s">
        <v>1036</v>
      </c>
      <c r="E335" s="10" t="s">
        <v>1037</v>
      </c>
      <c r="F335" s="10" t="s">
        <v>1315</v>
      </c>
      <c r="G335" s="10" t="s">
        <v>1345</v>
      </c>
      <c r="H335" s="17">
        <v>44267.39583333333</v>
      </c>
      <c r="I335" s="17">
        <v>44267.4375</v>
      </c>
      <c r="J335" s="10" t="s">
        <v>128</v>
      </c>
      <c r="K335" s="10" t="s">
        <v>34</v>
      </c>
      <c r="N335" s="10" t="s">
        <v>35</v>
      </c>
      <c r="V335" s="9"/>
      <c r="W335" s="13" t="s">
        <v>78</v>
      </c>
      <c r="X335" s="10" t="s">
        <v>37</v>
      </c>
      <c r="Y335" s="10" t="s">
        <v>0</v>
      </c>
    </row>
    <row r="336">
      <c r="A336" s="10" t="s">
        <v>1346</v>
      </c>
      <c r="B336" s="11">
        <v>44267.653685509256</v>
      </c>
      <c r="C336" s="10" t="s">
        <v>453</v>
      </c>
      <c r="D336" s="10" t="s">
        <v>393</v>
      </c>
      <c r="E336" s="10" t="s">
        <v>1347</v>
      </c>
      <c r="F336" s="10" t="s">
        <v>1348</v>
      </c>
      <c r="G336" s="10" t="s">
        <v>1349</v>
      </c>
      <c r="H336" s="16">
        <v>44267.14583333333</v>
      </c>
      <c r="I336" s="16">
        <v>44267.20833333333</v>
      </c>
      <c r="J336" s="10" t="s">
        <v>1333</v>
      </c>
      <c r="K336" s="10" t="s">
        <v>34</v>
      </c>
      <c r="L336" s="10" t="s">
        <v>1334</v>
      </c>
      <c r="N336" s="10" t="s">
        <v>35</v>
      </c>
      <c r="V336" s="9"/>
      <c r="W336" s="13" t="s">
        <v>78</v>
      </c>
      <c r="X336" s="10" t="s">
        <v>37</v>
      </c>
      <c r="Y336" s="10" t="s">
        <v>0</v>
      </c>
    </row>
    <row r="337">
      <c r="A337" s="10" t="s">
        <v>1350</v>
      </c>
      <c r="B337" s="11">
        <v>44263.43699552084</v>
      </c>
      <c r="C337" s="10" t="s">
        <v>80</v>
      </c>
      <c r="D337" s="10" t="s">
        <v>81</v>
      </c>
      <c r="E337" s="10" t="s">
        <v>1351</v>
      </c>
      <c r="F337" s="10" t="s">
        <v>1352</v>
      </c>
      <c r="G337" s="10" t="s">
        <v>1353</v>
      </c>
      <c r="H337" s="24">
        <v>44267.1875</v>
      </c>
      <c r="I337" s="24">
        <v>44267.22916666667</v>
      </c>
      <c r="J337" s="10" t="s">
        <v>43</v>
      </c>
      <c r="K337" s="10" t="s">
        <v>34</v>
      </c>
      <c r="N337" s="10" t="s">
        <v>296</v>
      </c>
      <c r="O337" s="18" t="s">
        <v>1354</v>
      </c>
      <c r="P337" s="10" t="s">
        <v>35</v>
      </c>
      <c r="R337" s="10" t="s">
        <v>35</v>
      </c>
      <c r="T337" s="10" t="s">
        <v>296</v>
      </c>
      <c r="U337" s="10">
        <v>1.0</v>
      </c>
      <c r="V337" s="27"/>
      <c r="W337" s="13" t="s">
        <v>78</v>
      </c>
      <c r="X337" s="10" t="s">
        <v>37</v>
      </c>
      <c r="Y337" s="10" t="s">
        <v>0</v>
      </c>
    </row>
    <row r="338">
      <c r="A338" s="10" t="s">
        <v>1355</v>
      </c>
      <c r="B338" s="11">
        <v>44263.94642489583</v>
      </c>
      <c r="C338" s="10" t="s">
        <v>28</v>
      </c>
      <c r="D338" s="10" t="s">
        <v>29</v>
      </c>
      <c r="E338" s="10" t="s">
        <v>63</v>
      </c>
      <c r="F338" s="10" t="s">
        <v>1356</v>
      </c>
      <c r="G338" s="10" t="s">
        <v>1357</v>
      </c>
      <c r="H338" s="16">
        <v>44267.3125</v>
      </c>
      <c r="I338" s="16">
        <v>44267.39583333333</v>
      </c>
      <c r="J338" s="10" t="s">
        <v>43</v>
      </c>
      <c r="K338" s="10" t="s">
        <v>34</v>
      </c>
      <c r="N338" s="10" t="s">
        <v>35</v>
      </c>
      <c r="V338" s="9"/>
      <c r="W338" s="13" t="s">
        <v>78</v>
      </c>
      <c r="X338" s="10" t="s">
        <v>37</v>
      </c>
      <c r="Y338" s="10" t="s">
        <v>0</v>
      </c>
    </row>
    <row r="339">
      <c r="A339" s="10" t="s">
        <v>1358</v>
      </c>
      <c r="B339" s="11">
        <v>44258.631364166664</v>
      </c>
      <c r="C339" s="10" t="s">
        <v>1359</v>
      </c>
      <c r="D339" s="10" t="s">
        <v>1360</v>
      </c>
      <c r="E339" s="10" t="s">
        <v>1361</v>
      </c>
      <c r="F339" s="10" t="s">
        <v>1362</v>
      </c>
      <c r="G339" s="10" t="s">
        <v>1363</v>
      </c>
      <c r="H339" s="24">
        <v>44267.41666666667</v>
      </c>
      <c r="I339" s="24">
        <v>44267.45833333333</v>
      </c>
      <c r="J339" s="10" t="s">
        <v>43</v>
      </c>
      <c r="K339" s="10" t="s">
        <v>34</v>
      </c>
      <c r="N339" s="10" t="s">
        <v>35</v>
      </c>
      <c r="V339" s="9"/>
      <c r="W339" s="13" t="s">
        <v>78</v>
      </c>
      <c r="X339" s="10" t="s">
        <v>37</v>
      </c>
      <c r="Y339" s="10" t="s">
        <v>0</v>
      </c>
    </row>
    <row r="340">
      <c r="A340" s="10" t="s">
        <v>1364</v>
      </c>
      <c r="B340" s="11">
        <v>44260.6306215625</v>
      </c>
      <c r="C340" s="10" t="s">
        <v>186</v>
      </c>
      <c r="D340" s="10" t="s">
        <v>187</v>
      </c>
      <c r="E340" s="10" t="s">
        <v>188</v>
      </c>
      <c r="F340" s="10" t="s">
        <v>1365</v>
      </c>
      <c r="G340" s="10" t="s">
        <v>1366</v>
      </c>
      <c r="H340" s="17">
        <v>44267.45833333333</v>
      </c>
      <c r="I340" s="17">
        <v>44267.54166666667</v>
      </c>
      <c r="J340" s="10" t="s">
        <v>128</v>
      </c>
      <c r="K340" s="10" t="s">
        <v>34</v>
      </c>
      <c r="N340" s="10" t="s">
        <v>35</v>
      </c>
      <c r="V340" s="9"/>
      <c r="W340" s="13" t="s">
        <v>78</v>
      </c>
      <c r="X340" s="10" t="s">
        <v>37</v>
      </c>
      <c r="Y340" s="10" t="s">
        <v>0</v>
      </c>
    </row>
    <row r="341">
      <c r="A341" s="10" t="s">
        <v>1367</v>
      </c>
      <c r="B341" s="11">
        <v>44261.512716157406</v>
      </c>
      <c r="C341" s="10" t="s">
        <v>209</v>
      </c>
      <c r="D341" s="10" t="s">
        <v>210</v>
      </c>
      <c r="E341" s="10" t="s">
        <v>261</v>
      </c>
      <c r="F341" s="10" t="s">
        <v>1368</v>
      </c>
      <c r="G341" s="10" t="s">
        <v>1369</v>
      </c>
      <c r="H341" s="17">
        <v>44267.47916666667</v>
      </c>
      <c r="I341" s="17">
        <v>44267.52083333333</v>
      </c>
      <c r="J341" s="10" t="s">
        <v>33</v>
      </c>
      <c r="K341" s="10" t="s">
        <v>34</v>
      </c>
      <c r="N341" s="10" t="s">
        <v>35</v>
      </c>
      <c r="V341" s="9"/>
      <c r="W341" s="13" t="s">
        <v>78</v>
      </c>
      <c r="X341" s="10" t="s">
        <v>37</v>
      </c>
      <c r="Y341" s="10" t="s">
        <v>0</v>
      </c>
    </row>
    <row r="342">
      <c r="A342" s="10" t="s">
        <v>1370</v>
      </c>
      <c r="B342" s="11">
        <v>44256.58781070602</v>
      </c>
      <c r="C342" s="10" t="s">
        <v>209</v>
      </c>
      <c r="D342" s="10" t="s">
        <v>210</v>
      </c>
      <c r="E342" s="10" t="s">
        <v>1027</v>
      </c>
      <c r="F342" s="10" t="s">
        <v>1371</v>
      </c>
      <c r="G342" s="10" t="s">
        <v>1372</v>
      </c>
      <c r="H342" s="17">
        <v>44267.52083333333</v>
      </c>
      <c r="I342" s="17">
        <v>44267.60416666667</v>
      </c>
      <c r="J342" s="10" t="s">
        <v>128</v>
      </c>
      <c r="K342" s="10" t="s">
        <v>34</v>
      </c>
      <c r="N342" s="10" t="s">
        <v>35</v>
      </c>
      <c r="V342" s="9"/>
      <c r="W342" s="13" t="s">
        <v>78</v>
      </c>
      <c r="X342" s="10" t="s">
        <v>37</v>
      </c>
      <c r="Y342" s="10" t="s">
        <v>0</v>
      </c>
    </row>
    <row r="343">
      <c r="A343" s="10" t="s">
        <v>1373</v>
      </c>
      <c r="B343" s="11">
        <v>44267.535155034726</v>
      </c>
      <c r="C343" s="10" t="s">
        <v>694</v>
      </c>
      <c r="D343" s="10" t="s">
        <v>695</v>
      </c>
      <c r="E343" s="10" t="s">
        <v>696</v>
      </c>
      <c r="F343" s="10" t="s">
        <v>1374</v>
      </c>
      <c r="G343" s="10" t="s">
        <v>698</v>
      </c>
      <c r="H343" s="17">
        <v>44267.52083333333</v>
      </c>
      <c r="I343" s="17">
        <v>44267.5625</v>
      </c>
      <c r="J343" s="10" t="s">
        <v>128</v>
      </c>
      <c r="K343" s="10" t="s">
        <v>34</v>
      </c>
      <c r="N343" s="10" t="s">
        <v>35</v>
      </c>
      <c r="V343" s="9"/>
      <c r="W343" s="13" t="s">
        <v>78</v>
      </c>
      <c r="X343" s="10" t="s">
        <v>37</v>
      </c>
      <c r="Y343" s="10" t="s">
        <v>0</v>
      </c>
    </row>
    <row r="344">
      <c r="A344" s="10" t="s">
        <v>1375</v>
      </c>
      <c r="B344" s="11">
        <v>44256.482773564814</v>
      </c>
      <c r="C344" s="10" t="s">
        <v>137</v>
      </c>
      <c r="D344" s="10" t="s">
        <v>138</v>
      </c>
      <c r="E344" s="10" t="s">
        <v>1376</v>
      </c>
      <c r="F344" s="10" t="s">
        <v>482</v>
      </c>
      <c r="G344" s="10" t="s">
        <v>1377</v>
      </c>
      <c r="H344" s="17">
        <v>44267.58333333333</v>
      </c>
      <c r="I344" s="17">
        <v>44267.66666666667</v>
      </c>
      <c r="J344" s="10" t="s">
        <v>128</v>
      </c>
      <c r="K344" s="10" t="s">
        <v>34</v>
      </c>
      <c r="N344" s="10" t="s">
        <v>35</v>
      </c>
      <c r="V344" s="9"/>
      <c r="W344" s="13" t="s">
        <v>78</v>
      </c>
      <c r="X344" s="10" t="s">
        <v>37</v>
      </c>
      <c r="Y344" s="10" t="s">
        <v>0</v>
      </c>
    </row>
    <row r="345">
      <c r="A345" s="10" t="s">
        <v>1378</v>
      </c>
      <c r="B345" s="11">
        <v>44265.954052824076</v>
      </c>
      <c r="C345" s="10" t="s">
        <v>219</v>
      </c>
      <c r="D345" s="10" t="s">
        <v>220</v>
      </c>
      <c r="E345" s="10" t="s">
        <v>1379</v>
      </c>
      <c r="F345" s="10" t="s">
        <v>1380</v>
      </c>
      <c r="G345" s="10" t="s">
        <v>1381</v>
      </c>
      <c r="H345" s="16">
        <v>44267.41666666667</v>
      </c>
      <c r="I345" s="16">
        <v>44267.5</v>
      </c>
      <c r="J345" s="10" t="s">
        <v>43</v>
      </c>
      <c r="K345" s="10" t="s">
        <v>34</v>
      </c>
      <c r="N345" s="10" t="s">
        <v>35</v>
      </c>
      <c r="V345" s="9"/>
      <c r="W345" s="13" t="s">
        <v>78</v>
      </c>
      <c r="X345" s="10" t="s">
        <v>37</v>
      </c>
      <c r="Y345" s="10" t="s">
        <v>0</v>
      </c>
    </row>
    <row r="346">
      <c r="A346" s="10" t="s">
        <v>1382</v>
      </c>
      <c r="B346" s="11">
        <v>44259.535373113424</v>
      </c>
      <c r="C346" s="10" t="s">
        <v>671</v>
      </c>
      <c r="D346" s="10" t="s">
        <v>672</v>
      </c>
      <c r="E346" s="10" t="s">
        <v>1383</v>
      </c>
      <c r="F346" s="10" t="s">
        <v>1384</v>
      </c>
      <c r="G346" s="10" t="s">
        <v>1385</v>
      </c>
      <c r="H346" s="17">
        <v>44267.60416666667</v>
      </c>
      <c r="I346" s="17">
        <v>44267.6875</v>
      </c>
      <c r="J346" s="10" t="s">
        <v>128</v>
      </c>
      <c r="K346" s="10" t="s">
        <v>34</v>
      </c>
      <c r="N346" s="10" t="s">
        <v>296</v>
      </c>
      <c r="O346" s="18" t="s">
        <v>1386</v>
      </c>
      <c r="P346" s="10" t="s">
        <v>296</v>
      </c>
      <c r="Q346" s="10">
        <v>1.0</v>
      </c>
      <c r="R346" s="10" t="s">
        <v>296</v>
      </c>
      <c r="S346" s="10">
        <v>1.0</v>
      </c>
      <c r="T346" s="10" t="s">
        <v>35</v>
      </c>
      <c r="V346" s="9"/>
      <c r="W346" s="13" t="s">
        <v>78</v>
      </c>
      <c r="X346" s="10" t="s">
        <v>37</v>
      </c>
      <c r="Y346" s="10" t="s">
        <v>0</v>
      </c>
    </row>
    <row r="347">
      <c r="A347" s="10" t="s">
        <v>1387</v>
      </c>
      <c r="B347" s="11">
        <v>44260.730015891204</v>
      </c>
      <c r="C347" s="10" t="s">
        <v>186</v>
      </c>
      <c r="D347" s="10" t="s">
        <v>187</v>
      </c>
      <c r="E347" s="10" t="s">
        <v>188</v>
      </c>
      <c r="F347" s="10" t="s">
        <v>1388</v>
      </c>
      <c r="G347" s="10" t="s">
        <v>1389</v>
      </c>
      <c r="H347" s="17">
        <v>44267.60416666667</v>
      </c>
      <c r="I347" s="17">
        <v>44267.6875</v>
      </c>
      <c r="J347" s="10" t="s">
        <v>128</v>
      </c>
      <c r="K347" s="10" t="s">
        <v>34</v>
      </c>
      <c r="N347" s="10" t="s">
        <v>35</v>
      </c>
      <c r="V347" s="9"/>
      <c r="W347" s="13" t="s">
        <v>78</v>
      </c>
      <c r="X347" s="10" t="s">
        <v>37</v>
      </c>
      <c r="Y347" s="10" t="s">
        <v>0</v>
      </c>
    </row>
    <row r="348">
      <c r="A348" s="10" t="s">
        <v>1390</v>
      </c>
      <c r="B348" s="11">
        <v>44267.70220027778</v>
      </c>
      <c r="C348" s="10" t="s">
        <v>186</v>
      </c>
      <c r="D348" s="10" t="s">
        <v>187</v>
      </c>
      <c r="E348" s="10" t="s">
        <v>188</v>
      </c>
      <c r="F348" s="10" t="s">
        <v>1391</v>
      </c>
      <c r="G348" s="10" t="s">
        <v>1392</v>
      </c>
      <c r="H348" s="16">
        <v>44267.60416666667</v>
      </c>
      <c r="I348" s="16">
        <v>44268.6875</v>
      </c>
      <c r="J348" s="10" t="s">
        <v>128</v>
      </c>
      <c r="K348" s="10" t="s">
        <v>34</v>
      </c>
      <c r="N348" s="10" t="s">
        <v>35</v>
      </c>
      <c r="V348" s="9"/>
      <c r="W348" s="13" t="s">
        <v>78</v>
      </c>
      <c r="X348" s="10" t="s">
        <v>37</v>
      </c>
      <c r="Y348" s="10" t="s">
        <v>0</v>
      </c>
    </row>
    <row r="349">
      <c r="A349" s="10" t="s">
        <v>1393</v>
      </c>
      <c r="B349" s="11">
        <v>44250.71703667824</v>
      </c>
      <c r="C349" s="10" t="s">
        <v>28</v>
      </c>
      <c r="D349" s="10" t="s">
        <v>29</v>
      </c>
      <c r="E349" s="10" t="s">
        <v>1394</v>
      </c>
      <c r="F349" s="10" t="s">
        <v>1395</v>
      </c>
      <c r="G349" s="10" t="s">
        <v>1396</v>
      </c>
      <c r="H349" s="24">
        <v>44267.4375</v>
      </c>
      <c r="I349" s="24">
        <v>44267.52083333333</v>
      </c>
      <c r="J349" s="10" t="s">
        <v>43</v>
      </c>
      <c r="K349" s="10" t="s">
        <v>34</v>
      </c>
      <c r="N349" s="10" t="s">
        <v>35</v>
      </c>
      <c r="V349" s="9"/>
      <c r="W349" s="13" t="s">
        <v>78</v>
      </c>
      <c r="X349" s="10" t="s">
        <v>37</v>
      </c>
      <c r="Y349" s="10" t="s">
        <v>0</v>
      </c>
    </row>
    <row r="350">
      <c r="A350" s="10" t="s">
        <v>1397</v>
      </c>
      <c r="B350" s="11">
        <v>44260.48118357639</v>
      </c>
      <c r="C350" s="10" t="s">
        <v>975</v>
      </c>
      <c r="D350" s="10" t="s">
        <v>976</v>
      </c>
      <c r="E350" s="10" t="s">
        <v>1398</v>
      </c>
      <c r="F350" s="10" t="s">
        <v>1399</v>
      </c>
      <c r="G350" s="10" t="s">
        <v>1396</v>
      </c>
      <c r="H350" s="24">
        <v>44267.4375</v>
      </c>
      <c r="I350" s="24">
        <v>44267.52083333333</v>
      </c>
      <c r="J350" s="10" t="s">
        <v>43</v>
      </c>
      <c r="K350" s="10" t="s">
        <v>34</v>
      </c>
      <c r="N350" s="10" t="s">
        <v>296</v>
      </c>
      <c r="O350" s="18" t="s">
        <v>1400</v>
      </c>
      <c r="P350" s="10" t="s">
        <v>296</v>
      </c>
      <c r="Q350" s="10">
        <v>1.0</v>
      </c>
      <c r="R350" s="10" t="s">
        <v>35</v>
      </c>
      <c r="T350" s="10" t="s">
        <v>35</v>
      </c>
      <c r="V350" s="9"/>
      <c r="W350" s="13" t="s">
        <v>78</v>
      </c>
      <c r="X350" s="10" t="s">
        <v>37</v>
      </c>
      <c r="Y350" s="10" t="s">
        <v>0</v>
      </c>
    </row>
    <row r="351">
      <c r="A351" s="10" t="s">
        <v>1401</v>
      </c>
      <c r="B351" s="11">
        <v>44260.631674247685</v>
      </c>
      <c r="C351" s="10" t="s">
        <v>186</v>
      </c>
      <c r="D351" s="10" t="s">
        <v>187</v>
      </c>
      <c r="E351" s="10" t="s">
        <v>188</v>
      </c>
      <c r="F351" s="10" t="s">
        <v>1402</v>
      </c>
      <c r="G351" s="10" t="s">
        <v>1403</v>
      </c>
      <c r="H351" s="17">
        <v>44267.625</v>
      </c>
      <c r="I351" s="17">
        <v>44267.70833333333</v>
      </c>
      <c r="J351" s="10" t="s">
        <v>128</v>
      </c>
      <c r="K351" s="10" t="s">
        <v>34</v>
      </c>
      <c r="N351" s="10" t="s">
        <v>35</v>
      </c>
      <c r="V351" s="9"/>
      <c r="W351" s="13" t="s">
        <v>78</v>
      </c>
      <c r="X351" s="10" t="s">
        <v>37</v>
      </c>
      <c r="Y351" s="10" t="s">
        <v>0</v>
      </c>
    </row>
    <row r="352">
      <c r="A352" s="10" t="s">
        <v>1404</v>
      </c>
      <c r="B352" s="11">
        <v>44253.32900165509</v>
      </c>
      <c r="C352" s="21" t="s">
        <v>1405</v>
      </c>
      <c r="D352" s="21" t="s">
        <v>1406</v>
      </c>
      <c r="E352" s="21" t="s">
        <v>1407</v>
      </c>
      <c r="F352" s="21" t="s">
        <v>1408</v>
      </c>
      <c r="G352" s="21" t="s">
        <v>1409</v>
      </c>
      <c r="H352" s="22">
        <v>44267.604166666664</v>
      </c>
      <c r="I352" s="22">
        <v>44268.854166666664</v>
      </c>
      <c r="J352" s="10" t="s">
        <v>236</v>
      </c>
      <c r="K352" s="10" t="s">
        <v>34</v>
      </c>
      <c r="N352" s="10" t="s">
        <v>35</v>
      </c>
      <c r="V352" s="9"/>
      <c r="W352" s="13" t="s">
        <v>78</v>
      </c>
      <c r="X352" s="10" t="s">
        <v>37</v>
      </c>
      <c r="Y352" s="10" t="s">
        <v>0</v>
      </c>
    </row>
    <row r="353">
      <c r="A353" s="10" t="s">
        <v>1410</v>
      </c>
      <c r="B353" s="11">
        <v>44257.81022450232</v>
      </c>
      <c r="C353" s="10" t="s">
        <v>694</v>
      </c>
      <c r="D353" s="10" t="s">
        <v>695</v>
      </c>
      <c r="E353" s="10" t="s">
        <v>696</v>
      </c>
      <c r="F353" s="10" t="s">
        <v>1411</v>
      </c>
      <c r="G353" s="10" t="s">
        <v>1412</v>
      </c>
      <c r="H353" s="24">
        <v>44267.625</v>
      </c>
      <c r="I353" s="24">
        <v>44267.66666666667</v>
      </c>
      <c r="J353" s="10" t="s">
        <v>43</v>
      </c>
      <c r="K353" s="10" t="s">
        <v>34</v>
      </c>
      <c r="N353" s="10" t="s">
        <v>35</v>
      </c>
      <c r="V353" s="9"/>
      <c r="W353" s="13" t="s">
        <v>78</v>
      </c>
      <c r="X353" s="10" t="s">
        <v>37</v>
      </c>
      <c r="Y353" s="10" t="s">
        <v>0</v>
      </c>
    </row>
    <row r="354">
      <c r="A354" s="10" t="s">
        <v>1413</v>
      </c>
      <c r="B354" s="11">
        <v>44259.71831440972</v>
      </c>
      <c r="C354" s="10" t="s">
        <v>160</v>
      </c>
      <c r="D354" s="10" t="s">
        <v>161</v>
      </c>
      <c r="E354" s="10" t="s">
        <v>947</v>
      </c>
      <c r="F354" s="10" t="s">
        <v>1414</v>
      </c>
      <c r="G354" s="10" t="s">
        <v>1415</v>
      </c>
      <c r="H354" s="24">
        <v>44267.625</v>
      </c>
      <c r="I354" s="24">
        <v>44267.6875</v>
      </c>
      <c r="J354" s="10" t="s">
        <v>43</v>
      </c>
      <c r="K354" s="10" t="s">
        <v>34</v>
      </c>
      <c r="N354" s="10" t="s">
        <v>296</v>
      </c>
      <c r="O354" s="18" t="s">
        <v>1416</v>
      </c>
      <c r="P354" s="10" t="s">
        <v>296</v>
      </c>
      <c r="Q354" s="10">
        <v>2.0</v>
      </c>
      <c r="R354" s="10" t="s">
        <v>296</v>
      </c>
      <c r="S354" s="10">
        <v>2.0</v>
      </c>
      <c r="T354" s="10" t="s">
        <v>35</v>
      </c>
      <c r="V354" s="9"/>
      <c r="W354" s="13" t="s">
        <v>78</v>
      </c>
      <c r="X354" s="10" t="s">
        <v>37</v>
      </c>
      <c r="Y354" s="10" t="s">
        <v>0</v>
      </c>
    </row>
    <row r="355">
      <c r="A355" s="10" t="s">
        <v>1417</v>
      </c>
      <c r="B355" s="11">
        <v>44259.551847256946</v>
      </c>
      <c r="C355" s="10" t="s">
        <v>671</v>
      </c>
      <c r="D355" s="10" t="s">
        <v>672</v>
      </c>
      <c r="E355" s="10" t="s">
        <v>1140</v>
      </c>
      <c r="F355" s="10" t="s">
        <v>1418</v>
      </c>
      <c r="G355" s="10" t="s">
        <v>1313</v>
      </c>
      <c r="H355" s="17">
        <v>44267.6875</v>
      </c>
      <c r="I355" s="17">
        <v>44267.72916666667</v>
      </c>
      <c r="J355" s="10" t="s">
        <v>128</v>
      </c>
      <c r="K355" s="10" t="s">
        <v>34</v>
      </c>
      <c r="N355" s="10" t="s">
        <v>35</v>
      </c>
      <c r="V355" s="9"/>
      <c r="W355" s="13" t="s">
        <v>78</v>
      </c>
      <c r="X355" s="10" t="s">
        <v>37</v>
      </c>
      <c r="Y355" s="10" t="s">
        <v>0</v>
      </c>
    </row>
    <row r="356">
      <c r="A356" s="10" t="s">
        <v>1419</v>
      </c>
      <c r="B356" s="11">
        <v>44261.49679582176</v>
      </c>
      <c r="C356" s="10" t="s">
        <v>374</v>
      </c>
      <c r="D356" s="10" t="s">
        <v>375</v>
      </c>
      <c r="E356" s="10" t="s">
        <v>1420</v>
      </c>
      <c r="F356" s="10" t="s">
        <v>1421</v>
      </c>
      <c r="G356" s="10" t="s">
        <v>1422</v>
      </c>
      <c r="H356" s="17">
        <v>44267.6875</v>
      </c>
      <c r="I356" s="17">
        <v>44267.72916666667</v>
      </c>
      <c r="J356" s="10" t="s">
        <v>33</v>
      </c>
      <c r="K356" s="10" t="s">
        <v>34</v>
      </c>
      <c r="N356" s="10" t="s">
        <v>35</v>
      </c>
      <c r="V356" s="9"/>
      <c r="W356" s="13" t="s">
        <v>78</v>
      </c>
      <c r="X356" s="10" t="s">
        <v>37</v>
      </c>
      <c r="Y356" s="10" t="s">
        <v>0</v>
      </c>
    </row>
    <row r="357">
      <c r="A357" s="10" t="s">
        <v>1423</v>
      </c>
      <c r="B357" s="11">
        <v>44263.85810762731</v>
      </c>
      <c r="C357" s="10" t="s">
        <v>96</v>
      </c>
      <c r="D357" s="10" t="s">
        <v>97</v>
      </c>
      <c r="E357" s="10" t="s">
        <v>1296</v>
      </c>
      <c r="F357" s="10" t="s">
        <v>1424</v>
      </c>
      <c r="G357" s="10" t="s">
        <v>1425</v>
      </c>
      <c r="H357" s="17">
        <v>44267.6875</v>
      </c>
      <c r="I357" s="17">
        <v>44337.75</v>
      </c>
      <c r="J357" s="10" t="s">
        <v>128</v>
      </c>
      <c r="K357" s="10" t="s">
        <v>34</v>
      </c>
      <c r="N357" s="10" t="s">
        <v>35</v>
      </c>
      <c r="V357" s="9"/>
      <c r="W357" s="13" t="s">
        <v>78</v>
      </c>
      <c r="X357" s="10" t="s">
        <v>37</v>
      </c>
      <c r="Y357" s="10" t="s">
        <v>0</v>
      </c>
    </row>
    <row r="358">
      <c r="A358" s="10" t="s">
        <v>1426</v>
      </c>
      <c r="B358" s="11">
        <v>44273.68217684027</v>
      </c>
      <c r="C358" s="10" t="s">
        <v>186</v>
      </c>
      <c r="D358" s="10" t="s">
        <v>187</v>
      </c>
      <c r="E358" s="10" t="s">
        <v>1427</v>
      </c>
      <c r="F358" s="10" t="s">
        <v>1428</v>
      </c>
      <c r="G358" s="10" t="s">
        <v>1429</v>
      </c>
      <c r="H358" s="16">
        <v>44267.6875</v>
      </c>
      <c r="I358" s="16">
        <v>44267.77083333333</v>
      </c>
      <c r="J358" s="10" t="s">
        <v>128</v>
      </c>
      <c r="K358" s="10" t="s">
        <v>34</v>
      </c>
      <c r="N358" s="10" t="s">
        <v>35</v>
      </c>
      <c r="V358" s="9"/>
      <c r="W358" s="13" t="s">
        <v>78</v>
      </c>
      <c r="X358" s="10" t="s">
        <v>37</v>
      </c>
      <c r="Y358" s="10" t="s">
        <v>0</v>
      </c>
    </row>
    <row r="359">
      <c r="A359" s="10" t="s">
        <v>1430</v>
      </c>
      <c r="B359" s="11">
        <v>44261.51105238426</v>
      </c>
      <c r="C359" s="10" t="s">
        <v>209</v>
      </c>
      <c r="D359" s="10" t="s">
        <v>210</v>
      </c>
      <c r="E359" s="10" t="s">
        <v>261</v>
      </c>
      <c r="F359" s="10" t="s">
        <v>1431</v>
      </c>
      <c r="G359" s="10" t="s">
        <v>1432</v>
      </c>
      <c r="H359" s="17">
        <v>44267.77083333333</v>
      </c>
      <c r="I359" s="17">
        <v>44267.8125</v>
      </c>
      <c r="J359" s="10" t="s">
        <v>33</v>
      </c>
      <c r="K359" s="10" t="s">
        <v>34</v>
      </c>
      <c r="N359" s="10" t="s">
        <v>35</v>
      </c>
      <c r="V359" s="9"/>
      <c r="W359" s="13" t="s">
        <v>78</v>
      </c>
      <c r="X359" s="10" t="s">
        <v>37</v>
      </c>
      <c r="Y359" s="10" t="s">
        <v>0</v>
      </c>
    </row>
    <row r="360">
      <c r="A360" s="10" t="s">
        <v>1433</v>
      </c>
      <c r="B360" s="11">
        <v>44264.406007048616</v>
      </c>
      <c r="C360" s="10" t="s">
        <v>539</v>
      </c>
      <c r="D360" s="10" t="s">
        <v>540</v>
      </c>
      <c r="E360" s="10" t="s">
        <v>1434</v>
      </c>
      <c r="F360" s="10" t="s">
        <v>1435</v>
      </c>
      <c r="G360" s="10" t="s">
        <v>1436</v>
      </c>
      <c r="H360" s="17">
        <v>44268.33333333333</v>
      </c>
      <c r="I360" s="17">
        <v>44268.83333333333</v>
      </c>
      <c r="J360" s="10" t="s">
        <v>73</v>
      </c>
      <c r="K360" s="10" t="s">
        <v>34</v>
      </c>
      <c r="N360" s="10" t="s">
        <v>35</v>
      </c>
      <c r="V360" s="9"/>
      <c r="W360" s="13" t="s">
        <v>78</v>
      </c>
      <c r="X360" s="10" t="s">
        <v>37</v>
      </c>
      <c r="Y360" s="10" t="s">
        <v>0</v>
      </c>
    </row>
    <row r="361">
      <c r="A361" s="10" t="s">
        <v>1437</v>
      </c>
      <c r="B361" s="11">
        <v>44257.77713165509</v>
      </c>
      <c r="C361" s="10" t="s">
        <v>181</v>
      </c>
      <c r="D361" s="10" t="s">
        <v>69</v>
      </c>
      <c r="E361" s="10" t="s">
        <v>1284</v>
      </c>
      <c r="F361" s="10" t="s">
        <v>1438</v>
      </c>
      <c r="G361" s="10" t="s">
        <v>1439</v>
      </c>
      <c r="H361" s="17">
        <v>44268.375</v>
      </c>
      <c r="I361" s="17">
        <v>44268.99930555555</v>
      </c>
      <c r="J361" s="10" t="s">
        <v>73</v>
      </c>
      <c r="K361" s="10" t="s">
        <v>34</v>
      </c>
      <c r="N361" s="10" t="s">
        <v>35</v>
      </c>
      <c r="V361" s="9"/>
      <c r="W361" s="13" t="s">
        <v>78</v>
      </c>
      <c r="X361" s="10" t="s">
        <v>37</v>
      </c>
      <c r="Y361" s="10" t="s">
        <v>0</v>
      </c>
    </row>
    <row r="362">
      <c r="A362" s="10" t="s">
        <v>1440</v>
      </c>
      <c r="B362" s="11">
        <v>44265.34660765046</v>
      </c>
      <c r="C362" s="10" t="s">
        <v>150</v>
      </c>
      <c r="D362" s="10" t="s">
        <v>151</v>
      </c>
      <c r="E362" s="10" t="s">
        <v>152</v>
      </c>
      <c r="F362" s="10" t="s">
        <v>1137</v>
      </c>
      <c r="G362" s="10" t="s">
        <v>1441</v>
      </c>
      <c r="H362" s="17">
        <v>44268.41666666667</v>
      </c>
      <c r="I362" s="17">
        <v>44268.5</v>
      </c>
      <c r="J362" s="10" t="s">
        <v>128</v>
      </c>
      <c r="K362" s="10" t="s">
        <v>34</v>
      </c>
      <c r="N362" s="10" t="s">
        <v>35</v>
      </c>
      <c r="V362" s="9"/>
      <c r="W362" s="13" t="s">
        <v>78</v>
      </c>
      <c r="X362" s="10" t="s">
        <v>37</v>
      </c>
      <c r="Y362" s="10" t="s">
        <v>0</v>
      </c>
    </row>
    <row r="363">
      <c r="A363" s="10" t="s">
        <v>1442</v>
      </c>
      <c r="B363" s="11">
        <v>44250.491525300924</v>
      </c>
      <c r="C363" s="10" t="s">
        <v>694</v>
      </c>
      <c r="D363" s="10" t="s">
        <v>695</v>
      </c>
      <c r="E363" s="10" t="s">
        <v>696</v>
      </c>
      <c r="F363" s="10" t="s">
        <v>1443</v>
      </c>
      <c r="G363" s="10" t="s">
        <v>1444</v>
      </c>
      <c r="H363" s="24">
        <v>44267.64583333333</v>
      </c>
      <c r="I363" s="24">
        <v>44267.6875</v>
      </c>
      <c r="J363" s="10" t="s">
        <v>43</v>
      </c>
      <c r="K363" s="10" t="s">
        <v>34</v>
      </c>
      <c r="N363" s="10" t="s">
        <v>35</v>
      </c>
      <c r="V363" s="9"/>
      <c r="W363" s="13" t="s">
        <v>78</v>
      </c>
      <c r="X363" s="10" t="s">
        <v>37</v>
      </c>
      <c r="Y363" s="10" t="s">
        <v>0</v>
      </c>
    </row>
    <row r="364">
      <c r="A364" s="10" t="s">
        <v>1445</v>
      </c>
      <c r="B364" s="11">
        <v>44269.0291016088</v>
      </c>
      <c r="C364" s="10" t="s">
        <v>491</v>
      </c>
      <c r="D364" s="10" t="s">
        <v>492</v>
      </c>
      <c r="E364" s="10" t="s">
        <v>853</v>
      </c>
      <c r="F364" s="10" t="s">
        <v>1446</v>
      </c>
      <c r="G364" s="10" t="s">
        <v>1447</v>
      </c>
      <c r="H364" s="17">
        <v>44268.5</v>
      </c>
      <c r="I364" s="17">
        <v>44268.5</v>
      </c>
      <c r="J364" s="10" t="s">
        <v>73</v>
      </c>
      <c r="K364" s="10" t="s">
        <v>34</v>
      </c>
      <c r="N364" s="10" t="s">
        <v>35</v>
      </c>
      <c r="V364" s="9"/>
      <c r="W364" s="13" t="s">
        <v>78</v>
      </c>
      <c r="X364" s="10" t="s">
        <v>37</v>
      </c>
      <c r="Y364" s="10" t="s">
        <v>0</v>
      </c>
    </row>
    <row r="365">
      <c r="A365" s="10" t="s">
        <v>1448</v>
      </c>
      <c r="B365" s="11">
        <v>44261.50966916667</v>
      </c>
      <c r="C365" s="10" t="s">
        <v>209</v>
      </c>
      <c r="D365" s="10" t="s">
        <v>210</v>
      </c>
      <c r="E365" s="10" t="s">
        <v>261</v>
      </c>
      <c r="F365" s="10" t="s">
        <v>1449</v>
      </c>
      <c r="G365" s="10" t="s">
        <v>1450</v>
      </c>
      <c r="H365" s="17">
        <v>44268.60416666667</v>
      </c>
      <c r="I365" s="17">
        <v>44268.64583333333</v>
      </c>
      <c r="J365" s="10" t="s">
        <v>33</v>
      </c>
      <c r="K365" s="10" t="s">
        <v>34</v>
      </c>
      <c r="N365" s="10" t="s">
        <v>35</v>
      </c>
      <c r="V365" s="9"/>
      <c r="W365" s="13" t="s">
        <v>78</v>
      </c>
      <c r="X365" s="10" t="s">
        <v>37</v>
      </c>
      <c r="Y365" s="10" t="s">
        <v>0</v>
      </c>
    </row>
    <row r="366">
      <c r="A366" s="10" t="s">
        <v>1451</v>
      </c>
      <c r="B366" s="11">
        <v>44263.81588855324</v>
      </c>
      <c r="C366" s="10" t="s">
        <v>1452</v>
      </c>
      <c r="D366" s="10" t="s">
        <v>505</v>
      </c>
      <c r="E366" s="10" t="s">
        <v>1453</v>
      </c>
      <c r="F366" s="10" t="s">
        <v>1454</v>
      </c>
      <c r="G366" s="10" t="s">
        <v>1455</v>
      </c>
      <c r="H366" s="17">
        <v>44268.60416666667</v>
      </c>
      <c r="I366" s="17">
        <v>44268.66666666667</v>
      </c>
      <c r="J366" s="10" t="s">
        <v>128</v>
      </c>
      <c r="K366" s="10" t="s">
        <v>34</v>
      </c>
      <c r="N366" s="10" t="s">
        <v>35</v>
      </c>
      <c r="V366" s="9"/>
      <c r="W366" s="13" t="s">
        <v>78</v>
      </c>
      <c r="X366" s="10" t="s">
        <v>37</v>
      </c>
      <c r="Y366" s="10" t="s">
        <v>0</v>
      </c>
    </row>
    <row r="367">
      <c r="A367" s="10" t="s">
        <v>1456</v>
      </c>
      <c r="B367" s="11">
        <v>44261.50276482639</v>
      </c>
      <c r="C367" s="10" t="s">
        <v>374</v>
      </c>
      <c r="D367" s="10" t="s">
        <v>375</v>
      </c>
      <c r="E367" s="10" t="s">
        <v>1420</v>
      </c>
      <c r="F367" s="10" t="s">
        <v>1457</v>
      </c>
      <c r="G367" s="10" t="s">
        <v>1458</v>
      </c>
      <c r="H367" s="17">
        <v>44268.66666666667</v>
      </c>
      <c r="I367" s="17">
        <v>44268.69791666667</v>
      </c>
      <c r="J367" s="10" t="s">
        <v>33</v>
      </c>
      <c r="K367" s="10" t="s">
        <v>34</v>
      </c>
      <c r="N367" s="10" t="s">
        <v>35</v>
      </c>
      <c r="V367" s="9"/>
      <c r="W367" s="13" t="s">
        <v>78</v>
      </c>
      <c r="X367" s="10" t="s">
        <v>37</v>
      </c>
      <c r="Y367" s="10" t="s">
        <v>0</v>
      </c>
    </row>
    <row r="368">
      <c r="A368" s="10" t="s">
        <v>1459</v>
      </c>
      <c r="B368" s="11">
        <v>44269.485199710645</v>
      </c>
      <c r="C368" s="10" t="s">
        <v>239</v>
      </c>
      <c r="D368" s="10" t="s">
        <v>240</v>
      </c>
      <c r="E368" s="10" t="s">
        <v>305</v>
      </c>
      <c r="F368" s="10" t="s">
        <v>1460</v>
      </c>
      <c r="G368" s="10" t="s">
        <v>1461</v>
      </c>
      <c r="H368" s="17">
        <v>44268.83333333333</v>
      </c>
      <c r="I368" s="17">
        <v>44268.875</v>
      </c>
      <c r="J368" s="10" t="s">
        <v>128</v>
      </c>
      <c r="K368" s="10" t="s">
        <v>34</v>
      </c>
      <c r="N368" s="10" t="s">
        <v>35</v>
      </c>
      <c r="V368" s="9"/>
      <c r="W368" s="13" t="s">
        <v>78</v>
      </c>
      <c r="X368" s="10" t="s">
        <v>37</v>
      </c>
      <c r="Y368" s="10" t="s">
        <v>0</v>
      </c>
    </row>
    <row r="369">
      <c r="A369" s="10" t="s">
        <v>1462</v>
      </c>
      <c r="B369" s="11">
        <v>44261.50723020833</v>
      </c>
      <c r="C369" s="10" t="s">
        <v>374</v>
      </c>
      <c r="D369" s="10" t="s">
        <v>375</v>
      </c>
      <c r="E369" s="10" t="s">
        <v>1420</v>
      </c>
      <c r="F369" s="10" t="s">
        <v>1463</v>
      </c>
      <c r="G369" s="10" t="s">
        <v>1464</v>
      </c>
      <c r="H369" s="17">
        <v>44269.64583333333</v>
      </c>
      <c r="I369" s="17">
        <v>44269.6875</v>
      </c>
      <c r="J369" s="10" t="s">
        <v>33</v>
      </c>
      <c r="K369" s="10" t="s">
        <v>34</v>
      </c>
      <c r="N369" s="10" t="s">
        <v>35</v>
      </c>
      <c r="V369" s="9"/>
      <c r="W369" s="13" t="s">
        <v>78</v>
      </c>
      <c r="X369" s="10" t="s">
        <v>37</v>
      </c>
      <c r="Y369" s="10" t="s">
        <v>0</v>
      </c>
    </row>
    <row r="370">
      <c r="A370" s="10" t="s">
        <v>1465</v>
      </c>
      <c r="B370" s="11">
        <v>44265.34446375</v>
      </c>
      <c r="C370" s="10" t="s">
        <v>186</v>
      </c>
      <c r="D370" s="10" t="s">
        <v>187</v>
      </c>
      <c r="E370" s="10" t="s">
        <v>1466</v>
      </c>
      <c r="F370" s="10" t="s">
        <v>1467</v>
      </c>
      <c r="G370" s="10" t="s">
        <v>1468</v>
      </c>
      <c r="H370" s="17">
        <v>44270.0625</v>
      </c>
      <c r="I370" s="17">
        <v>44270.08333333333</v>
      </c>
      <c r="J370" s="10" t="s">
        <v>128</v>
      </c>
      <c r="K370" s="10" t="s">
        <v>61</v>
      </c>
      <c r="N370" s="10" t="s">
        <v>35</v>
      </c>
      <c r="V370" s="9"/>
      <c r="W370" s="13" t="s">
        <v>78</v>
      </c>
      <c r="X370" s="10" t="s">
        <v>37</v>
      </c>
      <c r="Y370" s="10" t="s">
        <v>0</v>
      </c>
    </row>
    <row r="371">
      <c r="A371" s="10" t="s">
        <v>1469</v>
      </c>
      <c r="B371" s="11">
        <v>44271.63864428241</v>
      </c>
      <c r="C371" s="10" t="s">
        <v>219</v>
      </c>
      <c r="D371" s="10" t="s">
        <v>220</v>
      </c>
      <c r="E371" s="10" t="s">
        <v>1470</v>
      </c>
      <c r="F371" s="10" t="s">
        <v>1471</v>
      </c>
      <c r="G371" s="10" t="s">
        <v>1472</v>
      </c>
      <c r="H371" s="17">
        <v>44270.33333333333</v>
      </c>
      <c r="I371" s="17">
        <v>44272.75</v>
      </c>
      <c r="J371" s="10" t="s">
        <v>128</v>
      </c>
      <c r="K371" s="10" t="s">
        <v>34</v>
      </c>
      <c r="N371" s="10" t="s">
        <v>35</v>
      </c>
      <c r="V371" s="9"/>
      <c r="W371" s="13" t="s">
        <v>78</v>
      </c>
      <c r="X371" s="10" t="s">
        <v>37</v>
      </c>
      <c r="Y371" s="10" t="s">
        <v>0</v>
      </c>
    </row>
    <row r="372">
      <c r="A372" s="10" t="s">
        <v>1473</v>
      </c>
      <c r="B372" s="11">
        <v>44271.64013671296</v>
      </c>
      <c r="C372" s="10" t="s">
        <v>219</v>
      </c>
      <c r="D372" s="10" t="s">
        <v>220</v>
      </c>
      <c r="E372" s="10" t="s">
        <v>1470</v>
      </c>
      <c r="F372" s="10" t="s">
        <v>1474</v>
      </c>
      <c r="G372" s="10" t="s">
        <v>1475</v>
      </c>
      <c r="H372" s="17">
        <v>44270.33333333333</v>
      </c>
      <c r="I372" s="17">
        <v>44274.75</v>
      </c>
      <c r="J372" s="10" t="s">
        <v>128</v>
      </c>
      <c r="K372" s="10" t="s">
        <v>34</v>
      </c>
      <c r="N372" s="10" t="s">
        <v>35</v>
      </c>
      <c r="V372" s="9"/>
      <c r="W372" s="13" t="s">
        <v>78</v>
      </c>
      <c r="X372" s="10" t="s">
        <v>37</v>
      </c>
      <c r="Y372" s="10" t="s">
        <v>0</v>
      </c>
    </row>
    <row r="373">
      <c r="A373" s="10" t="s">
        <v>1476</v>
      </c>
      <c r="B373" s="11">
        <v>44271.87742950232</v>
      </c>
      <c r="C373" s="10" t="s">
        <v>1405</v>
      </c>
      <c r="D373" s="10" t="s">
        <v>1406</v>
      </c>
      <c r="E373" s="10" t="s">
        <v>1477</v>
      </c>
      <c r="F373" s="10" t="s">
        <v>1478</v>
      </c>
      <c r="G373" s="10" t="s">
        <v>1479</v>
      </c>
      <c r="H373" s="17">
        <v>44270.35416666667</v>
      </c>
      <c r="I373" s="17">
        <v>44283.99930555555</v>
      </c>
      <c r="J373" s="10" t="s">
        <v>51</v>
      </c>
      <c r="K373" s="10" t="s">
        <v>34</v>
      </c>
      <c r="N373" s="10" t="s">
        <v>35</v>
      </c>
      <c r="V373" s="9"/>
      <c r="W373" s="13" t="s">
        <v>78</v>
      </c>
      <c r="X373" s="10" t="s">
        <v>37</v>
      </c>
      <c r="Y373" s="10" t="s">
        <v>0</v>
      </c>
    </row>
    <row r="374">
      <c r="A374" s="10" t="s">
        <v>1480</v>
      </c>
      <c r="B374" s="11">
        <v>44264.420120069444</v>
      </c>
      <c r="C374" s="10" t="s">
        <v>181</v>
      </c>
      <c r="D374" s="10" t="s">
        <v>69</v>
      </c>
      <c r="E374" s="10" t="s">
        <v>860</v>
      </c>
      <c r="F374" s="10" t="s">
        <v>1481</v>
      </c>
      <c r="G374" s="10" t="s">
        <v>1482</v>
      </c>
      <c r="H374" s="17">
        <v>44270.375</v>
      </c>
      <c r="I374" s="17">
        <v>44270.83333333333</v>
      </c>
      <c r="J374" s="10" t="s">
        <v>73</v>
      </c>
      <c r="K374" s="10" t="s">
        <v>34</v>
      </c>
      <c r="N374" s="10" t="s">
        <v>35</v>
      </c>
      <c r="V374" s="9"/>
      <c r="W374" s="13" t="s">
        <v>78</v>
      </c>
      <c r="X374" s="10" t="s">
        <v>37</v>
      </c>
      <c r="Y374" s="10" t="s">
        <v>0</v>
      </c>
    </row>
    <row r="375">
      <c r="A375" s="10" t="s">
        <v>1483</v>
      </c>
      <c r="B375" s="11">
        <v>44253.89483509259</v>
      </c>
      <c r="C375" s="10" t="s">
        <v>269</v>
      </c>
      <c r="D375" s="10" t="s">
        <v>168</v>
      </c>
      <c r="E375" s="10" t="s">
        <v>1484</v>
      </c>
      <c r="F375" s="10" t="s">
        <v>1352</v>
      </c>
      <c r="G375" s="10" t="s">
        <v>1485</v>
      </c>
      <c r="H375" s="24">
        <v>44267.6875</v>
      </c>
      <c r="I375" s="24">
        <v>44267.72916666667</v>
      </c>
      <c r="J375" s="10" t="s">
        <v>43</v>
      </c>
      <c r="K375" s="10" t="s">
        <v>34</v>
      </c>
      <c r="N375" s="10" t="s">
        <v>35</v>
      </c>
      <c r="V375" s="9"/>
      <c r="W375" s="13" t="s">
        <v>78</v>
      </c>
      <c r="X375" s="10" t="s">
        <v>37</v>
      </c>
      <c r="Y375" s="10" t="s">
        <v>0</v>
      </c>
    </row>
    <row r="376">
      <c r="A376" s="10" t="s">
        <v>1486</v>
      </c>
      <c r="B376" s="11">
        <v>44258.71425752315</v>
      </c>
      <c r="C376" s="10" t="s">
        <v>381</v>
      </c>
      <c r="D376" s="10" t="s">
        <v>382</v>
      </c>
      <c r="E376" s="10" t="s">
        <v>1487</v>
      </c>
      <c r="F376" s="10" t="s">
        <v>1488</v>
      </c>
      <c r="G376" s="10" t="s">
        <v>1489</v>
      </c>
      <c r="H376" s="24">
        <v>44267.6875</v>
      </c>
      <c r="I376" s="24">
        <v>44267.72916666667</v>
      </c>
      <c r="J376" s="10" t="s">
        <v>43</v>
      </c>
      <c r="K376" s="10" t="s">
        <v>34</v>
      </c>
      <c r="N376" s="10" t="s">
        <v>35</v>
      </c>
      <c r="V376" s="9"/>
      <c r="W376" s="13" t="s">
        <v>78</v>
      </c>
      <c r="X376" s="10" t="s">
        <v>37</v>
      </c>
      <c r="Y376" s="10" t="s">
        <v>0</v>
      </c>
    </row>
    <row r="377">
      <c r="A377" s="10" t="s">
        <v>1490</v>
      </c>
      <c r="B377" s="11">
        <v>44259.54394671296</v>
      </c>
      <c r="C377" s="10" t="s">
        <v>671</v>
      </c>
      <c r="D377" s="10" t="s">
        <v>672</v>
      </c>
      <c r="E377" s="10" t="s">
        <v>1491</v>
      </c>
      <c r="F377" s="10" t="s">
        <v>1492</v>
      </c>
      <c r="G377" s="10" t="s">
        <v>1493</v>
      </c>
      <c r="H377" s="17">
        <v>44270.47916666667</v>
      </c>
      <c r="I377" s="17">
        <v>44270.52083333333</v>
      </c>
      <c r="J377" s="10" t="s">
        <v>128</v>
      </c>
      <c r="K377" s="10" t="s">
        <v>34</v>
      </c>
      <c r="N377" s="10" t="s">
        <v>35</v>
      </c>
      <c r="V377" s="9"/>
      <c r="W377" s="13" t="s">
        <v>78</v>
      </c>
      <c r="X377" s="10" t="s">
        <v>37</v>
      </c>
      <c r="Y377" s="10" t="s">
        <v>0</v>
      </c>
    </row>
    <row r="378">
      <c r="A378" s="10" t="s">
        <v>1494</v>
      </c>
      <c r="B378" s="11">
        <v>44263.5285821875</v>
      </c>
      <c r="C378" s="10" t="s">
        <v>671</v>
      </c>
      <c r="D378" s="10" t="s">
        <v>672</v>
      </c>
      <c r="E378" s="10" t="s">
        <v>1495</v>
      </c>
      <c r="F378" s="10" t="s">
        <v>1496</v>
      </c>
      <c r="G378" s="10" t="s">
        <v>1497</v>
      </c>
      <c r="H378" s="17">
        <v>44270.47916666667</v>
      </c>
      <c r="I378" s="17">
        <v>44270.52083333333</v>
      </c>
      <c r="J378" s="10" t="s">
        <v>128</v>
      </c>
      <c r="K378" s="10" t="s">
        <v>34</v>
      </c>
      <c r="N378" s="10" t="s">
        <v>35</v>
      </c>
      <c r="V378" s="9"/>
      <c r="W378" s="13" t="s">
        <v>78</v>
      </c>
      <c r="X378" s="10" t="s">
        <v>37</v>
      </c>
      <c r="Y378" s="10" t="s">
        <v>0</v>
      </c>
    </row>
    <row r="379">
      <c r="A379" s="10" t="s">
        <v>1498</v>
      </c>
      <c r="B379" s="11">
        <v>44261.519619467595</v>
      </c>
      <c r="C379" s="10" t="s">
        <v>209</v>
      </c>
      <c r="D379" s="10" t="s">
        <v>210</v>
      </c>
      <c r="E379" s="10" t="s">
        <v>261</v>
      </c>
      <c r="F379" s="10" t="s">
        <v>1499</v>
      </c>
      <c r="G379" s="10" t="s">
        <v>1500</v>
      </c>
      <c r="H379" s="17">
        <v>44270.5625</v>
      </c>
      <c r="I379" s="17">
        <v>44270.60416666667</v>
      </c>
      <c r="J379" s="10" t="s">
        <v>33</v>
      </c>
      <c r="K379" s="10" t="s">
        <v>34</v>
      </c>
      <c r="N379" s="10" t="s">
        <v>35</v>
      </c>
      <c r="V379" s="9"/>
      <c r="W379" s="13" t="s">
        <v>78</v>
      </c>
      <c r="X379" s="10" t="s">
        <v>37</v>
      </c>
      <c r="Y379" s="10" t="s">
        <v>0</v>
      </c>
    </row>
    <row r="380">
      <c r="A380" s="10" t="s">
        <v>1501</v>
      </c>
      <c r="B380" s="11">
        <v>44263.53049002315</v>
      </c>
      <c r="C380" s="10" t="s">
        <v>671</v>
      </c>
      <c r="D380" s="10" t="s">
        <v>672</v>
      </c>
      <c r="E380" s="10" t="s">
        <v>1308</v>
      </c>
      <c r="F380" s="10" t="s">
        <v>1502</v>
      </c>
      <c r="G380" s="10" t="s">
        <v>1503</v>
      </c>
      <c r="H380" s="17">
        <v>44270.60416666667</v>
      </c>
      <c r="I380" s="17">
        <v>44287.60416666667</v>
      </c>
      <c r="J380" s="10" t="s">
        <v>33</v>
      </c>
      <c r="K380" s="10" t="s">
        <v>34</v>
      </c>
      <c r="N380" s="10" t="s">
        <v>35</v>
      </c>
      <c r="V380" s="9"/>
      <c r="W380" s="13" t="s">
        <v>78</v>
      </c>
      <c r="X380" s="10" t="s">
        <v>37</v>
      </c>
      <c r="Y380" s="10" t="s">
        <v>0</v>
      </c>
    </row>
    <row r="381">
      <c r="A381" s="10" t="s">
        <v>1504</v>
      </c>
      <c r="B381" s="11">
        <v>44269.68024909722</v>
      </c>
      <c r="C381" s="10" t="s">
        <v>219</v>
      </c>
      <c r="D381" s="10" t="s">
        <v>220</v>
      </c>
      <c r="E381" s="10" t="s">
        <v>582</v>
      </c>
      <c r="F381" s="10" t="s">
        <v>1505</v>
      </c>
      <c r="G381" s="10" t="s">
        <v>1506</v>
      </c>
      <c r="H381" s="17">
        <v>44270.60416666667</v>
      </c>
      <c r="I381" s="17">
        <v>44270.60416666667</v>
      </c>
      <c r="J381" s="10" t="s">
        <v>73</v>
      </c>
      <c r="K381" s="10" t="s">
        <v>34</v>
      </c>
      <c r="N381" s="10" t="s">
        <v>35</v>
      </c>
      <c r="V381" s="9"/>
      <c r="W381" s="13" t="s">
        <v>78</v>
      </c>
      <c r="X381" s="10" t="s">
        <v>37</v>
      </c>
      <c r="Y381" s="10" t="s">
        <v>0</v>
      </c>
    </row>
    <row r="382">
      <c r="A382" s="10" t="s">
        <v>1507</v>
      </c>
      <c r="B382" s="11">
        <v>44264.39998045139</v>
      </c>
      <c r="C382" s="10" t="s">
        <v>671</v>
      </c>
      <c r="D382" s="10" t="s">
        <v>672</v>
      </c>
      <c r="E382" s="10" t="s">
        <v>1508</v>
      </c>
      <c r="F382" s="10" t="s">
        <v>1509</v>
      </c>
      <c r="G382" s="10" t="s">
        <v>1510</v>
      </c>
      <c r="H382" s="17">
        <v>44270.6875</v>
      </c>
      <c r="I382" s="17">
        <v>44270.77083333333</v>
      </c>
      <c r="J382" s="10" t="s">
        <v>128</v>
      </c>
      <c r="K382" s="10" t="s">
        <v>34</v>
      </c>
      <c r="N382" s="10" t="s">
        <v>35</v>
      </c>
      <c r="V382" s="9"/>
      <c r="W382" s="13" t="s">
        <v>78</v>
      </c>
      <c r="X382" s="10" t="s">
        <v>37</v>
      </c>
      <c r="Y382" s="10" t="s">
        <v>0</v>
      </c>
    </row>
    <row r="383">
      <c r="A383" s="10" t="s">
        <v>1511</v>
      </c>
      <c r="B383" s="11">
        <v>44270.8241346412</v>
      </c>
      <c r="C383" s="10" t="s">
        <v>160</v>
      </c>
      <c r="D383" s="10" t="s">
        <v>161</v>
      </c>
      <c r="E383" s="10" t="s">
        <v>947</v>
      </c>
      <c r="F383" s="10" t="s">
        <v>1512</v>
      </c>
      <c r="G383" s="10" t="s">
        <v>1513</v>
      </c>
      <c r="H383" s="16">
        <v>44268.41666666667</v>
      </c>
      <c r="I383" s="16">
        <v>44268.5</v>
      </c>
      <c r="J383" s="10" t="s">
        <v>43</v>
      </c>
      <c r="K383" s="10" t="s">
        <v>34</v>
      </c>
      <c r="N383" s="10" t="s">
        <v>296</v>
      </c>
      <c r="O383" s="18" t="s">
        <v>1514</v>
      </c>
      <c r="P383" s="10" t="s">
        <v>296</v>
      </c>
      <c r="Q383" s="10">
        <v>2.0</v>
      </c>
      <c r="R383" s="10" t="s">
        <v>296</v>
      </c>
      <c r="S383" s="10">
        <v>1.0</v>
      </c>
      <c r="T383" s="10" t="s">
        <v>35</v>
      </c>
      <c r="V383" s="9"/>
      <c r="W383" s="13" t="s">
        <v>78</v>
      </c>
      <c r="X383" s="10" t="s">
        <v>37</v>
      </c>
      <c r="Y383" s="10" t="s">
        <v>0</v>
      </c>
    </row>
    <row r="384">
      <c r="A384" s="10" t="s">
        <v>1515</v>
      </c>
      <c r="B384" s="11">
        <v>44267.61188458333</v>
      </c>
      <c r="C384" s="10" t="s">
        <v>1516</v>
      </c>
      <c r="D384" s="10" t="s">
        <v>611</v>
      </c>
      <c r="E384" s="10" t="s">
        <v>612</v>
      </c>
      <c r="F384" s="10" t="s">
        <v>1517</v>
      </c>
      <c r="G384" s="10" t="s">
        <v>1518</v>
      </c>
      <c r="H384" s="24">
        <v>44271.6875</v>
      </c>
      <c r="I384" s="24">
        <v>44271.77083333333</v>
      </c>
      <c r="J384" s="10" t="s">
        <v>128</v>
      </c>
      <c r="K384" s="10" t="s">
        <v>34</v>
      </c>
      <c r="N384" s="10" t="s">
        <v>35</v>
      </c>
      <c r="V384" s="9"/>
      <c r="W384" s="13" t="s">
        <v>78</v>
      </c>
      <c r="X384" s="10" t="s">
        <v>37</v>
      </c>
      <c r="Y384" s="10" t="s">
        <v>0</v>
      </c>
    </row>
    <row r="385">
      <c r="A385" s="10" t="s">
        <v>1519</v>
      </c>
      <c r="B385" s="11">
        <v>44267.681381111106</v>
      </c>
      <c r="C385" s="10" t="s">
        <v>610</v>
      </c>
      <c r="D385" s="10" t="s">
        <v>611</v>
      </c>
      <c r="E385" s="10" t="s">
        <v>612</v>
      </c>
      <c r="F385" s="10" t="s">
        <v>1517</v>
      </c>
      <c r="G385" s="10" t="s">
        <v>1520</v>
      </c>
      <c r="H385" s="24">
        <v>44271.6875</v>
      </c>
      <c r="I385" s="24">
        <v>44271.77083333333</v>
      </c>
      <c r="J385" s="10" t="s">
        <v>128</v>
      </c>
      <c r="K385" s="10" t="s">
        <v>34</v>
      </c>
      <c r="N385" s="10" t="s">
        <v>35</v>
      </c>
      <c r="V385" s="9"/>
      <c r="W385" s="13" t="s">
        <v>78</v>
      </c>
      <c r="X385" s="10" t="s">
        <v>37</v>
      </c>
      <c r="Y385" s="10" t="s">
        <v>0</v>
      </c>
    </row>
    <row r="386">
      <c r="A386" s="10" t="s">
        <v>1521</v>
      </c>
      <c r="B386" s="11">
        <v>44268.66255486111</v>
      </c>
      <c r="C386" s="10" t="s">
        <v>186</v>
      </c>
      <c r="D386" s="10" t="s">
        <v>187</v>
      </c>
      <c r="E386" s="10" t="s">
        <v>1522</v>
      </c>
      <c r="F386" s="10" t="s">
        <v>1523</v>
      </c>
      <c r="G386" s="26" t="s">
        <v>6003</v>
      </c>
      <c r="H386" s="16">
        <v>44271.6875</v>
      </c>
      <c r="I386" s="16">
        <v>44271.77083333333</v>
      </c>
      <c r="J386" s="10" t="s">
        <v>128</v>
      </c>
      <c r="K386" s="10" t="s">
        <v>34</v>
      </c>
      <c r="N386" s="10" t="s">
        <v>35</v>
      </c>
      <c r="V386" s="9"/>
      <c r="W386" s="13" t="s">
        <v>78</v>
      </c>
      <c r="X386" s="10" t="s">
        <v>37</v>
      </c>
      <c r="Y386" s="10" t="s">
        <v>0</v>
      </c>
    </row>
    <row r="387">
      <c r="A387" s="10" t="s">
        <v>1525</v>
      </c>
      <c r="B387" s="11">
        <v>44365.60936916667</v>
      </c>
      <c r="C387" s="10" t="s">
        <v>102</v>
      </c>
      <c r="D387" s="10" t="s">
        <v>103</v>
      </c>
      <c r="E387" s="10" t="s">
        <v>1526</v>
      </c>
      <c r="F387" s="10" t="s">
        <v>1512</v>
      </c>
      <c r="G387" s="10" t="s">
        <v>1527</v>
      </c>
      <c r="H387" s="16">
        <v>44268.41666666667</v>
      </c>
      <c r="I387" s="16">
        <v>44268.5</v>
      </c>
      <c r="J387" s="10" t="s">
        <v>43</v>
      </c>
      <c r="K387" s="10" t="s">
        <v>34</v>
      </c>
      <c r="N387" s="10" t="s">
        <v>296</v>
      </c>
      <c r="O387" s="18" t="s">
        <v>1528</v>
      </c>
      <c r="P387" s="10" t="s">
        <v>35</v>
      </c>
      <c r="R387" s="10" t="s">
        <v>296</v>
      </c>
      <c r="S387" s="10">
        <v>3.0</v>
      </c>
      <c r="T387" s="10" t="s">
        <v>35</v>
      </c>
      <c r="V387" s="9"/>
      <c r="W387" s="13" t="s">
        <v>78</v>
      </c>
      <c r="X387" s="10" t="s">
        <v>37</v>
      </c>
      <c r="Y387" s="10" t="s">
        <v>0</v>
      </c>
    </row>
    <row r="388">
      <c r="A388" s="10" t="s">
        <v>1529</v>
      </c>
      <c r="B388" s="11">
        <v>44269.6778962963</v>
      </c>
      <c r="C388" s="10" t="s">
        <v>219</v>
      </c>
      <c r="D388" s="10" t="s">
        <v>220</v>
      </c>
      <c r="E388" s="10" t="s">
        <v>1530</v>
      </c>
      <c r="F388" s="10" t="s">
        <v>1531</v>
      </c>
      <c r="G388" s="10" t="s">
        <v>1532</v>
      </c>
      <c r="H388" s="16">
        <v>44270.41666666667</v>
      </c>
      <c r="I388" s="16">
        <v>44274.83333333333</v>
      </c>
      <c r="J388" s="10" t="s">
        <v>43</v>
      </c>
      <c r="K388" s="10" t="s">
        <v>34</v>
      </c>
      <c r="N388" s="10" t="s">
        <v>35</v>
      </c>
      <c r="V388" s="9"/>
      <c r="W388" s="13" t="s">
        <v>78</v>
      </c>
      <c r="X388" s="10" t="s">
        <v>37</v>
      </c>
      <c r="Y388" s="10" t="s">
        <v>0</v>
      </c>
    </row>
    <row r="389">
      <c r="A389" s="10" t="s">
        <v>1533</v>
      </c>
      <c r="B389" s="11">
        <v>44265.718284375005</v>
      </c>
      <c r="C389" s="10" t="s">
        <v>80</v>
      </c>
      <c r="D389" s="10" t="s">
        <v>81</v>
      </c>
      <c r="E389" s="10" t="s">
        <v>469</v>
      </c>
      <c r="F389" s="10" t="s">
        <v>1534</v>
      </c>
      <c r="G389" s="10" t="s">
        <v>1535</v>
      </c>
      <c r="H389" s="17">
        <v>44272.33333333333</v>
      </c>
      <c r="I389" s="17">
        <v>44272.375</v>
      </c>
      <c r="J389" s="10" t="s">
        <v>73</v>
      </c>
      <c r="K389" s="10" t="s">
        <v>34</v>
      </c>
      <c r="N389" s="10" t="s">
        <v>35</v>
      </c>
      <c r="V389" s="9"/>
      <c r="W389" s="13" t="s">
        <v>78</v>
      </c>
      <c r="X389" s="10" t="s">
        <v>37</v>
      </c>
      <c r="Y389" s="10" t="s">
        <v>0</v>
      </c>
    </row>
    <row r="390">
      <c r="A390" s="10" t="s">
        <v>1536</v>
      </c>
      <c r="B390" s="11">
        <v>44258.68887896991</v>
      </c>
      <c r="C390" s="10" t="s">
        <v>181</v>
      </c>
      <c r="D390" s="10" t="s">
        <v>69</v>
      </c>
      <c r="E390" s="10" t="s">
        <v>1340</v>
      </c>
      <c r="F390" s="10" t="s">
        <v>1537</v>
      </c>
      <c r="G390" s="10" t="s">
        <v>1538</v>
      </c>
      <c r="H390" s="24">
        <v>44270.4375</v>
      </c>
      <c r="I390" s="24">
        <v>44270.5</v>
      </c>
      <c r="J390" s="10" t="s">
        <v>43</v>
      </c>
      <c r="K390" s="10" t="s">
        <v>34</v>
      </c>
      <c r="N390" s="10" t="s">
        <v>296</v>
      </c>
      <c r="O390" s="18" t="s">
        <v>1539</v>
      </c>
      <c r="P390" s="10" t="s">
        <v>296</v>
      </c>
      <c r="Q390" s="10">
        <v>1.0</v>
      </c>
      <c r="R390" s="10" t="s">
        <v>35</v>
      </c>
      <c r="T390" s="10" t="s">
        <v>35</v>
      </c>
      <c r="V390" s="9"/>
      <c r="W390" s="13" t="s">
        <v>78</v>
      </c>
      <c r="X390" s="10" t="s">
        <v>37</v>
      </c>
      <c r="Y390" s="10" t="s">
        <v>0</v>
      </c>
    </row>
    <row r="391">
      <c r="A391" s="10" t="s">
        <v>1540</v>
      </c>
      <c r="B391" s="11">
        <v>44272.592453715275</v>
      </c>
      <c r="C391" s="10" t="s">
        <v>46</v>
      </c>
      <c r="D391" s="10" t="s">
        <v>47</v>
      </c>
      <c r="E391" s="10" t="s">
        <v>1541</v>
      </c>
      <c r="F391" s="10" t="s">
        <v>1542</v>
      </c>
      <c r="G391" s="10" t="s">
        <v>1543</v>
      </c>
      <c r="H391" s="17">
        <v>44273.33333333333</v>
      </c>
      <c r="I391" s="17">
        <v>44273.66666666667</v>
      </c>
      <c r="J391" s="10" t="s">
        <v>128</v>
      </c>
      <c r="K391" s="10" t="s">
        <v>34</v>
      </c>
      <c r="N391" s="10" t="s">
        <v>35</v>
      </c>
      <c r="V391" s="9"/>
      <c r="W391" s="13" t="s">
        <v>78</v>
      </c>
      <c r="X391" s="10" t="s">
        <v>37</v>
      </c>
      <c r="Y391" s="10" t="s">
        <v>0</v>
      </c>
    </row>
    <row r="392">
      <c r="A392" s="10" t="s">
        <v>1544</v>
      </c>
      <c r="B392" s="11">
        <v>44268.707321967595</v>
      </c>
      <c r="C392" s="10" t="s">
        <v>181</v>
      </c>
      <c r="D392" s="10" t="s">
        <v>69</v>
      </c>
      <c r="E392" s="10" t="s">
        <v>1545</v>
      </c>
      <c r="F392" s="10" t="s">
        <v>1546</v>
      </c>
      <c r="G392" s="10" t="s">
        <v>1547</v>
      </c>
      <c r="H392" s="17">
        <v>44273.375</v>
      </c>
      <c r="I392" s="17">
        <v>44273.95833333333</v>
      </c>
      <c r="J392" s="10" t="s">
        <v>73</v>
      </c>
      <c r="K392" s="10" t="s">
        <v>34</v>
      </c>
      <c r="N392" s="10" t="s">
        <v>35</v>
      </c>
      <c r="V392" s="9"/>
      <c r="W392" s="13" t="s">
        <v>78</v>
      </c>
      <c r="X392" s="10" t="s">
        <v>37</v>
      </c>
      <c r="Y392" s="10" t="s">
        <v>0</v>
      </c>
    </row>
    <row r="393">
      <c r="A393" s="10" t="s">
        <v>1548</v>
      </c>
      <c r="B393" s="11">
        <v>44275.43597511574</v>
      </c>
      <c r="C393" s="10" t="s">
        <v>491</v>
      </c>
      <c r="D393" s="10" t="s">
        <v>492</v>
      </c>
      <c r="E393" s="10" t="s">
        <v>853</v>
      </c>
      <c r="F393" s="10" t="s">
        <v>1549</v>
      </c>
      <c r="G393" s="10" t="s">
        <v>1550</v>
      </c>
      <c r="H393" s="17">
        <v>44273.5</v>
      </c>
      <c r="I393" s="17">
        <v>44273.5</v>
      </c>
      <c r="J393" s="10" t="s">
        <v>73</v>
      </c>
      <c r="K393" s="10" t="s">
        <v>34</v>
      </c>
      <c r="N393" s="10" t="s">
        <v>35</v>
      </c>
      <c r="V393" s="9"/>
      <c r="W393" s="13" t="s">
        <v>66</v>
      </c>
      <c r="X393" s="10" t="s">
        <v>37</v>
      </c>
      <c r="Y393" s="10" t="s">
        <v>0</v>
      </c>
    </row>
    <row r="394">
      <c r="A394" s="10" t="s">
        <v>1551</v>
      </c>
      <c r="B394" s="11">
        <v>44270.44580046296</v>
      </c>
      <c r="C394" s="10" t="s">
        <v>374</v>
      </c>
      <c r="D394" s="10" t="s">
        <v>375</v>
      </c>
      <c r="E394" s="10" t="s">
        <v>1552</v>
      </c>
      <c r="F394" s="10" t="s">
        <v>1553</v>
      </c>
      <c r="G394" s="10" t="s">
        <v>1554</v>
      </c>
      <c r="H394" s="17">
        <v>44273.52083333333</v>
      </c>
      <c r="I394" s="17">
        <v>44276.52083333333</v>
      </c>
      <c r="J394" s="10" t="s">
        <v>51</v>
      </c>
      <c r="K394" s="10" t="s">
        <v>34</v>
      </c>
      <c r="N394" s="10" t="s">
        <v>35</v>
      </c>
      <c r="V394" s="9"/>
      <c r="W394" s="13" t="s">
        <v>78</v>
      </c>
      <c r="X394" s="10" t="s">
        <v>37</v>
      </c>
      <c r="Y394" s="10" t="s">
        <v>0</v>
      </c>
    </row>
    <row r="395">
      <c r="A395" s="10" t="s">
        <v>1555</v>
      </c>
      <c r="B395" s="11">
        <v>44268.66045575231</v>
      </c>
      <c r="C395" s="10" t="s">
        <v>186</v>
      </c>
      <c r="D395" s="10" t="s">
        <v>187</v>
      </c>
      <c r="E395" s="10" t="s">
        <v>188</v>
      </c>
      <c r="F395" s="10" t="s">
        <v>1556</v>
      </c>
      <c r="G395" s="26" t="s">
        <v>6004</v>
      </c>
      <c r="H395" s="16">
        <v>44273.60416666667</v>
      </c>
      <c r="I395" s="16">
        <v>44273.6875</v>
      </c>
      <c r="J395" s="10" t="s">
        <v>128</v>
      </c>
      <c r="K395" s="10" t="s">
        <v>34</v>
      </c>
      <c r="N395" s="10" t="s">
        <v>35</v>
      </c>
      <c r="V395" s="9"/>
      <c r="W395" s="13" t="s">
        <v>78</v>
      </c>
      <c r="X395" s="10" t="s">
        <v>37</v>
      </c>
      <c r="Y395" s="10" t="s">
        <v>0</v>
      </c>
    </row>
    <row r="396">
      <c r="A396" s="10" t="s">
        <v>1558</v>
      </c>
      <c r="B396" s="11">
        <v>44264.44622945602</v>
      </c>
      <c r="C396" s="10" t="s">
        <v>539</v>
      </c>
      <c r="D396" s="10" t="s">
        <v>540</v>
      </c>
      <c r="E396" s="10" t="s">
        <v>1434</v>
      </c>
      <c r="F396" s="10" t="s">
        <v>1559</v>
      </c>
      <c r="G396" s="10" t="s">
        <v>1560</v>
      </c>
      <c r="H396" s="16">
        <v>44270.77083333333</v>
      </c>
      <c r="I396" s="16">
        <v>44270.8125</v>
      </c>
      <c r="J396" s="10" t="s">
        <v>43</v>
      </c>
      <c r="K396" s="10" t="s">
        <v>34</v>
      </c>
      <c r="N396" s="10" t="s">
        <v>35</v>
      </c>
      <c r="V396" s="9"/>
      <c r="W396" s="13" t="s">
        <v>78</v>
      </c>
      <c r="X396" s="10" t="s">
        <v>37</v>
      </c>
      <c r="Y396" s="10" t="s">
        <v>0</v>
      </c>
    </row>
    <row r="397">
      <c r="A397" s="10" t="s">
        <v>1561</v>
      </c>
      <c r="B397" s="11">
        <v>44265.64319880787</v>
      </c>
      <c r="C397" s="10" t="s">
        <v>610</v>
      </c>
      <c r="D397" s="10" t="s">
        <v>611</v>
      </c>
      <c r="E397" s="10" t="s">
        <v>612</v>
      </c>
      <c r="F397" s="10" t="s">
        <v>1562</v>
      </c>
      <c r="G397" s="10" t="s">
        <v>1563</v>
      </c>
      <c r="H397" s="24">
        <v>44273.6875</v>
      </c>
      <c r="I397" s="24">
        <v>44273.72916666667</v>
      </c>
      <c r="J397" s="10" t="s">
        <v>33</v>
      </c>
      <c r="K397" s="10" t="s">
        <v>34</v>
      </c>
      <c r="N397" s="10" t="s">
        <v>35</v>
      </c>
      <c r="V397" s="9"/>
      <c r="W397" s="13" t="s">
        <v>78</v>
      </c>
      <c r="X397" s="10" t="s">
        <v>37</v>
      </c>
      <c r="Y397" s="10" t="s">
        <v>0</v>
      </c>
    </row>
    <row r="398">
      <c r="A398" s="10" t="s">
        <v>1564</v>
      </c>
      <c r="B398" s="11">
        <v>44266.392793113424</v>
      </c>
      <c r="C398" s="10" t="s">
        <v>671</v>
      </c>
      <c r="D398" s="10" t="s">
        <v>672</v>
      </c>
      <c r="E398" s="10" t="s">
        <v>1565</v>
      </c>
      <c r="F398" s="10" t="s">
        <v>1566</v>
      </c>
      <c r="G398" s="10" t="s">
        <v>1567</v>
      </c>
      <c r="H398" s="17">
        <v>44273.6875</v>
      </c>
      <c r="I398" s="17">
        <v>44273.72916666667</v>
      </c>
      <c r="J398" s="10" t="s">
        <v>128</v>
      </c>
      <c r="K398" s="10" t="s">
        <v>34</v>
      </c>
      <c r="N398" s="10" t="s">
        <v>35</v>
      </c>
      <c r="V398" s="9"/>
      <c r="W398" s="13" t="s">
        <v>78</v>
      </c>
      <c r="X398" s="10" t="s">
        <v>37</v>
      </c>
      <c r="Y398" s="10" t="s">
        <v>0</v>
      </c>
    </row>
    <row r="399">
      <c r="A399" s="10" t="s">
        <v>1568</v>
      </c>
      <c r="B399" s="11">
        <v>44270.828172291665</v>
      </c>
      <c r="C399" s="10" t="s">
        <v>160</v>
      </c>
      <c r="D399" s="10" t="s">
        <v>161</v>
      </c>
      <c r="E399" s="10" t="s">
        <v>947</v>
      </c>
      <c r="F399" s="10" t="s">
        <v>1569</v>
      </c>
      <c r="G399" s="10" t="s">
        <v>1570</v>
      </c>
      <c r="H399" s="16">
        <v>44271.6875</v>
      </c>
      <c r="I399" s="16">
        <v>44271.77083333333</v>
      </c>
      <c r="J399" s="10" t="s">
        <v>43</v>
      </c>
      <c r="K399" s="10" t="s">
        <v>34</v>
      </c>
      <c r="N399" s="10" t="s">
        <v>296</v>
      </c>
      <c r="O399" s="18" t="s">
        <v>1571</v>
      </c>
      <c r="P399" s="10" t="s">
        <v>296</v>
      </c>
      <c r="Q399" s="10">
        <v>2.0</v>
      </c>
      <c r="R399" s="10" t="s">
        <v>35</v>
      </c>
      <c r="T399" s="10" t="s">
        <v>35</v>
      </c>
      <c r="V399" s="9"/>
      <c r="W399" s="13" t="s">
        <v>1572</v>
      </c>
      <c r="X399" s="10" t="s">
        <v>37</v>
      </c>
      <c r="Y399" s="10" t="s">
        <v>0</v>
      </c>
    </row>
    <row r="400">
      <c r="A400" s="10" t="s">
        <v>1573</v>
      </c>
      <c r="B400" s="11">
        <v>44273.679325613426</v>
      </c>
      <c r="C400" s="10" t="s">
        <v>342</v>
      </c>
      <c r="D400" s="10" t="s">
        <v>187</v>
      </c>
      <c r="E400" s="10" t="s">
        <v>188</v>
      </c>
      <c r="F400" s="10" t="s">
        <v>1574</v>
      </c>
      <c r="G400" s="10" t="s">
        <v>1575</v>
      </c>
      <c r="H400" s="16">
        <v>44273.6875</v>
      </c>
      <c r="I400" s="16">
        <v>44273.77083333333</v>
      </c>
      <c r="J400" s="10" t="s">
        <v>128</v>
      </c>
      <c r="K400" s="10" t="s">
        <v>34</v>
      </c>
      <c r="N400" s="10" t="s">
        <v>35</v>
      </c>
      <c r="V400" s="9"/>
      <c r="W400" s="13" t="s">
        <v>78</v>
      </c>
      <c r="X400" s="10" t="s">
        <v>37</v>
      </c>
      <c r="Y400" s="10" t="s">
        <v>0</v>
      </c>
    </row>
    <row r="401">
      <c r="A401" s="10" t="s">
        <v>1576</v>
      </c>
      <c r="B401" s="11">
        <v>44273.68089657408</v>
      </c>
      <c r="C401" s="10" t="s">
        <v>186</v>
      </c>
      <c r="D401" s="10" t="s">
        <v>187</v>
      </c>
      <c r="E401" s="10" t="s">
        <v>1427</v>
      </c>
      <c r="F401" s="10" t="s">
        <v>1574</v>
      </c>
      <c r="G401" s="10" t="s">
        <v>1577</v>
      </c>
      <c r="H401" s="16">
        <v>44273.6875</v>
      </c>
      <c r="I401" s="16">
        <v>44273.77083333333</v>
      </c>
      <c r="J401" s="10" t="s">
        <v>128</v>
      </c>
      <c r="K401" s="10" t="s">
        <v>34</v>
      </c>
      <c r="N401" s="10" t="s">
        <v>35</v>
      </c>
      <c r="V401" s="9"/>
      <c r="W401" s="13" t="s">
        <v>78</v>
      </c>
      <c r="X401" s="10" t="s">
        <v>37</v>
      </c>
      <c r="Y401" s="10" t="s">
        <v>0</v>
      </c>
    </row>
    <row r="402">
      <c r="A402" s="10" t="s">
        <v>1578</v>
      </c>
      <c r="B402" s="11">
        <v>44272.51766150463</v>
      </c>
      <c r="C402" s="10" t="s">
        <v>1035</v>
      </c>
      <c r="D402" s="10" t="s">
        <v>1036</v>
      </c>
      <c r="E402" s="10" t="s">
        <v>1579</v>
      </c>
      <c r="F402" s="10" t="s">
        <v>1580</v>
      </c>
      <c r="G402" s="10" t="s">
        <v>1581</v>
      </c>
      <c r="H402" s="17">
        <v>44273.75</v>
      </c>
      <c r="I402" s="17">
        <v>44273.79166666667</v>
      </c>
      <c r="J402" s="10" t="s">
        <v>128</v>
      </c>
      <c r="K402" s="10" t="s">
        <v>34</v>
      </c>
      <c r="N402" s="10" t="s">
        <v>35</v>
      </c>
      <c r="V402" s="9"/>
      <c r="W402" s="13" t="s">
        <v>78</v>
      </c>
      <c r="X402" s="10" t="s">
        <v>37</v>
      </c>
      <c r="Y402" s="10" t="s">
        <v>0</v>
      </c>
    </row>
    <row r="403">
      <c r="A403" s="10" t="s">
        <v>1582</v>
      </c>
      <c r="B403" s="11">
        <v>44269.492835868055</v>
      </c>
      <c r="C403" s="10" t="s">
        <v>1583</v>
      </c>
      <c r="D403" s="10" t="s">
        <v>505</v>
      </c>
      <c r="E403" s="10" t="s">
        <v>1584</v>
      </c>
      <c r="F403" s="10" t="s">
        <v>1585</v>
      </c>
      <c r="G403" s="10" t="s">
        <v>1586</v>
      </c>
      <c r="H403" s="17">
        <v>44273.79166666667</v>
      </c>
      <c r="I403" s="17">
        <v>44273.83333333333</v>
      </c>
      <c r="J403" s="10" t="s">
        <v>128</v>
      </c>
      <c r="K403" s="10" t="s">
        <v>34</v>
      </c>
      <c r="N403" s="10" t="s">
        <v>35</v>
      </c>
      <c r="V403" s="9"/>
      <c r="W403" s="13" t="s">
        <v>78</v>
      </c>
      <c r="X403" s="10" t="s">
        <v>37</v>
      </c>
      <c r="Y403" s="10" t="s">
        <v>0</v>
      </c>
    </row>
    <row r="404">
      <c r="A404" s="10" t="s">
        <v>1587</v>
      </c>
      <c r="B404" s="11">
        <v>44261.74545971065</v>
      </c>
      <c r="C404" s="10" t="s">
        <v>181</v>
      </c>
      <c r="D404" s="10" t="s">
        <v>69</v>
      </c>
      <c r="E404" s="10" t="s">
        <v>1588</v>
      </c>
      <c r="F404" s="10" t="s">
        <v>1589</v>
      </c>
      <c r="G404" s="10" t="s">
        <v>1590</v>
      </c>
      <c r="H404" s="24">
        <v>44272.30208333333</v>
      </c>
      <c r="I404" s="24">
        <v>44272.38541666667</v>
      </c>
      <c r="J404" s="10" t="s">
        <v>43</v>
      </c>
      <c r="K404" s="10" t="s">
        <v>34</v>
      </c>
      <c r="N404" s="10" t="s">
        <v>35</v>
      </c>
      <c r="V404" s="9"/>
      <c r="W404" s="13" t="s">
        <v>78</v>
      </c>
      <c r="X404" s="10" t="s">
        <v>37</v>
      </c>
      <c r="Y404" s="10" t="s">
        <v>0</v>
      </c>
    </row>
    <row r="405">
      <c r="A405" s="10" t="s">
        <v>1591</v>
      </c>
      <c r="B405" s="11">
        <v>44261.73293491898</v>
      </c>
      <c r="C405" s="10" t="s">
        <v>181</v>
      </c>
      <c r="D405" s="10" t="s">
        <v>69</v>
      </c>
      <c r="E405" s="10" t="s">
        <v>1179</v>
      </c>
      <c r="F405" s="10" t="s">
        <v>1592</v>
      </c>
      <c r="G405" s="10" t="s">
        <v>1593</v>
      </c>
      <c r="H405" s="24">
        <v>44274.35416666667</v>
      </c>
      <c r="I405" s="24">
        <v>44274.85416666667</v>
      </c>
      <c r="J405" s="10" t="s">
        <v>51</v>
      </c>
      <c r="K405" s="10" t="s">
        <v>34</v>
      </c>
      <c r="N405" s="10" t="s">
        <v>35</v>
      </c>
      <c r="V405" s="9"/>
      <c r="W405" s="13" t="s">
        <v>78</v>
      </c>
      <c r="X405" s="10" t="s">
        <v>37</v>
      </c>
      <c r="Y405" s="10" t="s">
        <v>0</v>
      </c>
    </row>
    <row r="406">
      <c r="A406" s="10" t="s">
        <v>1594</v>
      </c>
      <c r="B406" s="11">
        <v>44272.438852349536</v>
      </c>
      <c r="C406" s="10" t="s">
        <v>694</v>
      </c>
      <c r="D406" s="10" t="s">
        <v>695</v>
      </c>
      <c r="E406" s="10" t="s">
        <v>696</v>
      </c>
      <c r="F406" s="10" t="s">
        <v>1595</v>
      </c>
      <c r="G406" s="10" t="s">
        <v>1596</v>
      </c>
      <c r="H406" s="17">
        <v>44274.39583333333</v>
      </c>
      <c r="I406" s="17">
        <v>44274.39583333333</v>
      </c>
      <c r="J406" s="10" t="s">
        <v>128</v>
      </c>
      <c r="K406" s="10" t="s">
        <v>34</v>
      </c>
      <c r="N406" s="10" t="s">
        <v>35</v>
      </c>
      <c r="V406" s="9"/>
      <c r="W406" s="13" t="s">
        <v>78</v>
      </c>
      <c r="X406" s="10" t="s">
        <v>37</v>
      </c>
      <c r="Y406" s="10" t="s">
        <v>0</v>
      </c>
    </row>
    <row r="407">
      <c r="A407" s="10" t="s">
        <v>1597</v>
      </c>
      <c r="B407" s="11">
        <v>44272.51914405092</v>
      </c>
      <c r="C407" s="10" t="s">
        <v>1035</v>
      </c>
      <c r="D407" s="10" t="s">
        <v>1036</v>
      </c>
      <c r="E407" s="10" t="s">
        <v>1579</v>
      </c>
      <c r="F407" s="10" t="s">
        <v>1598</v>
      </c>
      <c r="G407" s="10" t="s">
        <v>1599</v>
      </c>
      <c r="H407" s="17">
        <v>44274.39583333333</v>
      </c>
      <c r="I407" s="17">
        <v>44274.4375</v>
      </c>
      <c r="J407" s="10" t="s">
        <v>128</v>
      </c>
      <c r="K407" s="10" t="s">
        <v>34</v>
      </c>
      <c r="N407" s="10" t="s">
        <v>35</v>
      </c>
      <c r="V407" s="9"/>
      <c r="W407" s="13" t="s">
        <v>78</v>
      </c>
      <c r="X407" s="10" t="s">
        <v>37</v>
      </c>
      <c r="Y407" s="10" t="s">
        <v>0</v>
      </c>
    </row>
    <row r="408">
      <c r="A408" s="10" t="s">
        <v>1600</v>
      </c>
      <c r="B408" s="11">
        <v>44270.519083321764</v>
      </c>
      <c r="C408" s="10" t="s">
        <v>80</v>
      </c>
      <c r="D408" s="10" t="s">
        <v>81</v>
      </c>
      <c r="E408" s="10" t="s">
        <v>1601</v>
      </c>
      <c r="F408" s="10" t="s">
        <v>1602</v>
      </c>
      <c r="G408" s="10" t="s">
        <v>1603</v>
      </c>
      <c r="H408" s="24">
        <v>44273.1875</v>
      </c>
      <c r="I408" s="24">
        <v>44273.22916666667</v>
      </c>
      <c r="J408" s="10" t="s">
        <v>43</v>
      </c>
      <c r="K408" s="10" t="s">
        <v>34</v>
      </c>
      <c r="N408" s="10" t="s">
        <v>296</v>
      </c>
      <c r="O408" s="18" t="s">
        <v>1604</v>
      </c>
      <c r="P408" s="10" t="s">
        <v>35</v>
      </c>
      <c r="R408" s="10" t="s">
        <v>296</v>
      </c>
      <c r="S408" s="10">
        <v>1.0</v>
      </c>
      <c r="T408" s="10" t="s">
        <v>35</v>
      </c>
      <c r="V408" s="9"/>
      <c r="W408" s="13" t="s">
        <v>78</v>
      </c>
      <c r="X408" s="10" t="s">
        <v>37</v>
      </c>
      <c r="Y408" s="10" t="s">
        <v>0</v>
      </c>
    </row>
    <row r="409">
      <c r="A409" s="10" t="s">
        <v>1605</v>
      </c>
      <c r="B409" s="11">
        <v>44261.528772314814</v>
      </c>
      <c r="C409" s="10" t="s">
        <v>209</v>
      </c>
      <c r="D409" s="10" t="s">
        <v>210</v>
      </c>
      <c r="E409" s="10" t="s">
        <v>261</v>
      </c>
      <c r="F409" s="10" t="s">
        <v>1606</v>
      </c>
      <c r="G409" s="10" t="s">
        <v>1607</v>
      </c>
      <c r="H409" s="17">
        <v>44274.47916666667</v>
      </c>
      <c r="I409" s="17">
        <v>44274.47916666667</v>
      </c>
      <c r="J409" s="10" t="s">
        <v>33</v>
      </c>
      <c r="K409" s="10" t="s">
        <v>34</v>
      </c>
      <c r="N409" s="10" t="s">
        <v>35</v>
      </c>
      <c r="V409" s="9"/>
      <c r="W409" s="13" t="s">
        <v>78</v>
      </c>
      <c r="X409" s="10" t="s">
        <v>37</v>
      </c>
      <c r="Y409" s="10" t="s">
        <v>0</v>
      </c>
    </row>
    <row r="410">
      <c r="A410" s="10" t="s">
        <v>1608</v>
      </c>
      <c r="B410" s="11">
        <v>44261.52987815972</v>
      </c>
      <c r="C410" s="10" t="s">
        <v>209</v>
      </c>
      <c r="D410" s="10" t="s">
        <v>210</v>
      </c>
      <c r="E410" s="10" t="s">
        <v>261</v>
      </c>
      <c r="F410" s="10" t="s">
        <v>1371</v>
      </c>
      <c r="G410" s="10" t="s">
        <v>1609</v>
      </c>
      <c r="H410" s="17">
        <v>44274.52083333333</v>
      </c>
      <c r="I410" s="17">
        <v>44274.60416666667</v>
      </c>
      <c r="J410" s="10" t="s">
        <v>128</v>
      </c>
      <c r="K410" s="10" t="s">
        <v>34</v>
      </c>
      <c r="N410" s="10" t="s">
        <v>35</v>
      </c>
      <c r="V410" s="9"/>
      <c r="W410" s="13" t="s">
        <v>78</v>
      </c>
      <c r="X410" s="10" t="s">
        <v>37</v>
      </c>
      <c r="Y410" s="10" t="s">
        <v>0</v>
      </c>
    </row>
    <row r="411">
      <c r="A411" s="10" t="s">
        <v>1610</v>
      </c>
      <c r="B411" s="11">
        <v>44267.535898622686</v>
      </c>
      <c r="C411" s="10" t="s">
        <v>694</v>
      </c>
      <c r="D411" s="10" t="s">
        <v>695</v>
      </c>
      <c r="E411" s="10" t="s">
        <v>696</v>
      </c>
      <c r="F411" s="10" t="s">
        <v>697</v>
      </c>
      <c r="G411" s="10" t="s">
        <v>698</v>
      </c>
      <c r="H411" s="17">
        <v>44274.52083333333</v>
      </c>
      <c r="I411" s="17">
        <v>44274.52083333333</v>
      </c>
      <c r="J411" s="10" t="s">
        <v>128</v>
      </c>
      <c r="K411" s="10" t="s">
        <v>34</v>
      </c>
      <c r="N411" s="10" t="s">
        <v>35</v>
      </c>
      <c r="V411" s="9"/>
      <c r="W411" s="13" t="s">
        <v>78</v>
      </c>
      <c r="X411" s="10" t="s">
        <v>37</v>
      </c>
      <c r="Y411" s="10" t="s">
        <v>0</v>
      </c>
    </row>
    <row r="412">
      <c r="A412" s="10" t="s">
        <v>1611</v>
      </c>
      <c r="B412" s="11">
        <v>44265.80831820602</v>
      </c>
      <c r="C412" s="10" t="s">
        <v>374</v>
      </c>
      <c r="D412" s="10" t="s">
        <v>375</v>
      </c>
      <c r="E412" s="10" t="s">
        <v>1612</v>
      </c>
      <c r="F412" s="10" t="s">
        <v>1613</v>
      </c>
      <c r="G412" s="10" t="s">
        <v>1614</v>
      </c>
      <c r="H412" s="17">
        <v>44274.5625</v>
      </c>
      <c r="I412" s="17">
        <v>44274.60416666667</v>
      </c>
      <c r="J412" s="10" t="s">
        <v>128</v>
      </c>
      <c r="K412" s="10" t="s">
        <v>34</v>
      </c>
      <c r="N412" s="10" t="s">
        <v>35</v>
      </c>
      <c r="V412" s="9"/>
      <c r="W412" s="13" t="s">
        <v>78</v>
      </c>
      <c r="X412" s="10" t="s">
        <v>37</v>
      </c>
      <c r="Y412" s="10" t="s">
        <v>0</v>
      </c>
    </row>
    <row r="413">
      <c r="A413" s="10" t="s">
        <v>1615</v>
      </c>
      <c r="B413" s="11">
        <v>44267.37866756944</v>
      </c>
      <c r="C413" s="10" t="s">
        <v>671</v>
      </c>
      <c r="D413" s="10" t="s">
        <v>672</v>
      </c>
      <c r="E413" s="10" t="s">
        <v>1616</v>
      </c>
      <c r="F413" s="10" t="s">
        <v>1617</v>
      </c>
      <c r="G413" s="10" t="s">
        <v>1618</v>
      </c>
      <c r="H413" s="17">
        <v>44274.5625</v>
      </c>
      <c r="I413" s="17">
        <v>44274.64583333333</v>
      </c>
      <c r="J413" s="10" t="s">
        <v>128</v>
      </c>
      <c r="K413" s="10" t="s">
        <v>34</v>
      </c>
      <c r="N413" s="10" t="s">
        <v>35</v>
      </c>
      <c r="V413" s="9"/>
      <c r="W413" s="13" t="s">
        <v>78</v>
      </c>
      <c r="X413" s="10" t="s">
        <v>37</v>
      </c>
      <c r="Y413" s="10" t="s">
        <v>0</v>
      </c>
    </row>
    <row r="414">
      <c r="A414" s="10" t="s">
        <v>1619</v>
      </c>
      <c r="B414" s="11">
        <v>44256.48434243056</v>
      </c>
      <c r="C414" s="10" t="s">
        <v>137</v>
      </c>
      <c r="D414" s="10" t="s">
        <v>138</v>
      </c>
      <c r="E414" s="10" t="s">
        <v>1376</v>
      </c>
      <c r="F414" s="10" t="s">
        <v>482</v>
      </c>
      <c r="G414" s="10" t="s">
        <v>1620</v>
      </c>
      <c r="H414" s="17">
        <v>44274.58333333333</v>
      </c>
      <c r="I414" s="17">
        <v>44274.66666666667</v>
      </c>
      <c r="J414" s="10" t="s">
        <v>128</v>
      </c>
      <c r="K414" s="10" t="s">
        <v>34</v>
      </c>
      <c r="N414" s="10" t="s">
        <v>35</v>
      </c>
      <c r="V414" s="9"/>
      <c r="W414" s="13" t="s">
        <v>78</v>
      </c>
      <c r="X414" s="10" t="s">
        <v>37</v>
      </c>
      <c r="Y414" s="10" t="s">
        <v>0</v>
      </c>
    </row>
    <row r="415">
      <c r="A415" s="10" t="s">
        <v>1621</v>
      </c>
      <c r="B415" s="11">
        <v>44259.736289594905</v>
      </c>
      <c r="C415" s="10" t="s">
        <v>160</v>
      </c>
      <c r="D415" s="10" t="s">
        <v>161</v>
      </c>
      <c r="E415" s="10" t="s">
        <v>947</v>
      </c>
      <c r="F415" s="10" t="s">
        <v>1622</v>
      </c>
      <c r="G415" s="10" t="s">
        <v>1623</v>
      </c>
      <c r="H415" s="24">
        <v>44273.6875</v>
      </c>
      <c r="I415" s="24">
        <v>44273.75</v>
      </c>
      <c r="J415" s="10" t="s">
        <v>43</v>
      </c>
      <c r="K415" s="10" t="s">
        <v>34</v>
      </c>
      <c r="N415" s="10" t="s">
        <v>296</v>
      </c>
      <c r="O415" s="18" t="s">
        <v>1624</v>
      </c>
      <c r="P415" s="10" t="s">
        <v>35</v>
      </c>
      <c r="R415" s="10" t="s">
        <v>296</v>
      </c>
      <c r="S415" s="10">
        <v>1.0</v>
      </c>
      <c r="T415" s="10" t="s">
        <v>35</v>
      </c>
      <c r="V415" s="9"/>
      <c r="W415" s="13" t="s">
        <v>78</v>
      </c>
      <c r="X415" s="10" t="s">
        <v>37</v>
      </c>
      <c r="Y415" s="10" t="s">
        <v>0</v>
      </c>
    </row>
    <row r="416">
      <c r="A416" s="10" t="s">
        <v>1625</v>
      </c>
      <c r="B416" s="11">
        <v>44263.861019398144</v>
      </c>
      <c r="C416" s="10" t="s">
        <v>96</v>
      </c>
      <c r="D416" s="10" t="s">
        <v>97</v>
      </c>
      <c r="E416" s="10" t="s">
        <v>1296</v>
      </c>
      <c r="F416" s="10" t="s">
        <v>1626</v>
      </c>
      <c r="G416" s="10" t="s">
        <v>1627</v>
      </c>
      <c r="H416" s="17">
        <v>44274.60416666667</v>
      </c>
      <c r="I416" s="17">
        <v>44330.75</v>
      </c>
      <c r="J416" s="10" t="s">
        <v>128</v>
      </c>
      <c r="K416" s="10" t="s">
        <v>34</v>
      </c>
      <c r="N416" s="10" t="s">
        <v>35</v>
      </c>
      <c r="V416" s="9"/>
      <c r="W416" s="13" t="s">
        <v>78</v>
      </c>
      <c r="X416" s="10" t="s">
        <v>37</v>
      </c>
      <c r="Y416" s="10" t="s">
        <v>0</v>
      </c>
    </row>
    <row r="417">
      <c r="A417" s="10" t="s">
        <v>1628</v>
      </c>
      <c r="B417" s="11">
        <v>44272.47482112268</v>
      </c>
      <c r="C417" s="10" t="s">
        <v>137</v>
      </c>
      <c r="D417" s="21" t="s">
        <v>138</v>
      </c>
      <c r="E417" s="21" t="s">
        <v>1629</v>
      </c>
      <c r="F417" s="21" t="s">
        <v>1630</v>
      </c>
      <c r="G417" s="21" t="s">
        <v>1631</v>
      </c>
      <c r="H417" s="22">
        <v>44273.6875</v>
      </c>
      <c r="I417" s="22">
        <v>44273.71875</v>
      </c>
      <c r="J417" s="21" t="s">
        <v>236</v>
      </c>
      <c r="K417" s="10" t="s">
        <v>34</v>
      </c>
      <c r="N417" s="10" t="s">
        <v>35</v>
      </c>
      <c r="V417" s="9"/>
      <c r="W417" s="13" t="s">
        <v>78</v>
      </c>
      <c r="X417" s="10" t="s">
        <v>37</v>
      </c>
      <c r="Y417" s="10" t="s">
        <v>0</v>
      </c>
    </row>
    <row r="418">
      <c r="A418" s="10" t="s">
        <v>1632</v>
      </c>
      <c r="B418" s="11">
        <v>44270.83261493055</v>
      </c>
      <c r="C418" s="10" t="s">
        <v>160</v>
      </c>
      <c r="D418" s="10" t="s">
        <v>161</v>
      </c>
      <c r="E418" s="10" t="s">
        <v>947</v>
      </c>
      <c r="F418" s="10" t="s">
        <v>1633</v>
      </c>
      <c r="G418" s="10" t="s">
        <v>1634</v>
      </c>
      <c r="H418" s="16">
        <v>44273.79166666667</v>
      </c>
      <c r="I418" s="16">
        <v>44273.875</v>
      </c>
      <c r="J418" s="10" t="s">
        <v>43</v>
      </c>
      <c r="K418" s="10" t="s">
        <v>34</v>
      </c>
      <c r="N418" s="10" t="s">
        <v>35</v>
      </c>
      <c r="V418" s="9"/>
      <c r="W418" s="13" t="s">
        <v>78</v>
      </c>
      <c r="X418" s="10" t="s">
        <v>37</v>
      </c>
      <c r="Y418" s="10" t="s">
        <v>0</v>
      </c>
    </row>
    <row r="419">
      <c r="A419" s="10" t="s">
        <v>1635</v>
      </c>
      <c r="B419" s="11">
        <v>44261.73082503473</v>
      </c>
      <c r="C419" s="10" t="s">
        <v>181</v>
      </c>
      <c r="D419" s="10" t="s">
        <v>69</v>
      </c>
      <c r="E419" s="10" t="s">
        <v>1636</v>
      </c>
      <c r="F419" s="10" t="s">
        <v>1637</v>
      </c>
      <c r="G419" s="10" t="s">
        <v>1638</v>
      </c>
      <c r="H419" s="17">
        <v>44274.6875</v>
      </c>
      <c r="I419" s="17">
        <v>44274.77083333333</v>
      </c>
      <c r="J419" s="10" t="s">
        <v>128</v>
      </c>
      <c r="K419" s="10" t="s">
        <v>34</v>
      </c>
      <c r="N419" s="10" t="s">
        <v>35</v>
      </c>
      <c r="V419" s="9"/>
      <c r="W419" s="13" t="s">
        <v>78</v>
      </c>
      <c r="X419" s="10" t="s">
        <v>37</v>
      </c>
      <c r="Y419" s="10" t="s">
        <v>0</v>
      </c>
    </row>
    <row r="420">
      <c r="A420" s="10" t="s">
        <v>1639</v>
      </c>
      <c r="B420" s="11">
        <v>44272.462591041665</v>
      </c>
      <c r="C420" s="10" t="s">
        <v>381</v>
      </c>
      <c r="D420" s="10" t="s">
        <v>382</v>
      </c>
      <c r="E420" s="10" t="s">
        <v>1487</v>
      </c>
      <c r="F420" s="10" t="s">
        <v>1640</v>
      </c>
      <c r="G420" s="10" t="s">
        <v>1641</v>
      </c>
      <c r="H420" s="17">
        <v>44274.6875</v>
      </c>
      <c r="I420" s="17">
        <v>44274.72916666667</v>
      </c>
      <c r="J420" s="10" t="s">
        <v>128</v>
      </c>
      <c r="K420" s="10" t="s">
        <v>34</v>
      </c>
      <c r="N420" s="10" t="s">
        <v>35</v>
      </c>
      <c r="V420" s="9"/>
      <c r="W420" s="13" t="s">
        <v>78</v>
      </c>
      <c r="X420" s="10" t="s">
        <v>37</v>
      </c>
      <c r="Y420" s="10" t="s">
        <v>0</v>
      </c>
    </row>
    <row r="421">
      <c r="A421" s="10" t="s">
        <v>1642</v>
      </c>
      <c r="B421" s="11">
        <v>44269.47435042824</v>
      </c>
      <c r="C421" s="10" t="s">
        <v>1643</v>
      </c>
      <c r="D421" s="10" t="s">
        <v>375</v>
      </c>
      <c r="E421" s="10" t="s">
        <v>1644</v>
      </c>
      <c r="F421" s="10" t="s">
        <v>1645</v>
      </c>
      <c r="G421" s="10" t="s">
        <v>1646</v>
      </c>
      <c r="H421" s="17">
        <v>44274.72916666667</v>
      </c>
      <c r="I421" s="17">
        <v>44274.77083333333</v>
      </c>
      <c r="J421" s="10" t="s">
        <v>33</v>
      </c>
      <c r="K421" s="10" t="s">
        <v>34</v>
      </c>
      <c r="N421" s="10" t="s">
        <v>35</v>
      </c>
      <c r="V421" s="9"/>
      <c r="W421" s="13" t="s">
        <v>78</v>
      </c>
      <c r="X421" s="10" t="s">
        <v>37</v>
      </c>
      <c r="Y421" s="10" t="s">
        <v>0</v>
      </c>
    </row>
    <row r="422">
      <c r="A422" s="10" t="s">
        <v>1647</v>
      </c>
      <c r="B422" s="11">
        <v>44261.52774334491</v>
      </c>
      <c r="C422" s="10" t="s">
        <v>209</v>
      </c>
      <c r="D422" s="10" t="s">
        <v>210</v>
      </c>
      <c r="E422" s="10" t="s">
        <v>261</v>
      </c>
      <c r="F422" s="10" t="s">
        <v>1648</v>
      </c>
      <c r="G422" s="10" t="s">
        <v>1649</v>
      </c>
      <c r="H422" s="17">
        <v>44274.77083333333</v>
      </c>
      <c r="I422" s="17">
        <v>44274.8125</v>
      </c>
      <c r="J422" s="10" t="s">
        <v>33</v>
      </c>
      <c r="K422" s="10" t="s">
        <v>34</v>
      </c>
      <c r="N422" s="10" t="s">
        <v>35</v>
      </c>
      <c r="V422" s="9"/>
      <c r="W422" s="13" t="s">
        <v>78</v>
      </c>
      <c r="X422" s="10" t="s">
        <v>37</v>
      </c>
      <c r="Y422" s="10" t="s">
        <v>0</v>
      </c>
    </row>
    <row r="423">
      <c r="A423" s="10" t="s">
        <v>1650</v>
      </c>
      <c r="B423" s="11">
        <v>44269.486742256944</v>
      </c>
      <c r="C423" s="10" t="s">
        <v>239</v>
      </c>
      <c r="D423" s="10" t="s">
        <v>240</v>
      </c>
      <c r="E423" s="10" t="s">
        <v>1651</v>
      </c>
      <c r="F423" s="10" t="s">
        <v>1652</v>
      </c>
      <c r="G423" s="10" t="s">
        <v>1653</v>
      </c>
      <c r="H423" s="17">
        <v>44274.77083333333</v>
      </c>
      <c r="I423" s="17">
        <v>44274.8125</v>
      </c>
      <c r="J423" s="10" t="s">
        <v>128</v>
      </c>
      <c r="K423" s="10" t="s">
        <v>34</v>
      </c>
      <c r="N423" s="10" t="s">
        <v>35</v>
      </c>
      <c r="V423" s="9"/>
      <c r="W423" s="13" t="s">
        <v>78</v>
      </c>
      <c r="X423" s="10" t="s">
        <v>37</v>
      </c>
      <c r="Y423" s="10" t="s">
        <v>0</v>
      </c>
    </row>
    <row r="424">
      <c r="A424" s="10" t="s">
        <v>1654</v>
      </c>
      <c r="B424" s="11">
        <v>44268.70895127315</v>
      </c>
      <c r="C424" s="10" t="s">
        <v>181</v>
      </c>
      <c r="D424" s="10" t="s">
        <v>69</v>
      </c>
      <c r="E424" s="10" t="s">
        <v>860</v>
      </c>
      <c r="F424" s="10" t="s">
        <v>1655</v>
      </c>
      <c r="G424" s="10" t="s">
        <v>1656</v>
      </c>
      <c r="H424" s="17">
        <v>44275.375</v>
      </c>
      <c r="I424" s="17">
        <v>44275.95833333333</v>
      </c>
      <c r="J424" s="10" t="s">
        <v>73</v>
      </c>
      <c r="K424" s="10" t="s">
        <v>34</v>
      </c>
      <c r="N424" s="10" t="s">
        <v>296</v>
      </c>
      <c r="O424" s="18" t="s">
        <v>1657</v>
      </c>
      <c r="P424" s="10" t="s">
        <v>296</v>
      </c>
      <c r="Q424" s="10">
        <v>1.0</v>
      </c>
      <c r="R424" s="10" t="s">
        <v>296</v>
      </c>
      <c r="S424" s="10">
        <v>1.0</v>
      </c>
      <c r="T424" s="10" t="s">
        <v>35</v>
      </c>
      <c r="V424" s="9"/>
      <c r="W424" s="13" t="s">
        <v>78</v>
      </c>
      <c r="X424" s="10" t="s">
        <v>37</v>
      </c>
      <c r="Y424" s="10" t="s">
        <v>0</v>
      </c>
    </row>
    <row r="425">
      <c r="A425" s="10" t="s">
        <v>1658</v>
      </c>
      <c r="B425" s="11">
        <v>44269.47642417824</v>
      </c>
      <c r="C425" s="10" t="s">
        <v>1643</v>
      </c>
      <c r="D425" s="10" t="s">
        <v>375</v>
      </c>
      <c r="E425" s="10" t="s">
        <v>1644</v>
      </c>
      <c r="F425" s="10" t="s">
        <v>1659</v>
      </c>
      <c r="G425" s="10" t="s">
        <v>1660</v>
      </c>
      <c r="H425" s="17">
        <v>44275.39583333333</v>
      </c>
      <c r="I425" s="17">
        <v>44275.4375</v>
      </c>
      <c r="J425" s="10" t="s">
        <v>33</v>
      </c>
      <c r="K425" s="10" t="s">
        <v>34</v>
      </c>
      <c r="N425" s="10" t="s">
        <v>35</v>
      </c>
      <c r="V425" s="9"/>
      <c r="W425" s="13" t="s">
        <v>78</v>
      </c>
      <c r="X425" s="10" t="s">
        <v>37</v>
      </c>
      <c r="Y425" s="10" t="s">
        <v>0</v>
      </c>
    </row>
    <row r="426">
      <c r="A426" s="10" t="s">
        <v>1661</v>
      </c>
      <c r="B426" s="11">
        <v>44272.871289305556</v>
      </c>
      <c r="C426" s="10" t="s">
        <v>150</v>
      </c>
      <c r="D426" s="10" t="s">
        <v>151</v>
      </c>
      <c r="E426" s="10" t="s">
        <v>152</v>
      </c>
      <c r="F426" s="10" t="s">
        <v>1662</v>
      </c>
      <c r="G426" s="10" t="s">
        <v>1663</v>
      </c>
      <c r="H426" s="17">
        <v>44275.41666666667</v>
      </c>
      <c r="I426" s="17">
        <v>44275.5</v>
      </c>
      <c r="J426" s="10" t="s">
        <v>128</v>
      </c>
      <c r="K426" s="10" t="s">
        <v>34</v>
      </c>
      <c r="N426" s="10" t="s">
        <v>35</v>
      </c>
      <c r="V426" s="9"/>
      <c r="W426" s="13" t="s">
        <v>78</v>
      </c>
      <c r="X426" s="10" t="s">
        <v>37</v>
      </c>
      <c r="Y426" s="10" t="s">
        <v>0</v>
      </c>
    </row>
    <row r="427">
      <c r="A427" s="10" t="s">
        <v>1664</v>
      </c>
      <c r="B427" s="11">
        <v>44277.68008636574</v>
      </c>
      <c r="C427" s="10" t="s">
        <v>1665</v>
      </c>
      <c r="D427" s="10" t="s">
        <v>248</v>
      </c>
      <c r="E427" s="10" t="s">
        <v>1666</v>
      </c>
      <c r="F427" s="10" t="s">
        <v>1667</v>
      </c>
      <c r="G427" s="10" t="s">
        <v>1668</v>
      </c>
      <c r="H427" s="17">
        <v>44275.58333333333</v>
      </c>
      <c r="I427" s="17">
        <v>44275.64583333333</v>
      </c>
      <c r="J427" s="10" t="s">
        <v>128</v>
      </c>
      <c r="K427" s="10" t="s">
        <v>34</v>
      </c>
      <c r="N427" s="10" t="s">
        <v>35</v>
      </c>
      <c r="V427" s="9"/>
      <c r="W427" s="13" t="s">
        <v>1669</v>
      </c>
      <c r="X427" s="10" t="s">
        <v>37</v>
      </c>
      <c r="Y427" s="10" t="s">
        <v>0</v>
      </c>
    </row>
    <row r="428">
      <c r="A428" s="10" t="s">
        <v>1670</v>
      </c>
      <c r="B428" s="11">
        <v>44261.52414435185</v>
      </c>
      <c r="C428" s="10" t="s">
        <v>209</v>
      </c>
      <c r="D428" s="10" t="s">
        <v>210</v>
      </c>
      <c r="E428" s="10" t="s">
        <v>261</v>
      </c>
      <c r="F428" s="10" t="s">
        <v>1449</v>
      </c>
      <c r="G428" s="10" t="s">
        <v>1671</v>
      </c>
      <c r="H428" s="17">
        <v>44275.60416666667</v>
      </c>
      <c r="I428" s="17">
        <v>44275.64583333333</v>
      </c>
      <c r="J428" s="10" t="s">
        <v>33</v>
      </c>
      <c r="K428" s="10" t="s">
        <v>34</v>
      </c>
      <c r="N428" s="10" t="s">
        <v>35</v>
      </c>
      <c r="V428" s="9"/>
      <c r="W428" s="13" t="s">
        <v>78</v>
      </c>
      <c r="X428" s="10" t="s">
        <v>37</v>
      </c>
      <c r="Y428" s="10" t="s">
        <v>0</v>
      </c>
    </row>
    <row r="429">
      <c r="A429" s="10" t="s">
        <v>1672</v>
      </c>
      <c r="B429" s="11">
        <v>44251.50327721065</v>
      </c>
      <c r="C429" s="10" t="s">
        <v>181</v>
      </c>
      <c r="D429" s="10" t="s">
        <v>69</v>
      </c>
      <c r="E429" s="10" t="s">
        <v>1340</v>
      </c>
      <c r="F429" s="10" t="s">
        <v>1673</v>
      </c>
      <c r="G429" s="10" t="s">
        <v>1674</v>
      </c>
      <c r="H429" s="24">
        <v>44274.4375</v>
      </c>
      <c r="I429" s="24">
        <v>44274.5</v>
      </c>
      <c r="J429" s="10" t="s">
        <v>43</v>
      </c>
      <c r="K429" s="10" t="s">
        <v>34</v>
      </c>
      <c r="N429" s="10" t="s">
        <v>296</v>
      </c>
      <c r="O429" s="18" t="s">
        <v>1675</v>
      </c>
      <c r="P429" s="10" t="s">
        <v>296</v>
      </c>
      <c r="Q429" s="10">
        <v>1.0</v>
      </c>
      <c r="R429" s="10" t="s">
        <v>35</v>
      </c>
      <c r="T429" s="10" t="s">
        <v>35</v>
      </c>
      <c r="V429" s="9"/>
      <c r="W429" s="13" t="s">
        <v>78</v>
      </c>
      <c r="X429" s="10" t="s">
        <v>37</v>
      </c>
      <c r="Y429" s="10" t="s">
        <v>0</v>
      </c>
    </row>
    <row r="430">
      <c r="A430" s="10" t="s">
        <v>1676</v>
      </c>
      <c r="B430" s="11">
        <v>44263.52699525463</v>
      </c>
      <c r="C430" s="10" t="s">
        <v>671</v>
      </c>
      <c r="D430" s="10" t="s">
        <v>672</v>
      </c>
      <c r="E430" s="10" t="s">
        <v>1495</v>
      </c>
      <c r="F430" s="10" t="s">
        <v>1677</v>
      </c>
      <c r="G430" s="10" t="s">
        <v>1678</v>
      </c>
      <c r="H430" s="24">
        <v>44274.60416666667</v>
      </c>
      <c r="I430" s="24">
        <v>44274.6875</v>
      </c>
      <c r="J430" s="10" t="s">
        <v>43</v>
      </c>
      <c r="K430" s="10" t="s">
        <v>34</v>
      </c>
      <c r="N430" s="10" t="s">
        <v>296</v>
      </c>
      <c r="O430" s="18" t="s">
        <v>1679</v>
      </c>
      <c r="P430" s="10" t="s">
        <v>35</v>
      </c>
      <c r="R430" s="10" t="s">
        <v>296</v>
      </c>
      <c r="S430" s="10">
        <v>1.0</v>
      </c>
      <c r="T430" s="10" t="s">
        <v>35</v>
      </c>
      <c r="V430" s="9"/>
      <c r="W430" s="13" t="s">
        <v>78</v>
      </c>
      <c r="X430" s="10" t="s">
        <v>37</v>
      </c>
      <c r="Y430" s="10" t="s">
        <v>0</v>
      </c>
    </row>
    <row r="431">
      <c r="A431" s="10" t="s">
        <v>1680</v>
      </c>
      <c r="B431" s="11">
        <v>44263.69328518519</v>
      </c>
      <c r="C431" s="10" t="s">
        <v>336</v>
      </c>
      <c r="D431" s="10" t="s">
        <v>337</v>
      </c>
      <c r="E431" s="10" t="s">
        <v>1681</v>
      </c>
      <c r="F431" s="10" t="s">
        <v>1682</v>
      </c>
      <c r="G431" s="10" t="s">
        <v>1683</v>
      </c>
      <c r="H431" s="17">
        <v>44275.66666666667</v>
      </c>
      <c r="I431" s="17">
        <v>44275.72916666667</v>
      </c>
      <c r="J431" s="10" t="s">
        <v>128</v>
      </c>
      <c r="K431" s="10" t="s">
        <v>34</v>
      </c>
      <c r="N431" s="10" t="s">
        <v>35</v>
      </c>
      <c r="V431" s="9"/>
      <c r="W431" s="13" t="s">
        <v>78</v>
      </c>
      <c r="X431" s="10" t="s">
        <v>37</v>
      </c>
      <c r="Y431" s="10" t="s">
        <v>0</v>
      </c>
    </row>
    <row r="432">
      <c r="A432" s="10" t="s">
        <v>1684</v>
      </c>
      <c r="B432" s="11">
        <v>44266.97609409722</v>
      </c>
      <c r="C432" s="10" t="s">
        <v>347</v>
      </c>
      <c r="D432" s="10" t="s">
        <v>348</v>
      </c>
      <c r="E432" s="10" t="s">
        <v>1685</v>
      </c>
      <c r="F432" s="10" t="s">
        <v>1686</v>
      </c>
      <c r="G432" s="10" t="s">
        <v>1687</v>
      </c>
      <c r="H432" s="17">
        <v>44275.6875</v>
      </c>
      <c r="I432" s="17">
        <v>44275.77083333333</v>
      </c>
      <c r="J432" s="10" t="s">
        <v>128</v>
      </c>
      <c r="K432" s="10" t="s">
        <v>34</v>
      </c>
      <c r="N432" s="10" t="s">
        <v>35</v>
      </c>
      <c r="V432" s="9"/>
      <c r="W432" s="13" t="s">
        <v>78</v>
      </c>
      <c r="X432" s="10" t="s">
        <v>37</v>
      </c>
      <c r="Y432" s="10" t="s">
        <v>0</v>
      </c>
    </row>
    <row r="433">
      <c r="A433" s="10" t="s">
        <v>1688</v>
      </c>
      <c r="B433" s="11">
        <v>44269.48383550926</v>
      </c>
      <c r="C433" s="10" t="s">
        <v>239</v>
      </c>
      <c r="D433" s="10" t="s">
        <v>240</v>
      </c>
      <c r="E433" s="10" t="s">
        <v>1153</v>
      </c>
      <c r="F433" s="10" t="s">
        <v>1689</v>
      </c>
      <c r="G433" s="10" t="s">
        <v>1690</v>
      </c>
      <c r="H433" s="17">
        <v>44275.6875</v>
      </c>
      <c r="I433" s="17">
        <v>44275.72916666667</v>
      </c>
      <c r="J433" s="10" t="s">
        <v>128</v>
      </c>
      <c r="K433" s="10" t="s">
        <v>34</v>
      </c>
      <c r="N433" s="10" t="s">
        <v>35</v>
      </c>
      <c r="V433" s="9"/>
      <c r="W433" s="13" t="s">
        <v>78</v>
      </c>
      <c r="X433" s="10" t="s">
        <v>37</v>
      </c>
      <c r="Y433" s="10" t="s">
        <v>0</v>
      </c>
    </row>
    <row r="434">
      <c r="A434" s="10" t="s">
        <v>1691</v>
      </c>
      <c r="B434" s="11">
        <v>44269.50731613426</v>
      </c>
      <c r="C434" s="10" t="s">
        <v>80</v>
      </c>
      <c r="D434" s="10" t="s">
        <v>81</v>
      </c>
      <c r="E434" s="10" t="s">
        <v>469</v>
      </c>
      <c r="F434" s="10" t="s">
        <v>1169</v>
      </c>
      <c r="G434" s="10" t="s">
        <v>1692</v>
      </c>
      <c r="H434" s="17">
        <v>44277.33333333333</v>
      </c>
      <c r="I434" s="17">
        <v>44277.375</v>
      </c>
      <c r="J434" s="10" t="s">
        <v>73</v>
      </c>
      <c r="K434" s="10" t="s">
        <v>34</v>
      </c>
      <c r="N434" s="10" t="s">
        <v>35</v>
      </c>
      <c r="V434" s="9"/>
      <c r="W434" s="13" t="s">
        <v>78</v>
      </c>
      <c r="X434" s="10" t="s">
        <v>37</v>
      </c>
      <c r="Y434" s="10" t="s">
        <v>0</v>
      </c>
    </row>
    <row r="435">
      <c r="A435" s="10" t="s">
        <v>1693</v>
      </c>
      <c r="B435" s="11">
        <v>44271.45259231482</v>
      </c>
      <c r="C435" s="10" t="s">
        <v>181</v>
      </c>
      <c r="D435" s="10" t="s">
        <v>69</v>
      </c>
      <c r="E435" s="10" t="s">
        <v>1694</v>
      </c>
      <c r="F435" s="10" t="s">
        <v>1695</v>
      </c>
      <c r="G435" s="10" t="s">
        <v>1696</v>
      </c>
      <c r="H435" s="17">
        <v>44277.375</v>
      </c>
      <c r="I435" s="17">
        <v>44290.95833333333</v>
      </c>
      <c r="J435" s="10" t="s">
        <v>73</v>
      </c>
      <c r="K435" s="10" t="s">
        <v>34</v>
      </c>
      <c r="N435" s="10" t="s">
        <v>35</v>
      </c>
      <c r="V435" s="9"/>
      <c r="W435" s="13" t="s">
        <v>78</v>
      </c>
      <c r="X435" s="10" t="s">
        <v>37</v>
      </c>
      <c r="Y435" s="10" t="s">
        <v>0</v>
      </c>
    </row>
    <row r="436">
      <c r="A436" s="10" t="s">
        <v>1697</v>
      </c>
      <c r="B436" s="11">
        <v>44271.453822951386</v>
      </c>
      <c r="C436" s="10" t="s">
        <v>181</v>
      </c>
      <c r="D436" s="10" t="s">
        <v>69</v>
      </c>
      <c r="E436" s="10" t="s">
        <v>860</v>
      </c>
      <c r="F436" s="10" t="s">
        <v>1698</v>
      </c>
      <c r="G436" s="10" t="s">
        <v>1699</v>
      </c>
      <c r="H436" s="17">
        <v>44277.375</v>
      </c>
      <c r="I436" s="17">
        <v>44277.95833333333</v>
      </c>
      <c r="J436" s="10" t="s">
        <v>73</v>
      </c>
      <c r="K436" s="10" t="s">
        <v>34</v>
      </c>
      <c r="N436" s="10" t="s">
        <v>35</v>
      </c>
      <c r="V436" s="9"/>
      <c r="W436" s="13" t="s">
        <v>78</v>
      </c>
      <c r="X436" s="10" t="s">
        <v>37</v>
      </c>
      <c r="Y436" s="10" t="s">
        <v>0</v>
      </c>
    </row>
    <row r="437">
      <c r="A437" s="10" t="s">
        <v>1700</v>
      </c>
      <c r="B437" s="11">
        <v>44276.55699923611</v>
      </c>
      <c r="C437" s="10" t="s">
        <v>181</v>
      </c>
      <c r="D437" s="10" t="s">
        <v>69</v>
      </c>
      <c r="E437" s="10" t="s">
        <v>1694</v>
      </c>
      <c r="F437" s="10" t="s">
        <v>1695</v>
      </c>
      <c r="G437" s="10" t="s">
        <v>1696</v>
      </c>
      <c r="H437" s="17">
        <v>44277.375</v>
      </c>
      <c r="I437" s="17">
        <v>44290.95833333333</v>
      </c>
      <c r="J437" s="10" t="s">
        <v>73</v>
      </c>
      <c r="K437" s="10" t="s">
        <v>34</v>
      </c>
      <c r="N437" s="10" t="s">
        <v>35</v>
      </c>
      <c r="V437" s="9"/>
      <c r="W437" s="13" t="s">
        <v>66</v>
      </c>
      <c r="X437" s="10" t="s">
        <v>37</v>
      </c>
      <c r="Y437" s="10" t="s">
        <v>0</v>
      </c>
    </row>
    <row r="438">
      <c r="A438" s="10" t="s">
        <v>1701</v>
      </c>
      <c r="B438" s="11">
        <v>44270.400754965274</v>
      </c>
      <c r="C438" s="10" t="s">
        <v>671</v>
      </c>
      <c r="D438" s="10" t="s">
        <v>672</v>
      </c>
      <c r="E438" s="10" t="s">
        <v>1702</v>
      </c>
      <c r="F438" s="10" t="s">
        <v>1703</v>
      </c>
      <c r="G438" s="10" t="s">
        <v>1704</v>
      </c>
      <c r="H438" s="17">
        <v>44277.45833333333</v>
      </c>
      <c r="I438" s="17">
        <v>44277.5</v>
      </c>
      <c r="J438" s="10" t="s">
        <v>73</v>
      </c>
      <c r="K438" s="10" t="s">
        <v>34</v>
      </c>
      <c r="N438" s="10" t="s">
        <v>35</v>
      </c>
      <c r="V438" s="9"/>
      <c r="W438" s="13" t="s">
        <v>78</v>
      </c>
      <c r="X438" s="10" t="s">
        <v>37</v>
      </c>
      <c r="Y438" s="10" t="s">
        <v>0</v>
      </c>
    </row>
    <row r="439">
      <c r="A439" s="10" t="s">
        <v>1705</v>
      </c>
      <c r="B439" s="11">
        <v>44277.59254719908</v>
      </c>
      <c r="C439" s="10" t="s">
        <v>516</v>
      </c>
      <c r="D439" s="10" t="s">
        <v>511</v>
      </c>
      <c r="E439" s="10" t="s">
        <v>1172</v>
      </c>
      <c r="F439" s="10" t="s">
        <v>1706</v>
      </c>
      <c r="G439" s="10" t="s">
        <v>1707</v>
      </c>
      <c r="H439" s="17">
        <v>44277.5</v>
      </c>
      <c r="I439" s="17">
        <v>44277.95833333333</v>
      </c>
      <c r="J439" s="10" t="s">
        <v>73</v>
      </c>
      <c r="K439" s="10" t="s">
        <v>34</v>
      </c>
      <c r="N439" s="10" t="s">
        <v>35</v>
      </c>
      <c r="V439" s="9"/>
      <c r="W439" s="13" t="s">
        <v>1669</v>
      </c>
      <c r="X439" s="10" t="s">
        <v>37</v>
      </c>
      <c r="Y439" s="10" t="s">
        <v>0</v>
      </c>
    </row>
    <row r="440">
      <c r="A440" s="10" t="s">
        <v>1708</v>
      </c>
      <c r="B440" s="11">
        <v>44270.44703814815</v>
      </c>
      <c r="C440" s="10" t="s">
        <v>374</v>
      </c>
      <c r="D440" s="10" t="s">
        <v>375</v>
      </c>
      <c r="E440" s="10" t="s">
        <v>1552</v>
      </c>
      <c r="F440" s="10" t="s">
        <v>1709</v>
      </c>
      <c r="G440" s="10" t="s">
        <v>1710</v>
      </c>
      <c r="H440" s="17">
        <v>44277.52083333333</v>
      </c>
      <c r="I440" s="17">
        <v>44280.52083333333</v>
      </c>
      <c r="J440" s="10" t="s">
        <v>51</v>
      </c>
      <c r="K440" s="10" t="s">
        <v>34</v>
      </c>
      <c r="N440" s="10" t="s">
        <v>35</v>
      </c>
      <c r="V440" s="9"/>
      <c r="W440" s="13" t="s">
        <v>78</v>
      </c>
      <c r="X440" s="10" t="s">
        <v>37</v>
      </c>
      <c r="Y440" s="10" t="s">
        <v>0</v>
      </c>
    </row>
    <row r="441">
      <c r="A441" s="10" t="s">
        <v>1711</v>
      </c>
      <c r="B441" s="11">
        <v>44261.53626479166</v>
      </c>
      <c r="C441" s="10" t="s">
        <v>209</v>
      </c>
      <c r="D441" s="10" t="s">
        <v>210</v>
      </c>
      <c r="E441" s="10" t="s">
        <v>261</v>
      </c>
      <c r="F441" s="10" t="s">
        <v>1712</v>
      </c>
      <c r="G441" s="10" t="s">
        <v>1713</v>
      </c>
      <c r="H441" s="17">
        <v>44277.5625</v>
      </c>
      <c r="I441" s="17">
        <v>44277.60416666667</v>
      </c>
      <c r="J441" s="10" t="s">
        <v>33</v>
      </c>
      <c r="K441" s="10" t="s">
        <v>34</v>
      </c>
      <c r="N441" s="10" t="s">
        <v>35</v>
      </c>
      <c r="V441" s="9"/>
      <c r="W441" s="13" t="s">
        <v>78</v>
      </c>
      <c r="X441" s="10" t="s">
        <v>37</v>
      </c>
      <c r="Y441" s="10" t="s">
        <v>0</v>
      </c>
    </row>
    <row r="442">
      <c r="A442" s="10" t="s">
        <v>1714</v>
      </c>
      <c r="B442" s="11">
        <v>44274.79393768519</v>
      </c>
      <c r="C442" s="10" t="s">
        <v>539</v>
      </c>
      <c r="D442" s="10" t="s">
        <v>540</v>
      </c>
      <c r="E442" s="10" t="s">
        <v>1715</v>
      </c>
      <c r="F442" s="10" t="s">
        <v>1716</v>
      </c>
      <c r="G442" s="10" t="s">
        <v>1717</v>
      </c>
      <c r="H442" s="17">
        <v>44277.72916666667</v>
      </c>
      <c r="I442" s="17">
        <v>44277.77083333333</v>
      </c>
      <c r="J442" s="10" t="s">
        <v>73</v>
      </c>
      <c r="K442" s="10" t="s">
        <v>34</v>
      </c>
      <c r="N442" s="10" t="s">
        <v>35</v>
      </c>
      <c r="V442" s="9"/>
      <c r="W442" s="13" t="s">
        <v>66</v>
      </c>
      <c r="X442" s="10" t="s">
        <v>37</v>
      </c>
      <c r="Y442" s="10" t="s">
        <v>0</v>
      </c>
    </row>
    <row r="443">
      <c r="A443" s="10" t="s">
        <v>1718</v>
      </c>
      <c r="B443" s="11">
        <v>44274.68797204861</v>
      </c>
      <c r="C443" s="10" t="s">
        <v>539</v>
      </c>
      <c r="D443" s="10" t="s">
        <v>540</v>
      </c>
      <c r="E443" s="10" t="s">
        <v>541</v>
      </c>
      <c r="F443" s="10" t="s">
        <v>1719</v>
      </c>
      <c r="G443" s="10" t="s">
        <v>1720</v>
      </c>
      <c r="H443" s="17">
        <v>44277.77083333333</v>
      </c>
      <c r="I443" s="17">
        <v>44277.8125</v>
      </c>
      <c r="J443" s="10" t="s">
        <v>128</v>
      </c>
      <c r="K443" s="10" t="s">
        <v>34</v>
      </c>
      <c r="N443" s="10" t="s">
        <v>35</v>
      </c>
      <c r="V443" s="9"/>
      <c r="W443" s="13" t="s">
        <v>78</v>
      </c>
      <c r="X443" s="10" t="s">
        <v>37</v>
      </c>
      <c r="Y443" s="10" t="s">
        <v>0</v>
      </c>
    </row>
    <row r="444">
      <c r="A444" s="10" t="s">
        <v>1721</v>
      </c>
      <c r="B444" s="11">
        <v>44265.60897342593</v>
      </c>
      <c r="C444" s="10" t="s">
        <v>671</v>
      </c>
      <c r="D444" s="10" t="s">
        <v>672</v>
      </c>
      <c r="E444" s="10" t="s">
        <v>1722</v>
      </c>
      <c r="F444" s="10" t="s">
        <v>1723</v>
      </c>
      <c r="G444" s="10" t="s">
        <v>1724</v>
      </c>
      <c r="H444" s="17">
        <v>44278.45833333333</v>
      </c>
      <c r="I444" s="17">
        <v>44278.5</v>
      </c>
      <c r="J444" s="10" t="s">
        <v>128</v>
      </c>
      <c r="K444" s="10" t="s">
        <v>34</v>
      </c>
      <c r="N444" s="10" t="s">
        <v>35</v>
      </c>
      <c r="V444" s="9"/>
      <c r="W444" s="13" t="s">
        <v>78</v>
      </c>
      <c r="X444" s="10" t="s">
        <v>37</v>
      </c>
      <c r="Y444" s="10" t="s">
        <v>0</v>
      </c>
    </row>
    <row r="445">
      <c r="A445" s="10" t="s">
        <v>1725</v>
      </c>
      <c r="B445" s="11">
        <v>44278.505000868056</v>
      </c>
      <c r="C445" s="10" t="s">
        <v>491</v>
      </c>
      <c r="D445" s="10" t="s">
        <v>492</v>
      </c>
      <c r="E445" s="10" t="s">
        <v>853</v>
      </c>
      <c r="F445" s="10" t="s">
        <v>1726</v>
      </c>
      <c r="G445" s="10" t="s">
        <v>1727</v>
      </c>
      <c r="H445" s="17">
        <v>44278.45833333333</v>
      </c>
      <c r="I445" s="17">
        <v>44278.45833333333</v>
      </c>
      <c r="J445" s="10" t="s">
        <v>73</v>
      </c>
      <c r="K445" s="10" t="s">
        <v>34</v>
      </c>
      <c r="N445" s="10" t="s">
        <v>35</v>
      </c>
      <c r="V445" s="9"/>
      <c r="W445" s="13" t="s">
        <v>78</v>
      </c>
      <c r="X445" s="10" t="s">
        <v>37</v>
      </c>
      <c r="Y445" s="10" t="s">
        <v>0</v>
      </c>
    </row>
    <row r="446">
      <c r="A446" s="10" t="s">
        <v>1728</v>
      </c>
      <c r="B446" s="11">
        <v>44273.50231188658</v>
      </c>
      <c r="C446" s="10" t="s">
        <v>80</v>
      </c>
      <c r="D446" s="10" t="s">
        <v>81</v>
      </c>
      <c r="E446" s="10" t="s">
        <v>1729</v>
      </c>
      <c r="F446" s="10" t="s">
        <v>1730</v>
      </c>
      <c r="G446" s="10" t="s">
        <v>1731</v>
      </c>
      <c r="H446" s="17">
        <v>44279.33333333333</v>
      </c>
      <c r="I446" s="17">
        <v>44279.375</v>
      </c>
      <c r="J446" s="10" t="s">
        <v>73</v>
      </c>
      <c r="K446" s="10" t="s">
        <v>34</v>
      </c>
      <c r="N446" s="10" t="s">
        <v>35</v>
      </c>
      <c r="V446" s="9"/>
      <c r="W446" s="13" t="s">
        <v>78</v>
      </c>
      <c r="X446" s="10" t="s">
        <v>37</v>
      </c>
      <c r="Y446" s="10" t="s">
        <v>0</v>
      </c>
    </row>
    <row r="447">
      <c r="A447" s="10" t="s">
        <v>1732</v>
      </c>
      <c r="B447" s="11">
        <v>44273.43854265046</v>
      </c>
      <c r="C447" s="10" t="s">
        <v>181</v>
      </c>
      <c r="D447" s="10" t="s">
        <v>69</v>
      </c>
      <c r="E447" s="10" t="s">
        <v>1733</v>
      </c>
      <c r="F447" s="10" t="s">
        <v>1734</v>
      </c>
      <c r="G447" s="10" t="s">
        <v>1735</v>
      </c>
      <c r="H447" s="17">
        <v>44279.375</v>
      </c>
      <c r="I447" s="17">
        <v>44279.95833333333</v>
      </c>
      <c r="J447" s="10" t="s">
        <v>73</v>
      </c>
      <c r="K447" s="10" t="s">
        <v>34</v>
      </c>
      <c r="N447" s="10" t="s">
        <v>35</v>
      </c>
      <c r="V447" s="9"/>
      <c r="W447" s="13" t="s">
        <v>78</v>
      </c>
      <c r="X447" s="10" t="s">
        <v>37</v>
      </c>
      <c r="Y447" s="10" t="s">
        <v>0</v>
      </c>
    </row>
    <row r="448">
      <c r="A448" s="10" t="s">
        <v>1736</v>
      </c>
      <c r="B448" s="11">
        <v>44274.58128090278</v>
      </c>
      <c r="C448" s="10" t="s">
        <v>610</v>
      </c>
      <c r="D448" s="10" t="s">
        <v>611</v>
      </c>
      <c r="E448" s="10" t="s">
        <v>612</v>
      </c>
      <c r="F448" s="10" t="s">
        <v>1737</v>
      </c>
      <c r="G448" s="10" t="s">
        <v>1738</v>
      </c>
      <c r="H448" s="17">
        <v>44279.41666666667</v>
      </c>
      <c r="I448" s="17">
        <v>44281.72916666667</v>
      </c>
      <c r="J448" s="10" t="s">
        <v>128</v>
      </c>
      <c r="K448" s="10" t="s">
        <v>34</v>
      </c>
      <c r="N448" s="10" t="s">
        <v>35</v>
      </c>
      <c r="V448" s="9"/>
      <c r="W448" s="13" t="s">
        <v>78</v>
      </c>
      <c r="X448" s="10" t="s">
        <v>37</v>
      </c>
      <c r="Y448" s="10" t="s">
        <v>0</v>
      </c>
    </row>
    <row r="449">
      <c r="A449" s="10" t="s">
        <v>1739</v>
      </c>
      <c r="B449" s="11">
        <v>44280.648633715275</v>
      </c>
      <c r="C449" s="10" t="s">
        <v>1740</v>
      </c>
      <c r="D449" s="10" t="s">
        <v>419</v>
      </c>
      <c r="E449" s="10" t="s">
        <v>1741</v>
      </c>
      <c r="F449" s="10" t="s">
        <v>1742</v>
      </c>
      <c r="G449" s="10" t="s">
        <v>1743</v>
      </c>
      <c r="H449" s="17">
        <v>44280.14583333333</v>
      </c>
      <c r="I449" s="17">
        <v>44280.1875</v>
      </c>
      <c r="J449" s="10" t="s">
        <v>128</v>
      </c>
      <c r="K449" s="10" t="s">
        <v>34</v>
      </c>
      <c r="N449" s="10" t="s">
        <v>35</v>
      </c>
      <c r="V449" s="9"/>
      <c r="W449" s="13" t="s">
        <v>78</v>
      </c>
      <c r="X449" s="10" t="s">
        <v>37</v>
      </c>
      <c r="Y449" s="10" t="s">
        <v>0</v>
      </c>
    </row>
    <row r="450">
      <c r="A450" s="10" t="s">
        <v>1744</v>
      </c>
      <c r="B450" s="11">
        <v>44273.58722048611</v>
      </c>
      <c r="C450" s="10" t="s">
        <v>491</v>
      </c>
      <c r="D450" s="10" t="s">
        <v>492</v>
      </c>
      <c r="E450" s="10" t="s">
        <v>1745</v>
      </c>
      <c r="F450" s="10" t="s">
        <v>1746</v>
      </c>
      <c r="G450" s="10" t="s">
        <v>1747</v>
      </c>
      <c r="H450" s="17">
        <v>44280.29166666667</v>
      </c>
      <c r="I450" s="17">
        <v>44280.34375</v>
      </c>
      <c r="J450" s="10" t="s">
        <v>128</v>
      </c>
      <c r="K450" s="10" t="s">
        <v>34</v>
      </c>
      <c r="N450" s="10" t="s">
        <v>35</v>
      </c>
      <c r="V450" s="9"/>
      <c r="W450" s="13" t="s">
        <v>78</v>
      </c>
      <c r="X450" s="10" t="s">
        <v>37</v>
      </c>
      <c r="Y450" s="10" t="s">
        <v>0</v>
      </c>
    </row>
    <row r="451">
      <c r="A451" s="10" t="s">
        <v>1748</v>
      </c>
      <c r="B451" s="11">
        <v>44365.74474484954</v>
      </c>
      <c r="C451" s="10" t="s">
        <v>102</v>
      </c>
      <c r="D451" s="10" t="s">
        <v>103</v>
      </c>
      <c r="E451" s="10" t="s">
        <v>1749</v>
      </c>
      <c r="F451" s="10" t="s">
        <v>1750</v>
      </c>
      <c r="G451" s="10" t="s">
        <v>1751</v>
      </c>
      <c r="H451" s="16">
        <v>44274.60416666667</v>
      </c>
      <c r="I451" s="16">
        <v>44274.6875</v>
      </c>
      <c r="J451" s="10" t="s">
        <v>43</v>
      </c>
      <c r="K451" s="10" t="s">
        <v>34</v>
      </c>
      <c r="N451" s="10" t="s">
        <v>296</v>
      </c>
      <c r="O451" s="18" t="s">
        <v>1752</v>
      </c>
      <c r="P451" s="10" t="s">
        <v>35</v>
      </c>
      <c r="R451" s="10" t="s">
        <v>296</v>
      </c>
      <c r="S451" s="10">
        <v>1.0</v>
      </c>
      <c r="T451" s="10" t="s">
        <v>35</v>
      </c>
      <c r="V451" s="9"/>
      <c r="W451" s="13" t="s">
        <v>78</v>
      </c>
      <c r="X451" s="10" t="s">
        <v>37</v>
      </c>
      <c r="Y451" s="10" t="s">
        <v>0</v>
      </c>
    </row>
    <row r="452">
      <c r="A452" s="10" t="s">
        <v>1753</v>
      </c>
      <c r="B452" s="11">
        <v>44267.77111716435</v>
      </c>
      <c r="C452" s="10" t="s">
        <v>330</v>
      </c>
      <c r="D452" s="10" t="s">
        <v>331</v>
      </c>
      <c r="E452" s="10" t="s">
        <v>1754</v>
      </c>
      <c r="F452" s="10" t="s">
        <v>1755</v>
      </c>
      <c r="G452" s="10" t="s">
        <v>1756</v>
      </c>
      <c r="H452" s="24">
        <v>44274.64583333333</v>
      </c>
      <c r="I452" s="24">
        <v>44274.75</v>
      </c>
      <c r="J452" s="10" t="s">
        <v>43</v>
      </c>
      <c r="K452" s="10" t="s">
        <v>34</v>
      </c>
      <c r="N452" s="10" t="s">
        <v>35</v>
      </c>
      <c r="V452" s="9"/>
      <c r="W452" s="13" t="s">
        <v>78</v>
      </c>
      <c r="X452" s="10" t="s">
        <v>37</v>
      </c>
      <c r="Y452" s="10" t="s">
        <v>0</v>
      </c>
    </row>
    <row r="453">
      <c r="A453" s="10" t="s">
        <v>1757</v>
      </c>
      <c r="B453" s="11">
        <v>44278.438051261575</v>
      </c>
      <c r="C453" s="10" t="s">
        <v>160</v>
      </c>
      <c r="D453" s="10" t="s">
        <v>161</v>
      </c>
      <c r="E453" s="10" t="s">
        <v>947</v>
      </c>
      <c r="F453" s="10" t="s">
        <v>1758</v>
      </c>
      <c r="G453" s="10" t="s">
        <v>1759</v>
      </c>
      <c r="H453" s="17">
        <v>44280.77083333333</v>
      </c>
      <c r="I453" s="17">
        <v>44280.85416666667</v>
      </c>
      <c r="J453" s="10" t="s">
        <v>128</v>
      </c>
      <c r="K453" s="10" t="s">
        <v>34</v>
      </c>
      <c r="N453" s="10" t="s">
        <v>35</v>
      </c>
      <c r="V453" s="9"/>
      <c r="W453" s="13" t="s">
        <v>78</v>
      </c>
      <c r="X453" s="10" t="s">
        <v>37</v>
      </c>
      <c r="Y453" s="10" t="s">
        <v>0</v>
      </c>
    </row>
    <row r="454">
      <c r="A454" s="10" t="s">
        <v>1760</v>
      </c>
      <c r="B454" s="11">
        <v>44270.83631712963</v>
      </c>
      <c r="C454" s="10" t="s">
        <v>160</v>
      </c>
      <c r="D454" s="10" t="s">
        <v>161</v>
      </c>
      <c r="E454" s="10" t="s">
        <v>1761</v>
      </c>
      <c r="F454" s="10" t="s">
        <v>1762</v>
      </c>
      <c r="G454" s="10" t="s">
        <v>1763</v>
      </c>
      <c r="H454" s="24">
        <v>44274.64583333333</v>
      </c>
      <c r="I454" s="24">
        <v>44274.77083333333</v>
      </c>
      <c r="J454" s="10" t="s">
        <v>43</v>
      </c>
      <c r="K454" s="10" t="s">
        <v>34</v>
      </c>
      <c r="N454" s="10" t="s">
        <v>35</v>
      </c>
      <c r="V454" s="9"/>
      <c r="W454" s="13" t="s">
        <v>78</v>
      </c>
      <c r="X454" s="10" t="s">
        <v>37</v>
      </c>
      <c r="Y454" s="10" t="s">
        <v>0</v>
      </c>
    </row>
    <row r="455">
      <c r="A455" s="10" t="s">
        <v>1764</v>
      </c>
      <c r="B455" s="11">
        <v>44272.44237738426</v>
      </c>
      <c r="C455" s="10" t="s">
        <v>694</v>
      </c>
      <c r="D455" s="10" t="s">
        <v>695</v>
      </c>
      <c r="E455" s="10" t="s">
        <v>696</v>
      </c>
      <c r="F455" s="10" t="s">
        <v>1765</v>
      </c>
      <c r="G455" s="10" t="s">
        <v>1766</v>
      </c>
      <c r="H455" s="17">
        <v>44281.39583333333</v>
      </c>
      <c r="I455" s="17">
        <v>44281.39583333333</v>
      </c>
      <c r="J455" s="10" t="s">
        <v>128</v>
      </c>
      <c r="K455" s="10" t="s">
        <v>34</v>
      </c>
      <c r="N455" s="10" t="s">
        <v>35</v>
      </c>
      <c r="V455" s="9"/>
      <c r="W455" s="13" t="s">
        <v>78</v>
      </c>
      <c r="X455" s="10" t="s">
        <v>37</v>
      </c>
      <c r="Y455" s="10" t="s">
        <v>0</v>
      </c>
    </row>
    <row r="456">
      <c r="A456" s="10" t="s">
        <v>1767</v>
      </c>
      <c r="B456" s="11">
        <v>44366.05370414352</v>
      </c>
      <c r="C456" s="10" t="s">
        <v>102</v>
      </c>
      <c r="D456" s="10" t="s">
        <v>103</v>
      </c>
      <c r="E456" s="10" t="s">
        <v>1768</v>
      </c>
      <c r="F456" s="10" t="s">
        <v>1769</v>
      </c>
      <c r="G456" s="10" t="s">
        <v>1770</v>
      </c>
      <c r="H456" s="16">
        <v>44275.41666666667</v>
      </c>
      <c r="I456" s="16">
        <v>44275.5</v>
      </c>
      <c r="J456" s="10" t="s">
        <v>43</v>
      </c>
      <c r="K456" s="10" t="s">
        <v>34</v>
      </c>
      <c r="N456" s="10" t="s">
        <v>296</v>
      </c>
      <c r="O456" s="18" t="s">
        <v>1771</v>
      </c>
      <c r="P456" s="10" t="s">
        <v>35</v>
      </c>
      <c r="R456" s="10" t="s">
        <v>296</v>
      </c>
      <c r="S456" s="10">
        <v>3.0</v>
      </c>
      <c r="T456" s="10" t="s">
        <v>35</v>
      </c>
      <c r="V456" s="9"/>
      <c r="W456" s="13" t="s">
        <v>78</v>
      </c>
      <c r="X456" s="10" t="s">
        <v>37</v>
      </c>
      <c r="Y456" s="10" t="s">
        <v>0</v>
      </c>
    </row>
    <row r="457">
      <c r="A457" s="10" t="s">
        <v>1772</v>
      </c>
      <c r="B457" s="11">
        <v>44282.60585842593</v>
      </c>
      <c r="C457" s="10" t="s">
        <v>491</v>
      </c>
      <c r="D457" s="10" t="s">
        <v>492</v>
      </c>
      <c r="E457" s="10" t="s">
        <v>853</v>
      </c>
      <c r="F457" s="10" t="s">
        <v>1773</v>
      </c>
      <c r="G457" s="10" t="s">
        <v>1774</v>
      </c>
      <c r="H457" s="17">
        <v>44281.5</v>
      </c>
      <c r="I457" s="17">
        <v>44281.5</v>
      </c>
      <c r="J457" s="10" t="s">
        <v>73</v>
      </c>
      <c r="K457" s="10" t="s">
        <v>34</v>
      </c>
      <c r="N457" s="10" t="s">
        <v>35</v>
      </c>
      <c r="V457" s="9"/>
      <c r="W457" s="13" t="s">
        <v>78</v>
      </c>
      <c r="X457" s="10" t="s">
        <v>37</v>
      </c>
      <c r="Y457" s="10" t="s">
        <v>0</v>
      </c>
    </row>
    <row r="458">
      <c r="A458" s="10" t="s">
        <v>1775</v>
      </c>
      <c r="B458" s="11">
        <v>44267.5404690625</v>
      </c>
      <c r="C458" s="10" t="s">
        <v>694</v>
      </c>
      <c r="D458" s="10" t="s">
        <v>695</v>
      </c>
      <c r="E458" s="10" t="s">
        <v>696</v>
      </c>
      <c r="F458" s="10" t="s">
        <v>697</v>
      </c>
      <c r="G458" s="10" t="s">
        <v>698</v>
      </c>
      <c r="H458" s="17">
        <v>44281.52083333333</v>
      </c>
      <c r="I458" s="17">
        <v>44281.5625</v>
      </c>
      <c r="J458" s="10" t="s">
        <v>128</v>
      </c>
      <c r="K458" s="10" t="s">
        <v>34</v>
      </c>
      <c r="N458" s="10" t="s">
        <v>35</v>
      </c>
      <c r="V458" s="9"/>
      <c r="W458" s="13" t="s">
        <v>78</v>
      </c>
      <c r="X458" s="10" t="s">
        <v>37</v>
      </c>
      <c r="Y458" s="10" t="s">
        <v>0</v>
      </c>
    </row>
    <row r="459">
      <c r="A459" s="10" t="s">
        <v>1776</v>
      </c>
      <c r="B459" s="11">
        <v>44274.57502233796</v>
      </c>
      <c r="C459" s="10" t="s">
        <v>671</v>
      </c>
      <c r="D459" s="10" t="s">
        <v>672</v>
      </c>
      <c r="E459" s="10" t="s">
        <v>1777</v>
      </c>
      <c r="F459" s="10" t="s">
        <v>1778</v>
      </c>
      <c r="G459" s="10" t="s">
        <v>1618</v>
      </c>
      <c r="H459" s="17">
        <v>44281.5625</v>
      </c>
      <c r="I459" s="17">
        <v>44281.60416666667</v>
      </c>
      <c r="J459" s="10" t="s">
        <v>128</v>
      </c>
      <c r="K459" s="10" t="s">
        <v>34</v>
      </c>
      <c r="N459" s="10" t="s">
        <v>35</v>
      </c>
      <c r="V459" s="9"/>
      <c r="W459" s="13" t="s">
        <v>78</v>
      </c>
      <c r="X459" s="10" t="s">
        <v>37</v>
      </c>
      <c r="Y459" s="10" t="s">
        <v>0</v>
      </c>
    </row>
    <row r="460">
      <c r="A460" s="10" t="s">
        <v>1779</v>
      </c>
      <c r="B460" s="11">
        <v>44277.57667643519</v>
      </c>
      <c r="C460" s="10" t="s">
        <v>374</v>
      </c>
      <c r="D460" s="10" t="s">
        <v>375</v>
      </c>
      <c r="E460" s="10" t="s">
        <v>1552</v>
      </c>
      <c r="F460" s="10" t="s">
        <v>1780</v>
      </c>
      <c r="G460" s="10" t="s">
        <v>1781</v>
      </c>
      <c r="H460" s="17">
        <v>44281.5625</v>
      </c>
      <c r="I460" s="17">
        <v>44281.60416666667</v>
      </c>
      <c r="J460" s="10" t="s">
        <v>33</v>
      </c>
      <c r="K460" s="10" t="s">
        <v>34</v>
      </c>
      <c r="N460" s="10" t="s">
        <v>35</v>
      </c>
      <c r="V460" s="9"/>
      <c r="W460" s="13" t="s">
        <v>78</v>
      </c>
      <c r="X460" s="10" t="s">
        <v>37</v>
      </c>
      <c r="Y460" s="10" t="s">
        <v>0</v>
      </c>
    </row>
    <row r="461">
      <c r="A461" s="10" t="s">
        <v>1782</v>
      </c>
      <c r="B461" s="11">
        <v>44256.48957799769</v>
      </c>
      <c r="C461" s="10" t="s">
        <v>137</v>
      </c>
      <c r="D461" s="10" t="s">
        <v>138</v>
      </c>
      <c r="E461" s="10" t="s">
        <v>1376</v>
      </c>
      <c r="F461" s="10" t="s">
        <v>482</v>
      </c>
      <c r="G461" s="10" t="s">
        <v>1783</v>
      </c>
      <c r="H461" s="17">
        <v>44281.58333333333</v>
      </c>
      <c r="I461" s="17">
        <v>44281.66666666667</v>
      </c>
      <c r="J461" s="10" t="s">
        <v>128</v>
      </c>
      <c r="K461" s="10" t="s">
        <v>34</v>
      </c>
      <c r="N461" s="10" t="s">
        <v>35</v>
      </c>
      <c r="V461" s="9"/>
      <c r="W461" s="13" t="s">
        <v>78</v>
      </c>
      <c r="X461" s="10" t="s">
        <v>37</v>
      </c>
      <c r="Y461" s="10" t="s">
        <v>0</v>
      </c>
    </row>
    <row r="462">
      <c r="A462" s="10" t="s">
        <v>1784</v>
      </c>
      <c r="B462" s="11">
        <v>44274.94553415509</v>
      </c>
      <c r="C462" s="10" t="s">
        <v>167</v>
      </c>
      <c r="D462" s="10" t="s">
        <v>168</v>
      </c>
      <c r="E462" s="10" t="s">
        <v>943</v>
      </c>
      <c r="F462" s="10" t="s">
        <v>1785</v>
      </c>
      <c r="G462" s="10" t="s">
        <v>1786</v>
      </c>
      <c r="H462" s="17">
        <v>44281.58333333333</v>
      </c>
      <c r="I462" s="17">
        <v>44281.625</v>
      </c>
      <c r="J462" s="10" t="s">
        <v>73</v>
      </c>
      <c r="K462" s="10" t="s">
        <v>34</v>
      </c>
      <c r="N462" s="10" t="s">
        <v>35</v>
      </c>
      <c r="V462" s="9"/>
      <c r="W462" s="13" t="s">
        <v>78</v>
      </c>
      <c r="X462" s="10" t="s">
        <v>37</v>
      </c>
      <c r="Y462" s="10" t="s">
        <v>0</v>
      </c>
    </row>
    <row r="463">
      <c r="A463" s="10" t="s">
        <v>1787</v>
      </c>
      <c r="B463" s="11">
        <v>44266.7256896412</v>
      </c>
      <c r="C463" s="10" t="s">
        <v>96</v>
      </c>
      <c r="D463" s="10" t="s">
        <v>97</v>
      </c>
      <c r="E463" s="10" t="s">
        <v>1788</v>
      </c>
      <c r="F463" s="10" t="s">
        <v>1789</v>
      </c>
      <c r="G463" s="10" t="s">
        <v>1790</v>
      </c>
      <c r="H463" s="24">
        <v>44275.60416666667</v>
      </c>
      <c r="I463" s="24">
        <v>44275.66666666667</v>
      </c>
      <c r="J463" s="10" t="s">
        <v>43</v>
      </c>
      <c r="K463" s="10" t="s">
        <v>34</v>
      </c>
      <c r="N463" s="10" t="s">
        <v>296</v>
      </c>
      <c r="O463" s="18" t="s">
        <v>1791</v>
      </c>
      <c r="P463" s="10" t="s">
        <v>296</v>
      </c>
      <c r="Q463" s="10">
        <v>2.0</v>
      </c>
      <c r="R463" s="10" t="s">
        <v>35</v>
      </c>
      <c r="T463" s="10" t="s">
        <v>35</v>
      </c>
      <c r="V463" s="9"/>
      <c r="W463" s="13" t="s">
        <v>78</v>
      </c>
      <c r="X463" s="10" t="s">
        <v>37</v>
      </c>
      <c r="Y463" s="10" t="s">
        <v>0</v>
      </c>
    </row>
    <row r="464">
      <c r="A464" s="10" t="s">
        <v>1792</v>
      </c>
      <c r="B464" s="11">
        <v>44267.46709497685</v>
      </c>
      <c r="C464" s="10" t="s">
        <v>671</v>
      </c>
      <c r="D464" s="10" t="s">
        <v>672</v>
      </c>
      <c r="E464" s="10" t="s">
        <v>1115</v>
      </c>
      <c r="F464" s="10" t="s">
        <v>1793</v>
      </c>
      <c r="G464" s="10" t="s">
        <v>1794</v>
      </c>
      <c r="H464" s="24">
        <v>44275.60416666667</v>
      </c>
      <c r="I464" s="24">
        <v>44275.6875</v>
      </c>
      <c r="J464" s="10" t="s">
        <v>43</v>
      </c>
      <c r="K464" s="10" t="s">
        <v>34</v>
      </c>
      <c r="N464" s="10" t="s">
        <v>296</v>
      </c>
      <c r="O464" s="18" t="s">
        <v>1795</v>
      </c>
      <c r="P464" s="10" t="s">
        <v>35</v>
      </c>
      <c r="R464" s="10" t="s">
        <v>296</v>
      </c>
      <c r="S464" s="10">
        <v>1.0</v>
      </c>
      <c r="T464" s="10" t="s">
        <v>35</v>
      </c>
      <c r="V464" s="9"/>
      <c r="W464" s="13" t="s">
        <v>78</v>
      </c>
      <c r="X464" s="10" t="s">
        <v>37</v>
      </c>
      <c r="Y464" s="10" t="s">
        <v>0</v>
      </c>
    </row>
    <row r="465">
      <c r="A465" s="10" t="s">
        <v>1796</v>
      </c>
      <c r="B465" s="11">
        <v>44281.648383761574</v>
      </c>
      <c r="C465" s="10" t="s">
        <v>239</v>
      </c>
      <c r="D465" s="10" t="s">
        <v>240</v>
      </c>
      <c r="E465" s="10" t="s">
        <v>1797</v>
      </c>
      <c r="F465" s="10" t="s">
        <v>1798</v>
      </c>
      <c r="G465" s="10" t="s">
        <v>1799</v>
      </c>
      <c r="H465" s="17">
        <v>44281.64583333333</v>
      </c>
      <c r="I465" s="17">
        <v>44281.6875</v>
      </c>
      <c r="J465" s="10" t="s">
        <v>128</v>
      </c>
      <c r="K465" s="10" t="s">
        <v>34</v>
      </c>
      <c r="N465" s="10" t="s">
        <v>35</v>
      </c>
      <c r="V465" s="9"/>
      <c r="W465" s="13" t="s">
        <v>78</v>
      </c>
      <c r="X465" s="10" t="s">
        <v>37</v>
      </c>
      <c r="Y465" s="10" t="s">
        <v>0</v>
      </c>
    </row>
    <row r="466">
      <c r="A466" s="10" t="s">
        <v>1800</v>
      </c>
      <c r="B466" s="11">
        <v>44274.87171096065</v>
      </c>
      <c r="C466" s="10" t="s">
        <v>381</v>
      </c>
      <c r="D466" s="10" t="s">
        <v>382</v>
      </c>
      <c r="E466" s="10" t="s">
        <v>935</v>
      </c>
      <c r="F466" s="10" t="s">
        <v>1801</v>
      </c>
      <c r="G466" s="10" t="s">
        <v>1802</v>
      </c>
      <c r="H466" s="17">
        <v>44281.66666666667</v>
      </c>
      <c r="I466" s="17">
        <v>44280.70833333333</v>
      </c>
      <c r="J466" s="10" t="s">
        <v>128</v>
      </c>
      <c r="K466" s="10" t="s">
        <v>34</v>
      </c>
      <c r="N466" s="10" t="s">
        <v>35</v>
      </c>
      <c r="V466" s="9"/>
      <c r="W466" s="13" t="s">
        <v>78</v>
      </c>
      <c r="X466" s="10" t="s">
        <v>37</v>
      </c>
      <c r="Y466" s="10" t="s">
        <v>0</v>
      </c>
    </row>
    <row r="467">
      <c r="A467" s="10" t="s">
        <v>1803</v>
      </c>
      <c r="B467" s="11">
        <v>44274.699017465275</v>
      </c>
      <c r="C467" s="10" t="s">
        <v>539</v>
      </c>
      <c r="D467" s="10" t="s">
        <v>540</v>
      </c>
      <c r="E467" s="10" t="s">
        <v>541</v>
      </c>
      <c r="F467" s="10" t="s">
        <v>1719</v>
      </c>
      <c r="G467" s="10" t="s">
        <v>1804</v>
      </c>
      <c r="H467" s="17">
        <v>44281.6875</v>
      </c>
      <c r="I467" s="17">
        <v>44281.72916666667</v>
      </c>
      <c r="J467" s="10" t="s">
        <v>128</v>
      </c>
      <c r="K467" s="10" t="s">
        <v>34</v>
      </c>
      <c r="N467" s="10" t="s">
        <v>35</v>
      </c>
      <c r="V467" s="9"/>
      <c r="W467" s="13" t="s">
        <v>78</v>
      </c>
      <c r="X467" s="10" t="s">
        <v>37</v>
      </c>
      <c r="Y467" s="10" t="s">
        <v>0</v>
      </c>
    </row>
    <row r="468">
      <c r="A468" s="10" t="s">
        <v>1805</v>
      </c>
      <c r="B468" s="11">
        <v>44274.79546565972</v>
      </c>
      <c r="C468" s="10" t="s">
        <v>539</v>
      </c>
      <c r="D468" s="10" t="s">
        <v>540</v>
      </c>
      <c r="E468" s="10" t="s">
        <v>1715</v>
      </c>
      <c r="F468" s="10" t="s">
        <v>1806</v>
      </c>
      <c r="G468" s="10" t="s">
        <v>83</v>
      </c>
      <c r="H468" s="17">
        <v>44281.72916666667</v>
      </c>
      <c r="I468" s="17">
        <v>44281.77083333333</v>
      </c>
      <c r="J468" s="10" t="s">
        <v>73</v>
      </c>
      <c r="K468" s="10" t="s">
        <v>34</v>
      </c>
      <c r="N468" s="10" t="s">
        <v>35</v>
      </c>
      <c r="V468" s="9"/>
      <c r="W468" s="13" t="s">
        <v>78</v>
      </c>
      <c r="X468" s="10" t="s">
        <v>37</v>
      </c>
      <c r="Y468" s="10" t="s">
        <v>0</v>
      </c>
    </row>
    <row r="469">
      <c r="A469" s="10" t="s">
        <v>1807</v>
      </c>
      <c r="B469" s="11">
        <v>44272.9642224537</v>
      </c>
      <c r="C469" s="10" t="s">
        <v>347</v>
      </c>
      <c r="D469" s="10" t="s">
        <v>348</v>
      </c>
      <c r="E469" s="10" t="s">
        <v>349</v>
      </c>
      <c r="F469" s="10" t="s">
        <v>1808</v>
      </c>
      <c r="G469" s="10" t="s">
        <v>1809</v>
      </c>
      <c r="H469" s="24">
        <v>44280.47916666667</v>
      </c>
      <c r="I469" s="24">
        <v>44280.52083333333</v>
      </c>
      <c r="J469" s="10" t="s">
        <v>43</v>
      </c>
      <c r="K469" s="10" t="s">
        <v>34</v>
      </c>
      <c r="N469" s="10" t="s">
        <v>35</v>
      </c>
      <c r="V469" s="9"/>
      <c r="W469" s="13" t="s">
        <v>78</v>
      </c>
      <c r="X469" s="10" t="s">
        <v>37</v>
      </c>
      <c r="Y469" s="10" t="s">
        <v>0</v>
      </c>
    </row>
    <row r="470">
      <c r="A470" s="10" t="s">
        <v>1810</v>
      </c>
      <c r="B470" s="11">
        <v>44282.58595438657</v>
      </c>
      <c r="C470" s="10" t="s">
        <v>102</v>
      </c>
      <c r="D470" s="10" t="s">
        <v>103</v>
      </c>
      <c r="E470" s="10" t="s">
        <v>1811</v>
      </c>
      <c r="F470" s="10" t="s">
        <v>1812</v>
      </c>
      <c r="G470" s="10" t="s">
        <v>1813</v>
      </c>
      <c r="H470" s="17">
        <v>44282.0625</v>
      </c>
      <c r="I470" s="17">
        <v>44282.10416666667</v>
      </c>
      <c r="J470" s="10" t="s">
        <v>128</v>
      </c>
      <c r="K470" s="10" t="s">
        <v>34</v>
      </c>
      <c r="N470" s="10" t="s">
        <v>35</v>
      </c>
      <c r="V470" s="9"/>
      <c r="W470" s="13" t="s">
        <v>78</v>
      </c>
      <c r="X470" s="10" t="s">
        <v>37</v>
      </c>
      <c r="Y470" s="10" t="s">
        <v>0</v>
      </c>
    </row>
    <row r="471">
      <c r="A471" s="10" t="s">
        <v>1814</v>
      </c>
      <c r="B471" s="11">
        <v>44282.626878518524</v>
      </c>
      <c r="C471" s="10" t="s">
        <v>102</v>
      </c>
      <c r="D471" s="10" t="s">
        <v>103</v>
      </c>
      <c r="E471" s="10" t="s">
        <v>1811</v>
      </c>
      <c r="F471" s="10" t="s">
        <v>1812</v>
      </c>
      <c r="G471" s="10" t="s">
        <v>1813</v>
      </c>
      <c r="H471" s="17">
        <v>44282.0625</v>
      </c>
      <c r="I471" s="17">
        <v>44282.10416666667</v>
      </c>
      <c r="J471" s="10" t="s">
        <v>128</v>
      </c>
      <c r="K471" s="10" t="s">
        <v>34</v>
      </c>
      <c r="N471" s="10" t="s">
        <v>35</v>
      </c>
      <c r="V471" s="9"/>
      <c r="W471" s="13" t="s">
        <v>78</v>
      </c>
      <c r="X471" s="10" t="s">
        <v>37</v>
      </c>
      <c r="Y471" s="10" t="s">
        <v>0</v>
      </c>
    </row>
    <row r="472">
      <c r="A472" s="10" t="s">
        <v>1815</v>
      </c>
      <c r="B472" s="11">
        <v>44278.728883171294</v>
      </c>
      <c r="C472" s="10" t="s">
        <v>80</v>
      </c>
      <c r="D472" s="10" t="s">
        <v>81</v>
      </c>
      <c r="E472" s="10" t="s">
        <v>1816</v>
      </c>
      <c r="F472" s="10" t="s">
        <v>1817</v>
      </c>
      <c r="G472" s="10" t="s">
        <v>1818</v>
      </c>
      <c r="H472" s="17">
        <v>44282.10416666667</v>
      </c>
      <c r="I472" s="17">
        <v>44282.10416666667</v>
      </c>
      <c r="J472" s="10" t="s">
        <v>128</v>
      </c>
      <c r="K472" s="10" t="s">
        <v>34</v>
      </c>
      <c r="N472" s="10" t="s">
        <v>35</v>
      </c>
      <c r="V472" s="9"/>
      <c r="W472" s="13" t="s">
        <v>78</v>
      </c>
      <c r="X472" s="10" t="s">
        <v>37</v>
      </c>
      <c r="Y472" s="10" t="s">
        <v>0</v>
      </c>
    </row>
    <row r="473">
      <c r="A473" s="10" t="s">
        <v>1819</v>
      </c>
      <c r="B473" s="11">
        <v>44271.346511261574</v>
      </c>
      <c r="C473" s="10" t="s">
        <v>209</v>
      </c>
      <c r="D473" s="10" t="s">
        <v>210</v>
      </c>
      <c r="E473" s="10" t="s">
        <v>261</v>
      </c>
      <c r="F473" s="10" t="s">
        <v>1820</v>
      </c>
      <c r="G473" s="10" t="s">
        <v>1821</v>
      </c>
      <c r="H473" s="24">
        <v>44280.64583333333</v>
      </c>
      <c r="I473" s="24">
        <v>44280.6875</v>
      </c>
      <c r="J473" s="10" t="s">
        <v>43</v>
      </c>
      <c r="K473" s="10" t="s">
        <v>34</v>
      </c>
      <c r="N473" s="10" t="s">
        <v>296</v>
      </c>
      <c r="O473" s="18" t="s">
        <v>1822</v>
      </c>
      <c r="P473" s="10" t="s">
        <v>296</v>
      </c>
      <c r="Q473" s="10">
        <v>1.0</v>
      </c>
      <c r="R473" s="10" t="s">
        <v>35</v>
      </c>
      <c r="T473" s="10" t="s">
        <v>35</v>
      </c>
      <c r="V473" s="9"/>
      <c r="W473" s="13" t="s">
        <v>78</v>
      </c>
      <c r="X473" s="10" t="s">
        <v>37</v>
      </c>
      <c r="Y473" s="10" t="s">
        <v>0</v>
      </c>
    </row>
    <row r="474">
      <c r="A474" s="10" t="s">
        <v>1823</v>
      </c>
      <c r="B474" s="11">
        <v>44274.709895300926</v>
      </c>
      <c r="C474" s="10" t="s">
        <v>80</v>
      </c>
      <c r="D474" s="10" t="s">
        <v>81</v>
      </c>
      <c r="E474" s="10" t="s">
        <v>1824</v>
      </c>
      <c r="F474" s="10" t="s">
        <v>1825</v>
      </c>
      <c r="G474" s="10" t="s">
        <v>1826</v>
      </c>
      <c r="H474" s="24">
        <v>44281.22916666667</v>
      </c>
      <c r="I474" s="24">
        <v>44281.27083333333</v>
      </c>
      <c r="J474" s="10" t="s">
        <v>43</v>
      </c>
      <c r="K474" s="10" t="s">
        <v>34</v>
      </c>
      <c r="N474" s="10" t="s">
        <v>296</v>
      </c>
      <c r="O474" s="18" t="s">
        <v>1827</v>
      </c>
      <c r="P474" s="10" t="s">
        <v>296</v>
      </c>
      <c r="Q474" s="10">
        <v>1.0</v>
      </c>
      <c r="R474" s="10" t="s">
        <v>35</v>
      </c>
      <c r="T474" s="10" t="s">
        <v>296</v>
      </c>
      <c r="U474" s="10">
        <v>1.0</v>
      </c>
      <c r="V474" s="27"/>
      <c r="W474" s="13" t="s">
        <v>78</v>
      </c>
      <c r="X474" s="10" t="s">
        <v>37</v>
      </c>
      <c r="Y474" s="10" t="s">
        <v>0</v>
      </c>
    </row>
    <row r="475">
      <c r="A475" s="10" t="s">
        <v>1828</v>
      </c>
      <c r="B475" s="11">
        <v>44278.53108144676</v>
      </c>
      <c r="C475" s="10" t="s">
        <v>150</v>
      </c>
      <c r="D475" s="10" t="s">
        <v>151</v>
      </c>
      <c r="E475" s="10" t="s">
        <v>152</v>
      </c>
      <c r="F475" s="10" t="s">
        <v>1829</v>
      </c>
      <c r="G475" s="10" t="s">
        <v>1830</v>
      </c>
      <c r="H475" s="17">
        <v>44282.41666666667</v>
      </c>
      <c r="I475" s="17">
        <v>44282.5</v>
      </c>
      <c r="J475" s="10" t="s">
        <v>33</v>
      </c>
      <c r="K475" s="10" t="s">
        <v>34</v>
      </c>
      <c r="N475" s="10" t="s">
        <v>296</v>
      </c>
      <c r="O475" s="18" t="s">
        <v>1831</v>
      </c>
      <c r="P475" s="10" t="s">
        <v>296</v>
      </c>
      <c r="Q475" s="10">
        <v>1.0</v>
      </c>
      <c r="R475" s="10" t="s">
        <v>35</v>
      </c>
      <c r="T475" s="10" t="s">
        <v>35</v>
      </c>
      <c r="V475" s="9"/>
      <c r="W475" s="13" t="s">
        <v>78</v>
      </c>
      <c r="X475" s="10" t="s">
        <v>37</v>
      </c>
      <c r="Y475" s="10" t="s">
        <v>0</v>
      </c>
    </row>
    <row r="476">
      <c r="A476" s="10" t="s">
        <v>1832</v>
      </c>
      <c r="B476" s="11">
        <v>44277.44480003472</v>
      </c>
      <c r="C476" s="10" t="s">
        <v>516</v>
      </c>
      <c r="D476" s="10" t="s">
        <v>511</v>
      </c>
      <c r="E476" s="10" t="s">
        <v>1833</v>
      </c>
      <c r="F476" s="10" t="s">
        <v>1834</v>
      </c>
      <c r="G476" s="10" t="s">
        <v>1835</v>
      </c>
      <c r="H476" s="17">
        <v>44282.4375</v>
      </c>
      <c r="I476" s="17">
        <v>44313.4375</v>
      </c>
      <c r="J476" s="10" t="s">
        <v>51</v>
      </c>
      <c r="K476" s="10" t="s">
        <v>34</v>
      </c>
      <c r="N476" s="10" t="s">
        <v>35</v>
      </c>
      <c r="V476" s="9"/>
      <c r="W476" s="13" t="s">
        <v>78</v>
      </c>
      <c r="X476" s="10" t="s">
        <v>37</v>
      </c>
      <c r="Y476" s="10" t="s">
        <v>0</v>
      </c>
    </row>
    <row r="477">
      <c r="A477" s="10" t="s">
        <v>1836</v>
      </c>
      <c r="B477" s="22">
        <v>44272.6920516088</v>
      </c>
      <c r="C477" s="21" t="s">
        <v>392</v>
      </c>
      <c r="D477" s="21" t="s">
        <v>393</v>
      </c>
      <c r="E477" s="21" t="s">
        <v>1837</v>
      </c>
      <c r="F477" s="21" t="s">
        <v>1838</v>
      </c>
      <c r="G477" s="21" t="s">
        <v>1839</v>
      </c>
      <c r="H477" s="24">
        <v>44281.4375</v>
      </c>
      <c r="I477" s="24">
        <v>44281.52083333333</v>
      </c>
      <c r="J477" s="21" t="s">
        <v>236</v>
      </c>
      <c r="K477" s="10" t="s">
        <v>34</v>
      </c>
      <c r="N477" s="10" t="s">
        <v>296</v>
      </c>
      <c r="O477" s="18" t="s">
        <v>1840</v>
      </c>
      <c r="P477" s="10" t="s">
        <v>296</v>
      </c>
      <c r="Q477" s="10">
        <v>1.0</v>
      </c>
      <c r="R477" s="10" t="s">
        <v>296</v>
      </c>
      <c r="S477" s="10">
        <v>2.0</v>
      </c>
      <c r="T477" s="10" t="s">
        <v>296</v>
      </c>
      <c r="U477" s="10">
        <v>1.0</v>
      </c>
      <c r="V477" s="27"/>
      <c r="W477" s="13" t="s">
        <v>78</v>
      </c>
      <c r="X477" s="10" t="s">
        <v>37</v>
      </c>
      <c r="Y477" s="10" t="s">
        <v>0</v>
      </c>
    </row>
    <row r="478">
      <c r="A478" s="10" t="s">
        <v>1841</v>
      </c>
      <c r="B478" s="11">
        <v>44274.69474074074</v>
      </c>
      <c r="C478" s="10" t="s">
        <v>539</v>
      </c>
      <c r="D478" s="10" t="s">
        <v>540</v>
      </c>
      <c r="E478" s="10" t="s">
        <v>1715</v>
      </c>
      <c r="F478" s="10" t="s">
        <v>1842</v>
      </c>
      <c r="G478" s="10" t="s">
        <v>1843</v>
      </c>
      <c r="H478" s="17">
        <v>44282.72916666667</v>
      </c>
      <c r="I478" s="17">
        <v>44282.77083333333</v>
      </c>
      <c r="J478" s="10" t="s">
        <v>73</v>
      </c>
      <c r="K478" s="10" t="s">
        <v>34</v>
      </c>
      <c r="N478" s="10" t="s">
        <v>35</v>
      </c>
      <c r="V478" s="9"/>
      <c r="W478" s="13" t="s">
        <v>78</v>
      </c>
      <c r="X478" s="10" t="s">
        <v>37</v>
      </c>
      <c r="Y478" s="10" t="s">
        <v>0</v>
      </c>
    </row>
    <row r="479">
      <c r="A479" s="10" t="s">
        <v>1844</v>
      </c>
      <c r="B479" s="11">
        <v>44276.55778851852</v>
      </c>
      <c r="C479" s="10" t="s">
        <v>181</v>
      </c>
      <c r="D479" s="10" t="s">
        <v>69</v>
      </c>
      <c r="E479" s="10" t="s">
        <v>860</v>
      </c>
      <c r="F479" s="10" t="s">
        <v>1845</v>
      </c>
      <c r="G479" s="10" t="s">
        <v>1846</v>
      </c>
      <c r="H479" s="17">
        <v>44283.375</v>
      </c>
      <c r="I479" s="17">
        <v>44283.95833333333</v>
      </c>
      <c r="J479" s="10" t="s">
        <v>73</v>
      </c>
      <c r="K479" s="10" t="s">
        <v>34</v>
      </c>
      <c r="N479" s="10" t="s">
        <v>35</v>
      </c>
      <c r="V479" s="9"/>
      <c r="W479" s="13" t="s">
        <v>78</v>
      </c>
      <c r="X479" s="10" t="s">
        <v>37</v>
      </c>
      <c r="Y479" s="10" t="s">
        <v>0</v>
      </c>
    </row>
    <row r="480">
      <c r="A480" s="10" t="s">
        <v>1847</v>
      </c>
      <c r="B480" s="11">
        <v>44281.98394063658</v>
      </c>
      <c r="C480" s="10" t="s">
        <v>374</v>
      </c>
      <c r="D480" s="10" t="s">
        <v>375</v>
      </c>
      <c r="E480" s="10" t="s">
        <v>1552</v>
      </c>
      <c r="F480" s="10" t="s">
        <v>1848</v>
      </c>
      <c r="G480" s="10" t="s">
        <v>1849</v>
      </c>
      <c r="H480" s="17">
        <v>44284.39583333333</v>
      </c>
      <c r="I480" s="17">
        <v>44284.4375</v>
      </c>
      <c r="J480" s="10" t="s">
        <v>33</v>
      </c>
      <c r="K480" s="10" t="s">
        <v>34</v>
      </c>
      <c r="N480" s="10" t="s">
        <v>35</v>
      </c>
      <c r="V480" s="9"/>
      <c r="W480" s="13" t="s">
        <v>78</v>
      </c>
      <c r="X480" s="10" t="s">
        <v>37</v>
      </c>
      <c r="Y480" s="10" t="s">
        <v>0</v>
      </c>
    </row>
    <row r="481">
      <c r="A481" s="10" t="s">
        <v>1850</v>
      </c>
      <c r="B481" s="11">
        <v>44286.39452219907</v>
      </c>
      <c r="C481" s="10" t="s">
        <v>491</v>
      </c>
      <c r="D481" s="10" t="s">
        <v>492</v>
      </c>
      <c r="E481" s="10" t="s">
        <v>853</v>
      </c>
      <c r="F481" s="10" t="s">
        <v>1851</v>
      </c>
      <c r="G481" s="10" t="s">
        <v>1852</v>
      </c>
      <c r="H481" s="17">
        <v>44284.5</v>
      </c>
      <c r="I481" s="17">
        <v>44284.5</v>
      </c>
      <c r="J481" s="10" t="s">
        <v>73</v>
      </c>
      <c r="K481" s="10" t="s">
        <v>34</v>
      </c>
      <c r="N481" s="10" t="s">
        <v>35</v>
      </c>
      <c r="V481" s="9"/>
      <c r="W481" s="13" t="s">
        <v>78</v>
      </c>
      <c r="X481" s="10" t="s">
        <v>37</v>
      </c>
      <c r="Y481" s="10" t="s">
        <v>0</v>
      </c>
    </row>
    <row r="482">
      <c r="A482" s="10" t="s">
        <v>1853</v>
      </c>
      <c r="B482" s="11">
        <v>44278.41691236111</v>
      </c>
      <c r="C482" s="10" t="s">
        <v>181</v>
      </c>
      <c r="D482" s="10" t="s">
        <v>69</v>
      </c>
      <c r="E482" s="10" t="s">
        <v>860</v>
      </c>
      <c r="F482" s="10" t="s">
        <v>1854</v>
      </c>
      <c r="G482" s="10" t="s">
        <v>1855</v>
      </c>
      <c r="H482" s="17">
        <v>44285.375</v>
      </c>
      <c r="I482" s="17">
        <v>44285.95833333333</v>
      </c>
      <c r="J482" s="10" t="s">
        <v>73</v>
      </c>
      <c r="K482" s="10" t="s">
        <v>34</v>
      </c>
      <c r="N482" s="10" t="s">
        <v>35</v>
      </c>
      <c r="V482" s="9"/>
      <c r="W482" s="13" t="s">
        <v>78</v>
      </c>
      <c r="X482" s="10" t="s">
        <v>37</v>
      </c>
      <c r="Y482" s="10" t="s">
        <v>0</v>
      </c>
    </row>
    <row r="483">
      <c r="A483" s="10" t="s">
        <v>1856</v>
      </c>
      <c r="B483" s="11">
        <v>44281.9913924537</v>
      </c>
      <c r="C483" s="10" t="s">
        <v>374</v>
      </c>
      <c r="D483" s="10" t="s">
        <v>375</v>
      </c>
      <c r="E483" s="10" t="s">
        <v>1552</v>
      </c>
      <c r="F483" s="10" t="s">
        <v>1857</v>
      </c>
      <c r="G483" s="10" t="s">
        <v>1858</v>
      </c>
      <c r="H483" s="17">
        <v>44285.60416666667</v>
      </c>
      <c r="I483" s="17">
        <v>44285.64583333333</v>
      </c>
      <c r="J483" s="10" t="s">
        <v>33</v>
      </c>
      <c r="K483" s="10" t="s">
        <v>34</v>
      </c>
      <c r="N483" s="10" t="s">
        <v>35</v>
      </c>
      <c r="V483" s="9"/>
      <c r="W483" s="13" t="s">
        <v>78</v>
      </c>
      <c r="X483" s="10" t="s">
        <v>37</v>
      </c>
      <c r="Y483" s="10" t="s">
        <v>0</v>
      </c>
    </row>
    <row r="484">
      <c r="A484" s="10" t="s">
        <v>1859</v>
      </c>
      <c r="B484" s="11">
        <v>44274.57289201389</v>
      </c>
      <c r="C484" s="10" t="s">
        <v>671</v>
      </c>
      <c r="D484" s="10" t="s">
        <v>672</v>
      </c>
      <c r="E484" s="10" t="s">
        <v>928</v>
      </c>
      <c r="F484" s="10" t="s">
        <v>1860</v>
      </c>
      <c r="G484" s="10" t="s">
        <v>1861</v>
      </c>
      <c r="H484" s="24">
        <v>44281.60416666667</v>
      </c>
      <c r="I484" s="24">
        <v>44281.6875</v>
      </c>
      <c r="J484" s="10" t="s">
        <v>43</v>
      </c>
      <c r="K484" s="10" t="s">
        <v>34</v>
      </c>
      <c r="N484" s="10" t="s">
        <v>296</v>
      </c>
      <c r="O484" s="18" t="s">
        <v>1862</v>
      </c>
      <c r="P484" s="10" t="s">
        <v>35</v>
      </c>
      <c r="R484" s="10" t="s">
        <v>35</v>
      </c>
      <c r="T484" s="10" t="s">
        <v>296</v>
      </c>
      <c r="U484" s="10">
        <v>1.0</v>
      </c>
      <c r="V484" s="27"/>
      <c r="W484" s="13" t="s">
        <v>78</v>
      </c>
      <c r="X484" s="10" t="s">
        <v>37</v>
      </c>
      <c r="Y484" s="10" t="s">
        <v>0</v>
      </c>
    </row>
    <row r="485">
      <c r="A485" s="10" t="s">
        <v>1863</v>
      </c>
      <c r="B485" s="11">
        <v>44286.85801094907</v>
      </c>
      <c r="C485" s="10" t="s">
        <v>102</v>
      </c>
      <c r="D485" s="10" t="s">
        <v>103</v>
      </c>
      <c r="E485" s="10" t="s">
        <v>1811</v>
      </c>
      <c r="F485" s="10" t="s">
        <v>1864</v>
      </c>
      <c r="G485" s="10" t="s">
        <v>1865</v>
      </c>
      <c r="H485" s="17">
        <v>44286.35416666667</v>
      </c>
      <c r="I485" s="17">
        <v>44286.35416666667</v>
      </c>
      <c r="J485" s="10" t="s">
        <v>73</v>
      </c>
      <c r="K485" s="10" t="s">
        <v>34</v>
      </c>
      <c r="N485" s="10" t="s">
        <v>35</v>
      </c>
      <c r="V485" s="9"/>
      <c r="W485" s="13" t="s">
        <v>78</v>
      </c>
      <c r="X485" s="10" t="s">
        <v>37</v>
      </c>
      <c r="Y485" s="10" t="s">
        <v>0</v>
      </c>
    </row>
    <row r="486">
      <c r="A486" s="10" t="s">
        <v>1866</v>
      </c>
      <c r="B486" s="11">
        <v>44286.89215270833</v>
      </c>
      <c r="C486" s="10" t="s">
        <v>491</v>
      </c>
      <c r="D486" s="10" t="s">
        <v>492</v>
      </c>
      <c r="E486" s="10" t="s">
        <v>1867</v>
      </c>
      <c r="F486" s="10" t="s">
        <v>1868</v>
      </c>
      <c r="G486" s="10" t="s">
        <v>1869</v>
      </c>
      <c r="H486" s="17">
        <v>44286.75</v>
      </c>
      <c r="I486" s="17">
        <v>44286.75</v>
      </c>
      <c r="J486" s="10" t="s">
        <v>73</v>
      </c>
      <c r="K486" s="10" t="s">
        <v>34</v>
      </c>
      <c r="N486" s="10" t="s">
        <v>35</v>
      </c>
      <c r="V486" s="9"/>
      <c r="W486" s="13" t="s">
        <v>78</v>
      </c>
      <c r="X486" s="10" t="s">
        <v>37</v>
      </c>
      <c r="Y486" s="10" t="s">
        <v>0</v>
      </c>
    </row>
    <row r="487">
      <c r="A487" s="10" t="s">
        <v>1870</v>
      </c>
      <c r="B487" s="11">
        <v>44280.350732430554</v>
      </c>
      <c r="C487" s="10" t="s">
        <v>137</v>
      </c>
      <c r="D487" s="10" t="s">
        <v>138</v>
      </c>
      <c r="E487" s="10" t="s">
        <v>1871</v>
      </c>
      <c r="F487" s="10" t="s">
        <v>1872</v>
      </c>
      <c r="G487" s="10" t="s">
        <v>1873</v>
      </c>
      <c r="H487" s="17">
        <v>44287.8125</v>
      </c>
      <c r="I487" s="17">
        <v>44287.85416666667</v>
      </c>
      <c r="J487" s="10" t="s">
        <v>33</v>
      </c>
      <c r="K487" s="10" t="s">
        <v>34</v>
      </c>
      <c r="N487" s="10" t="s">
        <v>35</v>
      </c>
      <c r="V487" s="9"/>
      <c r="W487" s="13" t="s">
        <v>78</v>
      </c>
      <c r="X487" s="10" t="s">
        <v>37</v>
      </c>
      <c r="Y487" s="10" t="s">
        <v>0</v>
      </c>
    </row>
    <row r="488">
      <c r="A488" s="10" t="s">
        <v>1874</v>
      </c>
      <c r="B488" s="11">
        <v>44277.47547696759</v>
      </c>
      <c r="C488" s="10" t="s">
        <v>374</v>
      </c>
      <c r="D488" s="10" t="s">
        <v>375</v>
      </c>
      <c r="E488" s="10" t="s">
        <v>1552</v>
      </c>
      <c r="F488" s="10" t="s">
        <v>1875</v>
      </c>
      <c r="G488" s="10" t="s">
        <v>1876</v>
      </c>
      <c r="H488" s="16">
        <v>44281.64583333333</v>
      </c>
      <c r="I488" s="16">
        <v>44281.70833333333</v>
      </c>
      <c r="J488" s="10" t="s">
        <v>43</v>
      </c>
      <c r="K488" s="10" t="s">
        <v>34</v>
      </c>
      <c r="N488" s="10" t="s">
        <v>296</v>
      </c>
      <c r="O488" s="18" t="s">
        <v>1877</v>
      </c>
      <c r="P488" s="10" t="s">
        <v>296</v>
      </c>
      <c r="Q488" s="10">
        <v>1.0</v>
      </c>
      <c r="R488" s="10" t="s">
        <v>296</v>
      </c>
      <c r="S488" s="10">
        <v>1.0</v>
      </c>
      <c r="T488" s="10" t="s">
        <v>35</v>
      </c>
      <c r="V488" s="9"/>
      <c r="W488" s="13" t="s">
        <v>78</v>
      </c>
      <c r="X488" s="10" t="s">
        <v>37</v>
      </c>
      <c r="Y488" s="10" t="s">
        <v>0</v>
      </c>
    </row>
    <row r="489">
      <c r="A489" s="10" t="s">
        <v>1878</v>
      </c>
      <c r="B489" s="11">
        <v>44283.533236539355</v>
      </c>
      <c r="C489" s="10" t="s">
        <v>181</v>
      </c>
      <c r="D489" s="10" t="s">
        <v>69</v>
      </c>
      <c r="E489" s="10" t="s">
        <v>1879</v>
      </c>
      <c r="F489" s="10" t="s">
        <v>1880</v>
      </c>
      <c r="G489" s="10" t="s">
        <v>1881</v>
      </c>
      <c r="H489" s="17">
        <v>44289.375</v>
      </c>
      <c r="I489" s="17">
        <v>44289.37569444445</v>
      </c>
      <c r="J489" s="10" t="s">
        <v>73</v>
      </c>
      <c r="K489" s="10" t="s">
        <v>34</v>
      </c>
      <c r="N489" s="10" t="s">
        <v>35</v>
      </c>
      <c r="V489" s="9"/>
      <c r="W489" s="13" t="s">
        <v>78</v>
      </c>
      <c r="X489" s="10" t="s">
        <v>37</v>
      </c>
      <c r="Y489" s="10" t="s">
        <v>0</v>
      </c>
    </row>
    <row r="490">
      <c r="A490" s="10" t="s">
        <v>1882</v>
      </c>
      <c r="B490" s="11">
        <v>44365.82537716435</v>
      </c>
      <c r="C490" s="10" t="s">
        <v>102</v>
      </c>
      <c r="D490" s="10" t="s">
        <v>103</v>
      </c>
      <c r="E490" s="10" t="s">
        <v>1883</v>
      </c>
      <c r="F490" s="10" t="s">
        <v>1884</v>
      </c>
      <c r="G490" s="10" t="s">
        <v>1885</v>
      </c>
      <c r="H490" s="16">
        <v>44281.64583333333</v>
      </c>
      <c r="I490" s="16">
        <v>44281.72916666667</v>
      </c>
      <c r="J490" s="10" t="s">
        <v>43</v>
      </c>
      <c r="K490" s="10" t="s">
        <v>34</v>
      </c>
      <c r="N490" s="10" t="s">
        <v>296</v>
      </c>
      <c r="O490" s="18" t="s">
        <v>1886</v>
      </c>
      <c r="P490" s="10" t="s">
        <v>35</v>
      </c>
      <c r="R490" s="10" t="s">
        <v>296</v>
      </c>
      <c r="S490" s="10">
        <v>3.0</v>
      </c>
      <c r="T490" s="10" t="s">
        <v>35</v>
      </c>
      <c r="V490" s="9"/>
      <c r="W490" s="13" t="s">
        <v>78</v>
      </c>
      <c r="X490" s="10" t="s">
        <v>37</v>
      </c>
      <c r="Y490" s="10" t="s">
        <v>0</v>
      </c>
    </row>
    <row r="491">
      <c r="A491" s="10" t="s">
        <v>1887</v>
      </c>
      <c r="B491" s="11">
        <v>44278.43246361111</v>
      </c>
      <c r="C491" s="10" t="s">
        <v>160</v>
      </c>
      <c r="D491" s="10" t="s">
        <v>161</v>
      </c>
      <c r="E491" s="10" t="s">
        <v>947</v>
      </c>
      <c r="F491" s="10" t="s">
        <v>1888</v>
      </c>
      <c r="G491" s="10" t="s">
        <v>1889</v>
      </c>
      <c r="H491" s="17">
        <v>44281.72916666667</v>
      </c>
      <c r="I491" s="17">
        <v>44281.77083333333</v>
      </c>
      <c r="J491" s="10" t="s">
        <v>43</v>
      </c>
      <c r="K491" s="10" t="s">
        <v>34</v>
      </c>
      <c r="N491" s="10" t="s">
        <v>296</v>
      </c>
      <c r="O491" s="18" t="s">
        <v>1890</v>
      </c>
      <c r="P491" s="10" t="s">
        <v>296</v>
      </c>
      <c r="Q491" s="10">
        <v>1.0</v>
      </c>
      <c r="R491" s="10" t="s">
        <v>35</v>
      </c>
      <c r="T491" s="10" t="s">
        <v>296</v>
      </c>
      <c r="U491" s="10">
        <v>1.0</v>
      </c>
      <c r="V491" s="27"/>
      <c r="W491" s="13" t="s">
        <v>78</v>
      </c>
      <c r="X491" s="10" t="s">
        <v>37</v>
      </c>
      <c r="Y491" s="10" t="s">
        <v>0</v>
      </c>
    </row>
    <row r="492">
      <c r="A492" s="10" t="s">
        <v>1891</v>
      </c>
      <c r="B492" s="11">
        <v>44263.695808159726</v>
      </c>
      <c r="C492" s="10" t="s">
        <v>336</v>
      </c>
      <c r="D492" s="10" t="s">
        <v>337</v>
      </c>
      <c r="E492" s="10" t="s">
        <v>1892</v>
      </c>
      <c r="F492" s="10" t="s">
        <v>1893</v>
      </c>
      <c r="G492" s="10" t="s">
        <v>1894</v>
      </c>
      <c r="H492" s="17">
        <v>44289.66666666667</v>
      </c>
      <c r="I492" s="17">
        <v>44289.72916666667</v>
      </c>
      <c r="J492" s="10" t="s">
        <v>128</v>
      </c>
      <c r="K492" s="10" t="s">
        <v>34</v>
      </c>
      <c r="N492" s="10" t="s">
        <v>35</v>
      </c>
      <c r="V492" s="9"/>
      <c r="W492" s="13" t="s">
        <v>78</v>
      </c>
      <c r="X492" s="10" t="s">
        <v>37</v>
      </c>
      <c r="Y492" s="10" t="s">
        <v>0</v>
      </c>
    </row>
    <row r="493">
      <c r="A493" s="10" t="s">
        <v>1895</v>
      </c>
      <c r="B493" s="11">
        <v>44272.55208263889</v>
      </c>
      <c r="C493" s="10" t="s">
        <v>181</v>
      </c>
      <c r="D493" s="10" t="s">
        <v>69</v>
      </c>
      <c r="E493" s="10" t="s">
        <v>1896</v>
      </c>
      <c r="F493" s="10" t="s">
        <v>1897</v>
      </c>
      <c r="G493" s="10" t="s">
        <v>1898</v>
      </c>
      <c r="H493" s="24">
        <v>44282.29166666667</v>
      </c>
      <c r="I493" s="24">
        <v>44282.79166666667</v>
      </c>
      <c r="J493" s="10" t="s">
        <v>43</v>
      </c>
      <c r="K493" s="10" t="s">
        <v>34</v>
      </c>
      <c r="N493" s="10" t="s">
        <v>35</v>
      </c>
      <c r="V493" s="9"/>
      <c r="W493" s="13" t="s">
        <v>78</v>
      </c>
      <c r="X493" s="10" t="s">
        <v>37</v>
      </c>
      <c r="Y493" s="10" t="s">
        <v>0</v>
      </c>
    </row>
    <row r="494">
      <c r="A494" s="10" t="s">
        <v>1899</v>
      </c>
      <c r="B494" s="11">
        <v>44275.374076319444</v>
      </c>
      <c r="C494" s="10" t="s">
        <v>671</v>
      </c>
      <c r="D494" s="10" t="s">
        <v>672</v>
      </c>
      <c r="E494" s="10" t="s">
        <v>1308</v>
      </c>
      <c r="F494" s="10" t="s">
        <v>1900</v>
      </c>
      <c r="G494" s="10" t="s">
        <v>1901</v>
      </c>
      <c r="H494" s="24">
        <v>44282.35416666667</v>
      </c>
      <c r="I494" s="24">
        <v>44282.52083333333</v>
      </c>
      <c r="J494" s="10" t="s">
        <v>43</v>
      </c>
      <c r="K494" s="10" t="s">
        <v>34</v>
      </c>
      <c r="N494" s="10" t="s">
        <v>35</v>
      </c>
      <c r="V494" s="9"/>
      <c r="W494" s="13" t="s">
        <v>78</v>
      </c>
      <c r="X494" s="10" t="s">
        <v>37</v>
      </c>
      <c r="Y494" s="10" t="s">
        <v>0</v>
      </c>
    </row>
    <row r="495">
      <c r="A495" s="10" t="s">
        <v>1902</v>
      </c>
      <c r="B495" s="11">
        <v>44298.94169306713</v>
      </c>
      <c r="C495" s="10" t="s">
        <v>1903</v>
      </c>
      <c r="D495" s="10" t="s">
        <v>1360</v>
      </c>
      <c r="E495" s="10" t="s">
        <v>1904</v>
      </c>
      <c r="F495" s="10" t="s">
        <v>1905</v>
      </c>
      <c r="G495" s="10" t="s">
        <v>1906</v>
      </c>
      <c r="H495" s="17">
        <v>44291.08333333333</v>
      </c>
      <c r="I495" s="17">
        <v>44316.16666666667</v>
      </c>
      <c r="J495" s="10" t="s">
        <v>33</v>
      </c>
      <c r="K495" s="10" t="s">
        <v>34</v>
      </c>
      <c r="N495" s="10" t="s">
        <v>296</v>
      </c>
      <c r="O495" s="18" t="s">
        <v>1907</v>
      </c>
      <c r="P495" s="10" t="s">
        <v>35</v>
      </c>
      <c r="R495" s="10" t="s">
        <v>296</v>
      </c>
      <c r="S495" s="10">
        <v>1.0</v>
      </c>
      <c r="T495" s="10" t="s">
        <v>35</v>
      </c>
      <c r="V495" s="9"/>
      <c r="W495" s="13" t="s">
        <v>78</v>
      </c>
      <c r="X495" s="10" t="s">
        <v>37</v>
      </c>
      <c r="Y495" s="10" t="s">
        <v>0</v>
      </c>
    </row>
    <row r="496">
      <c r="A496" s="10" t="s">
        <v>1908</v>
      </c>
      <c r="B496" s="11">
        <v>44280.65503409722</v>
      </c>
      <c r="C496" s="10" t="s">
        <v>516</v>
      </c>
      <c r="D496" s="10" t="s">
        <v>511</v>
      </c>
      <c r="E496" s="10" t="s">
        <v>1909</v>
      </c>
      <c r="F496" s="10" t="s">
        <v>1910</v>
      </c>
      <c r="G496" s="10" t="s">
        <v>1911</v>
      </c>
      <c r="H496" s="16">
        <v>44282.4375</v>
      </c>
      <c r="I496" s="16">
        <v>44282.52083333333</v>
      </c>
      <c r="J496" s="10" t="s">
        <v>43</v>
      </c>
      <c r="K496" s="10" t="s">
        <v>34</v>
      </c>
      <c r="N496" s="10" t="s">
        <v>35</v>
      </c>
      <c r="V496" s="9"/>
      <c r="W496" s="13" t="s">
        <v>78</v>
      </c>
      <c r="X496" s="10" t="s">
        <v>37</v>
      </c>
      <c r="Y496" s="10" t="s">
        <v>0</v>
      </c>
    </row>
    <row r="497">
      <c r="A497" s="10" t="s">
        <v>1912</v>
      </c>
      <c r="B497" s="11">
        <v>44278.41621251157</v>
      </c>
      <c r="C497" s="10" t="s">
        <v>181</v>
      </c>
      <c r="D497" s="10" t="s">
        <v>69</v>
      </c>
      <c r="E497" s="10" t="s">
        <v>1913</v>
      </c>
      <c r="F497" s="10" t="s">
        <v>1914</v>
      </c>
      <c r="G497" s="10" t="s">
        <v>1915</v>
      </c>
      <c r="H497" s="24">
        <v>44286.35416666667</v>
      </c>
      <c r="I497" s="24">
        <v>44288.35416666667</v>
      </c>
      <c r="J497" s="10" t="s">
        <v>43</v>
      </c>
      <c r="K497" s="10" t="s">
        <v>34</v>
      </c>
      <c r="N497" s="10" t="s">
        <v>35</v>
      </c>
      <c r="V497" s="9"/>
      <c r="W497" s="13" t="s">
        <v>78</v>
      </c>
      <c r="X497" s="10" t="s">
        <v>37</v>
      </c>
      <c r="Y497" s="10" t="s">
        <v>0</v>
      </c>
    </row>
    <row r="498">
      <c r="A498" s="10" t="s">
        <v>1916</v>
      </c>
      <c r="B498" s="11">
        <v>44288.40530648148</v>
      </c>
      <c r="C498" s="10" t="s">
        <v>671</v>
      </c>
      <c r="D498" s="10" t="s">
        <v>672</v>
      </c>
      <c r="E498" s="10" t="s">
        <v>1495</v>
      </c>
      <c r="F498" s="10" t="s">
        <v>1917</v>
      </c>
      <c r="G498" s="10" t="s">
        <v>1918</v>
      </c>
      <c r="H498" s="17">
        <v>44291.47916666667</v>
      </c>
      <c r="I498" s="17">
        <v>44291.52083333333</v>
      </c>
      <c r="J498" s="10" t="s">
        <v>128</v>
      </c>
      <c r="K498" s="10" t="s">
        <v>34</v>
      </c>
      <c r="N498" s="10" t="s">
        <v>35</v>
      </c>
      <c r="V498" s="9"/>
      <c r="W498" s="13" t="s">
        <v>78</v>
      </c>
      <c r="X498" s="10" t="s">
        <v>37</v>
      </c>
      <c r="Y498" s="10" t="s">
        <v>0</v>
      </c>
    </row>
    <row r="499">
      <c r="A499" s="10" t="s">
        <v>1919</v>
      </c>
      <c r="B499" s="11">
        <v>44300.749746608795</v>
      </c>
      <c r="C499" s="10" t="s">
        <v>516</v>
      </c>
      <c r="D499" s="10" t="s">
        <v>511</v>
      </c>
      <c r="E499" s="10" t="s">
        <v>1920</v>
      </c>
      <c r="F499" s="10" t="s">
        <v>1921</v>
      </c>
      <c r="G499" s="10" t="s">
        <v>1922</v>
      </c>
      <c r="H499" s="17">
        <v>44291.5</v>
      </c>
      <c r="I499" s="17">
        <v>44303.5</v>
      </c>
      <c r="J499" s="10" t="s">
        <v>51</v>
      </c>
      <c r="K499" s="10" t="s">
        <v>34</v>
      </c>
      <c r="N499" s="10" t="s">
        <v>35</v>
      </c>
      <c r="V499" s="9"/>
      <c r="W499" s="13" t="s">
        <v>78</v>
      </c>
      <c r="X499" s="10" t="s">
        <v>37</v>
      </c>
      <c r="Y499" s="10" t="s">
        <v>0</v>
      </c>
    </row>
    <row r="500">
      <c r="A500" s="10" t="s">
        <v>1923</v>
      </c>
      <c r="B500" s="11">
        <v>44275.7943565162</v>
      </c>
      <c r="C500" s="10" t="s">
        <v>181</v>
      </c>
      <c r="D500" s="10" t="s">
        <v>69</v>
      </c>
      <c r="E500" s="10" t="s">
        <v>1924</v>
      </c>
      <c r="F500" s="10" t="s">
        <v>1925</v>
      </c>
      <c r="G500" s="10" t="s">
        <v>1926</v>
      </c>
      <c r="H500" s="17">
        <v>44291.58333333333</v>
      </c>
      <c r="I500" s="17">
        <v>44291.66666666667</v>
      </c>
      <c r="J500" s="10" t="s">
        <v>128</v>
      </c>
      <c r="K500" s="10" t="s">
        <v>34</v>
      </c>
      <c r="N500" s="10" t="s">
        <v>35</v>
      </c>
      <c r="V500" s="9"/>
      <c r="W500" s="13" t="s">
        <v>78</v>
      </c>
      <c r="X500" s="10" t="s">
        <v>37</v>
      </c>
      <c r="Y500" s="10" t="s">
        <v>0</v>
      </c>
    </row>
    <row r="501">
      <c r="A501" s="10" t="s">
        <v>1927</v>
      </c>
      <c r="B501" s="11">
        <v>44280.362013460646</v>
      </c>
      <c r="C501" s="10" t="s">
        <v>239</v>
      </c>
      <c r="D501" s="10" t="s">
        <v>240</v>
      </c>
      <c r="E501" s="10" t="s">
        <v>1928</v>
      </c>
      <c r="F501" s="10" t="s">
        <v>1929</v>
      </c>
      <c r="G501" s="10" t="s">
        <v>1930</v>
      </c>
      <c r="H501" s="24">
        <v>44289.35416666667</v>
      </c>
      <c r="I501" s="24">
        <v>44290.8125</v>
      </c>
      <c r="J501" s="10" t="s">
        <v>43</v>
      </c>
      <c r="K501" s="10" t="s">
        <v>34</v>
      </c>
      <c r="N501" s="10" t="s">
        <v>35</v>
      </c>
      <c r="V501" s="9"/>
      <c r="W501" s="13" t="s">
        <v>78</v>
      </c>
      <c r="X501" s="10" t="s">
        <v>37</v>
      </c>
      <c r="Y501" s="10" t="s">
        <v>0</v>
      </c>
    </row>
    <row r="502">
      <c r="A502" s="10" t="s">
        <v>1931</v>
      </c>
      <c r="B502" s="11">
        <v>44286.62191935185</v>
      </c>
      <c r="C502" s="10" t="s">
        <v>80</v>
      </c>
      <c r="D502" s="10" t="s">
        <v>81</v>
      </c>
      <c r="E502" s="10" t="s">
        <v>1932</v>
      </c>
      <c r="F502" s="10" t="s">
        <v>1933</v>
      </c>
      <c r="G502" s="10" t="s">
        <v>1934</v>
      </c>
      <c r="H502" s="17">
        <v>44291.6875</v>
      </c>
      <c r="I502" s="17">
        <v>44291.72916666667</v>
      </c>
      <c r="J502" s="10" t="s">
        <v>128</v>
      </c>
      <c r="K502" s="10" t="s">
        <v>34</v>
      </c>
      <c r="N502" s="10" t="s">
        <v>296</v>
      </c>
      <c r="O502" s="18" t="s">
        <v>1935</v>
      </c>
      <c r="P502" s="10" t="s">
        <v>296</v>
      </c>
      <c r="Q502" s="10">
        <v>1.0</v>
      </c>
      <c r="R502" s="10" t="s">
        <v>35</v>
      </c>
      <c r="T502" s="10" t="s">
        <v>35</v>
      </c>
      <c r="V502" s="9"/>
      <c r="W502" s="13" t="s">
        <v>78</v>
      </c>
      <c r="X502" s="10" t="s">
        <v>37</v>
      </c>
      <c r="Y502" s="10" t="s">
        <v>0</v>
      </c>
    </row>
    <row r="503">
      <c r="A503" s="10" t="s">
        <v>1936</v>
      </c>
      <c r="B503" s="11">
        <v>44291.403459988425</v>
      </c>
      <c r="C503" s="10" t="s">
        <v>539</v>
      </c>
      <c r="D503" s="10" t="s">
        <v>540</v>
      </c>
      <c r="E503" s="10" t="s">
        <v>541</v>
      </c>
      <c r="F503" s="10" t="s">
        <v>1719</v>
      </c>
      <c r="G503" s="10" t="s">
        <v>1937</v>
      </c>
      <c r="H503" s="17">
        <v>44291.77083333333</v>
      </c>
      <c r="I503" s="17">
        <v>44291.8125</v>
      </c>
      <c r="J503" s="10" t="s">
        <v>128</v>
      </c>
      <c r="K503" s="10" t="s">
        <v>34</v>
      </c>
      <c r="N503" s="10" t="s">
        <v>35</v>
      </c>
      <c r="V503" s="9"/>
      <c r="W503" s="13" t="s">
        <v>78</v>
      </c>
      <c r="X503" s="10" t="s">
        <v>37</v>
      </c>
      <c r="Y503" s="10" t="s">
        <v>0</v>
      </c>
    </row>
    <row r="504">
      <c r="A504" s="10" t="s">
        <v>1938</v>
      </c>
      <c r="B504" s="11">
        <v>44291.85522355324</v>
      </c>
      <c r="C504" s="10" t="s">
        <v>491</v>
      </c>
      <c r="D504" s="10" t="s">
        <v>492</v>
      </c>
      <c r="E504" s="10" t="s">
        <v>657</v>
      </c>
      <c r="F504" s="10" t="s">
        <v>1939</v>
      </c>
      <c r="G504" s="10" t="s">
        <v>1940</v>
      </c>
      <c r="H504" s="17">
        <v>44291.79166666667</v>
      </c>
      <c r="I504" s="17">
        <v>44291.79166666667</v>
      </c>
      <c r="J504" s="10" t="s">
        <v>73</v>
      </c>
      <c r="K504" s="10" t="s">
        <v>34</v>
      </c>
      <c r="N504" s="10" t="s">
        <v>35</v>
      </c>
      <c r="V504" s="9"/>
      <c r="W504" s="13" t="s">
        <v>78</v>
      </c>
      <c r="X504" s="10" t="s">
        <v>37</v>
      </c>
      <c r="Y504" s="10" t="s">
        <v>0</v>
      </c>
    </row>
    <row r="505">
      <c r="A505" s="10" t="s">
        <v>1941</v>
      </c>
      <c r="B505" s="11">
        <v>44285.66305762732</v>
      </c>
      <c r="C505" s="10" t="s">
        <v>239</v>
      </c>
      <c r="D505" s="10" t="s">
        <v>240</v>
      </c>
      <c r="E505" s="10" t="s">
        <v>1928</v>
      </c>
      <c r="F505" s="10" t="s">
        <v>1942</v>
      </c>
      <c r="G505" s="10" t="s">
        <v>1943</v>
      </c>
      <c r="H505" s="16">
        <v>44289.41666666667</v>
      </c>
      <c r="I505" s="16">
        <v>44289.45833333333</v>
      </c>
      <c r="J505" s="10" t="s">
        <v>43</v>
      </c>
      <c r="K505" s="10" t="s">
        <v>34</v>
      </c>
      <c r="N505" s="10" t="s">
        <v>35</v>
      </c>
      <c r="V505" s="9"/>
      <c r="W505" s="13" t="s">
        <v>78</v>
      </c>
      <c r="X505" s="10" t="s">
        <v>37</v>
      </c>
      <c r="Y505" s="10" t="s">
        <v>0</v>
      </c>
    </row>
    <row r="506">
      <c r="A506" s="10" t="s">
        <v>1944</v>
      </c>
      <c r="B506" s="11">
        <v>44285.666002025464</v>
      </c>
      <c r="C506" s="10" t="s">
        <v>239</v>
      </c>
      <c r="D506" s="10" t="s">
        <v>240</v>
      </c>
      <c r="E506" s="10" t="s">
        <v>991</v>
      </c>
      <c r="F506" s="10" t="s">
        <v>1945</v>
      </c>
      <c r="G506" s="10" t="s">
        <v>1946</v>
      </c>
      <c r="H506" s="16">
        <v>44289.60416666667</v>
      </c>
      <c r="I506" s="16">
        <v>44289.64583333333</v>
      </c>
      <c r="J506" s="10" t="s">
        <v>43</v>
      </c>
      <c r="K506" s="10" t="s">
        <v>34</v>
      </c>
      <c r="N506" s="10" t="s">
        <v>35</v>
      </c>
      <c r="V506" s="9"/>
      <c r="W506" s="13" t="s">
        <v>78</v>
      </c>
      <c r="X506" s="10" t="s">
        <v>37</v>
      </c>
      <c r="Y506" s="10" t="s">
        <v>0</v>
      </c>
    </row>
    <row r="507">
      <c r="A507" s="10" t="s">
        <v>1947</v>
      </c>
      <c r="B507" s="11">
        <v>44285.66463425926</v>
      </c>
      <c r="C507" s="10" t="s">
        <v>239</v>
      </c>
      <c r="D507" s="10" t="s">
        <v>240</v>
      </c>
      <c r="E507" s="10" t="s">
        <v>1948</v>
      </c>
      <c r="F507" s="10" t="s">
        <v>1949</v>
      </c>
      <c r="G507" s="10" t="s">
        <v>1950</v>
      </c>
      <c r="H507" s="16">
        <v>44289.6875</v>
      </c>
      <c r="I507" s="16">
        <v>44289.72916666667</v>
      </c>
      <c r="J507" s="10" t="s">
        <v>43</v>
      </c>
      <c r="K507" s="10" t="s">
        <v>34</v>
      </c>
      <c r="N507" s="10" t="s">
        <v>35</v>
      </c>
      <c r="V507" s="9"/>
      <c r="W507" s="13" t="s">
        <v>78</v>
      </c>
      <c r="X507" s="10" t="s">
        <v>37</v>
      </c>
      <c r="Y507" s="10" t="s">
        <v>0</v>
      </c>
    </row>
    <row r="508">
      <c r="A508" s="10" t="s">
        <v>1951</v>
      </c>
      <c r="B508" s="11">
        <v>44291.64632706018</v>
      </c>
      <c r="C508" s="10" t="s">
        <v>539</v>
      </c>
      <c r="D508" s="10" t="s">
        <v>540</v>
      </c>
      <c r="E508" s="10" t="s">
        <v>1715</v>
      </c>
      <c r="F508" s="10" t="s">
        <v>1952</v>
      </c>
      <c r="G508" s="10" t="s">
        <v>1953</v>
      </c>
      <c r="H508" s="17">
        <v>44292.70833333333</v>
      </c>
      <c r="I508" s="17">
        <v>44292.83333333333</v>
      </c>
      <c r="J508" s="10" t="s">
        <v>73</v>
      </c>
      <c r="K508" s="10" t="s">
        <v>34</v>
      </c>
      <c r="N508" s="10" t="s">
        <v>35</v>
      </c>
      <c r="V508" s="9"/>
      <c r="W508" s="13" t="s">
        <v>78</v>
      </c>
      <c r="X508" s="10" t="s">
        <v>37</v>
      </c>
      <c r="Y508" s="10" t="s">
        <v>0</v>
      </c>
    </row>
    <row r="509">
      <c r="A509" s="10" t="s">
        <v>1954</v>
      </c>
      <c r="B509" s="11">
        <v>44276.67894182871</v>
      </c>
      <c r="C509" s="10" t="s">
        <v>239</v>
      </c>
      <c r="D509" s="10" t="s">
        <v>240</v>
      </c>
      <c r="E509" s="10" t="s">
        <v>241</v>
      </c>
      <c r="F509" s="10" t="s">
        <v>1955</v>
      </c>
      <c r="G509" s="10" t="s">
        <v>1956</v>
      </c>
      <c r="H509" s="24">
        <v>44289.729166666664</v>
      </c>
      <c r="I509" s="24">
        <v>44289.770833333336</v>
      </c>
      <c r="J509" s="10" t="s">
        <v>43</v>
      </c>
      <c r="K509" s="10" t="s">
        <v>34</v>
      </c>
      <c r="N509" s="10" t="s">
        <v>35</v>
      </c>
      <c r="V509" s="9"/>
      <c r="W509" s="13" t="s">
        <v>78</v>
      </c>
      <c r="X509" s="10" t="s">
        <v>37</v>
      </c>
      <c r="Y509" s="10" t="s">
        <v>0</v>
      </c>
    </row>
    <row r="510">
      <c r="A510" s="10" t="s">
        <v>1957</v>
      </c>
      <c r="B510" s="11">
        <v>44286.73181627315</v>
      </c>
      <c r="C510" s="10" t="s">
        <v>28</v>
      </c>
      <c r="D510" s="10" t="s">
        <v>29</v>
      </c>
      <c r="E510" s="10" t="s">
        <v>63</v>
      </c>
      <c r="F510" s="10" t="s">
        <v>1958</v>
      </c>
      <c r="G510" s="10" t="s">
        <v>1959</v>
      </c>
      <c r="H510" s="24">
        <v>44291.10416666667</v>
      </c>
      <c r="I510" s="24">
        <v>44291.1875</v>
      </c>
      <c r="J510" s="10" t="s">
        <v>43</v>
      </c>
      <c r="K510" s="10" t="s">
        <v>34</v>
      </c>
      <c r="N510" s="10" t="s">
        <v>35</v>
      </c>
      <c r="V510" s="9"/>
      <c r="W510" s="13" t="s">
        <v>78</v>
      </c>
      <c r="X510" s="10" t="s">
        <v>37</v>
      </c>
      <c r="Y510" s="10" t="s">
        <v>0</v>
      </c>
    </row>
    <row r="511">
      <c r="A511" s="10" t="s">
        <v>1960</v>
      </c>
      <c r="B511" s="11">
        <v>44282.81572829861</v>
      </c>
      <c r="C511" s="10" t="s">
        <v>727</v>
      </c>
      <c r="D511" s="10" t="s">
        <v>728</v>
      </c>
      <c r="E511" s="10" t="s">
        <v>1961</v>
      </c>
      <c r="F511" s="10" t="s">
        <v>1962</v>
      </c>
      <c r="G511" s="10" t="s">
        <v>1963</v>
      </c>
      <c r="H511" s="24">
        <v>44291.375</v>
      </c>
      <c r="I511" s="24">
        <v>44295.79166666667</v>
      </c>
      <c r="J511" s="10" t="s">
        <v>43</v>
      </c>
      <c r="K511" s="10" t="s">
        <v>34</v>
      </c>
      <c r="N511" s="10" t="s">
        <v>296</v>
      </c>
      <c r="O511" s="18" t="s">
        <v>1964</v>
      </c>
      <c r="P511" s="10" t="s">
        <v>35</v>
      </c>
      <c r="R511" s="10" t="s">
        <v>296</v>
      </c>
      <c r="S511" s="10">
        <v>2.0</v>
      </c>
      <c r="T511" s="10" t="s">
        <v>296</v>
      </c>
      <c r="U511" s="10">
        <v>2.0</v>
      </c>
      <c r="V511" s="27"/>
      <c r="W511" s="13" t="s">
        <v>78</v>
      </c>
      <c r="X511" s="10" t="s">
        <v>37</v>
      </c>
      <c r="Y511" s="10" t="s">
        <v>0</v>
      </c>
    </row>
    <row r="512">
      <c r="A512" s="10" t="s">
        <v>1965</v>
      </c>
      <c r="B512" s="11">
        <v>44286.73426790509</v>
      </c>
      <c r="C512" s="10" t="s">
        <v>28</v>
      </c>
      <c r="D512" s="10" t="s">
        <v>29</v>
      </c>
      <c r="E512" s="10" t="s">
        <v>63</v>
      </c>
      <c r="F512" s="10" t="s">
        <v>1966</v>
      </c>
      <c r="G512" s="10" t="s">
        <v>1967</v>
      </c>
      <c r="H512" s="17">
        <v>44293.39583333333</v>
      </c>
      <c r="I512" s="17">
        <v>44293.4375</v>
      </c>
      <c r="J512" s="10" t="s">
        <v>51</v>
      </c>
      <c r="K512" s="10" t="s">
        <v>34</v>
      </c>
      <c r="N512" s="10" t="s">
        <v>35</v>
      </c>
      <c r="V512" s="9"/>
      <c r="W512" s="13" t="s">
        <v>78</v>
      </c>
      <c r="X512" s="10" t="s">
        <v>37</v>
      </c>
      <c r="Y512" s="10" t="s">
        <v>0</v>
      </c>
    </row>
    <row r="513">
      <c r="A513" s="10" t="s">
        <v>1968</v>
      </c>
      <c r="B513" s="11">
        <v>44295.448261087964</v>
      </c>
      <c r="C513" s="10" t="s">
        <v>491</v>
      </c>
      <c r="D513" s="10" t="s">
        <v>492</v>
      </c>
      <c r="E513" s="10" t="s">
        <v>853</v>
      </c>
      <c r="F513" s="10" t="s">
        <v>1969</v>
      </c>
      <c r="G513" s="10" t="s">
        <v>1970</v>
      </c>
      <c r="H513" s="17">
        <v>44293.5</v>
      </c>
      <c r="I513" s="17">
        <v>44293.5</v>
      </c>
      <c r="J513" s="10" t="s">
        <v>73</v>
      </c>
      <c r="K513" s="10" t="s">
        <v>34</v>
      </c>
      <c r="N513" s="10" t="s">
        <v>35</v>
      </c>
      <c r="V513" s="9"/>
      <c r="W513" s="13" t="s">
        <v>78</v>
      </c>
      <c r="X513" s="13" t="s">
        <v>37</v>
      </c>
      <c r="Y513" s="13" t="s">
        <v>0</v>
      </c>
    </row>
    <row r="514">
      <c r="A514" s="10" t="s">
        <v>1971</v>
      </c>
      <c r="B514" s="11">
        <v>44288.71615238426</v>
      </c>
      <c r="C514" s="10" t="s">
        <v>694</v>
      </c>
      <c r="D514" s="10" t="s">
        <v>695</v>
      </c>
      <c r="E514" s="10" t="s">
        <v>696</v>
      </c>
      <c r="F514" s="10" t="s">
        <v>1972</v>
      </c>
      <c r="G514" s="10" t="s">
        <v>1973</v>
      </c>
      <c r="H514" s="24">
        <v>44291.64583333333</v>
      </c>
      <c r="I514" s="24">
        <v>44291.6875</v>
      </c>
      <c r="J514" s="10" t="s">
        <v>43</v>
      </c>
      <c r="K514" s="10" t="s">
        <v>34</v>
      </c>
      <c r="N514" s="10" t="s">
        <v>35</v>
      </c>
      <c r="V514" s="9"/>
      <c r="W514" s="13" t="s">
        <v>78</v>
      </c>
      <c r="X514" s="10" t="s">
        <v>37</v>
      </c>
      <c r="Y514" s="10" t="s">
        <v>0</v>
      </c>
    </row>
    <row r="515">
      <c r="A515" s="10" t="s">
        <v>1974</v>
      </c>
      <c r="B515" s="11">
        <v>44289.784174479166</v>
      </c>
      <c r="C515" s="10" t="s">
        <v>239</v>
      </c>
      <c r="D515" s="10" t="s">
        <v>240</v>
      </c>
      <c r="E515" s="10" t="s">
        <v>1975</v>
      </c>
      <c r="F515" s="10" t="s">
        <v>1976</v>
      </c>
      <c r="G515" s="10" t="s">
        <v>1977</v>
      </c>
      <c r="H515" s="17">
        <v>44293.6875</v>
      </c>
      <c r="I515" s="17">
        <v>44293.72916666667</v>
      </c>
      <c r="J515" s="10" t="s">
        <v>128</v>
      </c>
      <c r="K515" s="10" t="s">
        <v>34</v>
      </c>
      <c r="N515" s="10" t="s">
        <v>35</v>
      </c>
      <c r="V515" s="9"/>
      <c r="W515" s="13" t="s">
        <v>78</v>
      </c>
      <c r="X515" s="10" t="s">
        <v>37</v>
      </c>
      <c r="Y515" s="10" t="s">
        <v>0</v>
      </c>
    </row>
    <row r="516">
      <c r="A516" s="10" t="s">
        <v>1978</v>
      </c>
      <c r="B516" s="11">
        <v>44286.73880340278</v>
      </c>
      <c r="C516" s="10" t="s">
        <v>28</v>
      </c>
      <c r="D516" s="10" t="s">
        <v>29</v>
      </c>
      <c r="E516" s="10" t="s">
        <v>63</v>
      </c>
      <c r="F516" s="10" t="s">
        <v>1979</v>
      </c>
      <c r="G516" s="10" t="s">
        <v>1980</v>
      </c>
      <c r="H516" s="17">
        <v>44294.35416666667</v>
      </c>
      <c r="I516" s="17">
        <v>44316.49930555555</v>
      </c>
      <c r="J516" s="10" t="s">
        <v>51</v>
      </c>
      <c r="K516" s="10" t="s">
        <v>34</v>
      </c>
      <c r="N516" s="10" t="s">
        <v>35</v>
      </c>
      <c r="V516" s="9"/>
      <c r="W516" s="13" t="s">
        <v>78</v>
      </c>
      <c r="X516" s="10" t="s">
        <v>37</v>
      </c>
      <c r="Y516" s="10" t="s">
        <v>0</v>
      </c>
    </row>
    <row r="517">
      <c r="A517" s="10" t="s">
        <v>1981</v>
      </c>
      <c r="B517" s="11">
        <v>44286.73292594907</v>
      </c>
      <c r="C517" s="10" t="s">
        <v>28</v>
      </c>
      <c r="D517" s="10" t="s">
        <v>29</v>
      </c>
      <c r="E517" s="10" t="s">
        <v>63</v>
      </c>
      <c r="F517" s="10" t="s">
        <v>1982</v>
      </c>
      <c r="G517" s="10" t="s">
        <v>1983</v>
      </c>
      <c r="H517" s="24">
        <v>44292.1875</v>
      </c>
      <c r="I517" s="24">
        <v>44292.27083333333</v>
      </c>
      <c r="J517" s="10" t="s">
        <v>43</v>
      </c>
      <c r="K517" s="10" t="s">
        <v>34</v>
      </c>
      <c r="N517" s="10" t="s">
        <v>35</v>
      </c>
      <c r="V517" s="9"/>
      <c r="W517" s="13" t="s">
        <v>78</v>
      </c>
      <c r="X517" s="10" t="s">
        <v>37</v>
      </c>
      <c r="Y517" s="10" t="s">
        <v>0</v>
      </c>
    </row>
    <row r="518">
      <c r="A518" s="10" t="s">
        <v>1984</v>
      </c>
      <c r="B518" s="11">
        <v>44290.89621888888</v>
      </c>
      <c r="C518" s="10" t="s">
        <v>975</v>
      </c>
      <c r="D518" s="10" t="s">
        <v>976</v>
      </c>
      <c r="E518" s="10" t="s">
        <v>1985</v>
      </c>
      <c r="F518" s="10" t="s">
        <v>1986</v>
      </c>
      <c r="G518" s="10" t="s">
        <v>1987</v>
      </c>
      <c r="H518" s="24">
        <v>44292.60416666667</v>
      </c>
      <c r="I518" s="24">
        <v>44292.64583333333</v>
      </c>
      <c r="J518" s="10" t="s">
        <v>43</v>
      </c>
      <c r="K518" s="10" t="s">
        <v>34</v>
      </c>
      <c r="N518" s="10" t="s">
        <v>296</v>
      </c>
      <c r="O518" s="18" t="s">
        <v>1988</v>
      </c>
      <c r="P518" s="10" t="s">
        <v>296</v>
      </c>
      <c r="Q518" s="10">
        <v>2.0</v>
      </c>
      <c r="R518" s="10" t="s">
        <v>35</v>
      </c>
      <c r="T518" s="10" t="s">
        <v>35</v>
      </c>
      <c r="V518" s="9"/>
      <c r="W518" s="13" t="s">
        <v>78</v>
      </c>
      <c r="X518" s="10" t="s">
        <v>37</v>
      </c>
      <c r="Y518" s="10" t="s">
        <v>0</v>
      </c>
    </row>
    <row r="519">
      <c r="A519" s="10" t="s">
        <v>1989</v>
      </c>
      <c r="B519" s="11">
        <v>44288.67408857639</v>
      </c>
      <c r="C519" s="10" t="s">
        <v>694</v>
      </c>
      <c r="D519" s="10" t="s">
        <v>695</v>
      </c>
      <c r="E519" s="10" t="s">
        <v>696</v>
      </c>
      <c r="F519" s="10" t="s">
        <v>1990</v>
      </c>
      <c r="G519" s="10" t="s">
        <v>1991</v>
      </c>
      <c r="H519" s="24">
        <v>44292.6875</v>
      </c>
      <c r="I519" s="24">
        <v>44292.72916666667</v>
      </c>
      <c r="J519" s="10" t="s">
        <v>43</v>
      </c>
      <c r="K519" s="10" t="s">
        <v>34</v>
      </c>
      <c r="N519" s="10" t="s">
        <v>35</v>
      </c>
      <c r="V519" s="9"/>
      <c r="W519" s="13" t="s">
        <v>78</v>
      </c>
      <c r="X519" s="10" t="s">
        <v>37</v>
      </c>
      <c r="Y519" s="10" t="s">
        <v>0</v>
      </c>
    </row>
    <row r="520">
      <c r="A520" s="10" t="s">
        <v>1992</v>
      </c>
      <c r="B520" s="11">
        <v>44288.42488917824</v>
      </c>
      <c r="C520" s="10" t="s">
        <v>671</v>
      </c>
      <c r="D520" s="10" t="s">
        <v>672</v>
      </c>
      <c r="E520" s="10" t="s">
        <v>1993</v>
      </c>
      <c r="F520" s="10" t="s">
        <v>1994</v>
      </c>
      <c r="G520" s="10" t="s">
        <v>1995</v>
      </c>
      <c r="H520" s="17">
        <v>44294.6875</v>
      </c>
      <c r="I520" s="17">
        <v>44294.72916666667</v>
      </c>
      <c r="J520" s="10" t="s">
        <v>128</v>
      </c>
      <c r="K520" s="10" t="s">
        <v>34</v>
      </c>
      <c r="N520" s="10" t="s">
        <v>35</v>
      </c>
      <c r="V520" s="9"/>
      <c r="W520" s="13" t="s">
        <v>78</v>
      </c>
      <c r="X520" s="10" t="s">
        <v>37</v>
      </c>
      <c r="Y520" s="10" t="s">
        <v>0</v>
      </c>
    </row>
    <row r="521">
      <c r="A521" s="10" t="s">
        <v>1996</v>
      </c>
      <c r="B521" s="11">
        <v>44275.79142678241</v>
      </c>
      <c r="C521" s="10" t="s">
        <v>181</v>
      </c>
      <c r="D521" s="10" t="s">
        <v>69</v>
      </c>
      <c r="E521" s="10" t="s">
        <v>1997</v>
      </c>
      <c r="F521" s="10" t="s">
        <v>1998</v>
      </c>
      <c r="G521" s="10" t="s">
        <v>1999</v>
      </c>
      <c r="H521" s="24">
        <v>44292.79166666667</v>
      </c>
      <c r="I521" s="24">
        <v>44292.875</v>
      </c>
      <c r="J521" s="10" t="s">
        <v>43</v>
      </c>
      <c r="K521" s="10" t="s">
        <v>34</v>
      </c>
      <c r="N521" s="10" t="s">
        <v>296</v>
      </c>
      <c r="O521" s="18" t="s">
        <v>2000</v>
      </c>
      <c r="P521" s="10" t="s">
        <v>35</v>
      </c>
      <c r="R521" s="10" t="s">
        <v>35</v>
      </c>
      <c r="T521" s="10" t="s">
        <v>296</v>
      </c>
      <c r="U521" s="10">
        <v>1.0</v>
      </c>
      <c r="V521" s="27"/>
      <c r="W521" s="13" t="s">
        <v>78</v>
      </c>
      <c r="X521" s="10" t="s">
        <v>37</v>
      </c>
      <c r="Y521" s="10" t="s">
        <v>0</v>
      </c>
    </row>
    <row r="522">
      <c r="A522" s="10" t="s">
        <v>2001</v>
      </c>
      <c r="B522" s="11">
        <v>44294.76892030092</v>
      </c>
      <c r="C522" s="10" t="s">
        <v>1035</v>
      </c>
      <c r="D522" s="10" t="s">
        <v>1036</v>
      </c>
      <c r="E522" s="10" t="s">
        <v>2002</v>
      </c>
      <c r="F522" s="10" t="s">
        <v>2003</v>
      </c>
      <c r="G522" s="10" t="s">
        <v>2004</v>
      </c>
      <c r="H522" s="17">
        <v>44294.77083333333</v>
      </c>
      <c r="I522" s="17">
        <v>44294.8125</v>
      </c>
      <c r="J522" s="10" t="s">
        <v>128</v>
      </c>
      <c r="K522" s="10" t="s">
        <v>34</v>
      </c>
      <c r="N522" s="10" t="s">
        <v>35</v>
      </c>
      <c r="V522" s="9"/>
      <c r="W522" s="13" t="s">
        <v>78</v>
      </c>
      <c r="X522" s="13" t="s">
        <v>37</v>
      </c>
      <c r="Y522" s="13" t="s">
        <v>0</v>
      </c>
    </row>
    <row r="523">
      <c r="A523" s="10" t="s">
        <v>2005</v>
      </c>
      <c r="B523" s="11">
        <v>44286.39907206019</v>
      </c>
      <c r="C523" s="10" t="s">
        <v>491</v>
      </c>
      <c r="D523" s="10" t="s">
        <v>492</v>
      </c>
      <c r="E523" s="10" t="s">
        <v>657</v>
      </c>
      <c r="F523" s="10" t="s">
        <v>2006</v>
      </c>
      <c r="G523" s="10" t="s">
        <v>2007</v>
      </c>
      <c r="H523" s="17">
        <v>44294.79166666667</v>
      </c>
      <c r="I523" s="17">
        <v>44294.84375</v>
      </c>
      <c r="J523" s="10" t="s">
        <v>128</v>
      </c>
      <c r="K523" s="10" t="s">
        <v>34</v>
      </c>
      <c r="N523" s="10" t="s">
        <v>35</v>
      </c>
      <c r="V523" s="9"/>
      <c r="W523" s="13" t="s">
        <v>78</v>
      </c>
      <c r="X523" s="10" t="s">
        <v>37</v>
      </c>
      <c r="Y523" s="10" t="s">
        <v>0</v>
      </c>
    </row>
    <row r="524">
      <c r="A524" s="10" t="s">
        <v>2008</v>
      </c>
      <c r="B524" s="11">
        <v>44295.45123644676</v>
      </c>
      <c r="C524" s="10" t="s">
        <v>491</v>
      </c>
      <c r="D524" s="10" t="s">
        <v>492</v>
      </c>
      <c r="E524" s="10" t="s">
        <v>853</v>
      </c>
      <c r="F524" s="10" t="s">
        <v>2009</v>
      </c>
      <c r="G524" s="10" t="s">
        <v>2010</v>
      </c>
      <c r="H524" s="17">
        <v>44294.79166666667</v>
      </c>
      <c r="I524" s="17">
        <v>44294.79166666667</v>
      </c>
      <c r="J524" s="10" t="s">
        <v>73</v>
      </c>
      <c r="K524" s="10" t="s">
        <v>34</v>
      </c>
      <c r="N524" s="10" t="s">
        <v>35</v>
      </c>
      <c r="V524" s="9"/>
      <c r="W524" s="13" t="s">
        <v>78</v>
      </c>
      <c r="X524" s="13" t="s">
        <v>37</v>
      </c>
      <c r="Y524" s="13" t="s">
        <v>0</v>
      </c>
    </row>
    <row r="525">
      <c r="A525" s="10" t="s">
        <v>2011</v>
      </c>
      <c r="B525" s="11">
        <v>44293.40412695602</v>
      </c>
      <c r="C525" s="10" t="s">
        <v>1405</v>
      </c>
      <c r="D525" s="10" t="s">
        <v>1406</v>
      </c>
      <c r="E525" s="10" t="s">
        <v>2012</v>
      </c>
      <c r="F525" s="10" t="s">
        <v>2013</v>
      </c>
      <c r="G525" s="10" t="s">
        <v>2014</v>
      </c>
      <c r="H525" s="17">
        <v>44294.85416666667</v>
      </c>
      <c r="I525" s="17">
        <v>44294.89583333333</v>
      </c>
      <c r="J525" s="10" t="s">
        <v>128</v>
      </c>
      <c r="K525" s="10" t="s">
        <v>34</v>
      </c>
      <c r="N525" s="10" t="s">
        <v>35</v>
      </c>
      <c r="V525" s="9"/>
      <c r="W525" s="13" t="s">
        <v>78</v>
      </c>
      <c r="X525" s="10" t="s">
        <v>37</v>
      </c>
      <c r="Y525" s="10" t="s">
        <v>0</v>
      </c>
    </row>
    <row r="526">
      <c r="A526" s="10" t="s">
        <v>2015</v>
      </c>
      <c r="B526" s="11">
        <v>44291.40182153935</v>
      </c>
      <c r="C526" s="10" t="s">
        <v>539</v>
      </c>
      <c r="D526" s="10" t="s">
        <v>540</v>
      </c>
      <c r="E526" s="10" t="s">
        <v>541</v>
      </c>
      <c r="F526" s="10" t="s">
        <v>2016</v>
      </c>
      <c r="G526" s="10" t="s">
        <v>2017</v>
      </c>
      <c r="H526" s="24">
        <v>44293.29166666667</v>
      </c>
      <c r="I526" s="24">
        <v>44315.83333333333</v>
      </c>
      <c r="J526" s="10" t="s">
        <v>43</v>
      </c>
      <c r="K526" s="10" t="s">
        <v>34</v>
      </c>
      <c r="N526" s="10" t="s">
        <v>35</v>
      </c>
      <c r="V526" s="9"/>
      <c r="W526" s="13" t="s">
        <v>78</v>
      </c>
      <c r="X526" s="10" t="s">
        <v>37</v>
      </c>
      <c r="Y526" s="10" t="s">
        <v>0</v>
      </c>
    </row>
    <row r="527">
      <c r="A527" s="10" t="s">
        <v>2018</v>
      </c>
      <c r="B527" s="11">
        <v>44294.77137126157</v>
      </c>
      <c r="C527" s="10" t="s">
        <v>1035</v>
      </c>
      <c r="D527" s="10" t="s">
        <v>1036</v>
      </c>
      <c r="E527" s="10" t="s">
        <v>2002</v>
      </c>
      <c r="F527" s="10" t="s">
        <v>2019</v>
      </c>
      <c r="G527" s="10" t="s">
        <v>2020</v>
      </c>
      <c r="H527" s="17">
        <v>44295.39583333333</v>
      </c>
      <c r="I527" s="17">
        <v>44295.39583333333</v>
      </c>
      <c r="J527" s="10" t="s">
        <v>128</v>
      </c>
      <c r="K527" s="10" t="s">
        <v>34</v>
      </c>
      <c r="N527" s="10" t="s">
        <v>35</v>
      </c>
      <c r="V527" s="9"/>
      <c r="W527" s="13" t="s">
        <v>78</v>
      </c>
      <c r="X527" s="13" t="s">
        <v>37</v>
      </c>
      <c r="Y527" s="13" t="s">
        <v>0</v>
      </c>
    </row>
    <row r="528">
      <c r="A528" s="10" t="s">
        <v>2021</v>
      </c>
      <c r="B528" s="11">
        <v>44275.79373695602</v>
      </c>
      <c r="C528" s="10" t="s">
        <v>181</v>
      </c>
      <c r="D528" s="10" t="s">
        <v>69</v>
      </c>
      <c r="E528" s="10" t="s">
        <v>1924</v>
      </c>
      <c r="F528" s="10" t="s">
        <v>2022</v>
      </c>
      <c r="G528" s="10" t="s">
        <v>2023</v>
      </c>
      <c r="H528" s="17">
        <v>44295.41666666667</v>
      </c>
      <c r="I528" s="17">
        <v>44295.5</v>
      </c>
      <c r="J528" s="10" t="s">
        <v>128</v>
      </c>
      <c r="K528" s="10" t="s">
        <v>34</v>
      </c>
      <c r="N528" s="10" t="s">
        <v>35</v>
      </c>
      <c r="V528" s="9"/>
      <c r="W528" s="13" t="s">
        <v>78</v>
      </c>
      <c r="X528" s="10" t="s">
        <v>37</v>
      </c>
      <c r="Y528" s="10" t="s">
        <v>0</v>
      </c>
    </row>
    <row r="529">
      <c r="A529" s="10" t="s">
        <v>2024</v>
      </c>
      <c r="B529" s="11">
        <v>44288.66900037037</v>
      </c>
      <c r="C529" s="10" t="s">
        <v>694</v>
      </c>
      <c r="D529" s="10" t="s">
        <v>695</v>
      </c>
      <c r="E529" s="10" t="s">
        <v>696</v>
      </c>
      <c r="F529" s="10" t="s">
        <v>697</v>
      </c>
      <c r="G529" s="10" t="s">
        <v>698</v>
      </c>
      <c r="H529" s="17">
        <v>44295.52083333333</v>
      </c>
      <c r="I529" s="17">
        <v>44295.5625</v>
      </c>
      <c r="J529" s="10" t="s">
        <v>128</v>
      </c>
      <c r="K529" s="10" t="s">
        <v>34</v>
      </c>
      <c r="N529" s="10" t="s">
        <v>35</v>
      </c>
      <c r="V529" s="9"/>
      <c r="W529" s="13" t="s">
        <v>78</v>
      </c>
      <c r="X529" s="10" t="s">
        <v>37</v>
      </c>
      <c r="Y529" s="10" t="s">
        <v>0</v>
      </c>
    </row>
    <row r="530">
      <c r="A530" s="10" t="s">
        <v>2025</v>
      </c>
      <c r="B530" s="11">
        <v>44291.60691519676</v>
      </c>
      <c r="C530" s="10" t="s">
        <v>671</v>
      </c>
      <c r="D530" s="10" t="s">
        <v>672</v>
      </c>
      <c r="E530" s="10" t="s">
        <v>1140</v>
      </c>
      <c r="F530" s="10" t="s">
        <v>2026</v>
      </c>
      <c r="G530" s="10" t="s">
        <v>1618</v>
      </c>
      <c r="H530" s="17">
        <v>44295.5625</v>
      </c>
      <c r="I530" s="17">
        <v>44295.60416666667</v>
      </c>
      <c r="J530" s="10" t="s">
        <v>128</v>
      </c>
      <c r="K530" s="10" t="s">
        <v>34</v>
      </c>
      <c r="N530" s="10" t="s">
        <v>35</v>
      </c>
      <c r="V530" s="9"/>
      <c r="W530" s="13" t="s">
        <v>78</v>
      </c>
      <c r="X530" s="10" t="s">
        <v>37</v>
      </c>
      <c r="Y530" s="10" t="s">
        <v>0</v>
      </c>
    </row>
    <row r="531">
      <c r="A531" s="10" t="s">
        <v>2027</v>
      </c>
      <c r="B531" s="11">
        <v>44256.49077611111</v>
      </c>
      <c r="C531" s="10" t="s">
        <v>137</v>
      </c>
      <c r="D531" s="10" t="s">
        <v>138</v>
      </c>
      <c r="E531" s="10" t="s">
        <v>1376</v>
      </c>
      <c r="F531" s="10" t="s">
        <v>921</v>
      </c>
      <c r="G531" s="10" t="s">
        <v>701</v>
      </c>
      <c r="H531" s="17">
        <v>44295.58333333333</v>
      </c>
      <c r="I531" s="17">
        <v>44295.66666666667</v>
      </c>
      <c r="J531" s="10" t="s">
        <v>128</v>
      </c>
      <c r="K531" s="10" t="s">
        <v>34</v>
      </c>
      <c r="N531" s="10" t="s">
        <v>35</v>
      </c>
      <c r="V531" s="9"/>
      <c r="W531" s="13" t="s">
        <v>78</v>
      </c>
      <c r="X531" s="10" t="s">
        <v>37</v>
      </c>
      <c r="Y531" s="10" t="s">
        <v>0</v>
      </c>
    </row>
    <row r="532">
      <c r="A532" s="10" t="s">
        <v>2028</v>
      </c>
      <c r="B532" s="11">
        <v>44291.40221219907</v>
      </c>
      <c r="C532" s="10" t="s">
        <v>539</v>
      </c>
      <c r="D532" s="10" t="s">
        <v>540</v>
      </c>
      <c r="E532" s="10" t="s">
        <v>541</v>
      </c>
      <c r="F532" s="10" t="s">
        <v>2016</v>
      </c>
      <c r="G532" s="10" t="s">
        <v>2017</v>
      </c>
      <c r="H532" s="24">
        <v>44293.29166666667</v>
      </c>
      <c r="I532" s="24">
        <v>44315.83333333333</v>
      </c>
      <c r="J532" s="10" t="s">
        <v>43</v>
      </c>
      <c r="K532" s="10" t="s">
        <v>34</v>
      </c>
      <c r="N532" s="10" t="s">
        <v>35</v>
      </c>
      <c r="V532" s="9"/>
      <c r="W532" s="13" t="s">
        <v>78</v>
      </c>
      <c r="X532" s="10" t="s">
        <v>37</v>
      </c>
      <c r="Y532" s="10" t="s">
        <v>0</v>
      </c>
    </row>
    <row r="533">
      <c r="A533" s="10" t="s">
        <v>2029</v>
      </c>
      <c r="B533" s="11">
        <v>44288.678514479165</v>
      </c>
      <c r="C533" s="10" t="s">
        <v>694</v>
      </c>
      <c r="D533" s="10" t="s">
        <v>695</v>
      </c>
      <c r="E533" s="10" t="s">
        <v>696</v>
      </c>
      <c r="F533" s="10" t="s">
        <v>2030</v>
      </c>
      <c r="G533" s="10" t="s">
        <v>2031</v>
      </c>
      <c r="H533" s="24">
        <v>44293.64583333333</v>
      </c>
      <c r="I533" s="24">
        <v>44293.72916666667</v>
      </c>
      <c r="J533" s="10" t="s">
        <v>43</v>
      </c>
      <c r="K533" s="10" t="s">
        <v>34</v>
      </c>
      <c r="N533" s="10" t="s">
        <v>35</v>
      </c>
      <c r="V533" s="9"/>
      <c r="W533" s="13" t="s">
        <v>78</v>
      </c>
      <c r="X533" s="10" t="s">
        <v>37</v>
      </c>
      <c r="Y533" s="10" t="s">
        <v>0</v>
      </c>
    </row>
    <row r="534">
      <c r="A534" s="10" t="s">
        <v>2032</v>
      </c>
      <c r="B534" s="11">
        <v>44286.74024233797</v>
      </c>
      <c r="C534" s="10" t="s">
        <v>28</v>
      </c>
      <c r="D534" s="10" t="s">
        <v>29</v>
      </c>
      <c r="E534" s="10" t="s">
        <v>63</v>
      </c>
      <c r="F534" s="10" t="s">
        <v>2033</v>
      </c>
      <c r="G534" s="10" t="s">
        <v>2034</v>
      </c>
      <c r="H534" s="24">
        <v>44294.35416666667</v>
      </c>
      <c r="I534" s="24">
        <v>44296.49930555555</v>
      </c>
      <c r="J534" s="10" t="s">
        <v>43</v>
      </c>
      <c r="K534" s="10" t="s">
        <v>34</v>
      </c>
      <c r="N534" s="10" t="s">
        <v>35</v>
      </c>
      <c r="V534" s="9"/>
      <c r="W534" s="13" t="s">
        <v>78</v>
      </c>
      <c r="X534" s="10" t="s">
        <v>37</v>
      </c>
      <c r="Y534" s="10" t="s">
        <v>0</v>
      </c>
    </row>
    <row r="535">
      <c r="A535" s="10" t="s">
        <v>2035</v>
      </c>
      <c r="B535" s="11">
        <v>44291.845056412036</v>
      </c>
      <c r="C535" s="10" t="s">
        <v>96</v>
      </c>
      <c r="D535" s="10" t="s">
        <v>97</v>
      </c>
      <c r="E535" s="10" t="s">
        <v>2036</v>
      </c>
      <c r="F535" s="10" t="s">
        <v>2037</v>
      </c>
      <c r="G535" s="10" t="s">
        <v>2038</v>
      </c>
      <c r="H535" s="16">
        <v>44294.4375</v>
      </c>
      <c r="I535" s="16">
        <v>44294.5</v>
      </c>
      <c r="J535" s="10" t="s">
        <v>43</v>
      </c>
      <c r="K535" s="10" t="s">
        <v>34</v>
      </c>
      <c r="N535" s="10" t="s">
        <v>296</v>
      </c>
      <c r="O535" s="18" t="s">
        <v>2039</v>
      </c>
      <c r="P535" s="10" t="s">
        <v>296</v>
      </c>
      <c r="Q535" s="10">
        <v>1.0</v>
      </c>
      <c r="R535" s="10" t="s">
        <v>35</v>
      </c>
      <c r="T535" s="10" t="s">
        <v>35</v>
      </c>
      <c r="V535" s="9"/>
      <c r="W535" s="13" t="s">
        <v>78</v>
      </c>
      <c r="X535" s="10" t="s">
        <v>37</v>
      </c>
      <c r="Y535" s="10" t="s">
        <v>0</v>
      </c>
    </row>
    <row r="536">
      <c r="A536" s="10" t="s">
        <v>2040</v>
      </c>
      <c r="B536" s="11">
        <v>44289.78295030093</v>
      </c>
      <c r="C536" s="10" t="s">
        <v>239</v>
      </c>
      <c r="D536" s="10" t="s">
        <v>240</v>
      </c>
      <c r="E536" s="10" t="s">
        <v>2041</v>
      </c>
      <c r="F536" s="10" t="s">
        <v>2042</v>
      </c>
      <c r="G536" s="10" t="s">
        <v>2043</v>
      </c>
      <c r="H536" s="17">
        <v>44295.66666666667</v>
      </c>
      <c r="I536" s="17">
        <v>44295.72916666667</v>
      </c>
      <c r="J536" s="10" t="s">
        <v>33</v>
      </c>
      <c r="K536" s="10" t="s">
        <v>34</v>
      </c>
      <c r="N536" s="10" t="s">
        <v>35</v>
      </c>
      <c r="V536" s="9"/>
      <c r="W536" s="13" t="s">
        <v>78</v>
      </c>
      <c r="X536" s="10" t="s">
        <v>37</v>
      </c>
      <c r="Y536" s="10" t="s">
        <v>0</v>
      </c>
    </row>
    <row r="537">
      <c r="A537" s="10" t="s">
        <v>2044</v>
      </c>
      <c r="B537" s="11">
        <v>44281.70360633102</v>
      </c>
      <c r="C537" s="10" t="s">
        <v>381</v>
      </c>
      <c r="D537" s="10" t="s">
        <v>382</v>
      </c>
      <c r="E537" s="10" t="s">
        <v>2045</v>
      </c>
      <c r="F537" s="10" t="s">
        <v>2046</v>
      </c>
      <c r="G537" s="10" t="s">
        <v>2047</v>
      </c>
      <c r="H537" s="17">
        <v>44295.6875</v>
      </c>
      <c r="I537" s="17">
        <v>44351.72916666667</v>
      </c>
      <c r="J537" s="10" t="s">
        <v>128</v>
      </c>
      <c r="K537" s="10" t="s">
        <v>34</v>
      </c>
      <c r="N537" s="10" t="s">
        <v>35</v>
      </c>
      <c r="V537" s="9"/>
      <c r="W537" s="13" t="s">
        <v>78</v>
      </c>
      <c r="X537" s="10" t="s">
        <v>37</v>
      </c>
      <c r="Y537" s="10" t="s">
        <v>0</v>
      </c>
    </row>
    <row r="538">
      <c r="A538" s="10" t="s">
        <v>2048</v>
      </c>
      <c r="B538" s="11">
        <v>44281.70502340278</v>
      </c>
      <c r="C538" s="10" t="s">
        <v>381</v>
      </c>
      <c r="D538" s="10" t="s">
        <v>382</v>
      </c>
      <c r="E538" s="10" t="s">
        <v>2045</v>
      </c>
      <c r="F538" s="10" t="s">
        <v>2049</v>
      </c>
      <c r="G538" s="10" t="s">
        <v>2050</v>
      </c>
      <c r="H538" s="17">
        <v>44295.6875</v>
      </c>
      <c r="I538" s="17">
        <v>44295.72916666667</v>
      </c>
      <c r="J538" s="10" t="s">
        <v>128</v>
      </c>
      <c r="K538" s="10" t="s">
        <v>34</v>
      </c>
      <c r="N538" s="10" t="s">
        <v>35</v>
      </c>
      <c r="V538" s="9"/>
      <c r="W538" s="13" t="s">
        <v>78</v>
      </c>
      <c r="X538" s="10" t="s">
        <v>37</v>
      </c>
      <c r="Y538" s="10" t="s">
        <v>0</v>
      </c>
    </row>
    <row r="539">
      <c r="A539" s="10" t="s">
        <v>2051</v>
      </c>
      <c r="B539" s="11">
        <v>44288.40663378472</v>
      </c>
      <c r="C539" s="10" t="s">
        <v>671</v>
      </c>
      <c r="D539" s="10" t="s">
        <v>672</v>
      </c>
      <c r="E539" s="10" t="s">
        <v>1140</v>
      </c>
      <c r="F539" s="10" t="s">
        <v>2052</v>
      </c>
      <c r="G539" s="10" t="s">
        <v>2053</v>
      </c>
      <c r="H539" s="17">
        <v>44295.6875</v>
      </c>
      <c r="I539" s="17">
        <v>44295.72916666667</v>
      </c>
      <c r="J539" s="10" t="s">
        <v>128</v>
      </c>
      <c r="K539" s="10" t="s">
        <v>34</v>
      </c>
      <c r="N539" s="10" t="s">
        <v>35</v>
      </c>
      <c r="V539" s="9"/>
      <c r="W539" s="13" t="s">
        <v>78</v>
      </c>
      <c r="X539" s="10" t="s">
        <v>37</v>
      </c>
      <c r="Y539" s="10" t="s">
        <v>0</v>
      </c>
    </row>
    <row r="540">
      <c r="A540" s="10" t="s">
        <v>2054</v>
      </c>
      <c r="B540" s="11">
        <v>44288.40966489584</v>
      </c>
      <c r="C540" s="10" t="s">
        <v>671</v>
      </c>
      <c r="D540" s="10" t="s">
        <v>672</v>
      </c>
      <c r="E540" s="10" t="s">
        <v>2055</v>
      </c>
      <c r="F540" s="10" t="s">
        <v>2056</v>
      </c>
      <c r="G540" s="10" t="s">
        <v>2057</v>
      </c>
      <c r="H540" s="17">
        <v>44295.6875</v>
      </c>
      <c r="I540" s="17">
        <v>44295.72916666667</v>
      </c>
      <c r="J540" s="10" t="s">
        <v>128</v>
      </c>
      <c r="K540" s="10" t="s">
        <v>34</v>
      </c>
      <c r="N540" s="10" t="s">
        <v>35</v>
      </c>
      <c r="V540" s="9"/>
      <c r="W540" s="13" t="s">
        <v>78</v>
      </c>
      <c r="X540" s="10" t="s">
        <v>37</v>
      </c>
      <c r="Y540" s="10" t="s">
        <v>0</v>
      </c>
    </row>
    <row r="541">
      <c r="A541" s="10" t="s">
        <v>2058</v>
      </c>
      <c r="B541" s="11">
        <v>44291.76674666667</v>
      </c>
      <c r="C541" s="10" t="s">
        <v>1583</v>
      </c>
      <c r="D541" s="10" t="s">
        <v>505</v>
      </c>
      <c r="E541" s="10" t="s">
        <v>2059</v>
      </c>
      <c r="F541" s="10" t="s">
        <v>2060</v>
      </c>
      <c r="G541" s="10" t="s">
        <v>2061</v>
      </c>
      <c r="H541" s="17">
        <v>44295.70833333333</v>
      </c>
      <c r="I541" s="17">
        <v>44295.79166666667</v>
      </c>
      <c r="J541" s="10" t="s">
        <v>128</v>
      </c>
      <c r="K541" s="10" t="s">
        <v>34</v>
      </c>
      <c r="N541" s="10" t="s">
        <v>35</v>
      </c>
      <c r="V541" s="9"/>
      <c r="W541" s="13" t="s">
        <v>78</v>
      </c>
      <c r="X541" s="10" t="s">
        <v>37</v>
      </c>
      <c r="Y541" s="10" t="s">
        <v>0</v>
      </c>
    </row>
    <row r="542">
      <c r="A542" s="10" t="s">
        <v>2062</v>
      </c>
      <c r="B542" s="11">
        <v>44286.74336168982</v>
      </c>
      <c r="C542" s="10" t="s">
        <v>28</v>
      </c>
      <c r="D542" s="10" t="s">
        <v>29</v>
      </c>
      <c r="E542" s="10" t="s">
        <v>63</v>
      </c>
      <c r="F542" s="10" t="s">
        <v>2063</v>
      </c>
      <c r="G542" s="10" t="s">
        <v>2064</v>
      </c>
      <c r="H542" s="24">
        <v>44294.6875</v>
      </c>
      <c r="I542" s="24">
        <v>44294.77083333333</v>
      </c>
      <c r="J542" s="10" t="s">
        <v>43</v>
      </c>
      <c r="K542" s="10" t="s">
        <v>34</v>
      </c>
      <c r="N542" s="10" t="s">
        <v>35</v>
      </c>
      <c r="V542" s="9"/>
      <c r="W542" s="13" t="s">
        <v>78</v>
      </c>
      <c r="X542" s="10" t="s">
        <v>37</v>
      </c>
      <c r="Y542" s="10" t="s">
        <v>0</v>
      </c>
    </row>
    <row r="543">
      <c r="A543" s="10" t="s">
        <v>2065</v>
      </c>
      <c r="B543" s="11">
        <v>44291.40538512732</v>
      </c>
      <c r="C543" s="10" t="s">
        <v>539</v>
      </c>
      <c r="D543" s="10" t="s">
        <v>540</v>
      </c>
      <c r="E543" s="10" t="s">
        <v>2066</v>
      </c>
      <c r="F543" s="10" t="s">
        <v>2067</v>
      </c>
      <c r="G543" s="10" t="s">
        <v>2068</v>
      </c>
      <c r="H543" s="17">
        <v>44295.77083333333</v>
      </c>
      <c r="I543" s="17">
        <v>44295.8125</v>
      </c>
      <c r="J543" s="10" t="s">
        <v>128</v>
      </c>
      <c r="K543" s="10" t="s">
        <v>34</v>
      </c>
      <c r="N543" s="10" t="s">
        <v>35</v>
      </c>
      <c r="V543" s="9"/>
      <c r="W543" s="13" t="s">
        <v>78</v>
      </c>
      <c r="X543" s="10" t="s">
        <v>37</v>
      </c>
      <c r="Y543" s="10" t="s">
        <v>0</v>
      </c>
    </row>
    <row r="544">
      <c r="A544" s="10" t="s">
        <v>2069</v>
      </c>
      <c r="B544" s="11">
        <v>44291.584595057866</v>
      </c>
      <c r="C544" s="10" t="s">
        <v>239</v>
      </c>
      <c r="D544" s="10" t="s">
        <v>240</v>
      </c>
      <c r="E544" s="10" t="s">
        <v>1948</v>
      </c>
      <c r="F544" s="10" t="s">
        <v>2070</v>
      </c>
      <c r="G544" s="10" t="s">
        <v>2071</v>
      </c>
      <c r="H544" s="17">
        <v>44295.77083333333</v>
      </c>
      <c r="I544" s="17">
        <v>44295.83333333333</v>
      </c>
      <c r="J544" s="10" t="s">
        <v>33</v>
      </c>
      <c r="K544" s="10" t="s">
        <v>34</v>
      </c>
      <c r="N544" s="10" t="s">
        <v>35</v>
      </c>
      <c r="V544" s="9"/>
      <c r="W544" s="13" t="s">
        <v>78</v>
      </c>
      <c r="X544" s="10" t="s">
        <v>37</v>
      </c>
      <c r="Y544" s="10" t="s">
        <v>0</v>
      </c>
    </row>
    <row r="545">
      <c r="A545" s="10" t="s">
        <v>2072</v>
      </c>
      <c r="B545" s="11">
        <v>44293.75881886574</v>
      </c>
      <c r="C545" s="10" t="s">
        <v>1405</v>
      </c>
      <c r="D545" s="10" t="s">
        <v>1406</v>
      </c>
      <c r="E545" s="10" t="s">
        <v>2073</v>
      </c>
      <c r="F545" s="10" t="s">
        <v>2074</v>
      </c>
      <c r="G545" s="10" t="s">
        <v>2075</v>
      </c>
      <c r="H545" s="17">
        <v>44295.77083333333</v>
      </c>
      <c r="I545" s="17">
        <v>44295.8125</v>
      </c>
      <c r="J545" s="10" t="s">
        <v>128</v>
      </c>
      <c r="K545" s="10" t="s">
        <v>34</v>
      </c>
      <c r="N545" s="10" t="s">
        <v>35</v>
      </c>
      <c r="V545" s="9"/>
      <c r="W545" s="13" t="s">
        <v>78</v>
      </c>
      <c r="X545" s="10" t="s">
        <v>37</v>
      </c>
      <c r="Y545" s="10" t="s">
        <v>0</v>
      </c>
    </row>
    <row r="546">
      <c r="A546" s="10" t="s">
        <v>2076</v>
      </c>
      <c r="B546" s="11">
        <v>44294.86335678241</v>
      </c>
      <c r="C546" s="10" t="s">
        <v>1516</v>
      </c>
      <c r="D546" s="10" t="s">
        <v>611</v>
      </c>
      <c r="E546" s="10" t="s">
        <v>2077</v>
      </c>
      <c r="F546" s="10" t="s">
        <v>2078</v>
      </c>
      <c r="G546" s="10" t="s">
        <v>2079</v>
      </c>
      <c r="H546" s="17">
        <v>44296.0</v>
      </c>
      <c r="I546" s="17">
        <v>44359.99930555555</v>
      </c>
      <c r="J546" s="10" t="s">
        <v>128</v>
      </c>
      <c r="K546" s="10" t="s">
        <v>34</v>
      </c>
      <c r="N546" s="10" t="s">
        <v>35</v>
      </c>
      <c r="V546" s="9"/>
      <c r="W546" s="13" t="s">
        <v>78</v>
      </c>
      <c r="X546" s="10" t="s">
        <v>37</v>
      </c>
      <c r="Y546" s="10" t="s">
        <v>0</v>
      </c>
    </row>
    <row r="547">
      <c r="A547" s="10" t="s">
        <v>2080</v>
      </c>
      <c r="B547" s="11">
        <v>44294.974007013894</v>
      </c>
      <c r="C547" s="10" t="s">
        <v>610</v>
      </c>
      <c r="D547" s="10" t="s">
        <v>611</v>
      </c>
      <c r="E547" s="10" t="s">
        <v>2081</v>
      </c>
      <c r="F547" s="10" t="s">
        <v>2082</v>
      </c>
      <c r="G547" s="10" t="s">
        <v>2083</v>
      </c>
      <c r="H547" s="17">
        <v>44296.0</v>
      </c>
      <c r="I547" s="17">
        <v>44359.99930555555</v>
      </c>
      <c r="J547" s="10" t="s">
        <v>128</v>
      </c>
      <c r="K547" s="10" t="s">
        <v>34</v>
      </c>
      <c r="N547" s="10" t="s">
        <v>35</v>
      </c>
      <c r="V547" s="9"/>
      <c r="W547" s="13" t="s">
        <v>78</v>
      </c>
      <c r="X547" s="10" t="s">
        <v>37</v>
      </c>
      <c r="Y547" s="10" t="s">
        <v>0</v>
      </c>
    </row>
    <row r="548">
      <c r="A548" s="10" t="s">
        <v>2084</v>
      </c>
      <c r="B548" s="11">
        <v>44278.427581805554</v>
      </c>
      <c r="C548" s="10" t="s">
        <v>150</v>
      </c>
      <c r="D548" s="10" t="s">
        <v>151</v>
      </c>
      <c r="E548" s="10" t="s">
        <v>152</v>
      </c>
      <c r="F548" s="10" t="s">
        <v>2085</v>
      </c>
      <c r="G548" s="10" t="s">
        <v>2086</v>
      </c>
      <c r="H548" s="28">
        <v>44296.41666666667</v>
      </c>
      <c r="I548" s="28">
        <v>44296.5</v>
      </c>
      <c r="J548" s="10" t="s">
        <v>60</v>
      </c>
      <c r="K548" s="10" t="s">
        <v>61</v>
      </c>
      <c r="N548" s="10" t="s">
        <v>35</v>
      </c>
      <c r="V548" s="9"/>
      <c r="W548" s="13" t="s">
        <v>78</v>
      </c>
      <c r="X548" s="10" t="s">
        <v>37</v>
      </c>
      <c r="Y548" s="10" t="s">
        <v>0</v>
      </c>
    </row>
    <row r="549">
      <c r="A549" s="10" t="s">
        <v>2087</v>
      </c>
      <c r="B549" s="11">
        <v>44291.3585671412</v>
      </c>
      <c r="C549" s="10" t="s">
        <v>150</v>
      </c>
      <c r="D549" s="10" t="s">
        <v>151</v>
      </c>
      <c r="E549" s="10" t="s">
        <v>152</v>
      </c>
      <c r="F549" s="10" t="s">
        <v>2088</v>
      </c>
      <c r="G549" s="10" t="s">
        <v>2089</v>
      </c>
      <c r="H549" s="17">
        <v>44296.41666666667</v>
      </c>
      <c r="I549" s="17">
        <v>44296.5</v>
      </c>
      <c r="J549" s="10" t="s">
        <v>128</v>
      </c>
      <c r="K549" s="10" t="s">
        <v>61</v>
      </c>
      <c r="N549" s="10" t="s">
        <v>35</v>
      </c>
      <c r="V549" s="9"/>
      <c r="W549" s="13" t="s">
        <v>78</v>
      </c>
      <c r="X549" s="10" t="s">
        <v>37</v>
      </c>
      <c r="Y549" s="10" t="s">
        <v>0</v>
      </c>
    </row>
    <row r="550">
      <c r="A550" s="10" t="s">
        <v>2090</v>
      </c>
      <c r="B550" s="11">
        <v>44288.68328868056</v>
      </c>
      <c r="C550" s="10" t="s">
        <v>694</v>
      </c>
      <c r="D550" s="10" t="s">
        <v>695</v>
      </c>
      <c r="E550" s="10" t="s">
        <v>696</v>
      </c>
      <c r="F550" s="10" t="s">
        <v>2091</v>
      </c>
      <c r="G550" s="10" t="s">
        <v>2092</v>
      </c>
      <c r="H550" s="24">
        <v>44294.6875</v>
      </c>
      <c r="I550" s="24">
        <v>44294.77083333333</v>
      </c>
      <c r="J550" s="10" t="s">
        <v>43</v>
      </c>
      <c r="K550" s="10" t="s">
        <v>34</v>
      </c>
      <c r="N550" s="10" t="s">
        <v>35</v>
      </c>
      <c r="V550" s="9"/>
      <c r="W550" s="13" t="s">
        <v>78</v>
      </c>
      <c r="X550" s="10" t="s">
        <v>37</v>
      </c>
      <c r="Y550" s="10" t="s">
        <v>0</v>
      </c>
    </row>
    <row r="551">
      <c r="A551" s="10" t="s">
        <v>2093</v>
      </c>
      <c r="B551" s="11">
        <v>44286.74540817129</v>
      </c>
      <c r="C551" s="10" t="s">
        <v>28</v>
      </c>
      <c r="D551" s="10" t="s">
        <v>29</v>
      </c>
      <c r="E551" s="10" t="s">
        <v>63</v>
      </c>
      <c r="F551" s="10" t="s">
        <v>2094</v>
      </c>
      <c r="G551" s="10" t="s">
        <v>2095</v>
      </c>
      <c r="H551" s="24">
        <v>44295.375</v>
      </c>
      <c r="I551" s="24">
        <v>44295.47916666667</v>
      </c>
      <c r="J551" s="10" t="s">
        <v>43</v>
      </c>
      <c r="K551" s="10" t="s">
        <v>34</v>
      </c>
      <c r="N551" s="10" t="s">
        <v>35</v>
      </c>
      <c r="V551" s="9"/>
      <c r="W551" s="13" t="s">
        <v>78</v>
      </c>
      <c r="X551" s="10" t="s">
        <v>37</v>
      </c>
      <c r="Y551" s="10" t="s">
        <v>0</v>
      </c>
    </row>
    <row r="552">
      <c r="A552" s="10" t="s">
        <v>2096</v>
      </c>
      <c r="B552" s="11">
        <v>44293.40254787037</v>
      </c>
      <c r="C552" s="10" t="s">
        <v>1405</v>
      </c>
      <c r="D552" s="10" t="s">
        <v>1406</v>
      </c>
      <c r="E552" s="10" t="s">
        <v>2012</v>
      </c>
      <c r="F552" s="10" t="s">
        <v>2097</v>
      </c>
      <c r="G552" s="10" t="s">
        <v>2098</v>
      </c>
      <c r="H552" s="17">
        <v>44296.5625</v>
      </c>
      <c r="I552" s="17">
        <v>44296.60416666667</v>
      </c>
      <c r="J552" s="10" t="s">
        <v>128</v>
      </c>
      <c r="K552" s="10" t="s">
        <v>34</v>
      </c>
      <c r="N552" s="10" t="s">
        <v>35</v>
      </c>
      <c r="V552" s="9"/>
      <c r="W552" s="13" t="s">
        <v>78</v>
      </c>
      <c r="X552" s="10" t="s">
        <v>37</v>
      </c>
      <c r="Y552" s="10" t="s">
        <v>0</v>
      </c>
    </row>
    <row r="553">
      <c r="A553" s="10" t="s">
        <v>2099</v>
      </c>
      <c r="B553" s="11">
        <v>44288.525699907404</v>
      </c>
      <c r="C553" s="10" t="s">
        <v>181</v>
      </c>
      <c r="D553" s="10" t="s">
        <v>69</v>
      </c>
      <c r="E553" s="10" t="s">
        <v>2100</v>
      </c>
      <c r="F553" s="10" t="s">
        <v>2101</v>
      </c>
      <c r="G553" s="10" t="s">
        <v>2102</v>
      </c>
      <c r="H553" s="24">
        <v>44295.58333333333</v>
      </c>
      <c r="I553" s="24">
        <v>44295.66666666667</v>
      </c>
      <c r="J553" s="10" t="s">
        <v>43</v>
      </c>
      <c r="K553" s="10" t="s">
        <v>34</v>
      </c>
      <c r="N553" s="10" t="s">
        <v>296</v>
      </c>
      <c r="O553" s="18" t="s">
        <v>2103</v>
      </c>
      <c r="P553" s="10" t="s">
        <v>35</v>
      </c>
      <c r="R553" s="10" t="s">
        <v>296</v>
      </c>
      <c r="S553" s="10">
        <v>1.0</v>
      </c>
      <c r="T553" s="10" t="s">
        <v>35</v>
      </c>
      <c r="V553" s="9"/>
      <c r="W553" s="13" t="s">
        <v>78</v>
      </c>
      <c r="X553" s="10" t="s">
        <v>37</v>
      </c>
      <c r="Y553" s="10" t="s">
        <v>0</v>
      </c>
    </row>
    <row r="554">
      <c r="A554" s="10" t="s">
        <v>2104</v>
      </c>
      <c r="B554" s="11">
        <v>44291.76859335648</v>
      </c>
      <c r="C554" s="10" t="s">
        <v>1583</v>
      </c>
      <c r="D554" s="10" t="s">
        <v>505</v>
      </c>
      <c r="E554" s="10" t="s">
        <v>2105</v>
      </c>
      <c r="F554" s="10" t="s">
        <v>2106</v>
      </c>
      <c r="G554" s="10" t="s">
        <v>2107</v>
      </c>
      <c r="H554" s="17">
        <v>44296.75</v>
      </c>
      <c r="I554" s="17">
        <v>44296.83333333333</v>
      </c>
      <c r="J554" s="10" t="s">
        <v>128</v>
      </c>
      <c r="K554" s="10" t="s">
        <v>34</v>
      </c>
      <c r="N554" s="10" t="s">
        <v>35</v>
      </c>
      <c r="V554" s="9"/>
      <c r="W554" s="13" t="s">
        <v>78</v>
      </c>
      <c r="X554" s="10" t="s">
        <v>37</v>
      </c>
      <c r="Y554" s="10" t="s">
        <v>0</v>
      </c>
    </row>
    <row r="555">
      <c r="A555" s="10" t="s">
        <v>2108</v>
      </c>
      <c r="B555" s="11">
        <v>44297.55106755787</v>
      </c>
      <c r="C555" s="10" t="s">
        <v>491</v>
      </c>
      <c r="D555" s="10" t="s">
        <v>492</v>
      </c>
      <c r="E555" s="10" t="s">
        <v>853</v>
      </c>
      <c r="F555" s="10" t="s">
        <v>2109</v>
      </c>
      <c r="G555" s="10" t="s">
        <v>2110</v>
      </c>
      <c r="H555" s="17">
        <v>44297.5</v>
      </c>
      <c r="I555" s="17">
        <v>44297.5</v>
      </c>
      <c r="J555" s="10" t="s">
        <v>73</v>
      </c>
      <c r="K555" s="10" t="s">
        <v>34</v>
      </c>
      <c r="N555" s="10" t="s">
        <v>35</v>
      </c>
      <c r="V555" s="9"/>
      <c r="W555" s="13" t="s">
        <v>78</v>
      </c>
      <c r="X555" s="10" t="s">
        <v>37</v>
      </c>
      <c r="Y555" s="10" t="s">
        <v>0</v>
      </c>
    </row>
    <row r="556">
      <c r="A556" s="10" t="s">
        <v>2111</v>
      </c>
      <c r="B556" s="11">
        <v>44298.940762847225</v>
      </c>
      <c r="C556" s="10" t="s">
        <v>491</v>
      </c>
      <c r="D556" s="10" t="s">
        <v>492</v>
      </c>
      <c r="E556" s="10" t="s">
        <v>853</v>
      </c>
      <c r="F556" s="10" t="s">
        <v>2112</v>
      </c>
      <c r="G556" s="10" t="s">
        <v>2113</v>
      </c>
      <c r="H556" s="17">
        <v>44297.79166666667</v>
      </c>
      <c r="I556" s="17">
        <v>44297.79166666667</v>
      </c>
      <c r="J556" s="10" t="s">
        <v>73</v>
      </c>
      <c r="K556" s="10" t="s">
        <v>34</v>
      </c>
      <c r="N556" s="10" t="s">
        <v>35</v>
      </c>
      <c r="V556" s="9"/>
      <c r="W556" s="13" t="s">
        <v>78</v>
      </c>
      <c r="X556" s="10" t="s">
        <v>37</v>
      </c>
      <c r="Y556" s="10" t="s">
        <v>0</v>
      </c>
    </row>
    <row r="557">
      <c r="A557" s="10" t="s">
        <v>2114</v>
      </c>
      <c r="B557" s="11">
        <v>44291.45524203704</v>
      </c>
      <c r="C557" s="10" t="s">
        <v>610</v>
      </c>
      <c r="D557" s="10" t="s">
        <v>611</v>
      </c>
      <c r="E557" s="10" t="s">
        <v>2115</v>
      </c>
      <c r="F557" s="10" t="s">
        <v>2116</v>
      </c>
      <c r="G557" s="10" t="s">
        <v>2117</v>
      </c>
      <c r="H557" s="17">
        <v>44298.0</v>
      </c>
      <c r="I557" s="17">
        <v>44302.99930555555</v>
      </c>
      <c r="J557" s="10" t="s">
        <v>128</v>
      </c>
      <c r="K557" s="10" t="s">
        <v>34</v>
      </c>
      <c r="N557" s="10" t="s">
        <v>35</v>
      </c>
      <c r="V557" s="9"/>
      <c r="W557" s="13" t="s">
        <v>78</v>
      </c>
      <c r="X557" s="10" t="s">
        <v>37</v>
      </c>
      <c r="Y557" s="10" t="s">
        <v>0</v>
      </c>
    </row>
    <row r="558">
      <c r="A558" s="10" t="s">
        <v>2118</v>
      </c>
      <c r="B558" s="11">
        <v>44291.89003833334</v>
      </c>
      <c r="C558" s="10" t="s">
        <v>80</v>
      </c>
      <c r="D558" s="10" t="s">
        <v>81</v>
      </c>
      <c r="E558" s="10" t="s">
        <v>2119</v>
      </c>
      <c r="F558" s="10" t="s">
        <v>2120</v>
      </c>
      <c r="G558" s="10" t="s">
        <v>2121</v>
      </c>
      <c r="H558" s="17">
        <v>44298.33333333333</v>
      </c>
      <c r="I558" s="17">
        <v>44298.375</v>
      </c>
      <c r="J558" s="10" t="s">
        <v>73</v>
      </c>
      <c r="K558" s="10" t="s">
        <v>34</v>
      </c>
      <c r="N558" s="10" t="s">
        <v>35</v>
      </c>
      <c r="V558" s="9"/>
      <c r="W558" s="13" t="s">
        <v>78</v>
      </c>
      <c r="X558" s="10" t="s">
        <v>37</v>
      </c>
      <c r="Y558" s="10" t="s">
        <v>0</v>
      </c>
    </row>
    <row r="559">
      <c r="A559" s="10" t="s">
        <v>2122</v>
      </c>
      <c r="B559" s="11">
        <v>44291.891856689814</v>
      </c>
      <c r="C559" s="10" t="s">
        <v>80</v>
      </c>
      <c r="D559" s="10" t="s">
        <v>81</v>
      </c>
      <c r="E559" s="10" t="s">
        <v>2119</v>
      </c>
      <c r="F559" s="10" t="s">
        <v>1169</v>
      </c>
      <c r="G559" s="10" t="s">
        <v>2123</v>
      </c>
      <c r="H559" s="17">
        <v>44298.33333333333</v>
      </c>
      <c r="I559" s="17">
        <v>44298.375</v>
      </c>
      <c r="J559" s="10" t="s">
        <v>73</v>
      </c>
      <c r="K559" s="10" t="s">
        <v>34</v>
      </c>
      <c r="N559" s="10" t="s">
        <v>35</v>
      </c>
      <c r="V559" s="9"/>
      <c r="W559" s="13" t="s">
        <v>78</v>
      </c>
      <c r="X559" s="10" t="s">
        <v>37</v>
      </c>
      <c r="Y559" s="10" t="s">
        <v>0</v>
      </c>
    </row>
    <row r="560">
      <c r="A560" s="10" t="s">
        <v>2124</v>
      </c>
      <c r="B560" s="11">
        <v>44288.40838929398</v>
      </c>
      <c r="C560" s="10" t="s">
        <v>671</v>
      </c>
      <c r="D560" s="10" t="s">
        <v>672</v>
      </c>
      <c r="E560" s="10" t="s">
        <v>928</v>
      </c>
      <c r="F560" s="10" t="s">
        <v>2125</v>
      </c>
      <c r="G560" s="10" t="s">
        <v>2126</v>
      </c>
      <c r="H560" s="24">
        <v>44295.60416666667</v>
      </c>
      <c r="I560" s="24">
        <v>44295.6875</v>
      </c>
      <c r="J560" s="10" t="s">
        <v>43</v>
      </c>
      <c r="K560" s="10" t="s">
        <v>34</v>
      </c>
      <c r="N560" s="10" t="s">
        <v>35</v>
      </c>
      <c r="V560" s="9"/>
      <c r="W560" s="13" t="s">
        <v>78</v>
      </c>
      <c r="X560" s="10" t="s">
        <v>37</v>
      </c>
      <c r="Y560" s="10" t="s">
        <v>0</v>
      </c>
    </row>
    <row r="561">
      <c r="A561" s="10" t="s">
        <v>2127</v>
      </c>
      <c r="B561" s="11">
        <v>44291.9758271412</v>
      </c>
      <c r="C561" s="10" t="s">
        <v>694</v>
      </c>
      <c r="D561" s="10" t="s">
        <v>695</v>
      </c>
      <c r="E561" s="10" t="s">
        <v>696</v>
      </c>
      <c r="F561" s="10" t="s">
        <v>2128</v>
      </c>
      <c r="G561" s="10" t="s">
        <v>2129</v>
      </c>
      <c r="H561" s="16">
        <v>44295.60416666667</v>
      </c>
      <c r="I561" s="16">
        <v>44295.6875</v>
      </c>
      <c r="J561" s="10" t="s">
        <v>43</v>
      </c>
      <c r="K561" s="10" t="s">
        <v>34</v>
      </c>
      <c r="N561" s="10" t="s">
        <v>35</v>
      </c>
      <c r="V561" s="9"/>
      <c r="W561" s="13" t="s">
        <v>78</v>
      </c>
      <c r="X561" s="10" t="s">
        <v>37</v>
      </c>
      <c r="Y561" s="10" t="s">
        <v>0</v>
      </c>
    </row>
    <row r="562">
      <c r="A562" s="10" t="s">
        <v>2130</v>
      </c>
      <c r="B562" s="11">
        <v>44293.83538107639</v>
      </c>
      <c r="C562" s="10" t="s">
        <v>160</v>
      </c>
      <c r="D562" s="10" t="s">
        <v>161</v>
      </c>
      <c r="E562" s="10" t="s">
        <v>947</v>
      </c>
      <c r="F562" s="10" t="s">
        <v>2131</v>
      </c>
      <c r="G562" s="10" t="s">
        <v>2132</v>
      </c>
      <c r="H562" s="16">
        <v>44295.61111111111</v>
      </c>
      <c r="I562" s="16">
        <v>44295.694444444445</v>
      </c>
      <c r="J562" s="10" t="s">
        <v>43</v>
      </c>
      <c r="K562" s="10" t="s">
        <v>34</v>
      </c>
      <c r="N562" s="10" t="s">
        <v>296</v>
      </c>
      <c r="O562" s="18" t="s">
        <v>2133</v>
      </c>
      <c r="P562" s="10" t="s">
        <v>296</v>
      </c>
      <c r="Q562" s="10">
        <v>1.0</v>
      </c>
      <c r="R562" s="10" t="s">
        <v>35</v>
      </c>
      <c r="T562" s="10" t="s">
        <v>35</v>
      </c>
      <c r="V562" s="9"/>
      <c r="W562" s="13" t="s">
        <v>78</v>
      </c>
      <c r="X562" s="10" t="s">
        <v>37</v>
      </c>
      <c r="Y562" s="10" t="s">
        <v>0</v>
      </c>
    </row>
    <row r="563">
      <c r="A563" s="10" t="s">
        <v>2134</v>
      </c>
      <c r="B563" s="11">
        <v>44294.43746282408</v>
      </c>
      <c r="C563" s="10" t="s">
        <v>209</v>
      </c>
      <c r="D563" s="10" t="s">
        <v>210</v>
      </c>
      <c r="E563" s="10" t="s">
        <v>2135</v>
      </c>
      <c r="F563" s="10" t="s">
        <v>2136</v>
      </c>
      <c r="G563" s="10" t="s">
        <v>2137</v>
      </c>
      <c r="H563" s="17">
        <v>44298.60416666667</v>
      </c>
      <c r="I563" s="17">
        <v>44311.61111111111</v>
      </c>
      <c r="J563" s="10" t="s">
        <v>51</v>
      </c>
      <c r="K563" s="10" t="s">
        <v>34</v>
      </c>
      <c r="N563" s="10" t="s">
        <v>35</v>
      </c>
      <c r="V563" s="9"/>
      <c r="W563" s="13" t="s">
        <v>78</v>
      </c>
      <c r="X563" s="10" t="s">
        <v>37</v>
      </c>
      <c r="Y563" s="10" t="s">
        <v>0</v>
      </c>
    </row>
    <row r="564">
      <c r="A564" s="10" t="s">
        <v>2138</v>
      </c>
      <c r="B564" s="11">
        <v>44292.88378984954</v>
      </c>
      <c r="C564" s="10" t="s">
        <v>2139</v>
      </c>
      <c r="D564" s="10" t="s">
        <v>444</v>
      </c>
      <c r="E564" s="10" t="s">
        <v>2140</v>
      </c>
      <c r="F564" s="10" t="s">
        <v>2141</v>
      </c>
      <c r="G564" s="10" t="s">
        <v>2142</v>
      </c>
      <c r="H564" s="29">
        <v>44295.72916666667</v>
      </c>
      <c r="I564" s="29">
        <v>44295.83333333333</v>
      </c>
      <c r="J564" s="10" t="s">
        <v>43</v>
      </c>
      <c r="K564" s="10" t="s">
        <v>34</v>
      </c>
      <c r="N564" s="10" t="s">
        <v>35</v>
      </c>
      <c r="V564" s="9"/>
      <c r="W564" s="13" t="s">
        <v>78</v>
      </c>
      <c r="X564" s="10" t="s">
        <v>37</v>
      </c>
      <c r="Y564" s="10" t="s">
        <v>0</v>
      </c>
    </row>
    <row r="565">
      <c r="A565" s="10" t="s">
        <v>2143</v>
      </c>
      <c r="B565" s="11">
        <v>44268.91311681713</v>
      </c>
      <c r="C565" s="10" t="s">
        <v>727</v>
      </c>
      <c r="D565" s="10" t="s">
        <v>728</v>
      </c>
      <c r="E565" s="10" t="s">
        <v>2144</v>
      </c>
      <c r="F565" s="10" t="s">
        <v>2145</v>
      </c>
      <c r="G565" s="10" t="s">
        <v>2146</v>
      </c>
      <c r="H565" s="17">
        <v>44299.52083333333</v>
      </c>
      <c r="I565" s="17">
        <v>44299.5625</v>
      </c>
      <c r="J565" s="10" t="s">
        <v>128</v>
      </c>
      <c r="K565" s="10" t="s">
        <v>34</v>
      </c>
      <c r="N565" s="10" t="s">
        <v>35</v>
      </c>
      <c r="V565" s="9"/>
      <c r="W565" s="13" t="s">
        <v>78</v>
      </c>
      <c r="X565" s="10" t="s">
        <v>37</v>
      </c>
      <c r="Y565" s="10" t="s">
        <v>0</v>
      </c>
    </row>
    <row r="566">
      <c r="A566" s="10" t="s">
        <v>2147</v>
      </c>
      <c r="B566" s="11">
        <v>44298.79550619213</v>
      </c>
      <c r="C566" s="10" t="s">
        <v>186</v>
      </c>
      <c r="D566" s="10" t="s">
        <v>187</v>
      </c>
      <c r="E566" s="10" t="s">
        <v>188</v>
      </c>
      <c r="F566" s="10" t="s">
        <v>2148</v>
      </c>
      <c r="G566" s="26" t="s">
        <v>6005</v>
      </c>
      <c r="H566" s="17">
        <v>44301.39583333333</v>
      </c>
      <c r="I566" s="17">
        <v>44301.47916666667</v>
      </c>
      <c r="J566" s="10" t="s">
        <v>128</v>
      </c>
      <c r="K566" s="10" t="s">
        <v>34</v>
      </c>
      <c r="N566" s="10" t="s">
        <v>296</v>
      </c>
      <c r="O566" s="18" t="s">
        <v>2150</v>
      </c>
      <c r="P566" s="10" t="s">
        <v>35</v>
      </c>
      <c r="R566" s="10" t="s">
        <v>296</v>
      </c>
      <c r="S566" s="10">
        <v>1.0</v>
      </c>
      <c r="T566" s="10" t="s">
        <v>35</v>
      </c>
      <c r="V566" s="9"/>
      <c r="W566" s="13" t="s">
        <v>78</v>
      </c>
      <c r="X566" s="10" t="s">
        <v>37</v>
      </c>
      <c r="Y566" s="10" t="s">
        <v>0</v>
      </c>
    </row>
    <row r="567">
      <c r="A567" s="10" t="s">
        <v>2151</v>
      </c>
      <c r="B567" s="11">
        <v>44286.74757908565</v>
      </c>
      <c r="C567" s="10" t="s">
        <v>28</v>
      </c>
      <c r="D567" s="10" t="s">
        <v>29</v>
      </c>
      <c r="E567" s="10" t="s">
        <v>63</v>
      </c>
      <c r="F567" s="10" t="s">
        <v>2152</v>
      </c>
      <c r="G567" s="10" t="s">
        <v>2153</v>
      </c>
      <c r="H567" s="24">
        <v>44296.4375</v>
      </c>
      <c r="I567" s="24">
        <v>44296.52083333333</v>
      </c>
      <c r="J567" s="10" t="s">
        <v>43</v>
      </c>
      <c r="K567" s="10" t="s">
        <v>34</v>
      </c>
      <c r="N567" s="10" t="s">
        <v>35</v>
      </c>
      <c r="V567" s="9"/>
      <c r="W567" s="13" t="s">
        <v>78</v>
      </c>
      <c r="X567" s="10" t="s">
        <v>37</v>
      </c>
      <c r="Y567" s="10" t="s">
        <v>0</v>
      </c>
    </row>
    <row r="568">
      <c r="A568" s="10" t="s">
        <v>2154</v>
      </c>
      <c r="B568" s="11">
        <v>44291.65277461805</v>
      </c>
      <c r="C568" s="10" t="s">
        <v>671</v>
      </c>
      <c r="D568" s="10" t="s">
        <v>672</v>
      </c>
      <c r="E568" s="10" t="s">
        <v>1565</v>
      </c>
      <c r="F568" s="10" t="s">
        <v>2155</v>
      </c>
      <c r="G568" s="10" t="s">
        <v>2156</v>
      </c>
      <c r="H568" s="17">
        <v>44301.60416666667</v>
      </c>
      <c r="I568" s="17">
        <v>44301.64583333333</v>
      </c>
      <c r="J568" s="10" t="s">
        <v>128</v>
      </c>
      <c r="K568" s="10" t="s">
        <v>34</v>
      </c>
      <c r="N568" s="10" t="s">
        <v>35</v>
      </c>
      <c r="V568" s="9"/>
      <c r="W568" s="13" t="s">
        <v>78</v>
      </c>
      <c r="X568" s="10" t="s">
        <v>37</v>
      </c>
      <c r="Y568" s="10" t="s">
        <v>0</v>
      </c>
    </row>
    <row r="569">
      <c r="A569" s="10" t="s">
        <v>2157</v>
      </c>
      <c r="B569" s="11">
        <v>44294.46421361111</v>
      </c>
      <c r="C569" s="10" t="s">
        <v>186</v>
      </c>
      <c r="D569" s="10" t="s">
        <v>187</v>
      </c>
      <c r="E569" s="10" t="s">
        <v>188</v>
      </c>
      <c r="F569" s="10" t="s">
        <v>2158</v>
      </c>
      <c r="G569" s="10" t="s">
        <v>2159</v>
      </c>
      <c r="H569" s="24">
        <v>44301.60416666667</v>
      </c>
      <c r="I569" s="24">
        <v>44301.6875</v>
      </c>
      <c r="J569" s="10" t="s">
        <v>128</v>
      </c>
      <c r="K569" s="10" t="s">
        <v>34</v>
      </c>
      <c r="N569" s="10" t="s">
        <v>35</v>
      </c>
      <c r="V569" s="9"/>
      <c r="W569" s="13" t="s">
        <v>78</v>
      </c>
      <c r="X569" s="10" t="s">
        <v>37</v>
      </c>
      <c r="Y569" s="10" t="s">
        <v>0</v>
      </c>
    </row>
    <row r="570">
      <c r="A570" s="10" t="s">
        <v>2160</v>
      </c>
      <c r="B570" s="11">
        <v>44298.51214619213</v>
      </c>
      <c r="C570" s="10" t="s">
        <v>137</v>
      </c>
      <c r="D570" s="10" t="s">
        <v>138</v>
      </c>
      <c r="E570" s="10" t="s">
        <v>1376</v>
      </c>
      <c r="F570" s="10" t="s">
        <v>2161</v>
      </c>
      <c r="G570" s="10" t="s">
        <v>2162</v>
      </c>
      <c r="H570" s="17">
        <v>44301.66666666667</v>
      </c>
      <c r="I570" s="17">
        <v>44301.75</v>
      </c>
      <c r="J570" s="10" t="s">
        <v>128</v>
      </c>
      <c r="K570" s="10" t="s">
        <v>34</v>
      </c>
      <c r="N570" s="10" t="s">
        <v>35</v>
      </c>
      <c r="V570" s="9"/>
      <c r="W570" s="13" t="s">
        <v>78</v>
      </c>
      <c r="X570" s="10" t="s">
        <v>37</v>
      </c>
      <c r="Y570" s="10" t="s">
        <v>0</v>
      </c>
    </row>
    <row r="571">
      <c r="A571" s="10" t="s">
        <v>2163</v>
      </c>
      <c r="B571" s="11">
        <v>44294.77497695602</v>
      </c>
      <c r="C571" s="10" t="s">
        <v>516</v>
      </c>
      <c r="D571" s="10" t="s">
        <v>511</v>
      </c>
      <c r="E571" s="10" t="s">
        <v>2164</v>
      </c>
      <c r="F571" s="10" t="s">
        <v>2165</v>
      </c>
      <c r="G571" s="10" t="s">
        <v>2166</v>
      </c>
      <c r="H571" s="16">
        <v>44296.4375</v>
      </c>
      <c r="I571" s="16">
        <v>44296.52083333333</v>
      </c>
      <c r="J571" s="10" t="s">
        <v>43</v>
      </c>
      <c r="K571" s="10" t="s">
        <v>34</v>
      </c>
      <c r="N571" s="10" t="s">
        <v>35</v>
      </c>
      <c r="V571" s="9"/>
      <c r="W571" s="13" t="s">
        <v>78</v>
      </c>
      <c r="X571" s="13" t="s">
        <v>37</v>
      </c>
      <c r="Y571" s="13" t="s">
        <v>0</v>
      </c>
    </row>
    <row r="572">
      <c r="A572" s="10" t="s">
        <v>2167</v>
      </c>
      <c r="B572" s="11">
        <v>44289.78140881944</v>
      </c>
      <c r="C572" s="10" t="s">
        <v>239</v>
      </c>
      <c r="D572" s="10" t="s">
        <v>240</v>
      </c>
      <c r="E572" s="10" t="s">
        <v>2041</v>
      </c>
      <c r="F572" s="10" t="s">
        <v>2168</v>
      </c>
      <c r="G572" s="10" t="s">
        <v>2169</v>
      </c>
      <c r="H572" s="24">
        <v>44296.66666666667</v>
      </c>
      <c r="I572" s="24">
        <v>44296.70833333333</v>
      </c>
      <c r="J572" s="10" t="s">
        <v>43</v>
      </c>
      <c r="K572" s="10" t="s">
        <v>34</v>
      </c>
      <c r="N572" s="10" t="s">
        <v>35</v>
      </c>
      <c r="V572" s="9"/>
      <c r="W572" s="13" t="s">
        <v>78</v>
      </c>
      <c r="X572" s="10" t="s">
        <v>37</v>
      </c>
      <c r="Y572" s="10" t="s">
        <v>0</v>
      </c>
    </row>
    <row r="573">
      <c r="A573" s="10" t="s">
        <v>2170</v>
      </c>
      <c r="B573" s="11">
        <v>44299.57558172454</v>
      </c>
      <c r="C573" s="10" t="s">
        <v>539</v>
      </c>
      <c r="D573" s="10" t="s">
        <v>540</v>
      </c>
      <c r="E573" s="10" t="s">
        <v>1715</v>
      </c>
      <c r="F573" s="10" t="s">
        <v>2171</v>
      </c>
      <c r="G573" s="10" t="s">
        <v>2172</v>
      </c>
      <c r="H573" s="17">
        <v>44301.72916666667</v>
      </c>
      <c r="I573" s="17">
        <v>44301.83333333333</v>
      </c>
      <c r="J573" s="10" t="s">
        <v>73</v>
      </c>
      <c r="K573" s="10" t="s">
        <v>34</v>
      </c>
      <c r="N573" s="10" t="s">
        <v>35</v>
      </c>
      <c r="V573" s="9"/>
      <c r="W573" s="13" t="s">
        <v>78</v>
      </c>
      <c r="X573" s="10" t="s">
        <v>37</v>
      </c>
      <c r="Y573" s="10" t="s">
        <v>0</v>
      </c>
    </row>
    <row r="574">
      <c r="A574" s="10" t="s">
        <v>2173</v>
      </c>
      <c r="B574" s="11">
        <v>44299.56076234954</v>
      </c>
      <c r="C574" s="10" t="s">
        <v>1583</v>
      </c>
      <c r="D574" s="10" t="s">
        <v>505</v>
      </c>
      <c r="E574" s="10" t="s">
        <v>2174</v>
      </c>
      <c r="F574" s="10" t="s">
        <v>2175</v>
      </c>
      <c r="G574" s="10" t="s">
        <v>2176</v>
      </c>
      <c r="H574" s="17">
        <v>44301.79166666667</v>
      </c>
      <c r="I574" s="17">
        <v>44331.79166666667</v>
      </c>
      <c r="J574" s="10" t="s">
        <v>33</v>
      </c>
      <c r="K574" s="10" t="s">
        <v>34</v>
      </c>
      <c r="N574" s="10" t="s">
        <v>296</v>
      </c>
      <c r="O574" s="18" t="s">
        <v>2177</v>
      </c>
      <c r="P574" s="10" t="s">
        <v>296</v>
      </c>
      <c r="Q574" s="10">
        <v>1.0</v>
      </c>
      <c r="R574" s="10" t="s">
        <v>35</v>
      </c>
      <c r="T574" s="10" t="s">
        <v>35</v>
      </c>
      <c r="V574" s="9"/>
      <c r="W574" s="13" t="s">
        <v>78</v>
      </c>
      <c r="X574" s="10" t="s">
        <v>37</v>
      </c>
      <c r="Y574" s="10" t="s">
        <v>0</v>
      </c>
    </row>
    <row r="575">
      <c r="A575" s="10" t="s">
        <v>2178</v>
      </c>
      <c r="B575" s="11">
        <v>44288.68334979167</v>
      </c>
      <c r="C575" s="10" t="s">
        <v>347</v>
      </c>
      <c r="D575" s="10" t="s">
        <v>348</v>
      </c>
      <c r="E575" s="10" t="s">
        <v>349</v>
      </c>
      <c r="F575" s="10" t="s">
        <v>2179</v>
      </c>
      <c r="G575" s="10" t="s">
        <v>2180</v>
      </c>
      <c r="H575" s="24">
        <v>44298.45833333333</v>
      </c>
      <c r="I575" s="24">
        <v>44298.5</v>
      </c>
      <c r="J575" s="10" t="s">
        <v>43</v>
      </c>
      <c r="K575" s="10" t="s">
        <v>34</v>
      </c>
      <c r="N575" s="10" t="s">
        <v>296</v>
      </c>
      <c r="O575" s="18" t="s">
        <v>2181</v>
      </c>
      <c r="P575" s="10" t="s">
        <v>296</v>
      </c>
      <c r="Q575" s="10">
        <v>1.0</v>
      </c>
      <c r="R575" s="10" t="s">
        <v>35</v>
      </c>
      <c r="T575" s="10" t="s">
        <v>35</v>
      </c>
      <c r="V575" s="9"/>
      <c r="W575" s="13" t="s">
        <v>78</v>
      </c>
      <c r="X575" s="10" t="s">
        <v>37</v>
      </c>
      <c r="Y575" s="10" t="s">
        <v>0</v>
      </c>
    </row>
    <row r="576">
      <c r="A576" s="10" t="s">
        <v>2182</v>
      </c>
      <c r="B576" s="11">
        <v>44295.507123773146</v>
      </c>
      <c r="C576" s="10" t="s">
        <v>209</v>
      </c>
      <c r="D576" s="10" t="s">
        <v>210</v>
      </c>
      <c r="E576" s="10" t="s">
        <v>261</v>
      </c>
      <c r="F576" s="10" t="s">
        <v>2183</v>
      </c>
      <c r="G576" s="10" t="s">
        <v>2184</v>
      </c>
      <c r="H576" s="17">
        <v>44302.47916666667</v>
      </c>
      <c r="I576" s="17">
        <v>44302.52083333333</v>
      </c>
      <c r="J576" s="10" t="s">
        <v>33</v>
      </c>
      <c r="K576" s="10" t="s">
        <v>34</v>
      </c>
      <c r="N576" s="10" t="s">
        <v>35</v>
      </c>
      <c r="V576" s="9"/>
      <c r="W576" s="13" t="s">
        <v>78</v>
      </c>
      <c r="X576" s="13" t="s">
        <v>37</v>
      </c>
      <c r="Y576" s="13" t="s">
        <v>0</v>
      </c>
    </row>
    <row r="577">
      <c r="A577" s="10" t="s">
        <v>2185</v>
      </c>
      <c r="B577" s="11">
        <v>44302.50541893519</v>
      </c>
      <c r="C577" s="10" t="s">
        <v>694</v>
      </c>
      <c r="D577" s="10" t="s">
        <v>695</v>
      </c>
      <c r="E577" s="10" t="s">
        <v>696</v>
      </c>
      <c r="F577" s="10" t="s">
        <v>2186</v>
      </c>
      <c r="G577" s="10" t="s">
        <v>698</v>
      </c>
      <c r="H577" s="17">
        <v>44302.52083333333</v>
      </c>
      <c r="I577" s="17">
        <v>44302.5625</v>
      </c>
      <c r="J577" s="10" t="s">
        <v>128</v>
      </c>
      <c r="K577" s="10" t="s">
        <v>34</v>
      </c>
      <c r="N577" s="10" t="s">
        <v>35</v>
      </c>
      <c r="V577" s="9"/>
      <c r="W577" s="13" t="s">
        <v>78</v>
      </c>
      <c r="X577" s="10" t="s">
        <v>37</v>
      </c>
      <c r="Y577" s="10" t="s">
        <v>0</v>
      </c>
    </row>
    <row r="578">
      <c r="A578" s="10" t="s">
        <v>2187</v>
      </c>
      <c r="B578" s="11">
        <v>44298.60637340278</v>
      </c>
      <c r="C578" s="10" t="s">
        <v>975</v>
      </c>
      <c r="D578" s="10" t="s">
        <v>976</v>
      </c>
      <c r="E578" s="10" t="s">
        <v>976</v>
      </c>
      <c r="F578" s="10" t="s">
        <v>2188</v>
      </c>
      <c r="G578" s="10" t="s">
        <v>2189</v>
      </c>
      <c r="H578" s="17">
        <v>44302.5625</v>
      </c>
      <c r="I578" s="17">
        <v>44302.60416666667</v>
      </c>
      <c r="J578" s="10" t="s">
        <v>128</v>
      </c>
      <c r="K578" s="10" t="s">
        <v>34</v>
      </c>
      <c r="N578" s="10" t="s">
        <v>35</v>
      </c>
      <c r="V578" s="9"/>
      <c r="W578" s="13" t="s">
        <v>78</v>
      </c>
      <c r="X578" s="10" t="s">
        <v>37</v>
      </c>
      <c r="Y578" s="10" t="s">
        <v>0</v>
      </c>
    </row>
    <row r="579">
      <c r="A579" s="10" t="s">
        <v>2190</v>
      </c>
      <c r="B579" s="11">
        <v>44256.49469127315</v>
      </c>
      <c r="C579" s="10" t="s">
        <v>137</v>
      </c>
      <c r="D579" s="10" t="s">
        <v>138</v>
      </c>
      <c r="E579" s="10" t="s">
        <v>1376</v>
      </c>
      <c r="F579" s="10" t="s">
        <v>921</v>
      </c>
      <c r="G579" s="10" t="s">
        <v>2191</v>
      </c>
      <c r="H579" s="17">
        <v>44302.58333333333</v>
      </c>
      <c r="I579" s="17">
        <v>44302.66666666667</v>
      </c>
      <c r="J579" s="10" t="s">
        <v>128</v>
      </c>
      <c r="K579" s="10" t="s">
        <v>34</v>
      </c>
      <c r="N579" s="10" t="s">
        <v>35</v>
      </c>
      <c r="V579" s="9"/>
      <c r="W579" s="13" t="s">
        <v>78</v>
      </c>
      <c r="X579" s="10" t="s">
        <v>37</v>
      </c>
      <c r="Y579" s="10" t="s">
        <v>0</v>
      </c>
    </row>
    <row r="580">
      <c r="A580" s="10" t="s">
        <v>2192</v>
      </c>
      <c r="B580" s="11">
        <v>44295.5111484375</v>
      </c>
      <c r="C580" s="10" t="s">
        <v>671</v>
      </c>
      <c r="D580" s="10" t="s">
        <v>672</v>
      </c>
      <c r="E580" s="10" t="s">
        <v>2193</v>
      </c>
      <c r="F580" s="10" t="s">
        <v>2194</v>
      </c>
      <c r="G580" s="10" t="s">
        <v>2195</v>
      </c>
      <c r="H580" s="17">
        <v>44302.60416666667</v>
      </c>
      <c r="I580" s="17">
        <v>44302.6875</v>
      </c>
      <c r="J580" s="10" t="s">
        <v>128</v>
      </c>
      <c r="K580" s="10" t="s">
        <v>34</v>
      </c>
      <c r="N580" s="10" t="s">
        <v>296</v>
      </c>
      <c r="O580" s="18" t="s">
        <v>2196</v>
      </c>
      <c r="P580" s="10" t="s">
        <v>35</v>
      </c>
      <c r="R580" s="10" t="s">
        <v>296</v>
      </c>
      <c r="S580" s="10">
        <v>1.0</v>
      </c>
      <c r="T580" s="10" t="s">
        <v>35</v>
      </c>
      <c r="V580" s="9"/>
      <c r="W580" s="13" t="s">
        <v>78</v>
      </c>
      <c r="X580" s="13" t="s">
        <v>37</v>
      </c>
      <c r="Y580" s="13" t="s">
        <v>0</v>
      </c>
    </row>
    <row r="581">
      <c r="A581" s="10" t="s">
        <v>2197</v>
      </c>
      <c r="B581" s="11">
        <v>44291.70617587963</v>
      </c>
      <c r="C581" s="10" t="s">
        <v>1271</v>
      </c>
      <c r="D581" s="10" t="s">
        <v>976</v>
      </c>
      <c r="E581" s="10" t="s">
        <v>2198</v>
      </c>
      <c r="F581" s="10" t="s">
        <v>2199</v>
      </c>
      <c r="G581" s="10" t="s">
        <v>2200</v>
      </c>
      <c r="H581" s="24">
        <v>44298.45833333333</v>
      </c>
      <c r="I581" s="24">
        <v>44298.54166666667</v>
      </c>
      <c r="J581" s="10" t="s">
        <v>43</v>
      </c>
      <c r="K581" s="10" t="s">
        <v>34</v>
      </c>
      <c r="N581" s="10" t="s">
        <v>296</v>
      </c>
      <c r="O581" s="18" t="s">
        <v>2201</v>
      </c>
      <c r="P581" s="10" t="s">
        <v>296</v>
      </c>
      <c r="Q581" s="10">
        <v>1.0</v>
      </c>
      <c r="R581" s="10" t="s">
        <v>35</v>
      </c>
      <c r="T581" s="10" t="s">
        <v>35</v>
      </c>
      <c r="V581" s="9"/>
      <c r="W581" s="13" t="s">
        <v>78</v>
      </c>
      <c r="X581" s="10" t="s">
        <v>37</v>
      </c>
      <c r="Y581" s="10" t="s">
        <v>0</v>
      </c>
    </row>
    <row r="582">
      <c r="A582" s="10" t="s">
        <v>2202</v>
      </c>
      <c r="B582" s="11">
        <v>44291.70771646991</v>
      </c>
      <c r="C582" s="10" t="s">
        <v>975</v>
      </c>
      <c r="D582" s="10" t="s">
        <v>976</v>
      </c>
      <c r="E582" s="10" t="s">
        <v>2198</v>
      </c>
      <c r="F582" s="10" t="s">
        <v>2199</v>
      </c>
      <c r="G582" s="10" t="s">
        <v>2203</v>
      </c>
      <c r="H582" s="24">
        <v>44298.45833333333</v>
      </c>
      <c r="I582" s="24">
        <v>44298.54166666667</v>
      </c>
      <c r="J582" s="10" t="s">
        <v>43</v>
      </c>
      <c r="K582" s="10" t="s">
        <v>34</v>
      </c>
      <c r="N582" s="10" t="s">
        <v>296</v>
      </c>
      <c r="O582" s="18" t="s">
        <v>2204</v>
      </c>
      <c r="P582" s="10" t="s">
        <v>296</v>
      </c>
      <c r="Q582" s="10">
        <v>1.0</v>
      </c>
      <c r="R582" s="10" t="s">
        <v>35</v>
      </c>
      <c r="T582" s="10" t="s">
        <v>35</v>
      </c>
      <c r="V582" s="9"/>
      <c r="W582" s="13" t="s">
        <v>78</v>
      </c>
      <c r="X582" s="10" t="s">
        <v>37</v>
      </c>
      <c r="Y582" s="10" t="s">
        <v>0</v>
      </c>
    </row>
    <row r="583">
      <c r="A583" s="10" t="s">
        <v>2205</v>
      </c>
      <c r="B583" s="11">
        <v>44295.73268730324</v>
      </c>
      <c r="C583" s="10" t="s">
        <v>381</v>
      </c>
      <c r="D583" s="10" t="s">
        <v>382</v>
      </c>
      <c r="E583" s="10" t="s">
        <v>2045</v>
      </c>
      <c r="F583" s="10" t="s">
        <v>2206</v>
      </c>
      <c r="G583" s="10" t="s">
        <v>2207</v>
      </c>
      <c r="H583" s="17">
        <v>44302.6875</v>
      </c>
      <c r="I583" s="17">
        <v>44302.72916666667</v>
      </c>
      <c r="J583" s="10" t="s">
        <v>128</v>
      </c>
      <c r="K583" s="10" t="s">
        <v>34</v>
      </c>
      <c r="N583" s="10" t="s">
        <v>35</v>
      </c>
      <c r="V583" s="9"/>
      <c r="W583" s="13" t="s">
        <v>78</v>
      </c>
      <c r="X583" s="10" t="s">
        <v>37</v>
      </c>
      <c r="Y583" s="10" t="s">
        <v>0</v>
      </c>
    </row>
    <row r="584">
      <c r="A584" s="10" t="s">
        <v>2208</v>
      </c>
      <c r="B584" s="11">
        <v>44298.81963254629</v>
      </c>
      <c r="C584" s="10" t="s">
        <v>539</v>
      </c>
      <c r="D584" s="10" t="s">
        <v>540</v>
      </c>
      <c r="E584" s="10" t="s">
        <v>541</v>
      </c>
      <c r="F584" s="10" t="s">
        <v>1719</v>
      </c>
      <c r="G584" s="10" t="s">
        <v>2209</v>
      </c>
      <c r="H584" s="17">
        <v>44302.6875</v>
      </c>
      <c r="I584" s="17">
        <v>44302.72916666667</v>
      </c>
      <c r="J584" s="10" t="s">
        <v>128</v>
      </c>
      <c r="K584" s="10" t="s">
        <v>34</v>
      </c>
      <c r="N584" s="10" t="s">
        <v>35</v>
      </c>
      <c r="V584" s="9"/>
      <c r="W584" s="13" t="s">
        <v>78</v>
      </c>
      <c r="X584" s="10" t="s">
        <v>37</v>
      </c>
      <c r="Y584" s="10" t="s">
        <v>0</v>
      </c>
    </row>
    <row r="585">
      <c r="A585" s="10" t="s">
        <v>2210</v>
      </c>
      <c r="B585" s="11">
        <v>44293.52598605324</v>
      </c>
      <c r="C585" s="10" t="s">
        <v>491</v>
      </c>
      <c r="D585" s="10" t="s">
        <v>492</v>
      </c>
      <c r="E585" s="10" t="s">
        <v>657</v>
      </c>
      <c r="F585" s="10" t="s">
        <v>2211</v>
      </c>
      <c r="G585" s="10" t="s">
        <v>2212</v>
      </c>
      <c r="H585" s="24">
        <v>44298.75</v>
      </c>
      <c r="I585" s="24">
        <v>44298.83333333333</v>
      </c>
      <c r="J585" s="10" t="s">
        <v>43</v>
      </c>
      <c r="K585" s="10" t="s">
        <v>34</v>
      </c>
      <c r="N585" s="10" t="s">
        <v>35</v>
      </c>
      <c r="V585" s="9"/>
      <c r="W585" s="13" t="s">
        <v>78</v>
      </c>
      <c r="X585" s="10" t="s">
        <v>37</v>
      </c>
      <c r="Y585" s="10" t="s">
        <v>0</v>
      </c>
    </row>
    <row r="586">
      <c r="A586" s="10" t="s">
        <v>2213</v>
      </c>
      <c r="B586" s="11">
        <v>44295.56975550926</v>
      </c>
      <c r="C586" s="10" t="s">
        <v>209</v>
      </c>
      <c r="D586" s="10" t="s">
        <v>210</v>
      </c>
      <c r="E586" s="10" t="s">
        <v>261</v>
      </c>
      <c r="F586" s="10" t="s">
        <v>1431</v>
      </c>
      <c r="G586" s="10" t="s">
        <v>2214</v>
      </c>
      <c r="H586" s="17">
        <v>44302.77083333333</v>
      </c>
      <c r="I586" s="17">
        <v>44302.8125</v>
      </c>
      <c r="J586" s="10" t="s">
        <v>33</v>
      </c>
      <c r="K586" s="10" t="s">
        <v>34</v>
      </c>
      <c r="N586" s="10" t="s">
        <v>35</v>
      </c>
      <c r="V586" s="9"/>
      <c r="W586" s="13" t="s">
        <v>78</v>
      </c>
      <c r="X586" s="10" t="s">
        <v>37</v>
      </c>
      <c r="Y586" s="10" t="s">
        <v>0</v>
      </c>
    </row>
    <row r="587">
      <c r="A587" s="10" t="s">
        <v>2215</v>
      </c>
      <c r="B587" s="11">
        <v>44298.485480069445</v>
      </c>
      <c r="C587" s="10" t="s">
        <v>1405</v>
      </c>
      <c r="D587" s="10" t="s">
        <v>1406</v>
      </c>
      <c r="E587" s="10" t="s">
        <v>2216</v>
      </c>
      <c r="F587" s="10" t="s">
        <v>2074</v>
      </c>
      <c r="G587" s="10" t="s">
        <v>2217</v>
      </c>
      <c r="H587" s="17">
        <v>44302.77083333333</v>
      </c>
      <c r="I587" s="17">
        <v>44302.8125</v>
      </c>
      <c r="J587" s="10" t="s">
        <v>128</v>
      </c>
      <c r="K587" s="10" t="s">
        <v>34</v>
      </c>
      <c r="N587" s="10" t="s">
        <v>35</v>
      </c>
      <c r="V587" s="9"/>
      <c r="W587" s="13" t="s">
        <v>78</v>
      </c>
      <c r="X587" s="10" t="s">
        <v>37</v>
      </c>
      <c r="Y587" s="10" t="s">
        <v>0</v>
      </c>
    </row>
    <row r="588">
      <c r="A588" s="10" t="s">
        <v>2218</v>
      </c>
      <c r="B588" s="11">
        <v>44298.820737118054</v>
      </c>
      <c r="C588" s="10" t="s">
        <v>539</v>
      </c>
      <c r="D588" s="10" t="s">
        <v>540</v>
      </c>
      <c r="E588" s="10" t="s">
        <v>2219</v>
      </c>
      <c r="F588" s="10" t="s">
        <v>2220</v>
      </c>
      <c r="G588" s="10" t="s">
        <v>2221</v>
      </c>
      <c r="H588" s="17">
        <v>44302.77083333333</v>
      </c>
      <c r="I588" s="17">
        <v>44302.8125</v>
      </c>
      <c r="J588" s="10" t="s">
        <v>128</v>
      </c>
      <c r="K588" s="10" t="s">
        <v>34</v>
      </c>
      <c r="N588" s="10" t="s">
        <v>35</v>
      </c>
      <c r="V588" s="9"/>
      <c r="W588" s="13" t="s">
        <v>78</v>
      </c>
      <c r="X588" s="10" t="s">
        <v>37</v>
      </c>
      <c r="Y588" s="10" t="s">
        <v>0</v>
      </c>
    </row>
    <row r="589">
      <c r="A589" s="10" t="s">
        <v>2222</v>
      </c>
      <c r="B589" s="11">
        <v>44299.512493437505</v>
      </c>
      <c r="C589" s="10" t="s">
        <v>1583</v>
      </c>
      <c r="D589" s="10" t="s">
        <v>505</v>
      </c>
      <c r="E589" s="10" t="s">
        <v>2223</v>
      </c>
      <c r="F589" s="10" t="s">
        <v>2224</v>
      </c>
      <c r="G589" s="10" t="s">
        <v>2225</v>
      </c>
      <c r="H589" s="17">
        <v>44302.79166666667</v>
      </c>
      <c r="I589" s="17">
        <v>44302.83333333333</v>
      </c>
      <c r="J589" s="10" t="s">
        <v>128</v>
      </c>
      <c r="K589" s="10" t="s">
        <v>34</v>
      </c>
      <c r="N589" s="10" t="s">
        <v>35</v>
      </c>
      <c r="V589" s="9"/>
      <c r="W589" s="13" t="s">
        <v>78</v>
      </c>
      <c r="X589" s="10" t="s">
        <v>37</v>
      </c>
      <c r="Y589" s="10" t="s">
        <v>0</v>
      </c>
    </row>
    <row r="590">
      <c r="A590" s="10" t="s">
        <v>2226</v>
      </c>
      <c r="B590" s="11">
        <v>44272.56358076389</v>
      </c>
      <c r="C590" s="10" t="s">
        <v>181</v>
      </c>
      <c r="D590" s="10" t="s">
        <v>69</v>
      </c>
      <c r="E590" s="10" t="s">
        <v>2227</v>
      </c>
      <c r="F590" s="10" t="s">
        <v>2228</v>
      </c>
      <c r="G590" s="10" t="s">
        <v>2229</v>
      </c>
      <c r="H590" s="16">
        <v>44303.29166666667</v>
      </c>
      <c r="I590" s="16">
        <v>44304.95833333333</v>
      </c>
      <c r="J590" s="10" t="s">
        <v>128</v>
      </c>
      <c r="K590" s="10" t="s">
        <v>34</v>
      </c>
      <c r="N590" s="10" t="s">
        <v>35</v>
      </c>
      <c r="V590" s="9"/>
      <c r="W590" s="13" t="s">
        <v>78</v>
      </c>
      <c r="X590" s="10" t="s">
        <v>37</v>
      </c>
      <c r="Y590" s="10" t="s">
        <v>0</v>
      </c>
    </row>
    <row r="591">
      <c r="A591" s="10" t="s">
        <v>2230</v>
      </c>
      <c r="B591" s="11">
        <v>44369.026974629625</v>
      </c>
      <c r="C591" s="10" t="s">
        <v>102</v>
      </c>
      <c r="D591" s="10" t="s">
        <v>103</v>
      </c>
      <c r="E591" s="10" t="s">
        <v>2231</v>
      </c>
      <c r="F591" s="10" t="s">
        <v>2232</v>
      </c>
      <c r="G591" s="10" t="s">
        <v>2233</v>
      </c>
      <c r="H591" s="16">
        <v>44300.44791666667</v>
      </c>
      <c r="I591" s="16">
        <v>44300.53125</v>
      </c>
      <c r="J591" s="10" t="s">
        <v>43</v>
      </c>
      <c r="K591" s="10" t="s">
        <v>34</v>
      </c>
      <c r="N591" s="10" t="s">
        <v>296</v>
      </c>
      <c r="O591" s="18" t="s">
        <v>2234</v>
      </c>
      <c r="P591" s="10" t="s">
        <v>296</v>
      </c>
      <c r="Q591" s="10">
        <v>1.0</v>
      </c>
      <c r="R591" s="10" t="s">
        <v>296</v>
      </c>
      <c r="S591" s="10">
        <v>3.0</v>
      </c>
      <c r="T591" s="10" t="s">
        <v>35</v>
      </c>
      <c r="V591" s="9"/>
      <c r="W591" s="13" t="s">
        <v>78</v>
      </c>
      <c r="X591" s="10" t="s">
        <v>37</v>
      </c>
      <c r="Y591" s="10" t="s">
        <v>0</v>
      </c>
    </row>
    <row r="592">
      <c r="A592" s="10" t="s">
        <v>2235</v>
      </c>
      <c r="B592" s="11">
        <v>44278.42853634259</v>
      </c>
      <c r="C592" s="10" t="s">
        <v>150</v>
      </c>
      <c r="D592" s="10" t="s">
        <v>151</v>
      </c>
      <c r="E592" s="10" t="s">
        <v>152</v>
      </c>
      <c r="F592" s="10" t="s">
        <v>2085</v>
      </c>
      <c r="G592" s="10" t="s">
        <v>2236</v>
      </c>
      <c r="H592" s="16">
        <v>44303.41666666667</v>
      </c>
      <c r="I592" s="16">
        <v>44303.5</v>
      </c>
      <c r="J592" s="10" t="s">
        <v>60</v>
      </c>
      <c r="K592" s="10" t="s">
        <v>61</v>
      </c>
      <c r="N592" s="10" t="s">
        <v>35</v>
      </c>
      <c r="V592" s="9"/>
      <c r="W592" s="13" t="s">
        <v>78</v>
      </c>
      <c r="X592" s="10" t="s">
        <v>37</v>
      </c>
      <c r="Y592" s="10" t="s">
        <v>0</v>
      </c>
    </row>
    <row r="593">
      <c r="A593" s="10" t="s">
        <v>2237</v>
      </c>
      <c r="B593" s="11">
        <v>44288.64774716435</v>
      </c>
      <c r="C593" s="10" t="s">
        <v>186</v>
      </c>
      <c r="D593" s="21" t="s">
        <v>187</v>
      </c>
      <c r="E593" s="21" t="s">
        <v>188</v>
      </c>
      <c r="F593" s="21" t="s">
        <v>2238</v>
      </c>
      <c r="G593" s="21" t="s">
        <v>2239</v>
      </c>
      <c r="H593" s="24">
        <v>44301.60416666667</v>
      </c>
      <c r="I593" s="24">
        <v>44345.6875</v>
      </c>
      <c r="J593" s="21" t="s">
        <v>236</v>
      </c>
      <c r="K593" s="10" t="s">
        <v>34</v>
      </c>
      <c r="N593" s="10" t="s">
        <v>296</v>
      </c>
      <c r="O593" s="18" t="s">
        <v>2240</v>
      </c>
      <c r="P593" s="10" t="s">
        <v>35</v>
      </c>
      <c r="R593" s="10" t="s">
        <v>296</v>
      </c>
      <c r="S593" s="10">
        <v>15.0</v>
      </c>
      <c r="T593" s="10" t="s">
        <v>296</v>
      </c>
      <c r="U593" s="10">
        <v>5.0</v>
      </c>
      <c r="V593" s="27"/>
      <c r="W593" s="13" t="s">
        <v>78</v>
      </c>
      <c r="X593" s="10" t="s">
        <v>37</v>
      </c>
      <c r="Y593" s="10" t="s">
        <v>0</v>
      </c>
    </row>
    <row r="594">
      <c r="A594" s="10" t="s">
        <v>2241</v>
      </c>
      <c r="B594" s="11">
        <v>44293.82454931713</v>
      </c>
      <c r="C594" s="10" t="s">
        <v>160</v>
      </c>
      <c r="D594" s="10" t="s">
        <v>161</v>
      </c>
      <c r="E594" s="10" t="s">
        <v>947</v>
      </c>
      <c r="F594" s="10" t="s">
        <v>2242</v>
      </c>
      <c r="G594" s="10" t="s">
        <v>2243</v>
      </c>
      <c r="H594" s="24">
        <v>44301.6875</v>
      </c>
      <c r="I594" s="24">
        <v>44301.77083333333</v>
      </c>
      <c r="J594" s="10" t="s">
        <v>43</v>
      </c>
      <c r="K594" s="10" t="s">
        <v>34</v>
      </c>
      <c r="N594" s="10" t="s">
        <v>296</v>
      </c>
      <c r="O594" s="18" t="s">
        <v>2244</v>
      </c>
      <c r="P594" s="10" t="s">
        <v>35</v>
      </c>
      <c r="R594" s="10" t="s">
        <v>35</v>
      </c>
      <c r="T594" s="10" t="s">
        <v>296</v>
      </c>
      <c r="U594" s="10">
        <v>1.0</v>
      </c>
      <c r="V594" s="27"/>
      <c r="W594" s="13" t="s">
        <v>78</v>
      </c>
      <c r="X594" s="10" t="s">
        <v>37</v>
      </c>
      <c r="Y594" s="10" t="s">
        <v>0</v>
      </c>
    </row>
    <row r="595">
      <c r="A595" s="10" t="s">
        <v>2245</v>
      </c>
      <c r="B595" s="11">
        <v>44298.48199157407</v>
      </c>
      <c r="C595" s="10" t="s">
        <v>1405</v>
      </c>
      <c r="D595" s="10" t="s">
        <v>1406</v>
      </c>
      <c r="E595" s="10" t="s">
        <v>2246</v>
      </c>
      <c r="F595" s="10" t="s">
        <v>2247</v>
      </c>
      <c r="G595" s="10" t="s">
        <v>2248</v>
      </c>
      <c r="H595" s="17">
        <v>44303.5625</v>
      </c>
      <c r="I595" s="17">
        <v>44303.60416666667</v>
      </c>
      <c r="J595" s="10" t="s">
        <v>128</v>
      </c>
      <c r="K595" s="10" t="s">
        <v>34</v>
      </c>
      <c r="N595" s="10" t="s">
        <v>35</v>
      </c>
      <c r="V595" s="9"/>
      <c r="W595" s="13" t="s">
        <v>78</v>
      </c>
      <c r="X595" s="10" t="s">
        <v>37</v>
      </c>
      <c r="Y595" s="10" t="s">
        <v>0</v>
      </c>
    </row>
    <row r="596">
      <c r="A596" s="10" t="s">
        <v>2249</v>
      </c>
      <c r="B596" s="11">
        <v>44294.46175072917</v>
      </c>
      <c r="C596" s="10" t="s">
        <v>186</v>
      </c>
      <c r="D596" s="10" t="s">
        <v>187</v>
      </c>
      <c r="E596" s="10" t="s">
        <v>2250</v>
      </c>
      <c r="F596" s="10" t="s">
        <v>2251</v>
      </c>
      <c r="G596" s="10" t="s">
        <v>2252</v>
      </c>
      <c r="H596" s="17">
        <v>44303.60416666667</v>
      </c>
      <c r="I596" s="17">
        <v>44303.6875</v>
      </c>
      <c r="J596" s="10" t="s">
        <v>51</v>
      </c>
      <c r="K596" s="10" t="s">
        <v>34</v>
      </c>
      <c r="N596" s="10" t="s">
        <v>35</v>
      </c>
      <c r="V596" s="9"/>
      <c r="W596" s="13" t="s">
        <v>78</v>
      </c>
      <c r="X596" s="13" t="s">
        <v>37</v>
      </c>
      <c r="Y596" s="13" t="s">
        <v>0</v>
      </c>
    </row>
    <row r="597">
      <c r="A597" s="10" t="s">
        <v>2253</v>
      </c>
      <c r="B597" s="11">
        <v>44295.82803079861</v>
      </c>
      <c r="C597" s="10" t="s">
        <v>209</v>
      </c>
      <c r="D597" s="10" t="s">
        <v>210</v>
      </c>
      <c r="E597" s="10" t="s">
        <v>261</v>
      </c>
      <c r="F597" s="10" t="s">
        <v>2254</v>
      </c>
      <c r="G597" s="10" t="s">
        <v>2255</v>
      </c>
      <c r="H597" s="17">
        <v>44303.60416666667</v>
      </c>
      <c r="I597" s="17">
        <v>44303.64583333333</v>
      </c>
      <c r="J597" s="10" t="s">
        <v>128</v>
      </c>
      <c r="K597" s="10" t="s">
        <v>34</v>
      </c>
      <c r="N597" s="10" t="s">
        <v>35</v>
      </c>
      <c r="V597" s="9"/>
      <c r="W597" s="13" t="s">
        <v>78</v>
      </c>
      <c r="X597" s="10" t="s">
        <v>37</v>
      </c>
      <c r="Y597" s="10" t="s">
        <v>0</v>
      </c>
    </row>
    <row r="598">
      <c r="A598" s="10" t="s">
        <v>2256</v>
      </c>
      <c r="B598" s="11">
        <v>44294.61121863426</v>
      </c>
      <c r="C598" s="10" t="s">
        <v>239</v>
      </c>
      <c r="D598" s="10" t="s">
        <v>240</v>
      </c>
      <c r="E598" s="10" t="s">
        <v>1928</v>
      </c>
      <c r="F598" s="10" t="s">
        <v>2257</v>
      </c>
      <c r="G598" s="10" t="s">
        <v>2243</v>
      </c>
      <c r="H598" s="24">
        <v>44301.6875</v>
      </c>
      <c r="I598" s="24">
        <v>44301.72916666667</v>
      </c>
      <c r="J598" s="10" t="s">
        <v>43</v>
      </c>
      <c r="K598" s="10" t="s">
        <v>34</v>
      </c>
      <c r="N598" s="10" t="s">
        <v>296</v>
      </c>
      <c r="O598" s="18" t="s">
        <v>2258</v>
      </c>
      <c r="P598" s="10" t="s">
        <v>35</v>
      </c>
      <c r="R598" s="10" t="s">
        <v>35</v>
      </c>
      <c r="T598" s="10" t="s">
        <v>296</v>
      </c>
      <c r="U598" s="10">
        <v>1.0</v>
      </c>
      <c r="V598" s="27"/>
      <c r="W598" s="13" t="s">
        <v>78</v>
      </c>
      <c r="X598" s="13" t="s">
        <v>37</v>
      </c>
      <c r="Y598" s="13" t="s">
        <v>0</v>
      </c>
    </row>
    <row r="599">
      <c r="A599" s="10" t="s">
        <v>2259</v>
      </c>
      <c r="B599" s="11">
        <v>44263.69756208333</v>
      </c>
      <c r="C599" s="10" t="s">
        <v>336</v>
      </c>
      <c r="D599" s="10" t="s">
        <v>337</v>
      </c>
      <c r="E599" s="10" t="s">
        <v>1892</v>
      </c>
      <c r="F599" s="10" t="s">
        <v>2260</v>
      </c>
      <c r="G599" s="10" t="s">
        <v>1683</v>
      </c>
      <c r="H599" s="17">
        <v>44303.66666666667</v>
      </c>
      <c r="I599" s="17">
        <v>44303.72916666667</v>
      </c>
      <c r="J599" s="10" t="s">
        <v>128</v>
      </c>
      <c r="K599" s="10" t="s">
        <v>34</v>
      </c>
      <c r="N599" s="10" t="s">
        <v>35</v>
      </c>
      <c r="V599" s="9"/>
      <c r="W599" s="13" t="s">
        <v>78</v>
      </c>
      <c r="X599" s="10" t="s">
        <v>37</v>
      </c>
      <c r="Y599" s="10" t="s">
        <v>0</v>
      </c>
    </row>
    <row r="600">
      <c r="A600" s="10" t="s">
        <v>2261</v>
      </c>
      <c r="B600" s="11">
        <v>44302.34463313657</v>
      </c>
      <c r="C600" s="10" t="s">
        <v>247</v>
      </c>
      <c r="D600" s="10" t="s">
        <v>248</v>
      </c>
      <c r="E600" s="10" t="s">
        <v>2262</v>
      </c>
      <c r="F600" s="10" t="s">
        <v>2263</v>
      </c>
      <c r="G600" s="10" t="s">
        <v>2264</v>
      </c>
      <c r="H600" s="17">
        <v>44303.6875</v>
      </c>
      <c r="I600" s="17">
        <v>44303.77083333333</v>
      </c>
      <c r="J600" s="10" t="s">
        <v>33</v>
      </c>
      <c r="K600" s="10" t="s">
        <v>34</v>
      </c>
      <c r="N600" s="10" t="s">
        <v>35</v>
      </c>
      <c r="V600" s="9"/>
      <c r="W600" s="13" t="s">
        <v>78</v>
      </c>
      <c r="X600" s="10" t="s">
        <v>37</v>
      </c>
      <c r="Y600" s="10" t="s">
        <v>0</v>
      </c>
    </row>
    <row r="601">
      <c r="A601" s="10" t="s">
        <v>2265</v>
      </c>
      <c r="B601" s="11">
        <v>44299.56686737269</v>
      </c>
      <c r="C601" s="10" t="s">
        <v>539</v>
      </c>
      <c r="D601" s="10" t="s">
        <v>540</v>
      </c>
      <c r="E601" s="10" t="s">
        <v>2266</v>
      </c>
      <c r="F601" s="10" t="s">
        <v>2267</v>
      </c>
      <c r="G601" s="10" t="s">
        <v>2268</v>
      </c>
      <c r="H601" s="17">
        <v>44303.72916666667</v>
      </c>
      <c r="I601" s="17">
        <v>44303.83333333333</v>
      </c>
      <c r="J601" s="10" t="s">
        <v>73</v>
      </c>
      <c r="K601" s="10" t="s">
        <v>34</v>
      </c>
      <c r="N601" s="10" t="s">
        <v>35</v>
      </c>
      <c r="V601" s="9"/>
      <c r="W601" s="13" t="s">
        <v>78</v>
      </c>
      <c r="X601" s="10" t="s">
        <v>37</v>
      </c>
      <c r="Y601" s="10" t="s">
        <v>0</v>
      </c>
    </row>
    <row r="602">
      <c r="A602" s="10" t="s">
        <v>2269</v>
      </c>
      <c r="B602" s="11">
        <v>44302.43045388889</v>
      </c>
      <c r="C602" s="10" t="s">
        <v>418</v>
      </c>
      <c r="D602" s="10" t="s">
        <v>419</v>
      </c>
      <c r="E602" s="10" t="s">
        <v>2270</v>
      </c>
      <c r="F602" s="10" t="s">
        <v>2271</v>
      </c>
      <c r="G602" s="10" t="s">
        <v>2272</v>
      </c>
      <c r="H602" s="16">
        <v>44302.14583333333</v>
      </c>
      <c r="I602" s="16">
        <v>44302.20833333333</v>
      </c>
      <c r="J602" s="10" t="s">
        <v>43</v>
      </c>
      <c r="K602" s="10" t="s">
        <v>34</v>
      </c>
      <c r="N602" s="10" t="s">
        <v>296</v>
      </c>
      <c r="O602" s="18" t="s">
        <v>2273</v>
      </c>
      <c r="P602" s="10" t="s">
        <v>296</v>
      </c>
      <c r="Q602" s="10">
        <v>1.0</v>
      </c>
      <c r="R602" s="10" t="s">
        <v>35</v>
      </c>
      <c r="T602" s="10" t="s">
        <v>35</v>
      </c>
      <c r="V602" s="9"/>
      <c r="W602" s="13" t="s">
        <v>78</v>
      </c>
      <c r="X602" s="10" t="s">
        <v>37</v>
      </c>
      <c r="Y602" s="10" t="s">
        <v>0</v>
      </c>
    </row>
    <row r="603">
      <c r="A603" s="10" t="s">
        <v>2274</v>
      </c>
      <c r="B603" s="11">
        <v>44300.42371268518</v>
      </c>
      <c r="C603" s="10" t="s">
        <v>320</v>
      </c>
      <c r="D603" s="10" t="s">
        <v>321</v>
      </c>
      <c r="E603" s="10" t="s">
        <v>555</v>
      </c>
      <c r="F603" s="10" t="s">
        <v>2275</v>
      </c>
      <c r="G603" s="10" t="s">
        <v>2276</v>
      </c>
      <c r="H603" s="17">
        <v>44305.25</v>
      </c>
      <c r="I603" s="17">
        <v>44309.75</v>
      </c>
      <c r="J603" s="10" t="s">
        <v>73</v>
      </c>
      <c r="K603" s="10" t="s">
        <v>34</v>
      </c>
      <c r="N603" s="10" t="s">
        <v>35</v>
      </c>
      <c r="V603" s="9"/>
      <c r="W603" s="13" t="s">
        <v>78</v>
      </c>
      <c r="X603" s="10" t="s">
        <v>37</v>
      </c>
      <c r="Y603" s="10" t="s">
        <v>0</v>
      </c>
    </row>
    <row r="604">
      <c r="A604" s="10" t="s">
        <v>2277</v>
      </c>
      <c r="B604" s="11">
        <v>44293.73961766204</v>
      </c>
      <c r="C604" s="10" t="s">
        <v>239</v>
      </c>
      <c r="D604" s="10" t="s">
        <v>240</v>
      </c>
      <c r="E604" s="10" t="s">
        <v>2278</v>
      </c>
      <c r="F604" s="10" t="s">
        <v>2279</v>
      </c>
      <c r="G604" s="10" t="s">
        <v>2280</v>
      </c>
      <c r="H604" s="17">
        <v>44305.33333333333</v>
      </c>
      <c r="I604" s="17">
        <v>44309.83333333333</v>
      </c>
      <c r="J604" s="10" t="s">
        <v>51</v>
      </c>
      <c r="K604" s="10" t="s">
        <v>34</v>
      </c>
      <c r="N604" s="10" t="s">
        <v>35</v>
      </c>
      <c r="V604" s="9"/>
      <c r="W604" s="13" t="s">
        <v>78</v>
      </c>
      <c r="X604" s="10" t="s">
        <v>37</v>
      </c>
      <c r="Y604" s="10" t="s">
        <v>0</v>
      </c>
    </row>
    <row r="605">
      <c r="A605" s="10" t="s">
        <v>2281</v>
      </c>
      <c r="B605" s="11">
        <v>44295.79146540509</v>
      </c>
      <c r="C605" s="10" t="s">
        <v>209</v>
      </c>
      <c r="D605" s="10" t="s">
        <v>210</v>
      </c>
      <c r="E605" s="10" t="s">
        <v>261</v>
      </c>
      <c r="F605" s="10" t="s">
        <v>2282</v>
      </c>
      <c r="G605" s="10" t="s">
        <v>2283</v>
      </c>
      <c r="H605" s="17">
        <v>44305.5625</v>
      </c>
      <c r="I605" s="17">
        <v>44305.60416666667</v>
      </c>
      <c r="J605" s="10" t="s">
        <v>33</v>
      </c>
      <c r="K605" s="10" t="s">
        <v>34</v>
      </c>
      <c r="N605" s="10" t="s">
        <v>35</v>
      </c>
      <c r="V605" s="9"/>
      <c r="W605" s="13" t="s">
        <v>78</v>
      </c>
      <c r="X605" s="10" t="s">
        <v>37</v>
      </c>
      <c r="Y605" s="10" t="s">
        <v>0</v>
      </c>
    </row>
    <row r="606">
      <c r="A606" s="10" t="s">
        <v>2284</v>
      </c>
      <c r="B606" s="11">
        <v>44285.9246844213</v>
      </c>
      <c r="C606" s="10" t="s">
        <v>387</v>
      </c>
      <c r="D606" s="10" t="s">
        <v>388</v>
      </c>
      <c r="E606" s="10" t="s">
        <v>2285</v>
      </c>
      <c r="F606" s="30" t="s">
        <v>2286</v>
      </c>
      <c r="G606" s="31" t="s">
        <v>2287</v>
      </c>
      <c r="H606" s="24">
        <v>44305.625</v>
      </c>
      <c r="I606" s="24">
        <v>44305.75</v>
      </c>
      <c r="J606" s="10" t="s">
        <v>73</v>
      </c>
      <c r="K606" s="10" t="s">
        <v>34</v>
      </c>
      <c r="N606" s="10" t="s">
        <v>35</v>
      </c>
      <c r="V606" s="9"/>
      <c r="W606" s="13" t="s">
        <v>78</v>
      </c>
      <c r="X606" s="10" t="s">
        <v>37</v>
      </c>
      <c r="Y606" s="10" t="s">
        <v>0</v>
      </c>
    </row>
    <row r="607">
      <c r="A607" s="10" t="s">
        <v>2288</v>
      </c>
      <c r="B607" s="11">
        <v>44268.93651153935</v>
      </c>
      <c r="C607" s="10" t="s">
        <v>727</v>
      </c>
      <c r="D607" s="10" t="s">
        <v>728</v>
      </c>
      <c r="E607" s="10" t="s">
        <v>2289</v>
      </c>
      <c r="F607" s="10" t="s">
        <v>2290</v>
      </c>
      <c r="G607" s="10" t="s">
        <v>2291</v>
      </c>
      <c r="H607" s="17">
        <v>44305.64583333333</v>
      </c>
      <c r="I607" s="17">
        <v>44305.72916666667</v>
      </c>
      <c r="J607" s="10" t="s">
        <v>128</v>
      </c>
      <c r="K607" s="10" t="s">
        <v>34</v>
      </c>
      <c r="N607" s="10" t="s">
        <v>35</v>
      </c>
      <c r="V607" s="9"/>
      <c r="W607" s="13" t="s">
        <v>78</v>
      </c>
      <c r="X607" s="10" t="s">
        <v>37</v>
      </c>
      <c r="Y607" s="10" t="s">
        <v>0</v>
      </c>
    </row>
    <row r="608">
      <c r="A608" s="10" t="s">
        <v>2292</v>
      </c>
      <c r="B608" s="11">
        <v>44293.83973921296</v>
      </c>
      <c r="C608" s="10" t="s">
        <v>160</v>
      </c>
      <c r="D608" s="10" t="s">
        <v>161</v>
      </c>
      <c r="E608" s="10" t="s">
        <v>947</v>
      </c>
      <c r="F608" s="10" t="s">
        <v>2293</v>
      </c>
      <c r="G608" s="10" t="s">
        <v>2294</v>
      </c>
      <c r="H608" s="24">
        <v>44302.64583333333</v>
      </c>
      <c r="I608" s="24">
        <v>44302.70833333333</v>
      </c>
      <c r="J608" s="10" t="s">
        <v>43</v>
      </c>
      <c r="K608" s="10" t="s">
        <v>34</v>
      </c>
      <c r="N608" s="10" t="s">
        <v>296</v>
      </c>
      <c r="O608" s="18" t="s">
        <v>2295</v>
      </c>
      <c r="P608" s="10" t="s">
        <v>296</v>
      </c>
      <c r="Q608" s="10">
        <v>1.0</v>
      </c>
      <c r="R608" s="10" t="s">
        <v>35</v>
      </c>
      <c r="T608" s="10" t="s">
        <v>35</v>
      </c>
      <c r="V608" s="9"/>
      <c r="W608" s="13" t="s">
        <v>78</v>
      </c>
      <c r="X608" s="10" t="s">
        <v>37</v>
      </c>
      <c r="Y608" s="10" t="s">
        <v>0</v>
      </c>
    </row>
    <row r="609">
      <c r="A609" s="10" t="s">
        <v>2296</v>
      </c>
      <c r="B609" s="11">
        <v>44300.717075625</v>
      </c>
      <c r="C609" s="10" t="s">
        <v>269</v>
      </c>
      <c r="D609" s="10" t="s">
        <v>168</v>
      </c>
      <c r="E609" s="10" t="s">
        <v>2297</v>
      </c>
      <c r="F609" s="10" t="s">
        <v>2298</v>
      </c>
      <c r="G609" s="10" t="s">
        <v>2299</v>
      </c>
      <c r="H609" s="16">
        <v>44302.64583333333</v>
      </c>
      <c r="I609" s="16">
        <v>44302.6875</v>
      </c>
      <c r="J609" s="10" t="s">
        <v>43</v>
      </c>
      <c r="K609" s="10" t="s">
        <v>34</v>
      </c>
      <c r="N609" s="10" t="s">
        <v>296</v>
      </c>
      <c r="O609" s="18" t="s">
        <v>2300</v>
      </c>
      <c r="P609" s="10" t="s">
        <v>296</v>
      </c>
      <c r="Q609" s="10">
        <v>2.0</v>
      </c>
      <c r="R609" s="10" t="s">
        <v>35</v>
      </c>
      <c r="T609" s="10" t="s">
        <v>35</v>
      </c>
      <c r="V609" s="9"/>
      <c r="W609" s="13" t="s">
        <v>78</v>
      </c>
      <c r="X609" s="10" t="s">
        <v>37</v>
      </c>
      <c r="Y609" s="10" t="s">
        <v>0</v>
      </c>
    </row>
    <row r="610">
      <c r="A610" s="10" t="s">
        <v>2301</v>
      </c>
      <c r="B610" s="11">
        <v>44299.56507806713</v>
      </c>
      <c r="C610" s="10" t="s">
        <v>539</v>
      </c>
      <c r="D610" s="10" t="s">
        <v>540</v>
      </c>
      <c r="E610" s="10" t="s">
        <v>2266</v>
      </c>
      <c r="F610" s="10" t="s">
        <v>2302</v>
      </c>
      <c r="G610" s="10" t="s">
        <v>2303</v>
      </c>
      <c r="H610" s="16">
        <v>44302.6875</v>
      </c>
      <c r="I610" s="16">
        <v>44302.72916666667</v>
      </c>
      <c r="J610" s="10" t="s">
        <v>43</v>
      </c>
      <c r="K610" s="10" t="s">
        <v>34</v>
      </c>
      <c r="N610" s="10" t="s">
        <v>296</v>
      </c>
      <c r="O610" s="18" t="s">
        <v>2304</v>
      </c>
      <c r="P610" s="10" t="s">
        <v>35</v>
      </c>
      <c r="R610" s="10" t="s">
        <v>296</v>
      </c>
      <c r="S610" s="10">
        <v>1.0</v>
      </c>
      <c r="T610" s="10" t="s">
        <v>35</v>
      </c>
      <c r="V610" s="9"/>
      <c r="W610" s="13" t="s">
        <v>78</v>
      </c>
      <c r="X610" s="10" t="s">
        <v>37</v>
      </c>
      <c r="Y610" s="10" t="s">
        <v>0</v>
      </c>
    </row>
    <row r="611">
      <c r="A611" s="10" t="s">
        <v>2305</v>
      </c>
      <c r="B611" s="11">
        <v>44291.49485221065</v>
      </c>
      <c r="C611" s="10" t="s">
        <v>181</v>
      </c>
      <c r="D611" s="10" t="s">
        <v>69</v>
      </c>
      <c r="E611" s="10" t="s">
        <v>2306</v>
      </c>
      <c r="F611" s="10" t="s">
        <v>2307</v>
      </c>
      <c r="G611" s="10" t="s">
        <v>2308</v>
      </c>
      <c r="H611" s="24">
        <v>44303.375</v>
      </c>
      <c r="I611" s="24">
        <v>44303.5</v>
      </c>
      <c r="J611" s="10" t="s">
        <v>43</v>
      </c>
      <c r="K611" s="10" t="s">
        <v>34</v>
      </c>
      <c r="N611" s="10" t="s">
        <v>296</v>
      </c>
      <c r="O611" s="18" t="s">
        <v>2309</v>
      </c>
      <c r="P611" s="10" t="s">
        <v>35</v>
      </c>
      <c r="R611" s="10" t="s">
        <v>35</v>
      </c>
      <c r="T611" s="10" t="s">
        <v>296</v>
      </c>
      <c r="U611" s="10">
        <v>1.0</v>
      </c>
      <c r="V611" s="27"/>
      <c r="W611" s="13" t="s">
        <v>78</v>
      </c>
      <c r="X611" s="10" t="s">
        <v>37</v>
      </c>
      <c r="Y611" s="10" t="s">
        <v>0</v>
      </c>
    </row>
    <row r="612">
      <c r="A612" s="10" t="s">
        <v>2310</v>
      </c>
      <c r="B612" s="11">
        <v>44301.44018532407</v>
      </c>
      <c r="C612" s="10" t="s">
        <v>219</v>
      </c>
      <c r="D612" s="10" t="s">
        <v>220</v>
      </c>
      <c r="E612" s="10" t="s">
        <v>2311</v>
      </c>
      <c r="F612" s="10" t="s">
        <v>2312</v>
      </c>
      <c r="G612" s="10" t="s">
        <v>2313</v>
      </c>
      <c r="H612" s="24">
        <v>44303.41666666667</v>
      </c>
      <c r="I612" s="24">
        <v>44303.45833333333</v>
      </c>
      <c r="J612" s="10" t="s">
        <v>43</v>
      </c>
      <c r="K612" s="10" t="s">
        <v>34</v>
      </c>
      <c r="N612" s="10" t="s">
        <v>35</v>
      </c>
      <c r="V612" s="9"/>
      <c r="W612" s="13" t="s">
        <v>78</v>
      </c>
      <c r="X612" s="10" t="s">
        <v>37</v>
      </c>
      <c r="Y612" s="10" t="s">
        <v>0</v>
      </c>
    </row>
    <row r="613">
      <c r="A613" s="10" t="s">
        <v>2314</v>
      </c>
      <c r="B613" s="11">
        <v>44293.336962430556</v>
      </c>
      <c r="C613" s="10" t="s">
        <v>181</v>
      </c>
      <c r="D613" s="10" t="s">
        <v>69</v>
      </c>
      <c r="E613" s="10" t="s">
        <v>860</v>
      </c>
      <c r="F613" s="10" t="s">
        <v>2315</v>
      </c>
      <c r="G613" s="10" t="s">
        <v>2316</v>
      </c>
      <c r="H613" s="17">
        <v>44306.375</v>
      </c>
      <c r="I613" s="17">
        <v>44318.95833333333</v>
      </c>
      <c r="J613" s="10" t="s">
        <v>73</v>
      </c>
      <c r="K613" s="10" t="s">
        <v>34</v>
      </c>
      <c r="N613" s="10" t="s">
        <v>35</v>
      </c>
      <c r="V613" s="9"/>
      <c r="W613" s="13" t="s">
        <v>78</v>
      </c>
      <c r="X613" s="10" t="s">
        <v>37</v>
      </c>
      <c r="Y613" s="10" t="s">
        <v>0</v>
      </c>
    </row>
    <row r="614">
      <c r="A614" s="10" t="s">
        <v>2317</v>
      </c>
      <c r="B614" s="11">
        <v>44293.338119594904</v>
      </c>
      <c r="C614" s="10" t="s">
        <v>181</v>
      </c>
      <c r="D614" s="10" t="s">
        <v>69</v>
      </c>
      <c r="E614" s="10" t="s">
        <v>860</v>
      </c>
      <c r="F614" s="10" t="s">
        <v>2318</v>
      </c>
      <c r="G614" s="10" t="s">
        <v>2319</v>
      </c>
      <c r="H614" s="17">
        <v>44306.375</v>
      </c>
      <c r="I614" s="17">
        <v>44306.95833333333</v>
      </c>
      <c r="J614" s="10" t="s">
        <v>73</v>
      </c>
      <c r="K614" s="10" t="s">
        <v>34</v>
      </c>
      <c r="N614" s="10" t="s">
        <v>35</v>
      </c>
      <c r="V614" s="9"/>
      <c r="W614" s="13" t="s">
        <v>78</v>
      </c>
      <c r="X614" s="10" t="s">
        <v>37</v>
      </c>
      <c r="Y614" s="10" t="s">
        <v>0</v>
      </c>
    </row>
    <row r="615">
      <c r="A615" s="10" t="s">
        <v>2320</v>
      </c>
      <c r="B615" s="11">
        <v>44285.940505590275</v>
      </c>
      <c r="C615" s="10" t="s">
        <v>387</v>
      </c>
      <c r="D615" s="10" t="s">
        <v>388</v>
      </c>
      <c r="E615" s="10" t="s">
        <v>2285</v>
      </c>
      <c r="F615" s="30" t="s">
        <v>2286</v>
      </c>
      <c r="G615" s="10" t="s">
        <v>2321</v>
      </c>
      <c r="H615" s="17">
        <v>44306.625</v>
      </c>
      <c r="I615" s="17">
        <v>44306.64583333333</v>
      </c>
      <c r="J615" s="10" t="s">
        <v>73</v>
      </c>
      <c r="K615" s="10" t="s">
        <v>34</v>
      </c>
      <c r="N615" s="10" t="s">
        <v>35</v>
      </c>
      <c r="V615" s="9"/>
      <c r="W615" s="13" t="s">
        <v>78</v>
      </c>
      <c r="X615" s="10" t="s">
        <v>37</v>
      </c>
      <c r="Y615" s="10" t="s">
        <v>0</v>
      </c>
    </row>
    <row r="616">
      <c r="A616" s="10" t="s">
        <v>2322</v>
      </c>
      <c r="B616" s="11">
        <v>44286.75664734954</v>
      </c>
      <c r="C616" s="10" t="s">
        <v>28</v>
      </c>
      <c r="D616" s="10" t="s">
        <v>29</v>
      </c>
      <c r="E616" s="10" t="s">
        <v>2323</v>
      </c>
      <c r="F616" s="10" t="s">
        <v>2324</v>
      </c>
      <c r="G616" s="10" t="s">
        <v>2325</v>
      </c>
      <c r="H616" s="24">
        <v>44303.4375</v>
      </c>
      <c r="I616" s="24">
        <v>44303.52083333333</v>
      </c>
      <c r="J616" s="10" t="s">
        <v>43</v>
      </c>
      <c r="K616" s="10" t="s">
        <v>34</v>
      </c>
      <c r="N616" s="10" t="s">
        <v>35</v>
      </c>
      <c r="V616" s="9"/>
      <c r="W616" s="13" t="s">
        <v>78</v>
      </c>
      <c r="X616" s="10" t="s">
        <v>37</v>
      </c>
      <c r="Y616" s="10" t="s">
        <v>0</v>
      </c>
    </row>
    <row r="617">
      <c r="A617" s="10" t="s">
        <v>2326</v>
      </c>
      <c r="B617" s="11">
        <v>44291.50747444444</v>
      </c>
      <c r="C617" s="10" t="s">
        <v>181</v>
      </c>
      <c r="D617" s="10" t="s">
        <v>69</v>
      </c>
      <c r="E617" s="10" t="s">
        <v>2327</v>
      </c>
      <c r="F617" s="10" t="s">
        <v>2328</v>
      </c>
      <c r="G617" s="10" t="s">
        <v>2329</v>
      </c>
      <c r="H617" s="17">
        <v>44306.77083333333</v>
      </c>
      <c r="I617" s="17">
        <v>44306.8125</v>
      </c>
      <c r="J617" s="10" t="s">
        <v>128</v>
      </c>
      <c r="K617" s="10" t="s">
        <v>34</v>
      </c>
      <c r="N617" s="10" t="s">
        <v>35</v>
      </c>
      <c r="V617" s="9"/>
      <c r="W617" s="13" t="s">
        <v>78</v>
      </c>
      <c r="X617" s="10" t="s">
        <v>37</v>
      </c>
      <c r="Y617" s="10" t="s">
        <v>0</v>
      </c>
    </row>
    <row r="618">
      <c r="A618" s="10" t="s">
        <v>2330</v>
      </c>
      <c r="B618" s="11">
        <v>44285.944226458334</v>
      </c>
      <c r="C618" s="10" t="s">
        <v>387</v>
      </c>
      <c r="D618" s="10" t="s">
        <v>388</v>
      </c>
      <c r="E618" s="10" t="s">
        <v>2285</v>
      </c>
      <c r="F618" s="30" t="s">
        <v>2331</v>
      </c>
      <c r="G618" s="10" t="s">
        <v>2332</v>
      </c>
      <c r="H618" s="17">
        <v>44307.625</v>
      </c>
      <c r="I618" s="17">
        <v>44307.64583333333</v>
      </c>
      <c r="J618" s="10" t="s">
        <v>73</v>
      </c>
      <c r="K618" s="10" t="s">
        <v>34</v>
      </c>
      <c r="N618" s="10" t="s">
        <v>35</v>
      </c>
      <c r="V618" s="9"/>
      <c r="W618" s="13" t="s">
        <v>78</v>
      </c>
      <c r="X618" s="10" t="s">
        <v>37</v>
      </c>
      <c r="Y618" s="10" t="s">
        <v>0</v>
      </c>
    </row>
    <row r="619">
      <c r="A619" s="10" t="s">
        <v>2333</v>
      </c>
      <c r="B619" s="11">
        <v>44285.94583819444</v>
      </c>
      <c r="C619" s="10" t="s">
        <v>387</v>
      </c>
      <c r="D619" s="10" t="s">
        <v>388</v>
      </c>
      <c r="E619" s="10" t="s">
        <v>2285</v>
      </c>
      <c r="F619" s="30" t="s">
        <v>2334</v>
      </c>
      <c r="G619" s="10" t="s">
        <v>2335</v>
      </c>
      <c r="H619" s="24">
        <v>44307.66666666667</v>
      </c>
      <c r="I619" s="24">
        <v>44307.70833333333</v>
      </c>
      <c r="J619" s="10" t="s">
        <v>73</v>
      </c>
      <c r="K619" s="10" t="s">
        <v>34</v>
      </c>
      <c r="N619" s="10" t="s">
        <v>35</v>
      </c>
      <c r="V619" s="9"/>
      <c r="W619" s="13" t="s">
        <v>78</v>
      </c>
      <c r="X619" s="10" t="s">
        <v>37</v>
      </c>
      <c r="Y619" s="10" t="s">
        <v>0</v>
      </c>
    </row>
    <row r="620">
      <c r="A620" s="10" t="s">
        <v>2336</v>
      </c>
      <c r="B620" s="11">
        <v>44292.545819039355</v>
      </c>
      <c r="C620" s="10" t="s">
        <v>2337</v>
      </c>
      <c r="D620" s="10" t="s">
        <v>511</v>
      </c>
      <c r="E620" s="10" t="s">
        <v>2338</v>
      </c>
      <c r="F620" s="10" t="s">
        <v>2339</v>
      </c>
      <c r="G620" s="10" t="s">
        <v>2340</v>
      </c>
      <c r="H620" s="24">
        <v>44303.64583333333</v>
      </c>
      <c r="I620" s="24">
        <v>44303.6875</v>
      </c>
      <c r="J620" s="10" t="s">
        <v>43</v>
      </c>
      <c r="K620" s="10" t="s">
        <v>34</v>
      </c>
      <c r="N620" s="10" t="s">
        <v>35</v>
      </c>
      <c r="V620" s="9"/>
      <c r="W620" s="13" t="s">
        <v>78</v>
      </c>
      <c r="X620" s="10" t="s">
        <v>37</v>
      </c>
      <c r="Y620" s="10" t="s">
        <v>0</v>
      </c>
    </row>
    <row r="621">
      <c r="A621" s="10" t="s">
        <v>2341</v>
      </c>
      <c r="B621" s="11">
        <v>44308.51017434028</v>
      </c>
      <c r="C621" s="10" t="s">
        <v>239</v>
      </c>
      <c r="D621" s="10" t="s">
        <v>240</v>
      </c>
      <c r="E621" s="10" t="s">
        <v>1975</v>
      </c>
      <c r="F621" s="10" t="s">
        <v>2342</v>
      </c>
      <c r="G621" s="10" t="s">
        <v>2343</v>
      </c>
      <c r="H621" s="16">
        <v>44303.64583333333</v>
      </c>
      <c r="I621" s="16">
        <v>44304.6875</v>
      </c>
      <c r="J621" s="10" t="s">
        <v>43</v>
      </c>
      <c r="K621" s="10" t="s">
        <v>34</v>
      </c>
      <c r="N621" s="10" t="s">
        <v>35</v>
      </c>
      <c r="V621" s="9"/>
      <c r="W621" s="13" t="s">
        <v>78</v>
      </c>
      <c r="X621" s="10" t="s">
        <v>37</v>
      </c>
      <c r="Y621" s="10" t="s">
        <v>0</v>
      </c>
    </row>
    <row r="622">
      <c r="A622" s="10" t="s">
        <v>2344</v>
      </c>
      <c r="B622" s="11">
        <v>44300.597452002316</v>
      </c>
      <c r="C622" s="10" t="s">
        <v>80</v>
      </c>
      <c r="D622" s="10" t="s">
        <v>81</v>
      </c>
      <c r="E622" s="10" t="s">
        <v>2345</v>
      </c>
      <c r="F622" s="10" t="s">
        <v>2120</v>
      </c>
      <c r="G622" s="10" t="s">
        <v>2121</v>
      </c>
      <c r="H622" s="17">
        <v>44308.33333333333</v>
      </c>
      <c r="I622" s="17">
        <v>44308.375</v>
      </c>
      <c r="J622" s="10" t="s">
        <v>73</v>
      </c>
      <c r="K622" s="10" t="s">
        <v>34</v>
      </c>
      <c r="N622" s="10" t="s">
        <v>35</v>
      </c>
      <c r="V622" s="9"/>
      <c r="W622" s="13" t="s">
        <v>78</v>
      </c>
      <c r="X622" s="10" t="s">
        <v>37</v>
      </c>
      <c r="Y622" s="10" t="s">
        <v>0</v>
      </c>
    </row>
    <row r="623">
      <c r="A623" s="10" t="s">
        <v>2346</v>
      </c>
      <c r="B623" s="11">
        <v>44294.49990109954</v>
      </c>
      <c r="C623" s="10" t="s">
        <v>181</v>
      </c>
      <c r="D623" s="10" t="s">
        <v>69</v>
      </c>
      <c r="E623" s="10" t="s">
        <v>860</v>
      </c>
      <c r="F623" s="10" t="s">
        <v>2347</v>
      </c>
      <c r="G623" s="10" t="s">
        <v>2348</v>
      </c>
      <c r="H623" s="17">
        <v>44308.375</v>
      </c>
      <c r="I623" s="17">
        <v>44308.95833333333</v>
      </c>
      <c r="J623" s="10" t="s">
        <v>73</v>
      </c>
      <c r="K623" s="10" t="s">
        <v>34</v>
      </c>
      <c r="N623" s="10" t="s">
        <v>35</v>
      </c>
      <c r="V623" s="9"/>
      <c r="W623" s="13" t="s">
        <v>78</v>
      </c>
      <c r="X623" s="13" t="s">
        <v>37</v>
      </c>
      <c r="Y623" s="13" t="s">
        <v>0</v>
      </c>
    </row>
    <row r="624">
      <c r="A624" s="10" t="s">
        <v>2349</v>
      </c>
      <c r="B624" s="11">
        <v>44299.67441422454</v>
      </c>
      <c r="C624" s="10" t="s">
        <v>2350</v>
      </c>
      <c r="D624" s="10" t="s">
        <v>2351</v>
      </c>
      <c r="E624" s="10" t="s">
        <v>2352</v>
      </c>
      <c r="F624" s="10" t="s">
        <v>2353</v>
      </c>
      <c r="G624" s="10" t="s">
        <v>2354</v>
      </c>
      <c r="H624" s="24">
        <v>44305.22916666667</v>
      </c>
      <c r="I624" s="24">
        <v>44309.20833333333</v>
      </c>
      <c r="J624" s="10" t="s">
        <v>43</v>
      </c>
      <c r="K624" s="10" t="s">
        <v>34</v>
      </c>
      <c r="N624" s="10" t="s">
        <v>296</v>
      </c>
      <c r="O624" s="18" t="s">
        <v>2355</v>
      </c>
      <c r="P624" s="10" t="s">
        <v>296</v>
      </c>
      <c r="Q624" s="10">
        <v>5.0</v>
      </c>
      <c r="R624" s="10" t="s">
        <v>296</v>
      </c>
      <c r="S624" s="10">
        <v>6.0</v>
      </c>
      <c r="T624" s="10" t="s">
        <v>35</v>
      </c>
      <c r="V624" s="9"/>
      <c r="W624" s="13" t="s">
        <v>78</v>
      </c>
      <c r="X624" s="10" t="s">
        <v>37</v>
      </c>
      <c r="Y624" s="10" t="s">
        <v>0</v>
      </c>
    </row>
    <row r="625">
      <c r="A625" s="10" t="s">
        <v>2356</v>
      </c>
      <c r="B625" s="11">
        <v>44403.62003438658</v>
      </c>
      <c r="C625" s="10" t="s">
        <v>46</v>
      </c>
      <c r="D625" s="10" t="s">
        <v>47</v>
      </c>
      <c r="E625" s="10" t="s">
        <v>2357</v>
      </c>
      <c r="F625" s="10" t="s">
        <v>2358</v>
      </c>
      <c r="G625" s="10" t="s">
        <v>2359</v>
      </c>
      <c r="H625" s="11">
        <v>44305.33333333333</v>
      </c>
      <c r="I625" s="11">
        <v>44377.75</v>
      </c>
      <c r="J625" s="10" t="s">
        <v>43</v>
      </c>
      <c r="K625" s="10" t="s">
        <v>34</v>
      </c>
      <c r="N625" s="10" t="s">
        <v>35</v>
      </c>
      <c r="V625" s="9"/>
      <c r="W625" s="13" t="s">
        <v>78</v>
      </c>
      <c r="X625" s="10" t="s">
        <v>2360</v>
      </c>
      <c r="Y625" s="10" t="s">
        <v>0</v>
      </c>
    </row>
    <row r="626">
      <c r="A626" s="10" t="s">
        <v>2361</v>
      </c>
      <c r="B626" s="11">
        <v>44299.59094401621</v>
      </c>
      <c r="C626" s="10" t="s">
        <v>539</v>
      </c>
      <c r="D626" s="10" t="s">
        <v>540</v>
      </c>
      <c r="E626" s="10" t="s">
        <v>1715</v>
      </c>
      <c r="F626" s="10" t="s">
        <v>2362</v>
      </c>
      <c r="G626" s="10" t="s">
        <v>2363</v>
      </c>
      <c r="H626" s="17">
        <v>44308.72916666667</v>
      </c>
      <c r="I626" s="17">
        <v>44308.83333333333</v>
      </c>
      <c r="J626" s="10" t="s">
        <v>73</v>
      </c>
      <c r="K626" s="10" t="s">
        <v>34</v>
      </c>
      <c r="N626" s="10" t="s">
        <v>35</v>
      </c>
      <c r="V626" s="9"/>
      <c r="W626" s="13" t="s">
        <v>78</v>
      </c>
      <c r="X626" s="10" t="s">
        <v>37</v>
      </c>
      <c r="Y626" s="10" t="s">
        <v>0</v>
      </c>
    </row>
    <row r="627">
      <c r="A627" s="10" t="s">
        <v>2364</v>
      </c>
      <c r="B627" s="11">
        <v>44300.601619918976</v>
      </c>
      <c r="C627" s="10" t="s">
        <v>80</v>
      </c>
      <c r="D627" s="10" t="s">
        <v>81</v>
      </c>
      <c r="E627" s="10" t="s">
        <v>2365</v>
      </c>
      <c r="F627" s="10" t="s">
        <v>2366</v>
      </c>
      <c r="G627" s="10" t="s">
        <v>2367</v>
      </c>
      <c r="H627" s="17">
        <v>44308.75</v>
      </c>
      <c r="I627" s="17">
        <v>44308.79166666667</v>
      </c>
      <c r="J627" s="10" t="s">
        <v>73</v>
      </c>
      <c r="K627" s="10" t="s">
        <v>34</v>
      </c>
      <c r="N627" s="10" t="s">
        <v>35</v>
      </c>
      <c r="V627" s="9"/>
      <c r="W627" s="13" t="s">
        <v>78</v>
      </c>
      <c r="X627" s="10" t="s">
        <v>37</v>
      </c>
      <c r="Y627" s="10" t="s">
        <v>0</v>
      </c>
    </row>
    <row r="628">
      <c r="A628" s="10" t="s">
        <v>2368</v>
      </c>
      <c r="B628" s="11">
        <v>44301.43671819444</v>
      </c>
      <c r="C628" s="10" t="s">
        <v>491</v>
      </c>
      <c r="D628" s="10" t="s">
        <v>492</v>
      </c>
      <c r="E628" s="10" t="s">
        <v>657</v>
      </c>
      <c r="F628" s="10" t="s">
        <v>2369</v>
      </c>
      <c r="G628" s="10" t="s">
        <v>2370</v>
      </c>
      <c r="H628" s="17">
        <v>44308.79166666667</v>
      </c>
      <c r="I628" s="17">
        <v>44308.85416666667</v>
      </c>
      <c r="J628" s="10" t="s">
        <v>128</v>
      </c>
      <c r="K628" s="10" t="s">
        <v>34</v>
      </c>
      <c r="N628" s="10" t="s">
        <v>35</v>
      </c>
      <c r="V628" s="9"/>
      <c r="W628" s="13" t="s">
        <v>78</v>
      </c>
      <c r="X628" s="10" t="s">
        <v>37</v>
      </c>
      <c r="Y628" s="10" t="s">
        <v>0</v>
      </c>
    </row>
    <row r="629">
      <c r="A629" s="10" t="s">
        <v>2371</v>
      </c>
      <c r="B629" s="11">
        <v>44292.40239962963</v>
      </c>
      <c r="C629" s="10" t="s">
        <v>150</v>
      </c>
      <c r="D629" s="10" t="s">
        <v>151</v>
      </c>
      <c r="E629" s="10" t="s">
        <v>152</v>
      </c>
      <c r="F629" s="10" t="s">
        <v>2372</v>
      </c>
      <c r="G629" s="10" t="s">
        <v>2373</v>
      </c>
      <c r="H629" s="24">
        <v>44305.70833333333</v>
      </c>
      <c r="I629" s="24">
        <v>44305.75</v>
      </c>
      <c r="J629" s="10" t="s">
        <v>43</v>
      </c>
      <c r="K629" s="10" t="s">
        <v>34</v>
      </c>
      <c r="N629" s="10" t="s">
        <v>296</v>
      </c>
      <c r="O629" s="18" t="s">
        <v>2374</v>
      </c>
      <c r="P629" s="10" t="s">
        <v>296</v>
      </c>
      <c r="Q629" s="10">
        <v>1.0</v>
      </c>
      <c r="R629" s="10" t="s">
        <v>35</v>
      </c>
      <c r="T629" s="10" t="s">
        <v>35</v>
      </c>
      <c r="V629" s="9"/>
      <c r="W629" s="13" t="s">
        <v>78</v>
      </c>
      <c r="X629" s="10" t="s">
        <v>37</v>
      </c>
      <c r="Y629" s="10" t="s">
        <v>0</v>
      </c>
    </row>
    <row r="630">
      <c r="A630" s="10" t="s">
        <v>2375</v>
      </c>
      <c r="B630" s="11">
        <v>44295.50743702546</v>
      </c>
      <c r="C630" s="10" t="s">
        <v>209</v>
      </c>
      <c r="D630" s="10" t="s">
        <v>210</v>
      </c>
      <c r="E630" s="10" t="s">
        <v>261</v>
      </c>
      <c r="F630" s="10" t="s">
        <v>2183</v>
      </c>
      <c r="G630" s="10" t="s">
        <v>2376</v>
      </c>
      <c r="H630" s="17">
        <v>44309.47916666667</v>
      </c>
      <c r="I630" s="17">
        <v>44309.52083333333</v>
      </c>
      <c r="J630" s="10" t="s">
        <v>33</v>
      </c>
      <c r="K630" s="10" t="s">
        <v>34</v>
      </c>
      <c r="N630" s="10" t="s">
        <v>35</v>
      </c>
      <c r="V630" s="9"/>
      <c r="W630" s="13" t="s">
        <v>78</v>
      </c>
      <c r="X630" s="13" t="s">
        <v>37</v>
      </c>
      <c r="Y630" s="13" t="s">
        <v>0</v>
      </c>
    </row>
    <row r="631">
      <c r="A631" s="10" t="s">
        <v>2377</v>
      </c>
      <c r="B631" s="11">
        <v>44291.3443815625</v>
      </c>
      <c r="C631" s="10" t="s">
        <v>137</v>
      </c>
      <c r="D631" s="10" t="s">
        <v>138</v>
      </c>
      <c r="E631" s="10" t="s">
        <v>139</v>
      </c>
      <c r="F631" s="10" t="s">
        <v>482</v>
      </c>
      <c r="G631" s="10" t="s">
        <v>2378</v>
      </c>
      <c r="H631" s="17">
        <v>44309.58333333333</v>
      </c>
      <c r="I631" s="17">
        <v>44309.66666666667</v>
      </c>
      <c r="J631" s="10" t="s">
        <v>128</v>
      </c>
      <c r="K631" s="10" t="s">
        <v>34</v>
      </c>
      <c r="N631" s="10" t="s">
        <v>35</v>
      </c>
      <c r="V631" s="9"/>
      <c r="W631" s="13" t="s">
        <v>78</v>
      </c>
      <c r="X631" s="10" t="s">
        <v>37</v>
      </c>
      <c r="Y631" s="10" t="s">
        <v>0</v>
      </c>
    </row>
    <row r="632">
      <c r="A632" s="10" t="s">
        <v>2379</v>
      </c>
      <c r="B632" s="11">
        <v>44298.77272652778</v>
      </c>
      <c r="C632" s="10" t="s">
        <v>150</v>
      </c>
      <c r="D632" s="10" t="s">
        <v>151</v>
      </c>
      <c r="E632" s="10" t="s">
        <v>152</v>
      </c>
      <c r="F632" s="10" t="s">
        <v>2380</v>
      </c>
      <c r="G632" s="10" t="s">
        <v>2381</v>
      </c>
      <c r="H632" s="24">
        <v>44305.72916666667</v>
      </c>
      <c r="I632" s="24">
        <v>44309.70833333333</v>
      </c>
      <c r="J632" s="10" t="s">
        <v>43</v>
      </c>
      <c r="K632" s="10" t="s">
        <v>34</v>
      </c>
      <c r="N632" s="10" t="s">
        <v>35</v>
      </c>
      <c r="V632" s="9"/>
      <c r="W632" s="13" t="s">
        <v>78</v>
      </c>
      <c r="X632" s="10" t="s">
        <v>37</v>
      </c>
      <c r="Y632" s="10" t="s">
        <v>0</v>
      </c>
    </row>
    <row r="633">
      <c r="A633" s="10" t="s">
        <v>2382</v>
      </c>
      <c r="B633" s="11">
        <v>44285.948301076394</v>
      </c>
      <c r="C633" s="10" t="s">
        <v>387</v>
      </c>
      <c r="D633" s="10" t="s">
        <v>388</v>
      </c>
      <c r="E633" s="10" t="s">
        <v>2285</v>
      </c>
      <c r="F633" s="30" t="s">
        <v>2286</v>
      </c>
      <c r="G633" s="10" t="s">
        <v>2383</v>
      </c>
      <c r="H633" s="24">
        <v>44309.625</v>
      </c>
      <c r="I633" s="24">
        <v>44309.6875</v>
      </c>
      <c r="J633" s="10" t="s">
        <v>73</v>
      </c>
      <c r="K633" s="10" t="s">
        <v>34</v>
      </c>
      <c r="N633" s="10" t="s">
        <v>35</v>
      </c>
      <c r="V633" s="9"/>
      <c r="W633" s="13" t="s">
        <v>78</v>
      </c>
      <c r="X633" s="10" t="s">
        <v>37</v>
      </c>
      <c r="Y633" s="10" t="s">
        <v>0</v>
      </c>
    </row>
    <row r="634">
      <c r="A634" s="10" t="s">
        <v>2384</v>
      </c>
      <c r="B634" s="11">
        <v>44298.80172383101</v>
      </c>
      <c r="C634" s="10" t="s">
        <v>150</v>
      </c>
      <c r="D634" s="10" t="s">
        <v>151</v>
      </c>
      <c r="E634" s="10" t="s">
        <v>152</v>
      </c>
      <c r="F634" s="10" t="s">
        <v>2385</v>
      </c>
      <c r="G634" s="10" t="s">
        <v>2386</v>
      </c>
      <c r="H634" s="24">
        <v>44305.72916666667</v>
      </c>
      <c r="I634" s="24">
        <v>44305.77083333333</v>
      </c>
      <c r="J634" s="10" t="s">
        <v>43</v>
      </c>
      <c r="K634" s="10" t="s">
        <v>34</v>
      </c>
      <c r="N634" s="10" t="s">
        <v>296</v>
      </c>
      <c r="O634" s="18" t="s">
        <v>2387</v>
      </c>
      <c r="P634" s="10" t="s">
        <v>296</v>
      </c>
      <c r="Q634" s="10">
        <v>2.0</v>
      </c>
      <c r="R634" s="10" t="s">
        <v>35</v>
      </c>
      <c r="T634" s="10" t="s">
        <v>35</v>
      </c>
      <c r="V634" s="9"/>
      <c r="W634" s="13" t="s">
        <v>78</v>
      </c>
      <c r="X634" s="10" t="s">
        <v>37</v>
      </c>
      <c r="Y634" s="10" t="s">
        <v>0</v>
      </c>
    </row>
    <row r="635">
      <c r="A635" s="10" t="s">
        <v>2388</v>
      </c>
      <c r="B635" s="11">
        <v>44285.93544832176</v>
      </c>
      <c r="C635" s="10" t="s">
        <v>387</v>
      </c>
      <c r="D635" s="10" t="s">
        <v>388</v>
      </c>
      <c r="E635" s="10" t="s">
        <v>2285</v>
      </c>
      <c r="F635" s="30" t="s">
        <v>2286</v>
      </c>
      <c r="G635" s="10" t="s">
        <v>2389</v>
      </c>
      <c r="H635" s="24">
        <v>44305.79166666667</v>
      </c>
      <c r="I635" s="24">
        <v>44305.875</v>
      </c>
      <c r="J635" s="10" t="s">
        <v>43</v>
      </c>
      <c r="K635" s="10" t="s">
        <v>34</v>
      </c>
      <c r="N635" s="10" t="s">
        <v>296</v>
      </c>
      <c r="O635" s="18" t="s">
        <v>2390</v>
      </c>
      <c r="P635" s="10" t="s">
        <v>296</v>
      </c>
      <c r="Q635" s="10">
        <v>1.0</v>
      </c>
      <c r="R635" s="10" t="s">
        <v>35</v>
      </c>
      <c r="T635" s="10" t="s">
        <v>35</v>
      </c>
      <c r="V635" s="9"/>
      <c r="W635" s="13" t="s">
        <v>78</v>
      </c>
      <c r="X635" s="10" t="s">
        <v>37</v>
      </c>
      <c r="Y635" s="10" t="s">
        <v>0</v>
      </c>
    </row>
    <row r="636">
      <c r="A636" s="10" t="s">
        <v>2391</v>
      </c>
      <c r="B636" s="11">
        <v>44291.6697255787</v>
      </c>
      <c r="C636" s="10" t="s">
        <v>671</v>
      </c>
      <c r="D636" s="10" t="s">
        <v>672</v>
      </c>
      <c r="E636" s="10" t="s">
        <v>2392</v>
      </c>
      <c r="F636" s="10" t="s">
        <v>2393</v>
      </c>
      <c r="G636" s="10" t="s">
        <v>2394</v>
      </c>
      <c r="H636" s="24">
        <v>44305.8125</v>
      </c>
      <c r="I636" s="24">
        <v>44309.89583333333</v>
      </c>
      <c r="J636" s="10" t="s">
        <v>43</v>
      </c>
      <c r="K636" s="10" t="s">
        <v>34</v>
      </c>
      <c r="N636" s="10" t="s">
        <v>35</v>
      </c>
      <c r="V636" s="9"/>
      <c r="W636" s="13" t="s">
        <v>78</v>
      </c>
      <c r="X636" s="10" t="s">
        <v>37</v>
      </c>
      <c r="Y636" s="10" t="s">
        <v>0</v>
      </c>
    </row>
    <row r="637">
      <c r="A637" s="10" t="s">
        <v>2395</v>
      </c>
      <c r="B637" s="11">
        <v>44305.508228645835</v>
      </c>
      <c r="C637" s="10" t="s">
        <v>694</v>
      </c>
      <c r="D637" s="10" t="s">
        <v>695</v>
      </c>
      <c r="E637" s="10" t="s">
        <v>696</v>
      </c>
      <c r="F637" s="10" t="s">
        <v>2396</v>
      </c>
      <c r="G637" s="10" t="s">
        <v>2397</v>
      </c>
      <c r="H637" s="16">
        <v>44306.35416666667</v>
      </c>
      <c r="I637" s="16">
        <v>44311.6875</v>
      </c>
      <c r="J637" s="10" t="s">
        <v>43</v>
      </c>
      <c r="K637" s="10" t="s">
        <v>34</v>
      </c>
      <c r="N637" s="10" t="s">
        <v>35</v>
      </c>
      <c r="V637" s="9"/>
      <c r="W637" s="13" t="s">
        <v>78</v>
      </c>
      <c r="X637" s="10" t="s">
        <v>37</v>
      </c>
      <c r="Y637" s="10" t="s">
        <v>0</v>
      </c>
    </row>
    <row r="638">
      <c r="A638" s="10" t="s">
        <v>2398</v>
      </c>
      <c r="B638" s="11">
        <v>44295.571708414354</v>
      </c>
      <c r="C638" s="10" t="s">
        <v>209</v>
      </c>
      <c r="D638" s="10" t="s">
        <v>210</v>
      </c>
      <c r="E638" s="10" t="s">
        <v>261</v>
      </c>
      <c r="F638" s="10" t="s">
        <v>1431</v>
      </c>
      <c r="G638" s="10" t="s">
        <v>2399</v>
      </c>
      <c r="H638" s="17">
        <v>44309.77083333333</v>
      </c>
      <c r="I638" s="17">
        <v>44309.8125</v>
      </c>
      <c r="J638" s="10" t="s">
        <v>33</v>
      </c>
      <c r="K638" s="10" t="s">
        <v>34</v>
      </c>
      <c r="N638" s="10" t="s">
        <v>35</v>
      </c>
      <c r="V638" s="9"/>
      <c r="W638" s="13" t="s">
        <v>78</v>
      </c>
      <c r="X638" s="10" t="s">
        <v>37</v>
      </c>
      <c r="Y638" s="10" t="s">
        <v>0</v>
      </c>
    </row>
    <row r="639">
      <c r="A639" s="10" t="s">
        <v>2400</v>
      </c>
      <c r="B639" s="11">
        <v>44273.55505465278</v>
      </c>
      <c r="C639" s="10" t="s">
        <v>150</v>
      </c>
      <c r="D639" s="10" t="s">
        <v>151</v>
      </c>
      <c r="E639" s="10" t="s">
        <v>152</v>
      </c>
      <c r="F639" s="10" t="s">
        <v>2401</v>
      </c>
      <c r="G639" s="10" t="s">
        <v>2402</v>
      </c>
      <c r="H639" s="17">
        <v>44310.375</v>
      </c>
      <c r="I639" s="17">
        <v>44310.45833333333</v>
      </c>
      <c r="J639" s="10" t="s">
        <v>60</v>
      </c>
      <c r="K639" s="10" t="s">
        <v>61</v>
      </c>
      <c r="N639" s="10" t="s">
        <v>35</v>
      </c>
      <c r="V639" s="9"/>
      <c r="W639" s="13" t="s">
        <v>78</v>
      </c>
      <c r="X639" s="10" t="s">
        <v>37</v>
      </c>
      <c r="Y639" s="10" t="s">
        <v>0</v>
      </c>
    </row>
    <row r="640">
      <c r="A640" s="10" t="s">
        <v>2403</v>
      </c>
      <c r="B640" s="11">
        <v>44296.58331688658</v>
      </c>
      <c r="C640" s="10" t="s">
        <v>181</v>
      </c>
      <c r="D640" s="10" t="s">
        <v>69</v>
      </c>
      <c r="E640" s="10" t="s">
        <v>860</v>
      </c>
      <c r="F640" s="10" t="s">
        <v>2404</v>
      </c>
      <c r="G640" s="10" t="s">
        <v>2405</v>
      </c>
      <c r="H640" s="17">
        <v>44310.375</v>
      </c>
      <c r="I640" s="17">
        <v>44310.95833333333</v>
      </c>
      <c r="J640" s="10" t="s">
        <v>73</v>
      </c>
      <c r="K640" s="10" t="s">
        <v>34</v>
      </c>
      <c r="N640" s="10" t="s">
        <v>35</v>
      </c>
      <c r="V640" s="9"/>
      <c r="W640" s="13" t="s">
        <v>78</v>
      </c>
      <c r="X640" s="10" t="s">
        <v>37</v>
      </c>
      <c r="Y640" s="10" t="s">
        <v>0</v>
      </c>
    </row>
    <row r="641">
      <c r="A641" s="10" t="s">
        <v>2406</v>
      </c>
      <c r="B641" s="11">
        <v>44298.83146938657</v>
      </c>
      <c r="C641" s="10" t="s">
        <v>150</v>
      </c>
      <c r="D641" s="10" t="s">
        <v>151</v>
      </c>
      <c r="E641" s="10" t="s">
        <v>152</v>
      </c>
      <c r="F641" s="10" t="s">
        <v>2407</v>
      </c>
      <c r="G641" s="10" t="s">
        <v>2408</v>
      </c>
      <c r="H641" s="17">
        <v>44310.41666666667</v>
      </c>
      <c r="I641" s="17">
        <v>44310.5</v>
      </c>
      <c r="J641" s="10" t="s">
        <v>128</v>
      </c>
      <c r="K641" s="10" t="s">
        <v>34</v>
      </c>
      <c r="N641" s="10" t="s">
        <v>35</v>
      </c>
      <c r="V641" s="9"/>
      <c r="W641" s="13" t="s">
        <v>78</v>
      </c>
      <c r="X641" s="10" t="s">
        <v>37</v>
      </c>
      <c r="Y641" s="10" t="s">
        <v>0</v>
      </c>
    </row>
    <row r="642">
      <c r="A642" s="10" t="s">
        <v>2409</v>
      </c>
      <c r="B642" s="11">
        <v>44295.82839311342</v>
      </c>
      <c r="C642" s="10" t="s">
        <v>209</v>
      </c>
      <c r="D642" s="10" t="s">
        <v>210</v>
      </c>
      <c r="E642" s="10" t="s">
        <v>261</v>
      </c>
      <c r="F642" s="10" t="s">
        <v>2254</v>
      </c>
      <c r="G642" s="10" t="s">
        <v>2410</v>
      </c>
      <c r="H642" s="17">
        <v>44310.60416666667</v>
      </c>
      <c r="I642" s="17">
        <v>44310.64583333333</v>
      </c>
      <c r="J642" s="10" t="s">
        <v>128</v>
      </c>
      <c r="K642" s="10" t="s">
        <v>34</v>
      </c>
      <c r="N642" s="10" t="s">
        <v>35</v>
      </c>
      <c r="V642" s="9"/>
      <c r="W642" s="13" t="s">
        <v>78</v>
      </c>
      <c r="X642" s="10" t="s">
        <v>37</v>
      </c>
      <c r="Y642" s="10" t="s">
        <v>0</v>
      </c>
    </row>
    <row r="643">
      <c r="A643" s="10" t="s">
        <v>2411</v>
      </c>
      <c r="B643" s="11">
        <v>44298.818499409725</v>
      </c>
      <c r="C643" s="10" t="s">
        <v>150</v>
      </c>
      <c r="D643" s="10" t="s">
        <v>151</v>
      </c>
      <c r="E643" s="10" t="s">
        <v>152</v>
      </c>
      <c r="F643" s="10" t="s">
        <v>2412</v>
      </c>
      <c r="G643" s="10" t="s">
        <v>2413</v>
      </c>
      <c r="H643" s="24">
        <v>44306.70833333333</v>
      </c>
      <c r="I643" s="24">
        <v>44306.75</v>
      </c>
      <c r="J643" s="10" t="s">
        <v>43</v>
      </c>
      <c r="K643" s="10" t="s">
        <v>34</v>
      </c>
      <c r="N643" s="10" t="s">
        <v>296</v>
      </c>
      <c r="O643" s="18" t="s">
        <v>2414</v>
      </c>
      <c r="P643" s="10" t="s">
        <v>296</v>
      </c>
      <c r="Q643" s="10">
        <v>2.0</v>
      </c>
      <c r="R643" s="10" t="s">
        <v>35</v>
      </c>
      <c r="T643" s="10" t="s">
        <v>35</v>
      </c>
      <c r="V643" s="9"/>
      <c r="W643" s="13" t="s">
        <v>78</v>
      </c>
      <c r="X643" s="10" t="s">
        <v>37</v>
      </c>
      <c r="Y643" s="10" t="s">
        <v>0</v>
      </c>
    </row>
    <row r="644">
      <c r="A644" s="10" t="s">
        <v>2415</v>
      </c>
      <c r="B644" s="11">
        <v>44299.59231574074</v>
      </c>
      <c r="C644" s="10" t="s">
        <v>539</v>
      </c>
      <c r="D644" s="10" t="s">
        <v>540</v>
      </c>
      <c r="E644" s="10" t="s">
        <v>1715</v>
      </c>
      <c r="F644" s="10" t="s">
        <v>2416</v>
      </c>
      <c r="G644" s="10" t="s">
        <v>2417</v>
      </c>
      <c r="H644" s="17">
        <v>44310.72916666667</v>
      </c>
      <c r="I644" s="17">
        <v>44310.77083333333</v>
      </c>
      <c r="J644" s="10" t="s">
        <v>73</v>
      </c>
      <c r="K644" s="10" t="s">
        <v>34</v>
      </c>
      <c r="N644" s="10" t="s">
        <v>35</v>
      </c>
      <c r="V644" s="9"/>
      <c r="W644" s="13" t="s">
        <v>78</v>
      </c>
      <c r="X644" s="10" t="s">
        <v>37</v>
      </c>
      <c r="Y644" s="10" t="s">
        <v>0</v>
      </c>
    </row>
    <row r="645">
      <c r="A645" s="10" t="s">
        <v>2418</v>
      </c>
      <c r="B645" s="11">
        <v>44299.61041003472</v>
      </c>
      <c r="C645" s="10" t="s">
        <v>539</v>
      </c>
      <c r="D645" s="10" t="s">
        <v>540</v>
      </c>
      <c r="E645" s="10" t="s">
        <v>1715</v>
      </c>
      <c r="F645" s="10" t="s">
        <v>2419</v>
      </c>
      <c r="G645" s="10" t="s">
        <v>2420</v>
      </c>
      <c r="H645" s="17">
        <v>44311.72916666667</v>
      </c>
      <c r="I645" s="17">
        <v>44311.83333333333</v>
      </c>
      <c r="J645" s="10" t="s">
        <v>73</v>
      </c>
      <c r="K645" s="10" t="s">
        <v>34</v>
      </c>
      <c r="N645" s="10" t="s">
        <v>35</v>
      </c>
      <c r="V645" s="9"/>
      <c r="W645" s="13" t="s">
        <v>78</v>
      </c>
      <c r="X645" s="10" t="s">
        <v>37</v>
      </c>
      <c r="Y645" s="10" t="s">
        <v>0</v>
      </c>
    </row>
    <row r="646">
      <c r="A646" s="10" t="s">
        <v>2421</v>
      </c>
      <c r="B646" s="11">
        <v>44295.79187696759</v>
      </c>
      <c r="C646" s="10" t="s">
        <v>209</v>
      </c>
      <c r="D646" s="10" t="s">
        <v>210</v>
      </c>
      <c r="E646" s="10" t="s">
        <v>261</v>
      </c>
      <c r="F646" s="10" t="s">
        <v>2282</v>
      </c>
      <c r="G646" s="10" t="s">
        <v>2283</v>
      </c>
      <c r="H646" s="17">
        <v>44312.5625</v>
      </c>
      <c r="I646" s="17">
        <v>44312.60416666667</v>
      </c>
      <c r="J646" s="10" t="s">
        <v>33</v>
      </c>
      <c r="K646" s="10" t="s">
        <v>34</v>
      </c>
      <c r="N646" s="10" t="s">
        <v>35</v>
      </c>
      <c r="V646" s="9"/>
      <c r="W646" s="13" t="s">
        <v>78</v>
      </c>
      <c r="X646" s="10" t="s">
        <v>37</v>
      </c>
      <c r="Y646" s="10" t="s">
        <v>0</v>
      </c>
    </row>
    <row r="647">
      <c r="A647" s="10" t="s">
        <v>2422</v>
      </c>
      <c r="B647" s="11">
        <v>44296.71738041667</v>
      </c>
      <c r="C647" s="10" t="s">
        <v>181</v>
      </c>
      <c r="D647" s="10" t="s">
        <v>69</v>
      </c>
      <c r="E647" s="10" t="s">
        <v>860</v>
      </c>
      <c r="F647" s="10" t="s">
        <v>2423</v>
      </c>
      <c r="G647" s="10" t="s">
        <v>2424</v>
      </c>
      <c r="H647" s="17">
        <v>44313.375</v>
      </c>
      <c r="I647" s="17">
        <v>44313.95833333333</v>
      </c>
      <c r="J647" s="10" t="s">
        <v>73</v>
      </c>
      <c r="K647" s="10" t="s">
        <v>34</v>
      </c>
      <c r="N647" s="10" t="s">
        <v>35</v>
      </c>
      <c r="V647" s="9"/>
      <c r="W647" s="13" t="s">
        <v>78</v>
      </c>
      <c r="X647" s="10" t="s">
        <v>37</v>
      </c>
      <c r="Y647" s="10" t="s">
        <v>0</v>
      </c>
    </row>
    <row r="648">
      <c r="A648" s="10" t="s">
        <v>2425</v>
      </c>
      <c r="B648" s="11">
        <v>44305.433408310186</v>
      </c>
      <c r="C648" s="10" t="s">
        <v>539</v>
      </c>
      <c r="D648" s="10" t="s">
        <v>540</v>
      </c>
      <c r="E648" s="10" t="s">
        <v>541</v>
      </c>
      <c r="F648" s="10" t="s">
        <v>2426</v>
      </c>
      <c r="G648" s="10" t="s">
        <v>2427</v>
      </c>
      <c r="H648" s="16">
        <v>44307.29166666667</v>
      </c>
      <c r="I648" s="16">
        <v>44315.83333333333</v>
      </c>
      <c r="J648" s="10" t="s">
        <v>43</v>
      </c>
      <c r="K648" s="10" t="s">
        <v>34</v>
      </c>
      <c r="N648" s="10" t="s">
        <v>296</v>
      </c>
      <c r="O648" s="18" t="s">
        <v>2428</v>
      </c>
      <c r="P648" s="10" t="s">
        <v>296</v>
      </c>
      <c r="Q648" s="10">
        <v>4.0</v>
      </c>
      <c r="R648" s="10" t="s">
        <v>296</v>
      </c>
      <c r="S648" s="10">
        <v>1.0</v>
      </c>
      <c r="T648" s="10" t="s">
        <v>296</v>
      </c>
      <c r="U648" s="10">
        <v>2.0</v>
      </c>
      <c r="V648" s="27"/>
      <c r="W648" s="13" t="s">
        <v>78</v>
      </c>
      <c r="X648" s="10" t="s">
        <v>37</v>
      </c>
      <c r="Y648" s="10" t="s">
        <v>0</v>
      </c>
    </row>
    <row r="649">
      <c r="A649" s="10" t="s">
        <v>2429</v>
      </c>
      <c r="B649" s="11">
        <v>44295.507835717595</v>
      </c>
      <c r="C649" s="10" t="s">
        <v>209</v>
      </c>
      <c r="D649" s="10" t="s">
        <v>210</v>
      </c>
      <c r="E649" s="10" t="s">
        <v>261</v>
      </c>
      <c r="F649" s="10" t="s">
        <v>2183</v>
      </c>
      <c r="G649" s="10" t="s">
        <v>2376</v>
      </c>
      <c r="H649" s="17">
        <v>44316.47916666667</v>
      </c>
      <c r="I649" s="17">
        <v>44316.52083333333</v>
      </c>
      <c r="J649" s="10" t="s">
        <v>33</v>
      </c>
      <c r="K649" s="10" t="s">
        <v>34</v>
      </c>
      <c r="N649" s="10" t="s">
        <v>35</v>
      </c>
      <c r="V649" s="9"/>
      <c r="W649" s="13" t="s">
        <v>78</v>
      </c>
      <c r="X649" s="13" t="s">
        <v>37</v>
      </c>
      <c r="Y649" s="13" t="s">
        <v>0</v>
      </c>
    </row>
    <row r="650">
      <c r="A650" s="10" t="s">
        <v>2430</v>
      </c>
      <c r="B650" s="11">
        <v>44291.34539314815</v>
      </c>
      <c r="C650" s="10" t="s">
        <v>137</v>
      </c>
      <c r="D650" s="10" t="s">
        <v>138</v>
      </c>
      <c r="E650" s="10" t="s">
        <v>139</v>
      </c>
      <c r="F650" s="10" t="s">
        <v>482</v>
      </c>
      <c r="G650" s="10" t="s">
        <v>2431</v>
      </c>
      <c r="H650" s="17">
        <v>44316.58333333333</v>
      </c>
      <c r="I650" s="17">
        <v>44316.66666666667</v>
      </c>
      <c r="J650" s="10" t="s">
        <v>128</v>
      </c>
      <c r="K650" s="10" t="s">
        <v>34</v>
      </c>
      <c r="N650" s="10" t="s">
        <v>35</v>
      </c>
      <c r="V650" s="9"/>
      <c r="W650" s="13" t="s">
        <v>78</v>
      </c>
      <c r="X650" s="10" t="s">
        <v>37</v>
      </c>
      <c r="Y650" s="10" t="s">
        <v>0</v>
      </c>
    </row>
    <row r="651">
      <c r="A651" s="10" t="s">
        <v>2432</v>
      </c>
      <c r="B651" s="11">
        <v>44289.78214744213</v>
      </c>
      <c r="C651" s="10" t="s">
        <v>239</v>
      </c>
      <c r="D651" s="10" t="s">
        <v>240</v>
      </c>
      <c r="E651" s="10" t="s">
        <v>2041</v>
      </c>
      <c r="F651" s="10" t="s">
        <v>2433</v>
      </c>
      <c r="G651" s="10" t="s">
        <v>2434</v>
      </c>
      <c r="H651" s="17">
        <v>44316.72916666667</v>
      </c>
      <c r="I651" s="17">
        <v>44316.77083333333</v>
      </c>
      <c r="J651" s="10" t="s">
        <v>128</v>
      </c>
      <c r="K651" s="10" t="s">
        <v>34</v>
      </c>
      <c r="N651" s="10" t="s">
        <v>35</v>
      </c>
      <c r="V651" s="9"/>
      <c r="W651" s="13" t="s">
        <v>78</v>
      </c>
      <c r="X651" s="10" t="s">
        <v>37</v>
      </c>
      <c r="Y651" s="10" t="s">
        <v>0</v>
      </c>
    </row>
    <row r="652">
      <c r="A652" s="10" t="s">
        <v>2435</v>
      </c>
      <c r="B652" s="11">
        <v>44295.57443857639</v>
      </c>
      <c r="C652" s="10" t="s">
        <v>209</v>
      </c>
      <c r="D652" s="10" t="s">
        <v>210</v>
      </c>
      <c r="E652" s="10" t="s">
        <v>261</v>
      </c>
      <c r="F652" s="10" t="s">
        <v>1431</v>
      </c>
      <c r="G652" s="10" t="s">
        <v>2436</v>
      </c>
      <c r="H652" s="17">
        <v>44316.77083333333</v>
      </c>
      <c r="I652" s="17">
        <v>44316.8125</v>
      </c>
      <c r="J652" s="10" t="s">
        <v>128</v>
      </c>
      <c r="K652" s="10" t="s">
        <v>34</v>
      </c>
      <c r="N652" s="10" t="s">
        <v>35</v>
      </c>
      <c r="V652" s="9"/>
      <c r="W652" s="13" t="s">
        <v>78</v>
      </c>
      <c r="X652" s="10" t="s">
        <v>37</v>
      </c>
      <c r="Y652" s="10" t="s">
        <v>0</v>
      </c>
    </row>
    <row r="653">
      <c r="A653" s="10" t="s">
        <v>2437</v>
      </c>
      <c r="B653" s="11">
        <v>44298.82306899306</v>
      </c>
      <c r="C653" s="10" t="s">
        <v>150</v>
      </c>
      <c r="D653" s="10" t="s">
        <v>151</v>
      </c>
      <c r="E653" s="10" t="s">
        <v>2438</v>
      </c>
      <c r="F653" s="10" t="s">
        <v>2439</v>
      </c>
      <c r="G653" s="10" t="s">
        <v>2440</v>
      </c>
      <c r="H653" s="24">
        <v>44307.70833333333</v>
      </c>
      <c r="I653" s="24">
        <v>44307.75</v>
      </c>
      <c r="J653" s="10" t="s">
        <v>43</v>
      </c>
      <c r="K653" s="10" t="s">
        <v>34</v>
      </c>
      <c r="N653" s="10" t="s">
        <v>296</v>
      </c>
      <c r="O653" s="18" t="s">
        <v>2441</v>
      </c>
      <c r="P653" s="10" t="s">
        <v>296</v>
      </c>
      <c r="Q653" s="10">
        <v>1.0</v>
      </c>
      <c r="R653" s="10" t="s">
        <v>35</v>
      </c>
      <c r="T653" s="10" t="s">
        <v>35</v>
      </c>
      <c r="V653" s="9"/>
      <c r="W653" s="13" t="s">
        <v>78</v>
      </c>
      <c r="X653" s="10" t="s">
        <v>37</v>
      </c>
      <c r="Y653" s="10" t="s">
        <v>0</v>
      </c>
    </row>
    <row r="654">
      <c r="A654" s="10" t="s">
        <v>2442</v>
      </c>
      <c r="B654" s="11">
        <v>44296.71814215278</v>
      </c>
      <c r="C654" s="10" t="s">
        <v>181</v>
      </c>
      <c r="D654" s="10" t="s">
        <v>69</v>
      </c>
      <c r="E654" s="10" t="s">
        <v>860</v>
      </c>
      <c r="F654" s="10" t="s">
        <v>2443</v>
      </c>
      <c r="G654" s="10" t="s">
        <v>2444</v>
      </c>
      <c r="H654" s="17">
        <v>44317.375</v>
      </c>
      <c r="I654" s="17">
        <v>44317.95833333333</v>
      </c>
      <c r="J654" s="10" t="s">
        <v>73</v>
      </c>
      <c r="K654" s="10" t="s">
        <v>34</v>
      </c>
      <c r="N654" s="10" t="s">
        <v>35</v>
      </c>
      <c r="V654" s="9"/>
      <c r="W654" s="13" t="s">
        <v>78</v>
      </c>
      <c r="X654" s="10" t="s">
        <v>37</v>
      </c>
      <c r="Y654" s="10" t="s">
        <v>0</v>
      </c>
    </row>
    <row r="655">
      <c r="A655" s="10" t="s">
        <v>2445</v>
      </c>
      <c r="B655" s="11">
        <v>44295.828935150465</v>
      </c>
      <c r="C655" s="10" t="s">
        <v>209</v>
      </c>
      <c r="D655" s="10" t="s">
        <v>210</v>
      </c>
      <c r="E655" s="10" t="s">
        <v>261</v>
      </c>
      <c r="F655" s="10" t="s">
        <v>2254</v>
      </c>
      <c r="G655" s="10" t="s">
        <v>2410</v>
      </c>
      <c r="H655" s="17">
        <v>44317.60416666667</v>
      </c>
      <c r="I655" s="17">
        <v>44317.64583333333</v>
      </c>
      <c r="J655" s="10" t="s">
        <v>128</v>
      </c>
      <c r="K655" s="10" t="s">
        <v>34</v>
      </c>
      <c r="N655" s="10" t="s">
        <v>35</v>
      </c>
      <c r="V655" s="9"/>
      <c r="W655" s="13" t="s">
        <v>78</v>
      </c>
      <c r="X655" s="10" t="s">
        <v>37</v>
      </c>
      <c r="Y655" s="10" t="s">
        <v>0</v>
      </c>
    </row>
    <row r="656">
      <c r="A656" s="10" t="s">
        <v>2446</v>
      </c>
      <c r="B656" s="11">
        <v>44263.69912670139</v>
      </c>
      <c r="C656" s="10" t="s">
        <v>336</v>
      </c>
      <c r="D656" s="10" t="s">
        <v>337</v>
      </c>
      <c r="E656" s="10" t="s">
        <v>1892</v>
      </c>
      <c r="F656" s="10" t="s">
        <v>1893</v>
      </c>
      <c r="G656" s="10" t="s">
        <v>1894</v>
      </c>
      <c r="H656" s="17">
        <v>44317.66666666667</v>
      </c>
      <c r="I656" s="17">
        <v>44317.72916666667</v>
      </c>
      <c r="J656" s="10" t="s">
        <v>128</v>
      </c>
      <c r="K656" s="10" t="s">
        <v>34</v>
      </c>
      <c r="N656" s="10" t="s">
        <v>35</v>
      </c>
      <c r="V656" s="9"/>
      <c r="W656" s="13" t="s">
        <v>78</v>
      </c>
      <c r="X656" s="10" t="s">
        <v>37</v>
      </c>
      <c r="Y656" s="10" t="s">
        <v>0</v>
      </c>
    </row>
    <row r="657">
      <c r="A657" s="10" t="s">
        <v>2447</v>
      </c>
      <c r="B657" s="11">
        <v>44295.79243086805</v>
      </c>
      <c r="C657" s="10" t="s">
        <v>209</v>
      </c>
      <c r="D657" s="10" t="s">
        <v>210</v>
      </c>
      <c r="E657" s="10" t="s">
        <v>261</v>
      </c>
      <c r="F657" s="10" t="s">
        <v>2282</v>
      </c>
      <c r="G657" s="10" t="s">
        <v>2283</v>
      </c>
      <c r="H657" s="17">
        <v>44319.5625</v>
      </c>
      <c r="I657" s="17">
        <v>44319.60416666667</v>
      </c>
      <c r="J657" s="10" t="s">
        <v>33</v>
      </c>
      <c r="K657" s="10" t="s">
        <v>34</v>
      </c>
      <c r="N657" s="10" t="s">
        <v>35</v>
      </c>
      <c r="V657" s="9"/>
      <c r="W657" s="13" t="s">
        <v>78</v>
      </c>
      <c r="X657" s="10" t="s">
        <v>37</v>
      </c>
      <c r="Y657" s="10" t="s">
        <v>0</v>
      </c>
    </row>
    <row r="658">
      <c r="A658" s="10" t="s">
        <v>2448</v>
      </c>
      <c r="B658" s="11">
        <v>44291.50620481481</v>
      </c>
      <c r="C658" s="10" t="s">
        <v>181</v>
      </c>
      <c r="D658" s="10" t="s">
        <v>69</v>
      </c>
      <c r="E658" s="10" t="s">
        <v>2327</v>
      </c>
      <c r="F658" s="10" t="s">
        <v>2449</v>
      </c>
      <c r="G658" s="10" t="s">
        <v>2449</v>
      </c>
      <c r="H658" s="17">
        <v>44320.77083333333</v>
      </c>
      <c r="I658" s="17">
        <v>44320.8125</v>
      </c>
      <c r="J658" s="10" t="s">
        <v>128</v>
      </c>
      <c r="K658" s="10" t="s">
        <v>34</v>
      </c>
      <c r="N658" s="10" t="s">
        <v>35</v>
      </c>
      <c r="V658" s="9"/>
      <c r="W658" s="13" t="s">
        <v>78</v>
      </c>
      <c r="X658" s="10" t="s">
        <v>37</v>
      </c>
      <c r="Y658" s="10" t="s">
        <v>0</v>
      </c>
    </row>
    <row r="659">
      <c r="A659" s="10" t="s">
        <v>2450</v>
      </c>
      <c r="B659" s="11">
        <v>44295.50817688658</v>
      </c>
      <c r="C659" s="10" t="s">
        <v>209</v>
      </c>
      <c r="D659" s="10" t="s">
        <v>210</v>
      </c>
      <c r="E659" s="10" t="s">
        <v>261</v>
      </c>
      <c r="F659" s="10" t="s">
        <v>2183</v>
      </c>
      <c r="G659" s="10" t="s">
        <v>2451</v>
      </c>
      <c r="H659" s="17">
        <v>44323.47916666667</v>
      </c>
      <c r="I659" s="17">
        <v>44323.52083333333</v>
      </c>
      <c r="J659" s="10" t="s">
        <v>33</v>
      </c>
      <c r="K659" s="10" t="s">
        <v>34</v>
      </c>
      <c r="N659" s="10" t="s">
        <v>35</v>
      </c>
      <c r="V659" s="9"/>
      <c r="W659" s="13" t="s">
        <v>78</v>
      </c>
      <c r="X659" s="13" t="s">
        <v>37</v>
      </c>
      <c r="Y659" s="13" t="s">
        <v>0</v>
      </c>
    </row>
    <row r="660">
      <c r="A660" s="10" t="s">
        <v>2452</v>
      </c>
      <c r="B660" s="11">
        <v>44291.3466740625</v>
      </c>
      <c r="C660" s="10" t="s">
        <v>137</v>
      </c>
      <c r="D660" s="10" t="s">
        <v>138</v>
      </c>
      <c r="E660" s="10" t="s">
        <v>225</v>
      </c>
      <c r="F660" s="10" t="s">
        <v>2453</v>
      </c>
      <c r="G660" s="10" t="s">
        <v>2454</v>
      </c>
      <c r="H660" s="17">
        <v>44323.58333333333</v>
      </c>
      <c r="I660" s="17">
        <v>44323.66666666667</v>
      </c>
      <c r="J660" s="10" t="s">
        <v>128</v>
      </c>
      <c r="K660" s="10" t="s">
        <v>34</v>
      </c>
      <c r="N660" s="10" t="s">
        <v>35</v>
      </c>
      <c r="V660" s="9"/>
      <c r="W660" s="13" t="s">
        <v>78</v>
      </c>
      <c r="X660" s="10" t="s">
        <v>37</v>
      </c>
      <c r="Y660" s="10" t="s">
        <v>0</v>
      </c>
    </row>
    <row r="661">
      <c r="A661" s="10" t="s">
        <v>2455</v>
      </c>
      <c r="B661" s="11">
        <v>44295.57627671296</v>
      </c>
      <c r="C661" s="10" t="s">
        <v>209</v>
      </c>
      <c r="D661" s="10" t="s">
        <v>210</v>
      </c>
      <c r="E661" s="10" t="s">
        <v>261</v>
      </c>
      <c r="F661" s="10" t="s">
        <v>1431</v>
      </c>
      <c r="G661" s="10" t="s">
        <v>2456</v>
      </c>
      <c r="H661" s="17">
        <v>44323.77083333333</v>
      </c>
      <c r="I661" s="17">
        <v>44323.8125</v>
      </c>
      <c r="J661" s="10" t="s">
        <v>33</v>
      </c>
      <c r="K661" s="10" t="s">
        <v>34</v>
      </c>
      <c r="N661" s="10" t="s">
        <v>35</v>
      </c>
      <c r="V661" s="9"/>
      <c r="W661" s="13" t="s">
        <v>78</v>
      </c>
      <c r="X661" s="10" t="s">
        <v>37</v>
      </c>
      <c r="Y661" s="10" t="s">
        <v>0</v>
      </c>
    </row>
    <row r="662">
      <c r="A662" s="10" t="s">
        <v>2457</v>
      </c>
      <c r="B662" s="11">
        <v>44295.83069615741</v>
      </c>
      <c r="C662" s="10" t="s">
        <v>209</v>
      </c>
      <c r="D662" s="10" t="s">
        <v>210</v>
      </c>
      <c r="E662" s="10" t="s">
        <v>261</v>
      </c>
      <c r="F662" s="10" t="s">
        <v>2254</v>
      </c>
      <c r="G662" s="10" t="s">
        <v>2458</v>
      </c>
      <c r="H662" s="17">
        <v>44324.60416666667</v>
      </c>
      <c r="I662" s="17">
        <v>44324.64583333333</v>
      </c>
      <c r="J662" s="10" t="s">
        <v>33</v>
      </c>
      <c r="K662" s="10" t="s">
        <v>34</v>
      </c>
      <c r="N662" s="10" t="s">
        <v>35</v>
      </c>
      <c r="V662" s="9"/>
      <c r="W662" s="13" t="s">
        <v>78</v>
      </c>
      <c r="X662" s="10" t="s">
        <v>37</v>
      </c>
      <c r="Y662" s="10" t="s">
        <v>0</v>
      </c>
    </row>
    <row r="663">
      <c r="A663" s="10" t="s">
        <v>2459</v>
      </c>
      <c r="B663" s="11">
        <v>44295.79723599537</v>
      </c>
      <c r="C663" s="10" t="s">
        <v>209</v>
      </c>
      <c r="D663" s="10" t="s">
        <v>210</v>
      </c>
      <c r="E663" s="10" t="s">
        <v>261</v>
      </c>
      <c r="F663" s="10" t="s">
        <v>2282</v>
      </c>
      <c r="G663" s="10" t="s">
        <v>2460</v>
      </c>
      <c r="H663" s="17">
        <v>44326.5625</v>
      </c>
      <c r="I663" s="17">
        <v>44326.60416666667</v>
      </c>
      <c r="J663" s="10" t="s">
        <v>33</v>
      </c>
      <c r="K663" s="10" t="s">
        <v>34</v>
      </c>
      <c r="N663" s="10" t="s">
        <v>35</v>
      </c>
      <c r="V663" s="9"/>
      <c r="W663" s="13" t="s">
        <v>78</v>
      </c>
      <c r="X663" s="10" t="s">
        <v>37</v>
      </c>
      <c r="Y663" s="10" t="s">
        <v>0</v>
      </c>
    </row>
    <row r="664">
      <c r="A664" s="10" t="s">
        <v>2461</v>
      </c>
      <c r="B664" s="11">
        <v>44295.508663773144</v>
      </c>
      <c r="C664" s="10" t="s">
        <v>209</v>
      </c>
      <c r="D664" s="10" t="s">
        <v>210</v>
      </c>
      <c r="E664" s="10" t="s">
        <v>261</v>
      </c>
      <c r="F664" s="10" t="s">
        <v>2183</v>
      </c>
      <c r="G664" s="10" t="s">
        <v>2462</v>
      </c>
      <c r="H664" s="17">
        <v>44330.47916666667</v>
      </c>
      <c r="I664" s="17">
        <v>44330.52083333333</v>
      </c>
      <c r="J664" s="10" t="s">
        <v>33</v>
      </c>
      <c r="K664" s="10" t="s">
        <v>34</v>
      </c>
      <c r="N664" s="10" t="s">
        <v>35</v>
      </c>
      <c r="V664" s="9"/>
      <c r="W664" s="13" t="s">
        <v>78</v>
      </c>
      <c r="X664" s="13" t="s">
        <v>37</v>
      </c>
      <c r="Y664" s="13" t="s">
        <v>0</v>
      </c>
    </row>
    <row r="665">
      <c r="A665" s="10" t="s">
        <v>2463</v>
      </c>
      <c r="B665" s="11">
        <v>44291.3480446412</v>
      </c>
      <c r="C665" s="10" t="s">
        <v>137</v>
      </c>
      <c r="D665" s="10" t="s">
        <v>138</v>
      </c>
      <c r="E665" s="10" t="s">
        <v>139</v>
      </c>
      <c r="F665" s="10" t="s">
        <v>482</v>
      </c>
      <c r="G665" s="10" t="s">
        <v>2464</v>
      </c>
      <c r="H665" s="17">
        <v>44330.58333333333</v>
      </c>
      <c r="I665" s="17">
        <v>44330.66666666667</v>
      </c>
      <c r="J665" s="10" t="s">
        <v>128</v>
      </c>
      <c r="K665" s="10" t="s">
        <v>34</v>
      </c>
      <c r="N665" s="10" t="s">
        <v>35</v>
      </c>
      <c r="V665" s="9"/>
      <c r="W665" s="13" t="s">
        <v>78</v>
      </c>
      <c r="X665" s="10" t="s">
        <v>37</v>
      </c>
      <c r="Y665" s="10" t="s">
        <v>0</v>
      </c>
    </row>
    <row r="666">
      <c r="A666" s="10" t="s">
        <v>2465</v>
      </c>
      <c r="B666" s="11">
        <v>44295.57707429398</v>
      </c>
      <c r="C666" s="10" t="s">
        <v>209</v>
      </c>
      <c r="D666" s="10" t="s">
        <v>210</v>
      </c>
      <c r="E666" s="10" t="s">
        <v>261</v>
      </c>
      <c r="F666" s="10" t="s">
        <v>1431</v>
      </c>
      <c r="G666" s="10" t="s">
        <v>2466</v>
      </c>
      <c r="H666" s="17">
        <v>44330.77083333333</v>
      </c>
      <c r="I666" s="17">
        <v>44330.8125</v>
      </c>
      <c r="J666" s="10" t="s">
        <v>33</v>
      </c>
      <c r="K666" s="10" t="s">
        <v>34</v>
      </c>
      <c r="N666" s="10" t="s">
        <v>35</v>
      </c>
      <c r="V666" s="9"/>
      <c r="W666" s="13" t="s">
        <v>78</v>
      </c>
      <c r="X666" s="10" t="s">
        <v>37</v>
      </c>
      <c r="Y666" s="10" t="s">
        <v>0</v>
      </c>
    </row>
    <row r="667">
      <c r="A667" s="10" t="s">
        <v>2467</v>
      </c>
      <c r="B667" s="11">
        <v>44306.70468908564</v>
      </c>
      <c r="C667" s="10" t="s">
        <v>219</v>
      </c>
      <c r="D667" s="10" t="s">
        <v>220</v>
      </c>
      <c r="E667" s="10" t="s">
        <v>465</v>
      </c>
      <c r="F667" s="10" t="s">
        <v>2468</v>
      </c>
      <c r="G667" s="10" t="s">
        <v>2469</v>
      </c>
      <c r="H667" s="16">
        <v>44308.10416666667</v>
      </c>
      <c r="I667" s="16">
        <v>44308.14583333333</v>
      </c>
      <c r="J667" s="10" t="s">
        <v>43</v>
      </c>
      <c r="K667" s="10" t="s">
        <v>34</v>
      </c>
      <c r="N667" s="10" t="s">
        <v>35</v>
      </c>
      <c r="V667" s="9"/>
      <c r="W667" s="13" t="s">
        <v>78</v>
      </c>
      <c r="X667" s="10" t="s">
        <v>37</v>
      </c>
      <c r="Y667" s="10" t="s">
        <v>0</v>
      </c>
    </row>
    <row r="668">
      <c r="A668" s="10" t="s">
        <v>2470</v>
      </c>
      <c r="B668" s="11">
        <v>44295.833699386574</v>
      </c>
      <c r="C668" s="10" t="s">
        <v>209</v>
      </c>
      <c r="D668" s="10" t="s">
        <v>210</v>
      </c>
      <c r="E668" s="10" t="s">
        <v>261</v>
      </c>
      <c r="F668" s="10" t="s">
        <v>2254</v>
      </c>
      <c r="G668" s="10" t="s">
        <v>2471</v>
      </c>
      <c r="H668" s="17">
        <v>44331.60416666667</v>
      </c>
      <c r="I668" s="17">
        <v>44331.64583333333</v>
      </c>
      <c r="J668" s="10" t="s">
        <v>33</v>
      </c>
      <c r="K668" s="10" t="s">
        <v>34</v>
      </c>
      <c r="N668" s="10" t="s">
        <v>35</v>
      </c>
      <c r="V668" s="9"/>
      <c r="W668" s="13" t="s">
        <v>78</v>
      </c>
      <c r="X668" s="10" t="s">
        <v>37</v>
      </c>
      <c r="Y668" s="10" t="s">
        <v>0</v>
      </c>
    </row>
    <row r="669">
      <c r="A669" s="10" t="s">
        <v>2472</v>
      </c>
      <c r="B669" s="11">
        <v>44295.79707956019</v>
      </c>
      <c r="C669" s="10" t="s">
        <v>209</v>
      </c>
      <c r="D669" s="10" t="s">
        <v>210</v>
      </c>
      <c r="E669" s="10" t="s">
        <v>261</v>
      </c>
      <c r="F669" s="10" t="s">
        <v>2282</v>
      </c>
      <c r="G669" s="10" t="s">
        <v>2473</v>
      </c>
      <c r="H669" s="17">
        <v>44333.5625</v>
      </c>
      <c r="I669" s="17">
        <v>44333.60416666667</v>
      </c>
      <c r="J669" s="10" t="s">
        <v>33</v>
      </c>
      <c r="K669" s="10" t="s">
        <v>34</v>
      </c>
      <c r="N669" s="10" t="s">
        <v>35</v>
      </c>
      <c r="V669" s="9"/>
      <c r="W669" s="13" t="s">
        <v>78</v>
      </c>
      <c r="X669" s="10" t="s">
        <v>37</v>
      </c>
      <c r="Y669" s="10" t="s">
        <v>0</v>
      </c>
    </row>
    <row r="670">
      <c r="A670" s="10" t="s">
        <v>2474</v>
      </c>
      <c r="B670" s="11">
        <v>44291.35205822917</v>
      </c>
      <c r="C670" s="10" t="s">
        <v>137</v>
      </c>
      <c r="D670" s="10" t="s">
        <v>138</v>
      </c>
      <c r="E670" s="10" t="s">
        <v>139</v>
      </c>
      <c r="F670" s="10" t="s">
        <v>482</v>
      </c>
      <c r="G670" s="10" t="s">
        <v>2475</v>
      </c>
      <c r="H670" s="17">
        <v>44337.58333333333</v>
      </c>
      <c r="I670" s="17">
        <v>44337.66666666667</v>
      </c>
      <c r="J670" s="10" t="s">
        <v>128</v>
      </c>
      <c r="K670" s="10" t="s">
        <v>34</v>
      </c>
      <c r="N670" s="10" t="s">
        <v>35</v>
      </c>
      <c r="V670" s="9"/>
      <c r="W670" s="13" t="s">
        <v>78</v>
      </c>
      <c r="X670" s="10" t="s">
        <v>37</v>
      </c>
      <c r="Y670" s="10" t="s">
        <v>0</v>
      </c>
    </row>
    <row r="671">
      <c r="A671" s="10" t="s">
        <v>2476</v>
      </c>
      <c r="B671" s="11">
        <v>44291.35298600694</v>
      </c>
      <c r="C671" s="10" t="s">
        <v>137</v>
      </c>
      <c r="D671" s="10" t="s">
        <v>138</v>
      </c>
      <c r="E671" s="10" t="s">
        <v>139</v>
      </c>
      <c r="F671" s="10" t="s">
        <v>2477</v>
      </c>
      <c r="G671" s="10" t="s">
        <v>2478</v>
      </c>
      <c r="H671" s="17">
        <v>44344.58333333333</v>
      </c>
      <c r="I671" s="17">
        <v>44344.66666666667</v>
      </c>
      <c r="J671" s="10" t="s">
        <v>128</v>
      </c>
      <c r="K671" s="10" t="s">
        <v>34</v>
      </c>
      <c r="N671" s="10" t="s">
        <v>35</v>
      </c>
      <c r="V671" s="9"/>
      <c r="W671" s="13" t="s">
        <v>78</v>
      </c>
      <c r="X671" s="10" t="s">
        <v>37</v>
      </c>
      <c r="Y671" s="10" t="s">
        <v>0</v>
      </c>
    </row>
    <row r="672">
      <c r="A672" s="10" t="s">
        <v>2479</v>
      </c>
      <c r="B672" s="11">
        <v>44306.70667212963</v>
      </c>
      <c r="C672" s="10" t="s">
        <v>219</v>
      </c>
      <c r="D672" s="10" t="s">
        <v>220</v>
      </c>
      <c r="E672" s="10" t="s">
        <v>465</v>
      </c>
      <c r="F672" s="10" t="s">
        <v>2480</v>
      </c>
      <c r="G672" s="10" t="s">
        <v>2481</v>
      </c>
      <c r="H672" s="16">
        <v>44308.14583333333</v>
      </c>
      <c r="I672" s="16">
        <v>44308.1875</v>
      </c>
      <c r="J672" s="10" t="s">
        <v>43</v>
      </c>
      <c r="K672" s="10" t="s">
        <v>34</v>
      </c>
      <c r="N672" s="10" t="s">
        <v>35</v>
      </c>
      <c r="V672" s="9"/>
      <c r="W672" s="13" t="s">
        <v>78</v>
      </c>
      <c r="X672" s="10" t="s">
        <v>37</v>
      </c>
      <c r="Y672" s="10" t="s">
        <v>0</v>
      </c>
    </row>
    <row r="673">
      <c r="A673" s="10" t="s">
        <v>2482</v>
      </c>
      <c r="B673" s="11">
        <v>44302.664774351855</v>
      </c>
      <c r="C673" s="10" t="s">
        <v>516</v>
      </c>
      <c r="D673" s="10" t="s">
        <v>511</v>
      </c>
      <c r="E673" s="10" t="s">
        <v>2483</v>
      </c>
      <c r="F673" s="10" t="s">
        <v>2484</v>
      </c>
      <c r="G673" s="10" t="s">
        <v>2485</v>
      </c>
      <c r="H673" s="17">
        <v>44303.4375</v>
      </c>
      <c r="I673" s="17">
        <v>44303.52083333333</v>
      </c>
      <c r="J673" s="10" t="s">
        <v>128</v>
      </c>
      <c r="K673" s="10" t="s">
        <v>34</v>
      </c>
      <c r="N673" s="10" t="s">
        <v>35</v>
      </c>
      <c r="V673" s="9"/>
      <c r="W673" s="13" t="s">
        <v>78</v>
      </c>
      <c r="X673" s="10" t="s">
        <v>37</v>
      </c>
      <c r="Y673" s="10" t="s">
        <v>0</v>
      </c>
    </row>
    <row r="674">
      <c r="A674" s="10" t="s">
        <v>2486</v>
      </c>
      <c r="B674" s="11">
        <v>44293.472844247684</v>
      </c>
      <c r="C674" s="10" t="s">
        <v>80</v>
      </c>
      <c r="D674" s="10" t="s">
        <v>81</v>
      </c>
      <c r="E674" s="10" t="s">
        <v>2487</v>
      </c>
      <c r="F674" s="10" t="s">
        <v>2488</v>
      </c>
      <c r="G674" s="10" t="s">
        <v>2489</v>
      </c>
      <c r="H674" s="24">
        <v>44308.22916666667</v>
      </c>
      <c r="I674" s="24">
        <v>44308.27083333333</v>
      </c>
      <c r="J674" s="10" t="s">
        <v>43</v>
      </c>
      <c r="K674" s="10" t="s">
        <v>34</v>
      </c>
      <c r="N674" s="10" t="s">
        <v>296</v>
      </c>
      <c r="O674" s="18" t="s">
        <v>2490</v>
      </c>
      <c r="P674" s="10" t="s">
        <v>296</v>
      </c>
      <c r="Q674" s="10">
        <v>1.0</v>
      </c>
      <c r="R674" s="10" t="s">
        <v>35</v>
      </c>
      <c r="T674" s="10" t="s">
        <v>35</v>
      </c>
      <c r="V674" s="9"/>
      <c r="W674" s="13" t="s">
        <v>78</v>
      </c>
      <c r="X674" s="10" t="s">
        <v>37</v>
      </c>
      <c r="Y674" s="10" t="s">
        <v>0</v>
      </c>
    </row>
    <row r="675">
      <c r="A675" s="10" t="s">
        <v>2491</v>
      </c>
      <c r="B675" s="11">
        <v>44303.00550813657</v>
      </c>
      <c r="C675" s="10" t="s">
        <v>28</v>
      </c>
      <c r="D675" s="10" t="s">
        <v>29</v>
      </c>
      <c r="E675" s="10" t="s">
        <v>63</v>
      </c>
      <c r="F675" s="10" t="s">
        <v>2492</v>
      </c>
      <c r="G675" s="10" t="s">
        <v>2493</v>
      </c>
      <c r="H675" s="17">
        <v>44310.4375</v>
      </c>
      <c r="I675" s="17">
        <v>44310.52083333333</v>
      </c>
      <c r="J675" s="10" t="s">
        <v>128</v>
      </c>
      <c r="K675" s="10" t="s">
        <v>34</v>
      </c>
      <c r="N675" s="10" t="s">
        <v>35</v>
      </c>
      <c r="V675" s="9"/>
      <c r="W675" s="13" t="s">
        <v>78</v>
      </c>
      <c r="X675" s="10" t="s">
        <v>37</v>
      </c>
      <c r="Y675" s="10" t="s">
        <v>0</v>
      </c>
    </row>
    <row r="676">
      <c r="A676" s="10" t="s">
        <v>2494</v>
      </c>
      <c r="B676" s="11">
        <v>44304.030289918985</v>
      </c>
      <c r="C676" s="10" t="s">
        <v>167</v>
      </c>
      <c r="D676" s="10" t="s">
        <v>168</v>
      </c>
      <c r="E676" s="10" t="s">
        <v>2495</v>
      </c>
      <c r="F676" s="10" t="s">
        <v>2496</v>
      </c>
      <c r="G676" s="10" t="s">
        <v>2497</v>
      </c>
      <c r="H676" s="17">
        <v>44298.6875</v>
      </c>
      <c r="I676" s="17">
        <v>44298.72916666667</v>
      </c>
      <c r="J676" s="10" t="s">
        <v>128</v>
      </c>
      <c r="K676" s="10" t="s">
        <v>34</v>
      </c>
      <c r="N676" s="10" t="s">
        <v>35</v>
      </c>
      <c r="V676" s="9"/>
      <c r="W676" s="13" t="s">
        <v>78</v>
      </c>
      <c r="X676" s="10" t="s">
        <v>37</v>
      </c>
      <c r="Y676" s="10" t="s">
        <v>0</v>
      </c>
    </row>
    <row r="677">
      <c r="A677" s="10" t="s">
        <v>2498</v>
      </c>
      <c r="B677" s="11">
        <v>44302.6695382176</v>
      </c>
      <c r="C677" s="10" t="s">
        <v>137</v>
      </c>
      <c r="D677" s="10" t="s">
        <v>138</v>
      </c>
      <c r="E677" s="10" t="s">
        <v>1093</v>
      </c>
      <c r="F677" s="10" t="s">
        <v>2499</v>
      </c>
      <c r="G677" s="10" t="s">
        <v>2500</v>
      </c>
      <c r="H677" s="24">
        <v>44308.60416666667</v>
      </c>
      <c r="I677" s="24">
        <v>44308.72916666667</v>
      </c>
      <c r="J677" s="10" t="s">
        <v>43</v>
      </c>
      <c r="K677" s="10" t="s">
        <v>34</v>
      </c>
      <c r="N677" s="10" t="s">
        <v>296</v>
      </c>
      <c r="O677" s="18" t="s">
        <v>2501</v>
      </c>
      <c r="P677" s="10" t="s">
        <v>296</v>
      </c>
      <c r="Q677" s="10">
        <v>1.0</v>
      </c>
      <c r="R677" s="10" t="s">
        <v>35</v>
      </c>
      <c r="T677" s="10" t="s">
        <v>35</v>
      </c>
      <c r="V677" s="9"/>
      <c r="W677" s="13" t="s">
        <v>78</v>
      </c>
      <c r="X677" s="10" t="s">
        <v>37</v>
      </c>
      <c r="Y677" s="10" t="s">
        <v>0</v>
      </c>
    </row>
    <row r="678">
      <c r="A678" s="10" t="s">
        <v>2502</v>
      </c>
      <c r="B678" s="11">
        <v>44305.380242604166</v>
      </c>
      <c r="C678" s="10" t="s">
        <v>1405</v>
      </c>
      <c r="D678" s="10" t="s">
        <v>1406</v>
      </c>
      <c r="E678" s="10" t="s">
        <v>2503</v>
      </c>
      <c r="F678" s="10" t="s">
        <v>2097</v>
      </c>
      <c r="G678" s="10" t="s">
        <v>2504</v>
      </c>
      <c r="H678" s="17">
        <v>44310.5625</v>
      </c>
      <c r="I678" s="17">
        <v>44310.60416666667</v>
      </c>
      <c r="J678" s="10" t="s">
        <v>128</v>
      </c>
      <c r="K678" s="10" t="s">
        <v>34</v>
      </c>
      <c r="N678" s="10" t="s">
        <v>35</v>
      </c>
      <c r="V678" s="9"/>
      <c r="W678" s="13" t="s">
        <v>78</v>
      </c>
      <c r="X678" s="10" t="s">
        <v>37</v>
      </c>
      <c r="Y678" s="10" t="s">
        <v>0</v>
      </c>
    </row>
    <row r="679">
      <c r="A679" s="10" t="s">
        <v>2505</v>
      </c>
      <c r="B679" s="11">
        <v>44326.79531391204</v>
      </c>
      <c r="C679" s="10" t="s">
        <v>46</v>
      </c>
      <c r="D679" s="10" t="s">
        <v>47</v>
      </c>
      <c r="E679" s="10" t="s">
        <v>233</v>
      </c>
      <c r="F679" s="10" t="s">
        <v>2506</v>
      </c>
      <c r="G679" s="10" t="s">
        <v>2507</v>
      </c>
      <c r="H679" s="16">
        <v>44308.66666666667</v>
      </c>
      <c r="I679" s="16">
        <v>44308.70833333333</v>
      </c>
      <c r="J679" s="10" t="s">
        <v>43</v>
      </c>
      <c r="K679" s="10" t="s">
        <v>34</v>
      </c>
      <c r="N679" s="10" t="s">
        <v>35</v>
      </c>
      <c r="V679" s="9"/>
      <c r="W679" s="13" t="s">
        <v>78</v>
      </c>
      <c r="X679" s="10" t="s">
        <v>237</v>
      </c>
      <c r="Y679" s="10" t="s">
        <v>0</v>
      </c>
    </row>
    <row r="680">
      <c r="A680" s="10" t="s">
        <v>2508</v>
      </c>
      <c r="B680" s="11">
        <v>44301.47694450231</v>
      </c>
      <c r="C680" s="10" t="s">
        <v>160</v>
      </c>
      <c r="D680" s="10" t="s">
        <v>161</v>
      </c>
      <c r="E680" s="10" t="s">
        <v>947</v>
      </c>
      <c r="F680" s="10" t="s">
        <v>2509</v>
      </c>
      <c r="G680" s="10" t="s">
        <v>2510</v>
      </c>
      <c r="H680" s="24">
        <v>44308.6875</v>
      </c>
      <c r="I680" s="24">
        <v>44308.77083333333</v>
      </c>
      <c r="J680" s="10" t="s">
        <v>43</v>
      </c>
      <c r="K680" s="10" t="s">
        <v>34</v>
      </c>
      <c r="N680" s="10" t="s">
        <v>296</v>
      </c>
      <c r="O680" s="18" t="s">
        <v>2511</v>
      </c>
      <c r="P680" s="10" t="s">
        <v>35</v>
      </c>
      <c r="R680" s="10" t="s">
        <v>35</v>
      </c>
      <c r="T680" s="10" t="s">
        <v>296</v>
      </c>
      <c r="U680" s="10">
        <v>1.0</v>
      </c>
      <c r="V680" s="27"/>
      <c r="W680" s="13" t="s">
        <v>78</v>
      </c>
      <c r="X680" s="10" t="s">
        <v>37</v>
      </c>
      <c r="Y680" s="10" t="s">
        <v>0</v>
      </c>
    </row>
    <row r="681">
      <c r="A681" s="10" t="s">
        <v>2512</v>
      </c>
      <c r="B681" s="11">
        <v>44298.827033622685</v>
      </c>
      <c r="C681" s="10" t="s">
        <v>150</v>
      </c>
      <c r="D681" s="10" t="s">
        <v>151</v>
      </c>
      <c r="E681" s="10" t="s">
        <v>152</v>
      </c>
      <c r="F681" s="10" t="s">
        <v>2513</v>
      </c>
      <c r="G681" s="10" t="s">
        <v>2514</v>
      </c>
      <c r="H681" s="24">
        <v>44308.72916666667</v>
      </c>
      <c r="I681" s="24">
        <v>44308.77083333333</v>
      </c>
      <c r="J681" s="10" t="s">
        <v>43</v>
      </c>
      <c r="K681" s="10" t="s">
        <v>34</v>
      </c>
      <c r="N681" s="10" t="s">
        <v>296</v>
      </c>
      <c r="O681" s="18" t="s">
        <v>2515</v>
      </c>
      <c r="P681" s="10" t="s">
        <v>296</v>
      </c>
      <c r="Q681" s="10">
        <v>1.0</v>
      </c>
      <c r="R681" s="10" t="s">
        <v>35</v>
      </c>
      <c r="T681" s="10" t="s">
        <v>35</v>
      </c>
      <c r="V681" s="9"/>
      <c r="W681" s="13" t="s">
        <v>78</v>
      </c>
      <c r="X681" s="10" t="s">
        <v>37</v>
      </c>
      <c r="Y681" s="10" t="s">
        <v>0</v>
      </c>
    </row>
    <row r="682">
      <c r="A682" s="10" t="s">
        <v>2516</v>
      </c>
      <c r="B682" s="11">
        <v>44305.56783509259</v>
      </c>
      <c r="C682" s="10" t="s">
        <v>80</v>
      </c>
      <c r="D682" s="10" t="s">
        <v>81</v>
      </c>
      <c r="E682" s="10" t="s">
        <v>2517</v>
      </c>
      <c r="F682" s="10" t="s">
        <v>2518</v>
      </c>
      <c r="G682" s="10" t="s">
        <v>2519</v>
      </c>
      <c r="H682" s="17">
        <v>44305.75</v>
      </c>
      <c r="I682" s="17">
        <v>44311.5</v>
      </c>
      <c r="J682" s="10" t="s">
        <v>51</v>
      </c>
      <c r="K682" s="10" t="s">
        <v>34</v>
      </c>
      <c r="N682" s="10" t="s">
        <v>35</v>
      </c>
      <c r="V682" s="9"/>
      <c r="W682" s="13" t="s">
        <v>78</v>
      </c>
      <c r="X682" s="10" t="s">
        <v>37</v>
      </c>
      <c r="Y682" s="10" t="s">
        <v>0</v>
      </c>
    </row>
    <row r="683">
      <c r="A683" s="10" t="s">
        <v>2520</v>
      </c>
      <c r="B683" s="11">
        <v>44305.567875266206</v>
      </c>
      <c r="C683" s="10" t="s">
        <v>80</v>
      </c>
      <c r="D683" s="10" t="s">
        <v>81</v>
      </c>
      <c r="E683" s="10" t="s">
        <v>2517</v>
      </c>
      <c r="F683" s="10" t="s">
        <v>2518</v>
      </c>
      <c r="G683" s="10" t="s">
        <v>2519</v>
      </c>
      <c r="H683" s="17">
        <v>44305.75</v>
      </c>
      <c r="I683" s="17">
        <v>44311.5</v>
      </c>
      <c r="J683" s="10" t="s">
        <v>51</v>
      </c>
      <c r="K683" s="10" t="s">
        <v>34</v>
      </c>
      <c r="N683" s="10" t="s">
        <v>35</v>
      </c>
      <c r="V683" s="9"/>
      <c r="W683" s="13" t="s">
        <v>78</v>
      </c>
      <c r="X683" s="10" t="s">
        <v>37</v>
      </c>
      <c r="Y683" s="10" t="s">
        <v>0</v>
      </c>
    </row>
    <row r="684">
      <c r="A684" s="10" t="s">
        <v>2521</v>
      </c>
      <c r="B684" s="11">
        <v>44297.60299423611</v>
      </c>
      <c r="C684" s="10" t="s">
        <v>347</v>
      </c>
      <c r="D684" s="10" t="s">
        <v>348</v>
      </c>
      <c r="E684" s="10" t="s">
        <v>349</v>
      </c>
      <c r="F684" s="10" t="s">
        <v>2522</v>
      </c>
      <c r="G684" s="10" t="s">
        <v>2523</v>
      </c>
      <c r="H684" s="24">
        <v>44309.10416666667</v>
      </c>
      <c r="I684" s="24">
        <v>44309.14583333333</v>
      </c>
      <c r="J684" s="10" t="s">
        <v>43</v>
      </c>
      <c r="K684" s="10" t="s">
        <v>34</v>
      </c>
      <c r="N684" s="10" t="s">
        <v>296</v>
      </c>
      <c r="O684" s="18" t="s">
        <v>2524</v>
      </c>
      <c r="P684" s="10" t="s">
        <v>296</v>
      </c>
      <c r="Q684" s="10">
        <v>1.0</v>
      </c>
      <c r="R684" s="10" t="s">
        <v>35</v>
      </c>
      <c r="T684" s="10" t="s">
        <v>35</v>
      </c>
      <c r="V684" s="9"/>
      <c r="W684" s="13" t="s">
        <v>78</v>
      </c>
      <c r="X684" s="10" t="s">
        <v>37</v>
      </c>
      <c r="Y684" s="10" t="s">
        <v>0</v>
      </c>
    </row>
    <row r="685">
      <c r="A685" s="10" t="s">
        <v>2525</v>
      </c>
      <c r="B685" s="11">
        <v>44308.95497341435</v>
      </c>
      <c r="C685" s="10" t="s">
        <v>80</v>
      </c>
      <c r="D685" s="10" t="s">
        <v>81</v>
      </c>
      <c r="E685" s="10" t="s">
        <v>2526</v>
      </c>
      <c r="F685" s="10" t="s">
        <v>2527</v>
      </c>
      <c r="G685" s="10" t="s">
        <v>2528</v>
      </c>
      <c r="H685" s="16">
        <v>44309.10416666667</v>
      </c>
      <c r="I685" s="16">
        <v>44309.14583333333</v>
      </c>
      <c r="J685" s="10" t="s">
        <v>43</v>
      </c>
      <c r="K685" s="10" t="s">
        <v>34</v>
      </c>
      <c r="N685" s="10" t="s">
        <v>35</v>
      </c>
      <c r="V685" s="9"/>
      <c r="W685" s="13" t="s">
        <v>78</v>
      </c>
      <c r="X685" s="10" t="s">
        <v>37</v>
      </c>
      <c r="Y685" s="10" t="s">
        <v>0</v>
      </c>
    </row>
    <row r="686">
      <c r="A686" s="10" t="s">
        <v>2529</v>
      </c>
      <c r="B686" s="11">
        <v>44305.71102416667</v>
      </c>
      <c r="C686" s="10" t="s">
        <v>186</v>
      </c>
      <c r="D686" s="10" t="s">
        <v>187</v>
      </c>
      <c r="E686" s="10" t="s">
        <v>343</v>
      </c>
      <c r="F686" s="10" t="s">
        <v>2530</v>
      </c>
      <c r="G686" s="10" t="s">
        <v>2531</v>
      </c>
      <c r="H686" s="17">
        <v>44307.41666666667</v>
      </c>
      <c r="I686" s="17">
        <v>44307.52083333333</v>
      </c>
      <c r="J686" s="10" t="s">
        <v>128</v>
      </c>
      <c r="K686" s="10" t="s">
        <v>34</v>
      </c>
      <c r="N686" s="10" t="s">
        <v>35</v>
      </c>
      <c r="V686" s="9"/>
      <c r="W686" s="13" t="s">
        <v>78</v>
      </c>
      <c r="X686" s="10" t="s">
        <v>37</v>
      </c>
      <c r="Y686" s="10" t="s">
        <v>0</v>
      </c>
    </row>
    <row r="687">
      <c r="A687" s="10" t="s">
        <v>2532</v>
      </c>
      <c r="B687" s="11">
        <v>44305.722940057865</v>
      </c>
      <c r="C687" s="10" t="s">
        <v>186</v>
      </c>
      <c r="D687" s="10" t="s">
        <v>187</v>
      </c>
      <c r="E687" s="10" t="s">
        <v>343</v>
      </c>
      <c r="F687" s="10" t="s">
        <v>2533</v>
      </c>
      <c r="G687" s="10" t="s">
        <v>2534</v>
      </c>
      <c r="H687" s="17">
        <v>44307.41666666667</v>
      </c>
      <c r="I687" s="17">
        <v>44309.75</v>
      </c>
      <c r="J687" s="10" t="s">
        <v>128</v>
      </c>
      <c r="K687" s="10" t="s">
        <v>34</v>
      </c>
      <c r="N687" s="10" t="s">
        <v>296</v>
      </c>
      <c r="O687" s="18" t="s">
        <v>2535</v>
      </c>
      <c r="P687" s="10" t="s">
        <v>296</v>
      </c>
      <c r="Q687" s="10">
        <v>2.0</v>
      </c>
      <c r="R687" s="10" t="s">
        <v>296</v>
      </c>
      <c r="S687" s="10">
        <v>6.0</v>
      </c>
      <c r="T687" s="10" t="s">
        <v>35</v>
      </c>
      <c r="V687" s="9"/>
      <c r="W687" s="13" t="s">
        <v>78</v>
      </c>
      <c r="X687" s="10" t="s">
        <v>37</v>
      </c>
      <c r="Y687" s="10" t="s">
        <v>0</v>
      </c>
    </row>
    <row r="688">
      <c r="A688" s="10" t="s">
        <v>2536</v>
      </c>
      <c r="B688" s="11">
        <v>44305.72491045139</v>
      </c>
      <c r="C688" s="10" t="s">
        <v>186</v>
      </c>
      <c r="D688" s="10" t="s">
        <v>187</v>
      </c>
      <c r="E688" s="10" t="s">
        <v>343</v>
      </c>
      <c r="F688" s="10" t="s">
        <v>2537</v>
      </c>
      <c r="G688" s="26" t="s">
        <v>6006</v>
      </c>
      <c r="H688" s="16">
        <v>44309.64583333333</v>
      </c>
      <c r="I688" s="16">
        <v>44309.72916666667</v>
      </c>
      <c r="J688" s="10" t="s">
        <v>128</v>
      </c>
      <c r="K688" s="10" t="s">
        <v>34</v>
      </c>
      <c r="N688" s="10" t="s">
        <v>35</v>
      </c>
      <c r="V688" s="9"/>
      <c r="W688" s="13" t="s">
        <v>78</v>
      </c>
      <c r="X688" s="10" t="s">
        <v>37</v>
      </c>
      <c r="Y688" s="10" t="s">
        <v>0</v>
      </c>
    </row>
    <row r="689">
      <c r="A689" s="10" t="s">
        <v>2539</v>
      </c>
      <c r="B689" s="11">
        <v>44305.4402375</v>
      </c>
      <c r="C689" s="10" t="s">
        <v>539</v>
      </c>
      <c r="D689" s="10" t="s">
        <v>540</v>
      </c>
      <c r="E689" s="10" t="s">
        <v>2219</v>
      </c>
      <c r="F689" s="10" t="s">
        <v>2540</v>
      </c>
      <c r="G689" s="10" t="s">
        <v>2541</v>
      </c>
      <c r="H689" s="16">
        <v>44309.4375</v>
      </c>
      <c r="I689" s="16">
        <v>44309.47916666667</v>
      </c>
      <c r="J689" s="10" t="s">
        <v>43</v>
      </c>
      <c r="K689" s="10" t="s">
        <v>34</v>
      </c>
      <c r="N689" s="10" t="s">
        <v>296</v>
      </c>
      <c r="O689" s="18" t="s">
        <v>2542</v>
      </c>
      <c r="P689" s="10" t="s">
        <v>296</v>
      </c>
      <c r="Q689" s="10">
        <v>1.0</v>
      </c>
      <c r="R689" s="10" t="s">
        <v>35</v>
      </c>
      <c r="T689" s="10" t="s">
        <v>35</v>
      </c>
      <c r="V689" s="9"/>
      <c r="W689" s="13" t="s">
        <v>78</v>
      </c>
      <c r="X689" s="10" t="s">
        <v>37</v>
      </c>
      <c r="Y689" s="10" t="s">
        <v>0</v>
      </c>
    </row>
    <row r="690">
      <c r="A690" s="10" t="s">
        <v>2543</v>
      </c>
      <c r="B690" s="11">
        <v>44305.79984883102</v>
      </c>
      <c r="C690" s="10" t="s">
        <v>374</v>
      </c>
      <c r="D690" s="10" t="s">
        <v>375</v>
      </c>
      <c r="E690" s="10" t="s">
        <v>2544</v>
      </c>
      <c r="F690" s="10" t="s">
        <v>2545</v>
      </c>
      <c r="G690" s="10" t="s">
        <v>2546</v>
      </c>
      <c r="H690" s="17">
        <v>44312.60416666667</v>
      </c>
      <c r="I690" s="17">
        <v>44312.64583333333</v>
      </c>
      <c r="J690" s="10" t="s">
        <v>33</v>
      </c>
      <c r="K690" s="10" t="s">
        <v>34</v>
      </c>
      <c r="N690" s="10" t="s">
        <v>35</v>
      </c>
      <c r="V690" s="9"/>
      <c r="W690" s="13" t="s">
        <v>78</v>
      </c>
      <c r="X690" s="10" t="s">
        <v>37</v>
      </c>
      <c r="Y690" s="10" t="s">
        <v>0</v>
      </c>
    </row>
    <row r="691">
      <c r="A691" s="10" t="s">
        <v>2547</v>
      </c>
      <c r="B691" s="11">
        <v>44305.81026616898</v>
      </c>
      <c r="C691" s="10" t="s">
        <v>374</v>
      </c>
      <c r="D691" s="10" t="s">
        <v>375</v>
      </c>
      <c r="E691" s="10" t="s">
        <v>1552</v>
      </c>
      <c r="F691" s="10" t="s">
        <v>2548</v>
      </c>
      <c r="G691" s="10" t="s">
        <v>2549</v>
      </c>
      <c r="H691" s="17">
        <v>44312.29166666667</v>
      </c>
      <c r="I691" s="17">
        <v>44312.64583333333</v>
      </c>
      <c r="J691" s="10" t="s">
        <v>51</v>
      </c>
      <c r="K691" s="10" t="s">
        <v>34</v>
      </c>
      <c r="N691" s="10" t="s">
        <v>35</v>
      </c>
      <c r="V691" s="9"/>
      <c r="W691" s="13" t="s">
        <v>78</v>
      </c>
      <c r="X691" s="10" t="s">
        <v>37</v>
      </c>
      <c r="Y691" s="10" t="s">
        <v>0</v>
      </c>
    </row>
    <row r="692">
      <c r="A692" s="10" t="s">
        <v>2550</v>
      </c>
      <c r="B692" s="11">
        <v>44305.83291686342</v>
      </c>
      <c r="C692" s="10" t="s">
        <v>80</v>
      </c>
      <c r="D692" s="10" t="s">
        <v>81</v>
      </c>
      <c r="E692" s="10" t="s">
        <v>2365</v>
      </c>
      <c r="F692" s="10" t="s">
        <v>2366</v>
      </c>
      <c r="G692" s="10" t="s">
        <v>2551</v>
      </c>
      <c r="H692" s="17">
        <v>44312.33333333333</v>
      </c>
      <c r="I692" s="17">
        <v>44312.375</v>
      </c>
      <c r="J692" s="10" t="s">
        <v>73</v>
      </c>
      <c r="K692" s="10" t="s">
        <v>34</v>
      </c>
      <c r="N692" s="10" t="s">
        <v>35</v>
      </c>
      <c r="V692" s="9"/>
      <c r="W692" s="13" t="s">
        <v>78</v>
      </c>
      <c r="X692" s="10" t="s">
        <v>37</v>
      </c>
      <c r="Y692" s="10" t="s">
        <v>0</v>
      </c>
    </row>
    <row r="693">
      <c r="A693" s="10" t="s">
        <v>2552</v>
      </c>
      <c r="B693" s="11">
        <v>44305.836435474535</v>
      </c>
      <c r="C693" s="10" t="s">
        <v>209</v>
      </c>
      <c r="D693" s="10" t="s">
        <v>210</v>
      </c>
      <c r="E693" s="10" t="s">
        <v>261</v>
      </c>
      <c r="F693" s="10" t="s">
        <v>2553</v>
      </c>
      <c r="G693" s="10" t="s">
        <v>2554</v>
      </c>
      <c r="H693" s="17">
        <v>44317.60416666667</v>
      </c>
      <c r="I693" s="17">
        <v>44317.6875</v>
      </c>
      <c r="J693" s="10" t="s">
        <v>128</v>
      </c>
      <c r="K693" s="10" t="s">
        <v>34</v>
      </c>
      <c r="N693" s="10" t="s">
        <v>35</v>
      </c>
      <c r="V693" s="9"/>
      <c r="W693" s="13" t="s">
        <v>78</v>
      </c>
      <c r="X693" s="10" t="s">
        <v>37</v>
      </c>
      <c r="Y693" s="10" t="s">
        <v>0</v>
      </c>
    </row>
    <row r="694">
      <c r="A694" s="10" t="s">
        <v>2555</v>
      </c>
      <c r="B694" s="11">
        <v>44306.34445672454</v>
      </c>
      <c r="C694" s="10" t="s">
        <v>516</v>
      </c>
      <c r="D694" s="10" t="s">
        <v>511</v>
      </c>
      <c r="E694" s="10" t="s">
        <v>1909</v>
      </c>
      <c r="F694" s="10" t="s">
        <v>2556</v>
      </c>
      <c r="G694" s="10" t="s">
        <v>2557</v>
      </c>
      <c r="H694" s="17">
        <v>44305.4375</v>
      </c>
      <c r="I694" s="17">
        <v>44309.4375</v>
      </c>
      <c r="J694" s="10" t="s">
        <v>51</v>
      </c>
      <c r="K694" s="10" t="s">
        <v>34</v>
      </c>
      <c r="N694" s="10" t="s">
        <v>35</v>
      </c>
      <c r="V694" s="9"/>
      <c r="W694" s="13" t="s">
        <v>78</v>
      </c>
      <c r="X694" s="10" t="s">
        <v>37</v>
      </c>
      <c r="Y694" s="10" t="s">
        <v>0</v>
      </c>
    </row>
    <row r="695">
      <c r="A695" s="10" t="s">
        <v>2558</v>
      </c>
      <c r="B695" s="11">
        <v>44306.45785331019</v>
      </c>
      <c r="C695" s="10" t="s">
        <v>387</v>
      </c>
      <c r="D695" s="10" t="s">
        <v>388</v>
      </c>
      <c r="E695" s="10" t="s">
        <v>1256</v>
      </c>
      <c r="F695" s="10" t="s">
        <v>2559</v>
      </c>
      <c r="G695" s="10" t="s">
        <v>2560</v>
      </c>
      <c r="H695" s="17">
        <v>44308.625</v>
      </c>
      <c r="I695" s="17">
        <v>44308.64583333333</v>
      </c>
      <c r="J695" s="10" t="s">
        <v>73</v>
      </c>
      <c r="K695" s="10" t="s">
        <v>34</v>
      </c>
      <c r="N695" s="10" t="s">
        <v>35</v>
      </c>
      <c r="V695" s="9"/>
      <c r="W695" s="13" t="s">
        <v>78</v>
      </c>
      <c r="X695" s="10" t="s">
        <v>37</v>
      </c>
      <c r="Y695" s="10" t="s">
        <v>0</v>
      </c>
    </row>
    <row r="696">
      <c r="A696" s="10" t="s">
        <v>2561</v>
      </c>
      <c r="B696" s="11">
        <v>44306.698507685185</v>
      </c>
      <c r="C696" s="10" t="s">
        <v>610</v>
      </c>
      <c r="D696" s="10" t="s">
        <v>611</v>
      </c>
      <c r="E696" s="10" t="s">
        <v>2562</v>
      </c>
      <c r="F696" s="10" t="s">
        <v>2563</v>
      </c>
      <c r="G696" s="10" t="s">
        <v>2564</v>
      </c>
      <c r="H696" s="17">
        <v>44310.45833333333</v>
      </c>
      <c r="I696" s="17">
        <v>44310.99930555555</v>
      </c>
      <c r="J696" s="10" t="s">
        <v>128</v>
      </c>
      <c r="K696" s="10" t="s">
        <v>34</v>
      </c>
      <c r="N696" s="10" t="s">
        <v>35</v>
      </c>
      <c r="V696" s="9"/>
      <c r="W696" s="13" t="s">
        <v>78</v>
      </c>
      <c r="X696" s="10" t="s">
        <v>37</v>
      </c>
      <c r="Y696" s="10" t="s">
        <v>0</v>
      </c>
    </row>
    <row r="697">
      <c r="A697" s="10" t="s">
        <v>2565</v>
      </c>
      <c r="B697" s="11">
        <v>44293.51245239584</v>
      </c>
      <c r="C697" s="10" t="s">
        <v>209</v>
      </c>
      <c r="D697" s="10" t="s">
        <v>210</v>
      </c>
      <c r="E697" s="10" t="s">
        <v>261</v>
      </c>
      <c r="F697" s="10" t="s">
        <v>2566</v>
      </c>
      <c r="G697" s="10" t="s">
        <v>2567</v>
      </c>
      <c r="H697" s="24">
        <v>44309.60416666667</v>
      </c>
      <c r="I697" s="24">
        <v>44309.6875</v>
      </c>
      <c r="J697" s="10" t="s">
        <v>43</v>
      </c>
      <c r="K697" s="10" t="s">
        <v>34</v>
      </c>
      <c r="N697" s="10" t="s">
        <v>296</v>
      </c>
      <c r="O697" s="18" t="s">
        <v>2568</v>
      </c>
      <c r="P697" s="10" t="s">
        <v>296</v>
      </c>
      <c r="Q697" s="10">
        <v>2.0</v>
      </c>
      <c r="R697" s="10" t="s">
        <v>35</v>
      </c>
      <c r="T697" s="10" t="s">
        <v>35</v>
      </c>
      <c r="V697" s="9"/>
      <c r="W697" s="13" t="s">
        <v>78</v>
      </c>
      <c r="X697" s="10" t="s">
        <v>37</v>
      </c>
      <c r="Y697" s="10" t="s">
        <v>0</v>
      </c>
    </row>
    <row r="698">
      <c r="A698" s="10" t="s">
        <v>2569</v>
      </c>
      <c r="B698" s="11">
        <v>44305.778975821755</v>
      </c>
      <c r="C698" s="10" t="s">
        <v>28</v>
      </c>
      <c r="D698" s="10" t="s">
        <v>29</v>
      </c>
      <c r="E698" s="10" t="s">
        <v>63</v>
      </c>
      <c r="F698" s="10" t="s">
        <v>2570</v>
      </c>
      <c r="G698" s="10" t="s">
        <v>2571</v>
      </c>
      <c r="H698" s="16">
        <v>44309.60416666667</v>
      </c>
      <c r="I698" s="16">
        <v>44309.64583333333</v>
      </c>
      <c r="J698" s="10" t="s">
        <v>43</v>
      </c>
      <c r="K698" s="10" t="s">
        <v>34</v>
      </c>
      <c r="N698" s="10" t="s">
        <v>35</v>
      </c>
      <c r="V698" s="9"/>
      <c r="W698" s="13" t="s">
        <v>78</v>
      </c>
      <c r="X698" s="10" t="s">
        <v>37</v>
      </c>
      <c r="Y698" s="10" t="s">
        <v>0</v>
      </c>
    </row>
    <row r="699">
      <c r="A699" s="10" t="s">
        <v>2572</v>
      </c>
      <c r="B699" s="11">
        <v>44306.709957604166</v>
      </c>
      <c r="C699" s="10" t="s">
        <v>671</v>
      </c>
      <c r="D699" s="10" t="s">
        <v>672</v>
      </c>
      <c r="E699" s="10" t="s">
        <v>2573</v>
      </c>
      <c r="F699" s="10" t="s">
        <v>2574</v>
      </c>
      <c r="G699" s="10" t="s">
        <v>2575</v>
      </c>
      <c r="H699" s="17">
        <v>44315.60416666667</v>
      </c>
      <c r="I699" s="17">
        <v>44315.64583333333</v>
      </c>
      <c r="J699" s="10" t="s">
        <v>128</v>
      </c>
      <c r="K699" s="10" t="s">
        <v>34</v>
      </c>
      <c r="N699" s="10" t="s">
        <v>35</v>
      </c>
      <c r="V699" s="9"/>
      <c r="W699" s="13" t="s">
        <v>78</v>
      </c>
      <c r="X699" s="10" t="s">
        <v>37</v>
      </c>
      <c r="Y699" s="10" t="s">
        <v>0</v>
      </c>
    </row>
    <row r="700">
      <c r="A700" s="10" t="s">
        <v>2576</v>
      </c>
      <c r="B700" s="11">
        <v>44306.74935337963</v>
      </c>
      <c r="C700" s="10" t="s">
        <v>671</v>
      </c>
      <c r="D700" s="10" t="s">
        <v>672</v>
      </c>
      <c r="E700" s="10" t="s">
        <v>2577</v>
      </c>
      <c r="F700" s="10" t="s">
        <v>2578</v>
      </c>
      <c r="G700" s="10" t="s">
        <v>2579</v>
      </c>
      <c r="H700" s="17">
        <v>44309.6875</v>
      </c>
      <c r="I700" s="17">
        <v>44309.77083333333</v>
      </c>
      <c r="J700" s="10" t="s">
        <v>128</v>
      </c>
      <c r="K700" s="10" t="s">
        <v>34</v>
      </c>
      <c r="N700" s="10" t="s">
        <v>35</v>
      </c>
      <c r="V700" s="9"/>
      <c r="W700" s="13" t="s">
        <v>78</v>
      </c>
      <c r="X700" s="10" t="s">
        <v>37</v>
      </c>
      <c r="Y700" s="10" t="s">
        <v>0</v>
      </c>
    </row>
    <row r="701">
      <c r="A701" s="10" t="s">
        <v>2580</v>
      </c>
      <c r="B701" s="11">
        <v>44307.42811179398</v>
      </c>
      <c r="C701" s="10" t="s">
        <v>559</v>
      </c>
      <c r="D701" s="10" t="s">
        <v>560</v>
      </c>
      <c r="E701" s="10" t="s">
        <v>2581</v>
      </c>
      <c r="F701" s="10" t="s">
        <v>2582</v>
      </c>
      <c r="G701" s="10" t="s">
        <v>2583</v>
      </c>
      <c r="H701" s="17">
        <v>44308.0</v>
      </c>
      <c r="I701" s="17">
        <v>44315.99930555555</v>
      </c>
      <c r="J701" s="10" t="s">
        <v>33</v>
      </c>
      <c r="K701" s="10" t="s">
        <v>34</v>
      </c>
      <c r="N701" s="10" t="s">
        <v>296</v>
      </c>
      <c r="O701" s="18" t="s">
        <v>2584</v>
      </c>
      <c r="P701" s="10" t="s">
        <v>296</v>
      </c>
      <c r="Q701" s="10">
        <v>4.0</v>
      </c>
      <c r="R701" s="10" t="s">
        <v>296</v>
      </c>
      <c r="S701" s="10">
        <v>1.0</v>
      </c>
      <c r="T701" s="10" t="s">
        <v>296</v>
      </c>
      <c r="U701" s="10">
        <v>2.0</v>
      </c>
      <c r="V701" s="27"/>
      <c r="W701" s="13" t="s">
        <v>78</v>
      </c>
      <c r="X701" s="10" t="s">
        <v>37</v>
      </c>
      <c r="Y701" s="10" t="s">
        <v>0</v>
      </c>
    </row>
    <row r="702">
      <c r="A702" s="10" t="s">
        <v>2585</v>
      </c>
      <c r="B702" s="11">
        <v>44307.43210913194</v>
      </c>
      <c r="C702" s="10" t="s">
        <v>559</v>
      </c>
      <c r="D702" s="10" t="s">
        <v>560</v>
      </c>
      <c r="E702" s="10" t="s">
        <v>2581</v>
      </c>
      <c r="F702" s="10" t="s">
        <v>2586</v>
      </c>
      <c r="G702" s="10" t="s">
        <v>2587</v>
      </c>
      <c r="H702" s="17">
        <v>44310.41666666667</v>
      </c>
      <c r="I702" s="17">
        <v>44310.45833333333</v>
      </c>
      <c r="J702" s="10" t="s">
        <v>33</v>
      </c>
      <c r="K702" s="10" t="s">
        <v>34</v>
      </c>
      <c r="N702" s="10" t="s">
        <v>296</v>
      </c>
      <c r="O702" s="18" t="s">
        <v>2588</v>
      </c>
      <c r="P702" s="10" t="s">
        <v>296</v>
      </c>
      <c r="Q702" s="10">
        <v>4.0</v>
      </c>
      <c r="R702" s="10" t="s">
        <v>296</v>
      </c>
      <c r="S702" s="10">
        <v>1.0</v>
      </c>
      <c r="T702" s="10" t="s">
        <v>296</v>
      </c>
      <c r="U702" s="10">
        <v>2.0</v>
      </c>
      <c r="V702" s="27"/>
      <c r="W702" s="13" t="s">
        <v>78</v>
      </c>
      <c r="X702" s="10" t="s">
        <v>37</v>
      </c>
      <c r="Y702" s="10" t="s">
        <v>0</v>
      </c>
    </row>
    <row r="703">
      <c r="A703" s="10" t="s">
        <v>2589</v>
      </c>
      <c r="B703" s="11">
        <v>44307.43288482639</v>
      </c>
      <c r="C703" s="10" t="s">
        <v>2590</v>
      </c>
      <c r="D703" s="10" t="s">
        <v>2591</v>
      </c>
      <c r="E703" s="10" t="s">
        <v>2592</v>
      </c>
      <c r="F703" s="10" t="s">
        <v>2593</v>
      </c>
      <c r="G703" s="10" t="s">
        <v>2594</v>
      </c>
      <c r="H703" s="17">
        <v>44309.4375</v>
      </c>
      <c r="I703" s="17">
        <v>44309.47916666667</v>
      </c>
      <c r="J703" s="10" t="s">
        <v>128</v>
      </c>
      <c r="K703" s="10" t="s">
        <v>34</v>
      </c>
      <c r="N703" s="10" t="s">
        <v>35</v>
      </c>
      <c r="V703" s="9"/>
      <c r="W703" s="13" t="s">
        <v>78</v>
      </c>
      <c r="X703" s="10" t="s">
        <v>37</v>
      </c>
      <c r="Y703" s="10" t="s">
        <v>0</v>
      </c>
    </row>
    <row r="704">
      <c r="A704" s="10" t="s">
        <v>2595</v>
      </c>
      <c r="B704" s="11">
        <v>44307.43386135416</v>
      </c>
      <c r="C704" s="10" t="s">
        <v>2596</v>
      </c>
      <c r="D704" s="10" t="s">
        <v>560</v>
      </c>
      <c r="E704" s="10" t="s">
        <v>2581</v>
      </c>
      <c r="F704" s="10" t="s">
        <v>2586</v>
      </c>
      <c r="G704" s="10" t="s">
        <v>2587</v>
      </c>
      <c r="H704" s="17">
        <v>44310.41666666667</v>
      </c>
      <c r="I704" s="17">
        <v>44310.45833333333</v>
      </c>
      <c r="J704" s="10" t="s">
        <v>33</v>
      </c>
      <c r="K704" s="10" t="s">
        <v>34</v>
      </c>
      <c r="N704" s="10" t="s">
        <v>296</v>
      </c>
      <c r="O704" s="18" t="s">
        <v>2597</v>
      </c>
      <c r="P704" s="10" t="s">
        <v>296</v>
      </c>
      <c r="Q704" s="10">
        <v>4.0</v>
      </c>
      <c r="R704" s="10" t="s">
        <v>296</v>
      </c>
      <c r="S704" s="10">
        <v>1.0</v>
      </c>
      <c r="T704" s="10" t="s">
        <v>296</v>
      </c>
      <c r="U704" s="10">
        <v>2.0</v>
      </c>
      <c r="V704" s="27"/>
      <c r="W704" s="13" t="s">
        <v>78</v>
      </c>
      <c r="X704" s="10" t="s">
        <v>37</v>
      </c>
      <c r="Y704" s="10" t="s">
        <v>0</v>
      </c>
    </row>
    <row r="705">
      <c r="A705" s="10" t="s">
        <v>2598</v>
      </c>
      <c r="B705" s="11">
        <v>44307.43458030093</v>
      </c>
      <c r="C705" s="10" t="s">
        <v>2590</v>
      </c>
      <c r="D705" s="10" t="s">
        <v>2591</v>
      </c>
      <c r="E705" s="10" t="s">
        <v>2599</v>
      </c>
      <c r="F705" s="10" t="s">
        <v>2600</v>
      </c>
      <c r="G705" s="10" t="s">
        <v>2594</v>
      </c>
      <c r="H705" s="17">
        <v>44312.5625</v>
      </c>
      <c r="I705" s="17">
        <v>44312.60416666667</v>
      </c>
      <c r="J705" s="10" t="s">
        <v>128</v>
      </c>
      <c r="K705" s="10" t="s">
        <v>34</v>
      </c>
      <c r="N705" s="10" t="s">
        <v>35</v>
      </c>
      <c r="V705" s="9"/>
      <c r="W705" s="13" t="s">
        <v>78</v>
      </c>
      <c r="X705" s="10" t="s">
        <v>37</v>
      </c>
      <c r="Y705" s="10" t="s">
        <v>0</v>
      </c>
    </row>
    <row r="706">
      <c r="A706" s="10" t="s">
        <v>2601</v>
      </c>
      <c r="B706" s="11">
        <v>44307.436051006945</v>
      </c>
      <c r="C706" s="10" t="s">
        <v>2596</v>
      </c>
      <c r="D706" s="10" t="s">
        <v>560</v>
      </c>
      <c r="E706" s="10" t="s">
        <v>2602</v>
      </c>
      <c r="F706" s="10" t="s">
        <v>2603</v>
      </c>
      <c r="G706" s="10" t="s">
        <v>2604</v>
      </c>
      <c r="H706" s="17">
        <v>44308.0</v>
      </c>
      <c r="I706" s="17">
        <v>44315.99930555555</v>
      </c>
      <c r="J706" s="10" t="s">
        <v>33</v>
      </c>
      <c r="K706" s="10" t="s">
        <v>34</v>
      </c>
      <c r="N706" s="10" t="s">
        <v>296</v>
      </c>
      <c r="O706" s="18" t="s">
        <v>2605</v>
      </c>
      <c r="P706" s="10" t="s">
        <v>296</v>
      </c>
      <c r="Q706" s="10">
        <v>4.0</v>
      </c>
      <c r="R706" s="10" t="s">
        <v>296</v>
      </c>
      <c r="S706" s="10">
        <v>1.0</v>
      </c>
      <c r="T706" s="10" t="s">
        <v>296</v>
      </c>
      <c r="U706" s="10">
        <v>2.0</v>
      </c>
      <c r="V706" s="27"/>
      <c r="W706" s="13" t="s">
        <v>78</v>
      </c>
      <c r="X706" s="10" t="s">
        <v>37</v>
      </c>
      <c r="Y706" s="10" t="s">
        <v>0</v>
      </c>
    </row>
    <row r="707">
      <c r="A707" s="10" t="s">
        <v>2606</v>
      </c>
      <c r="B707" s="11">
        <v>44307.64786907408</v>
      </c>
      <c r="C707" s="10" t="s">
        <v>247</v>
      </c>
      <c r="D707" s="10" t="s">
        <v>248</v>
      </c>
      <c r="E707" s="10" t="s">
        <v>2607</v>
      </c>
      <c r="F707" s="10" t="s">
        <v>2608</v>
      </c>
      <c r="G707" s="10" t="s">
        <v>2587</v>
      </c>
      <c r="H707" s="17">
        <v>44315.4375</v>
      </c>
      <c r="I707" s="17">
        <v>44315.47916666667</v>
      </c>
      <c r="J707" s="10" t="s">
        <v>33</v>
      </c>
      <c r="K707" s="10" t="s">
        <v>34</v>
      </c>
      <c r="N707" s="10" t="s">
        <v>296</v>
      </c>
      <c r="O707" s="18" t="s">
        <v>2609</v>
      </c>
      <c r="P707" s="10" t="s">
        <v>296</v>
      </c>
      <c r="Q707" s="10">
        <v>1.0</v>
      </c>
      <c r="R707" s="10" t="s">
        <v>35</v>
      </c>
      <c r="T707" s="10" t="s">
        <v>35</v>
      </c>
      <c r="V707" s="9"/>
      <c r="W707" s="13" t="s">
        <v>78</v>
      </c>
      <c r="X707" s="10" t="s">
        <v>37</v>
      </c>
      <c r="Y707" s="10" t="s">
        <v>0</v>
      </c>
    </row>
    <row r="708">
      <c r="A708" s="10" t="s">
        <v>2610</v>
      </c>
      <c r="B708" s="11">
        <v>44292.382159201385</v>
      </c>
      <c r="C708" s="10" t="s">
        <v>150</v>
      </c>
      <c r="D708" s="10" t="s">
        <v>151</v>
      </c>
      <c r="E708" s="10" t="s">
        <v>152</v>
      </c>
      <c r="F708" s="10" t="s">
        <v>2611</v>
      </c>
      <c r="G708" s="10" t="s">
        <v>2612</v>
      </c>
      <c r="H708" s="24">
        <v>44309.64583333333</v>
      </c>
      <c r="I708" s="24">
        <v>44309.6875</v>
      </c>
      <c r="J708" s="10" t="s">
        <v>43</v>
      </c>
      <c r="K708" s="10" t="s">
        <v>34</v>
      </c>
      <c r="N708" s="10" t="s">
        <v>296</v>
      </c>
      <c r="O708" s="18" t="s">
        <v>2613</v>
      </c>
      <c r="P708" s="10" t="s">
        <v>35</v>
      </c>
      <c r="R708" s="10" t="s">
        <v>296</v>
      </c>
      <c r="S708" s="10">
        <v>1.0</v>
      </c>
      <c r="T708" s="10" t="s">
        <v>35</v>
      </c>
      <c r="V708" s="9"/>
      <c r="W708" s="13" t="s">
        <v>78</v>
      </c>
      <c r="X708" s="10" t="s">
        <v>37</v>
      </c>
      <c r="Y708" s="10" t="s">
        <v>0</v>
      </c>
    </row>
    <row r="709">
      <c r="A709" s="10" t="s">
        <v>2614</v>
      </c>
      <c r="B709" s="11">
        <v>44307.67521083333</v>
      </c>
      <c r="C709" s="10" t="s">
        <v>516</v>
      </c>
      <c r="D709" s="10" t="s">
        <v>511</v>
      </c>
      <c r="E709" s="10" t="s">
        <v>2615</v>
      </c>
      <c r="F709" s="10" t="s">
        <v>2616</v>
      </c>
      <c r="G709" s="10" t="s">
        <v>2617</v>
      </c>
      <c r="H709" s="17">
        <v>44308.0</v>
      </c>
      <c r="I709" s="17">
        <v>44308.5</v>
      </c>
      <c r="J709" s="10" t="s">
        <v>51</v>
      </c>
      <c r="K709" s="10" t="s">
        <v>34</v>
      </c>
      <c r="N709" s="10" t="s">
        <v>35</v>
      </c>
      <c r="V709" s="9"/>
      <c r="W709" s="13" t="s">
        <v>78</v>
      </c>
      <c r="X709" s="10" t="s">
        <v>37</v>
      </c>
      <c r="Y709" s="10" t="s">
        <v>0</v>
      </c>
    </row>
    <row r="710">
      <c r="A710" s="10" t="s">
        <v>2618</v>
      </c>
      <c r="B710" s="11">
        <v>44307.7402584375</v>
      </c>
      <c r="C710" s="10" t="s">
        <v>374</v>
      </c>
      <c r="D710" s="10" t="s">
        <v>375</v>
      </c>
      <c r="E710" s="10" t="s">
        <v>1420</v>
      </c>
      <c r="F710" s="10" t="s">
        <v>2619</v>
      </c>
      <c r="G710" s="10" t="s">
        <v>2620</v>
      </c>
      <c r="H710" s="17">
        <v>44313.375</v>
      </c>
      <c r="I710" s="17">
        <v>44314.66666666667</v>
      </c>
      <c r="J710" s="10" t="s">
        <v>51</v>
      </c>
      <c r="K710" s="10" t="s">
        <v>34</v>
      </c>
      <c r="N710" s="10" t="s">
        <v>35</v>
      </c>
      <c r="V710" s="9"/>
      <c r="W710" s="13" t="s">
        <v>78</v>
      </c>
      <c r="X710" s="10" t="s">
        <v>37</v>
      </c>
      <c r="Y710" s="10" t="s">
        <v>0</v>
      </c>
    </row>
    <row r="711">
      <c r="A711" s="10" t="s">
        <v>2621</v>
      </c>
      <c r="B711" s="11">
        <v>44307.917321319444</v>
      </c>
      <c r="C711" s="10" t="s">
        <v>1035</v>
      </c>
      <c r="D711" s="10" t="s">
        <v>1036</v>
      </c>
      <c r="E711" s="10" t="s">
        <v>2622</v>
      </c>
      <c r="F711" s="10" t="s">
        <v>2623</v>
      </c>
      <c r="G711" s="10" t="s">
        <v>2624</v>
      </c>
      <c r="H711" s="17">
        <v>44309.39583333333</v>
      </c>
      <c r="I711" s="17">
        <v>44309.4375</v>
      </c>
      <c r="J711" s="10" t="s">
        <v>128</v>
      </c>
      <c r="K711" s="10" t="s">
        <v>34</v>
      </c>
      <c r="N711" s="10" t="s">
        <v>35</v>
      </c>
      <c r="V711" s="9"/>
      <c r="W711" s="13" t="s">
        <v>78</v>
      </c>
      <c r="X711" s="10" t="s">
        <v>37</v>
      </c>
      <c r="Y711" s="10" t="s">
        <v>0</v>
      </c>
    </row>
    <row r="712">
      <c r="A712" s="10" t="s">
        <v>2625</v>
      </c>
      <c r="B712" s="11">
        <v>44307.921579166665</v>
      </c>
      <c r="C712" s="10" t="s">
        <v>1035</v>
      </c>
      <c r="D712" s="10" t="s">
        <v>1036</v>
      </c>
      <c r="E712" s="10" t="s">
        <v>2626</v>
      </c>
      <c r="F712" s="10" t="s">
        <v>2627</v>
      </c>
      <c r="G712" s="10" t="s">
        <v>2628</v>
      </c>
      <c r="H712" s="17">
        <v>44311.41666666667</v>
      </c>
      <c r="I712" s="17">
        <v>44311.45833333333</v>
      </c>
      <c r="J712" s="10" t="s">
        <v>128</v>
      </c>
      <c r="K712" s="10" t="s">
        <v>34</v>
      </c>
      <c r="N712" s="10" t="s">
        <v>35</v>
      </c>
      <c r="V712" s="9"/>
      <c r="W712" s="13" t="s">
        <v>78</v>
      </c>
      <c r="X712" s="10" t="s">
        <v>37</v>
      </c>
      <c r="Y712" s="10" t="s">
        <v>0</v>
      </c>
    </row>
    <row r="713">
      <c r="A713" s="10" t="s">
        <v>2629</v>
      </c>
      <c r="B713" s="11">
        <v>44307.92587623843</v>
      </c>
      <c r="C713" s="10" t="s">
        <v>1035</v>
      </c>
      <c r="D713" s="10" t="s">
        <v>1036</v>
      </c>
      <c r="E713" s="10" t="s">
        <v>2630</v>
      </c>
      <c r="F713" s="10" t="s">
        <v>2631</v>
      </c>
      <c r="G713" s="10" t="s">
        <v>2632</v>
      </c>
      <c r="H713" s="17">
        <v>44308.77083333333</v>
      </c>
      <c r="I713" s="17">
        <v>44308.8125</v>
      </c>
      <c r="J713" s="10" t="s">
        <v>128</v>
      </c>
      <c r="K713" s="10" t="s">
        <v>34</v>
      </c>
      <c r="N713" s="10" t="s">
        <v>35</v>
      </c>
      <c r="V713" s="9"/>
      <c r="W713" s="13" t="s">
        <v>78</v>
      </c>
      <c r="X713" s="10" t="s">
        <v>37</v>
      </c>
      <c r="Y713" s="10" t="s">
        <v>0</v>
      </c>
    </row>
    <row r="714">
      <c r="A714" s="10" t="s">
        <v>2633</v>
      </c>
      <c r="B714" s="11">
        <v>44308.507417395835</v>
      </c>
      <c r="C714" s="10" t="s">
        <v>239</v>
      </c>
      <c r="D714" s="10" t="s">
        <v>240</v>
      </c>
      <c r="E714" s="10" t="s">
        <v>2634</v>
      </c>
      <c r="F714" s="10" t="s">
        <v>2635</v>
      </c>
      <c r="G714" s="10" t="s">
        <v>2636</v>
      </c>
      <c r="H714" s="17">
        <v>44309.60416666667</v>
      </c>
      <c r="I714" s="17">
        <v>44309.6875</v>
      </c>
      <c r="J714" s="10" t="s">
        <v>128</v>
      </c>
      <c r="K714" s="10" t="s">
        <v>34</v>
      </c>
      <c r="N714" s="10" t="s">
        <v>35</v>
      </c>
      <c r="V714" s="9"/>
      <c r="W714" s="13" t="s">
        <v>78</v>
      </c>
      <c r="X714" s="10" t="s">
        <v>37</v>
      </c>
      <c r="Y714" s="10" t="s">
        <v>0</v>
      </c>
    </row>
    <row r="715">
      <c r="A715" s="10" t="s">
        <v>2637</v>
      </c>
      <c r="B715" s="11">
        <v>44298.82963143519</v>
      </c>
      <c r="C715" s="10" t="s">
        <v>150</v>
      </c>
      <c r="D715" s="10" t="s">
        <v>151</v>
      </c>
      <c r="E715" s="10" t="s">
        <v>152</v>
      </c>
      <c r="F715" s="10" t="s">
        <v>2638</v>
      </c>
      <c r="G715" s="10" t="s">
        <v>2639</v>
      </c>
      <c r="H715" s="24">
        <v>44309.66666666667</v>
      </c>
      <c r="I715" s="24">
        <v>44309.70833333333</v>
      </c>
      <c r="J715" s="10" t="s">
        <v>43</v>
      </c>
      <c r="K715" s="10" t="s">
        <v>34</v>
      </c>
      <c r="N715" s="10" t="s">
        <v>35</v>
      </c>
      <c r="V715" s="9"/>
      <c r="W715" s="13" t="s">
        <v>78</v>
      </c>
      <c r="X715" s="10" t="s">
        <v>37</v>
      </c>
      <c r="Y715" s="10" t="s">
        <v>0</v>
      </c>
    </row>
    <row r="716">
      <c r="A716" s="10" t="s">
        <v>2640</v>
      </c>
      <c r="B716" s="11">
        <v>44308.54223273148</v>
      </c>
      <c r="C716" s="10" t="s">
        <v>239</v>
      </c>
      <c r="D716" s="10" t="s">
        <v>240</v>
      </c>
      <c r="E716" s="10" t="s">
        <v>2041</v>
      </c>
      <c r="F716" s="10" t="s">
        <v>2641</v>
      </c>
      <c r="G716" s="10" t="s">
        <v>2642</v>
      </c>
      <c r="H716" s="17">
        <v>44316.66666666667</v>
      </c>
      <c r="I716" s="17">
        <v>44316.70833333333</v>
      </c>
      <c r="J716" s="10" t="s">
        <v>128</v>
      </c>
      <c r="K716" s="10" t="s">
        <v>34</v>
      </c>
      <c r="N716" s="10" t="s">
        <v>35</v>
      </c>
      <c r="V716" s="9"/>
      <c r="W716" s="13" t="s">
        <v>78</v>
      </c>
      <c r="X716" s="10" t="s">
        <v>37</v>
      </c>
      <c r="Y716" s="10" t="s">
        <v>0</v>
      </c>
    </row>
    <row r="717">
      <c r="A717" s="10" t="s">
        <v>2643</v>
      </c>
      <c r="B717" s="11">
        <v>44305.57707508102</v>
      </c>
      <c r="C717" s="10" t="s">
        <v>694</v>
      </c>
      <c r="D717" s="10" t="s">
        <v>695</v>
      </c>
      <c r="E717" s="10" t="s">
        <v>696</v>
      </c>
      <c r="F717" s="10" t="s">
        <v>2644</v>
      </c>
      <c r="G717" s="10" t="s">
        <v>2645</v>
      </c>
      <c r="H717" s="16">
        <v>44309.66666666667</v>
      </c>
      <c r="I717" s="16">
        <v>44309.70833333333</v>
      </c>
      <c r="J717" s="10" t="s">
        <v>43</v>
      </c>
      <c r="K717" s="10" t="s">
        <v>34</v>
      </c>
      <c r="N717" s="10" t="s">
        <v>35</v>
      </c>
      <c r="V717" s="9"/>
      <c r="W717" s="13" t="s">
        <v>78</v>
      </c>
      <c r="X717" s="10" t="s">
        <v>37</v>
      </c>
      <c r="Y717" s="10" t="s">
        <v>0</v>
      </c>
    </row>
    <row r="718">
      <c r="A718" s="10" t="s">
        <v>2646</v>
      </c>
      <c r="B718" s="11">
        <v>44292.72605510417</v>
      </c>
      <c r="C718" s="10" t="s">
        <v>381</v>
      </c>
      <c r="D718" s="10" t="s">
        <v>382</v>
      </c>
      <c r="E718" s="10" t="s">
        <v>2045</v>
      </c>
      <c r="F718" s="10" t="s">
        <v>2647</v>
      </c>
      <c r="G718" s="10" t="s">
        <v>2648</v>
      </c>
      <c r="H718" s="24">
        <v>44309.6875</v>
      </c>
      <c r="I718" s="24">
        <v>44309.72916666667</v>
      </c>
      <c r="J718" s="10" t="s">
        <v>43</v>
      </c>
      <c r="K718" s="10" t="s">
        <v>34</v>
      </c>
      <c r="N718" s="10" t="s">
        <v>296</v>
      </c>
      <c r="O718" s="18" t="s">
        <v>2649</v>
      </c>
      <c r="P718" s="10" t="s">
        <v>296</v>
      </c>
      <c r="Q718" s="10">
        <v>1.0</v>
      </c>
      <c r="R718" s="10" t="s">
        <v>35</v>
      </c>
      <c r="T718" s="10" t="s">
        <v>35</v>
      </c>
      <c r="V718" s="9"/>
      <c r="W718" s="13" t="s">
        <v>78</v>
      </c>
      <c r="X718" s="10" t="s">
        <v>37</v>
      </c>
      <c r="Y718" s="10" t="s">
        <v>0</v>
      </c>
    </row>
    <row r="719">
      <c r="A719" s="10" t="s">
        <v>2650</v>
      </c>
      <c r="B719" s="11">
        <v>44299.58797399305</v>
      </c>
      <c r="C719" s="10" t="s">
        <v>539</v>
      </c>
      <c r="D719" s="10" t="s">
        <v>540</v>
      </c>
      <c r="E719" s="10" t="s">
        <v>2266</v>
      </c>
      <c r="F719" s="10" t="s">
        <v>2651</v>
      </c>
      <c r="G719" s="10" t="s">
        <v>2652</v>
      </c>
      <c r="H719" s="24">
        <v>44309.6875</v>
      </c>
      <c r="I719" s="24">
        <v>44309.72916666667</v>
      </c>
      <c r="J719" s="10" t="s">
        <v>43</v>
      </c>
      <c r="K719" s="10" t="s">
        <v>34</v>
      </c>
      <c r="N719" s="10" t="s">
        <v>296</v>
      </c>
      <c r="O719" s="18" t="s">
        <v>2653</v>
      </c>
      <c r="P719" s="10" t="s">
        <v>35</v>
      </c>
      <c r="R719" s="10" t="s">
        <v>296</v>
      </c>
      <c r="S719" s="10">
        <v>1.0</v>
      </c>
      <c r="T719" s="10" t="s">
        <v>35</v>
      </c>
      <c r="V719" s="9"/>
      <c r="W719" s="13" t="s">
        <v>78</v>
      </c>
      <c r="X719" s="10" t="s">
        <v>37</v>
      </c>
      <c r="Y719" s="10" t="s">
        <v>0</v>
      </c>
    </row>
    <row r="720">
      <c r="A720" s="10" t="s">
        <v>2654</v>
      </c>
      <c r="B720" s="11">
        <v>44308.93899357639</v>
      </c>
      <c r="C720" s="10" t="s">
        <v>381</v>
      </c>
      <c r="D720" s="10" t="s">
        <v>382</v>
      </c>
      <c r="E720" s="10" t="s">
        <v>1487</v>
      </c>
      <c r="F720" s="10" t="s">
        <v>2655</v>
      </c>
      <c r="G720" s="10" t="s">
        <v>2656</v>
      </c>
      <c r="H720" s="17">
        <v>44323.6875</v>
      </c>
      <c r="I720" s="17">
        <v>44323.729166666664</v>
      </c>
      <c r="J720" s="10" t="s">
        <v>128</v>
      </c>
      <c r="K720" s="10" t="s">
        <v>34</v>
      </c>
      <c r="N720" s="10" t="s">
        <v>35</v>
      </c>
      <c r="V720" s="9"/>
      <c r="W720" s="13" t="s">
        <v>78</v>
      </c>
      <c r="X720" s="10" t="s">
        <v>37</v>
      </c>
      <c r="Y720" s="10" t="s">
        <v>0</v>
      </c>
    </row>
    <row r="721">
      <c r="A721" s="10" t="s">
        <v>2657</v>
      </c>
      <c r="B721" s="11">
        <v>44308.764418125</v>
      </c>
      <c r="C721" s="10" t="s">
        <v>2658</v>
      </c>
      <c r="D721" s="10" t="s">
        <v>97</v>
      </c>
      <c r="E721" s="10" t="s">
        <v>98</v>
      </c>
      <c r="F721" s="10" t="s">
        <v>2659</v>
      </c>
      <c r="G721" s="10" t="s">
        <v>2660</v>
      </c>
      <c r="H721" s="16">
        <v>44309.6875</v>
      </c>
      <c r="I721" s="16">
        <v>44309.75</v>
      </c>
      <c r="J721" s="10" t="s">
        <v>43</v>
      </c>
      <c r="K721" s="10" t="s">
        <v>34</v>
      </c>
      <c r="N721" s="10" t="s">
        <v>296</v>
      </c>
      <c r="O721" s="18" t="s">
        <v>2661</v>
      </c>
      <c r="P721" s="10" t="s">
        <v>296</v>
      </c>
      <c r="Q721" s="10">
        <v>2.0</v>
      </c>
      <c r="R721" s="10" t="s">
        <v>35</v>
      </c>
      <c r="T721" s="10" t="s">
        <v>35</v>
      </c>
      <c r="V721" s="9"/>
      <c r="W721" s="13" t="s">
        <v>78</v>
      </c>
      <c r="X721" s="10" t="s">
        <v>37</v>
      </c>
      <c r="Y721" s="10" t="s">
        <v>0</v>
      </c>
    </row>
    <row r="722">
      <c r="A722" s="10" t="s">
        <v>2662</v>
      </c>
      <c r="B722" s="11">
        <v>44309.35295731481</v>
      </c>
      <c r="C722" s="10" t="s">
        <v>610</v>
      </c>
      <c r="D722" s="10" t="s">
        <v>611</v>
      </c>
      <c r="E722" s="10" t="s">
        <v>612</v>
      </c>
      <c r="F722" s="10" t="s">
        <v>2663</v>
      </c>
      <c r="G722" s="10" t="s">
        <v>2664</v>
      </c>
      <c r="H722" s="17">
        <v>44310.64583333333</v>
      </c>
      <c r="I722" s="17">
        <v>44310.6875</v>
      </c>
      <c r="J722" s="10" t="s">
        <v>128</v>
      </c>
      <c r="K722" s="10" t="s">
        <v>34</v>
      </c>
      <c r="N722" s="10" t="s">
        <v>35</v>
      </c>
      <c r="V722" s="9"/>
      <c r="W722" s="13" t="s">
        <v>78</v>
      </c>
      <c r="X722" s="10" t="s">
        <v>37</v>
      </c>
      <c r="Y722" s="10" t="s">
        <v>0</v>
      </c>
    </row>
    <row r="723">
      <c r="A723" s="10" t="s">
        <v>2665</v>
      </c>
      <c r="B723" s="11">
        <v>44309.44247489583</v>
      </c>
      <c r="C723" s="10" t="s">
        <v>96</v>
      </c>
      <c r="D723" s="10" t="s">
        <v>97</v>
      </c>
      <c r="E723" s="10" t="s">
        <v>2666</v>
      </c>
      <c r="F723" s="10" t="s">
        <v>2667</v>
      </c>
      <c r="G723" s="10" t="s">
        <v>2668</v>
      </c>
      <c r="H723" s="16">
        <v>44309.6875</v>
      </c>
      <c r="I723" s="16">
        <v>44309.75</v>
      </c>
      <c r="J723" s="10" t="s">
        <v>43</v>
      </c>
      <c r="K723" s="10" t="s">
        <v>34</v>
      </c>
      <c r="N723" s="10" t="s">
        <v>296</v>
      </c>
      <c r="O723" s="18" t="s">
        <v>2669</v>
      </c>
      <c r="P723" s="10" t="s">
        <v>296</v>
      </c>
      <c r="Q723" s="10">
        <v>2.0</v>
      </c>
      <c r="R723" s="10" t="s">
        <v>35</v>
      </c>
      <c r="T723" s="10" t="s">
        <v>35</v>
      </c>
      <c r="V723" s="9"/>
      <c r="W723" s="13" t="s">
        <v>78</v>
      </c>
      <c r="X723" s="10" t="s">
        <v>37</v>
      </c>
      <c r="Y723" s="10" t="s">
        <v>0</v>
      </c>
    </row>
    <row r="724">
      <c r="A724" s="10" t="s">
        <v>2670</v>
      </c>
      <c r="B724" s="11">
        <v>44305.70844850694</v>
      </c>
      <c r="C724" s="10" t="s">
        <v>2671</v>
      </c>
      <c r="D724" s="10" t="s">
        <v>444</v>
      </c>
      <c r="E724" s="10" t="s">
        <v>2672</v>
      </c>
      <c r="F724" s="10" t="s">
        <v>2673</v>
      </c>
      <c r="G724" s="10" t="s">
        <v>2674</v>
      </c>
      <c r="H724" s="16">
        <v>44309.72916666667</v>
      </c>
      <c r="I724" s="16">
        <v>44309.8125</v>
      </c>
      <c r="J724" s="10" t="s">
        <v>43</v>
      </c>
      <c r="K724" s="10" t="s">
        <v>34</v>
      </c>
      <c r="N724" s="10" t="s">
        <v>35</v>
      </c>
      <c r="V724" s="9"/>
      <c r="W724" s="13" t="s">
        <v>78</v>
      </c>
      <c r="X724" s="10" t="s">
        <v>37</v>
      </c>
      <c r="Y724" s="10" t="s">
        <v>0</v>
      </c>
    </row>
    <row r="725">
      <c r="A725" s="10" t="s">
        <v>2675</v>
      </c>
      <c r="B725" s="11">
        <v>44309.55632832176</v>
      </c>
      <c r="C725" s="10" t="s">
        <v>80</v>
      </c>
      <c r="D725" s="10" t="s">
        <v>81</v>
      </c>
      <c r="E725" s="10" t="s">
        <v>2676</v>
      </c>
      <c r="F725" s="10" t="s">
        <v>2677</v>
      </c>
      <c r="G725" s="10" t="s">
        <v>2678</v>
      </c>
      <c r="H725" s="16">
        <v>44310.375</v>
      </c>
      <c r="I725" s="16">
        <v>44310.41666666667</v>
      </c>
      <c r="J725" s="10" t="s">
        <v>43</v>
      </c>
      <c r="K725" s="10" t="s">
        <v>34</v>
      </c>
      <c r="N725" s="10" t="s">
        <v>296</v>
      </c>
      <c r="O725" s="18" t="s">
        <v>2679</v>
      </c>
      <c r="P725" s="10" t="s">
        <v>296</v>
      </c>
      <c r="Q725" s="10">
        <v>1.0</v>
      </c>
      <c r="R725" s="10" t="s">
        <v>35</v>
      </c>
      <c r="T725" s="10" t="s">
        <v>296</v>
      </c>
      <c r="U725" s="10">
        <v>1.0</v>
      </c>
      <c r="V725" s="27"/>
      <c r="W725" s="13" t="s">
        <v>78</v>
      </c>
      <c r="X725" s="10" t="s">
        <v>37</v>
      </c>
      <c r="Y725" s="10" t="s">
        <v>0</v>
      </c>
    </row>
    <row r="726">
      <c r="A726" s="10" t="s">
        <v>2680</v>
      </c>
      <c r="B726" s="11">
        <v>44304.81230333333</v>
      </c>
      <c r="C726" s="10" t="s">
        <v>516</v>
      </c>
      <c r="D726" s="10" t="s">
        <v>511</v>
      </c>
      <c r="E726" s="10" t="s">
        <v>1909</v>
      </c>
      <c r="F726" s="10" t="s">
        <v>2681</v>
      </c>
      <c r="G726" s="10" t="s">
        <v>2682</v>
      </c>
      <c r="H726" s="16">
        <v>44310.4375</v>
      </c>
      <c r="I726" s="16">
        <v>44310.52083333333</v>
      </c>
      <c r="J726" s="10" t="s">
        <v>43</v>
      </c>
      <c r="K726" s="10" t="s">
        <v>34</v>
      </c>
      <c r="N726" s="10" t="s">
        <v>35</v>
      </c>
      <c r="V726" s="9"/>
      <c r="W726" s="13" t="s">
        <v>78</v>
      </c>
      <c r="X726" s="10" t="s">
        <v>37</v>
      </c>
      <c r="Y726" s="10" t="s">
        <v>0</v>
      </c>
    </row>
    <row r="727">
      <c r="A727" s="10" t="s">
        <v>2683</v>
      </c>
      <c r="B727" s="11">
        <v>44309.69769945602</v>
      </c>
      <c r="C727" s="10" t="s">
        <v>694</v>
      </c>
      <c r="D727" s="10" t="s">
        <v>695</v>
      </c>
      <c r="E727" s="10" t="s">
        <v>696</v>
      </c>
      <c r="F727" s="10" t="s">
        <v>2684</v>
      </c>
      <c r="G727" s="10" t="s">
        <v>2685</v>
      </c>
      <c r="H727" s="17">
        <v>44310.54166666667</v>
      </c>
      <c r="I727" s="17">
        <v>44310.58333333333</v>
      </c>
      <c r="J727" s="10" t="s">
        <v>73</v>
      </c>
      <c r="K727" s="10" t="s">
        <v>34</v>
      </c>
      <c r="N727" s="10" t="s">
        <v>35</v>
      </c>
      <c r="V727" s="9"/>
      <c r="W727" s="13" t="s">
        <v>78</v>
      </c>
      <c r="X727" s="10" t="s">
        <v>37</v>
      </c>
      <c r="Y727" s="10" t="s">
        <v>0</v>
      </c>
    </row>
    <row r="728">
      <c r="A728" s="10" t="s">
        <v>2686</v>
      </c>
      <c r="B728" s="11">
        <v>44326.796519421296</v>
      </c>
      <c r="C728" s="10" t="s">
        <v>46</v>
      </c>
      <c r="D728" s="10" t="s">
        <v>47</v>
      </c>
      <c r="E728" s="10" t="s">
        <v>233</v>
      </c>
      <c r="F728" s="10" t="s">
        <v>2687</v>
      </c>
      <c r="G728" s="10" t="s">
        <v>2688</v>
      </c>
      <c r="H728" s="16">
        <v>44310.66666666667</v>
      </c>
      <c r="I728" s="16">
        <v>44310.70833333333</v>
      </c>
      <c r="J728" s="10" t="s">
        <v>43</v>
      </c>
      <c r="K728" s="10" t="s">
        <v>34</v>
      </c>
      <c r="N728" s="10" t="s">
        <v>35</v>
      </c>
      <c r="V728" s="9"/>
      <c r="W728" s="13" t="s">
        <v>78</v>
      </c>
      <c r="X728" s="10" t="s">
        <v>237</v>
      </c>
      <c r="Y728" s="10" t="s">
        <v>0</v>
      </c>
    </row>
    <row r="729">
      <c r="A729" s="10" t="s">
        <v>2689</v>
      </c>
      <c r="B729" s="11">
        <v>44299.60038554398</v>
      </c>
      <c r="C729" s="10" t="s">
        <v>539</v>
      </c>
      <c r="D729" s="10" t="s">
        <v>540</v>
      </c>
      <c r="E729" s="10" t="s">
        <v>2266</v>
      </c>
      <c r="F729" s="10" t="s">
        <v>2690</v>
      </c>
      <c r="G729" s="10" t="s">
        <v>2691</v>
      </c>
      <c r="H729" s="24">
        <v>44310.6875</v>
      </c>
      <c r="I729" s="24">
        <v>44310.72916666667</v>
      </c>
      <c r="J729" s="10" t="s">
        <v>43</v>
      </c>
      <c r="K729" s="10" t="s">
        <v>34</v>
      </c>
      <c r="N729" s="10" t="s">
        <v>296</v>
      </c>
      <c r="O729" s="18" t="s">
        <v>2692</v>
      </c>
      <c r="P729" s="10" t="s">
        <v>296</v>
      </c>
      <c r="Q729" s="10">
        <v>1.0</v>
      </c>
      <c r="R729" s="10" t="s">
        <v>35</v>
      </c>
      <c r="T729" s="10" t="s">
        <v>35</v>
      </c>
      <c r="V729" s="9"/>
      <c r="W729" s="13" t="s">
        <v>78</v>
      </c>
      <c r="X729" s="10" t="s">
        <v>37</v>
      </c>
      <c r="Y729" s="10" t="s">
        <v>0</v>
      </c>
    </row>
    <row r="730">
      <c r="A730" s="10" t="s">
        <v>2693</v>
      </c>
      <c r="B730" s="11">
        <v>44312.27718563657</v>
      </c>
      <c r="C730" s="10" t="s">
        <v>80</v>
      </c>
      <c r="D730" s="10" t="s">
        <v>81</v>
      </c>
      <c r="E730" s="10" t="s">
        <v>2694</v>
      </c>
      <c r="F730" s="10" t="s">
        <v>2695</v>
      </c>
      <c r="G730" s="10" t="s">
        <v>2696</v>
      </c>
      <c r="H730" s="16">
        <v>44312.1875</v>
      </c>
      <c r="I730" s="16">
        <v>44312.22916666667</v>
      </c>
      <c r="J730" s="10" t="s">
        <v>43</v>
      </c>
      <c r="K730" s="10" t="s">
        <v>34</v>
      </c>
      <c r="N730" s="10" t="s">
        <v>296</v>
      </c>
      <c r="O730" s="18" t="s">
        <v>2697</v>
      </c>
      <c r="P730" s="10" t="s">
        <v>296</v>
      </c>
      <c r="Q730" s="10">
        <v>1.0</v>
      </c>
      <c r="R730" s="10" t="s">
        <v>35</v>
      </c>
      <c r="T730" s="10" t="s">
        <v>35</v>
      </c>
      <c r="V730" s="9"/>
      <c r="W730" s="13" t="s">
        <v>78</v>
      </c>
      <c r="X730" s="10" t="s">
        <v>37</v>
      </c>
      <c r="Y730" s="10" t="s">
        <v>0</v>
      </c>
    </row>
    <row r="731">
      <c r="A731" s="10" t="s">
        <v>2698</v>
      </c>
      <c r="B731" s="11">
        <v>44309.84537789352</v>
      </c>
      <c r="C731" s="10" t="s">
        <v>491</v>
      </c>
      <c r="D731" s="10" t="s">
        <v>492</v>
      </c>
      <c r="E731" s="10" t="s">
        <v>2699</v>
      </c>
      <c r="F731" s="10" t="s">
        <v>2700</v>
      </c>
      <c r="G731" s="10" t="s">
        <v>2701</v>
      </c>
      <c r="H731" s="17">
        <v>44316.79166666667</v>
      </c>
      <c r="I731" s="17">
        <v>44316.85416666667</v>
      </c>
      <c r="J731" s="10" t="s">
        <v>128</v>
      </c>
      <c r="K731" s="10" t="s">
        <v>34</v>
      </c>
      <c r="N731" s="10" t="s">
        <v>35</v>
      </c>
      <c r="V731" s="9"/>
      <c r="W731" s="13" t="s">
        <v>78</v>
      </c>
      <c r="X731" s="10" t="s">
        <v>37</v>
      </c>
      <c r="Y731" s="10" t="s">
        <v>0</v>
      </c>
    </row>
    <row r="732">
      <c r="A732" s="10" t="s">
        <v>2702</v>
      </c>
      <c r="B732" s="11">
        <v>44309.78606528935</v>
      </c>
      <c r="C732" s="10" t="s">
        <v>28</v>
      </c>
      <c r="D732" s="10" t="s">
        <v>29</v>
      </c>
      <c r="E732" s="10" t="s">
        <v>63</v>
      </c>
      <c r="F732" s="10" t="s">
        <v>2703</v>
      </c>
      <c r="G732" s="10" t="s">
        <v>2704</v>
      </c>
      <c r="H732" s="24">
        <v>44313.6875</v>
      </c>
      <c r="I732" s="24">
        <v>44313.77083333333</v>
      </c>
      <c r="J732" s="10" t="s">
        <v>43</v>
      </c>
      <c r="K732" s="10" t="s">
        <v>34</v>
      </c>
      <c r="N732" s="10" t="s">
        <v>35</v>
      </c>
      <c r="V732" s="9"/>
      <c r="W732" s="13" t="s">
        <v>78</v>
      </c>
      <c r="X732" s="10" t="s">
        <v>37</v>
      </c>
      <c r="Y732" s="10" t="s">
        <v>0</v>
      </c>
    </row>
    <row r="733">
      <c r="A733" s="10" t="s">
        <v>2705</v>
      </c>
      <c r="B733" s="11">
        <v>44311.46707462963</v>
      </c>
      <c r="C733" s="10" t="s">
        <v>137</v>
      </c>
      <c r="D733" s="10" t="s">
        <v>138</v>
      </c>
      <c r="E733" s="10" t="s">
        <v>1376</v>
      </c>
      <c r="F733" s="10" t="s">
        <v>2706</v>
      </c>
      <c r="G733" s="10" t="s">
        <v>2707</v>
      </c>
      <c r="H733" s="17">
        <v>44317.5625</v>
      </c>
      <c r="I733" s="17">
        <v>44317.64583333333</v>
      </c>
      <c r="J733" s="10" t="s">
        <v>128</v>
      </c>
      <c r="K733" s="10" t="s">
        <v>34</v>
      </c>
      <c r="N733" s="10" t="s">
        <v>35</v>
      </c>
      <c r="V733" s="9"/>
      <c r="W733" s="13" t="s">
        <v>78</v>
      </c>
      <c r="X733" s="10" t="s">
        <v>37</v>
      </c>
      <c r="Y733" s="10" t="s">
        <v>0</v>
      </c>
    </row>
    <row r="734">
      <c r="A734" s="10" t="s">
        <v>2708</v>
      </c>
      <c r="B734" s="11">
        <v>44309.73632413194</v>
      </c>
      <c r="C734" s="10" t="s">
        <v>418</v>
      </c>
      <c r="D734" s="10" t="s">
        <v>419</v>
      </c>
      <c r="E734" s="10" t="s">
        <v>2709</v>
      </c>
      <c r="F734" s="10" t="s">
        <v>2710</v>
      </c>
      <c r="G734" s="10" t="s">
        <v>2711</v>
      </c>
      <c r="H734" s="24">
        <v>44314.22916666667</v>
      </c>
      <c r="I734" s="24">
        <v>44314.29166666667</v>
      </c>
      <c r="J734" s="10" t="s">
        <v>43</v>
      </c>
      <c r="K734" s="10" t="s">
        <v>34</v>
      </c>
      <c r="N734" s="10" t="s">
        <v>296</v>
      </c>
      <c r="O734" s="18" t="s">
        <v>2712</v>
      </c>
      <c r="P734" s="10" t="s">
        <v>296</v>
      </c>
      <c r="Q734" s="10">
        <v>1.0</v>
      </c>
      <c r="R734" s="10" t="s">
        <v>35</v>
      </c>
      <c r="T734" s="10" t="s">
        <v>35</v>
      </c>
      <c r="V734" s="9"/>
      <c r="W734" s="13" t="s">
        <v>78</v>
      </c>
      <c r="X734" s="10" t="s">
        <v>37</v>
      </c>
      <c r="Y734" s="10" t="s">
        <v>0</v>
      </c>
    </row>
    <row r="735">
      <c r="A735" s="10" t="s">
        <v>2713</v>
      </c>
      <c r="B735" s="11">
        <v>44311.6298822338</v>
      </c>
      <c r="C735" s="10" t="s">
        <v>1583</v>
      </c>
      <c r="D735" s="10" t="s">
        <v>505</v>
      </c>
      <c r="E735" s="10" t="s">
        <v>2105</v>
      </c>
      <c r="F735" s="10" t="s">
        <v>2714</v>
      </c>
      <c r="G735" s="10" t="s">
        <v>2715</v>
      </c>
      <c r="H735" s="17">
        <v>44316.70833333333</v>
      </c>
      <c r="I735" s="17">
        <v>44316.79166666667</v>
      </c>
      <c r="J735" s="10" t="s">
        <v>128</v>
      </c>
      <c r="K735" s="10" t="s">
        <v>34</v>
      </c>
      <c r="N735" s="10" t="s">
        <v>35</v>
      </c>
      <c r="V735" s="9"/>
      <c r="W735" s="13" t="s">
        <v>78</v>
      </c>
      <c r="X735" s="10" t="s">
        <v>37</v>
      </c>
      <c r="Y735" s="10" t="s">
        <v>0</v>
      </c>
    </row>
    <row r="736">
      <c r="A736" s="10" t="s">
        <v>2716</v>
      </c>
      <c r="B736" s="11">
        <v>44310.78159431713</v>
      </c>
      <c r="C736" s="10" t="s">
        <v>247</v>
      </c>
      <c r="D736" s="10" t="s">
        <v>248</v>
      </c>
      <c r="E736" s="10" t="s">
        <v>2717</v>
      </c>
      <c r="F736" s="10" t="s">
        <v>2718</v>
      </c>
      <c r="G736" s="10" t="s">
        <v>2719</v>
      </c>
      <c r="H736" s="24">
        <v>44315.6875</v>
      </c>
      <c r="I736" s="24">
        <v>44315.72916666667</v>
      </c>
      <c r="J736" s="10" t="s">
        <v>43</v>
      </c>
      <c r="K736" s="10" t="s">
        <v>34</v>
      </c>
      <c r="N736" s="10" t="s">
        <v>296</v>
      </c>
      <c r="O736" s="18" t="s">
        <v>2720</v>
      </c>
      <c r="P736" s="10" t="s">
        <v>296</v>
      </c>
      <c r="Q736" s="10">
        <v>1.0</v>
      </c>
      <c r="R736" s="10" t="s">
        <v>35</v>
      </c>
      <c r="T736" s="10" t="s">
        <v>35</v>
      </c>
      <c r="V736" s="9"/>
      <c r="W736" s="13" t="s">
        <v>78</v>
      </c>
      <c r="X736" s="10" t="s">
        <v>37</v>
      </c>
      <c r="Y736" s="10" t="s">
        <v>0</v>
      </c>
    </row>
    <row r="737">
      <c r="A737" s="10" t="s">
        <v>2721</v>
      </c>
      <c r="B737" s="11">
        <v>44312.283681608795</v>
      </c>
      <c r="C737" s="10" t="s">
        <v>80</v>
      </c>
      <c r="D737" s="10" t="s">
        <v>81</v>
      </c>
      <c r="E737" s="10" t="s">
        <v>2676</v>
      </c>
      <c r="F737" s="10" t="s">
        <v>2722</v>
      </c>
      <c r="G737" s="10" t="s">
        <v>2723</v>
      </c>
      <c r="H737" s="16">
        <v>44315.6875</v>
      </c>
      <c r="I737" s="16">
        <v>44315.6875</v>
      </c>
      <c r="J737" s="10" t="s">
        <v>43</v>
      </c>
      <c r="K737" s="10" t="s">
        <v>34</v>
      </c>
      <c r="N737" s="10" t="s">
        <v>296</v>
      </c>
      <c r="O737" s="18" t="s">
        <v>2724</v>
      </c>
      <c r="P737" s="10" t="s">
        <v>296</v>
      </c>
      <c r="Q737" s="10">
        <v>1.0</v>
      </c>
      <c r="R737" s="10" t="s">
        <v>35</v>
      </c>
      <c r="T737" s="10" t="s">
        <v>35</v>
      </c>
      <c r="V737" s="9"/>
      <c r="W737" s="13" t="s">
        <v>78</v>
      </c>
      <c r="X737" s="10" t="s">
        <v>37</v>
      </c>
      <c r="Y737" s="10" t="s">
        <v>0</v>
      </c>
    </row>
    <row r="738">
      <c r="A738" s="10" t="s">
        <v>2725</v>
      </c>
      <c r="B738" s="11">
        <v>44285.91908107639</v>
      </c>
      <c r="C738" s="10" t="s">
        <v>387</v>
      </c>
      <c r="D738" s="10" t="s">
        <v>388</v>
      </c>
      <c r="E738" s="10" t="s">
        <v>2726</v>
      </c>
      <c r="F738" s="10" t="s">
        <v>2727</v>
      </c>
      <c r="G738" s="10" t="s">
        <v>2728</v>
      </c>
      <c r="H738" s="24">
        <v>44315.70833333333</v>
      </c>
      <c r="I738" s="24">
        <v>44315.79166666667</v>
      </c>
      <c r="J738" s="10" t="s">
        <v>43</v>
      </c>
      <c r="K738" s="10" t="s">
        <v>34</v>
      </c>
      <c r="N738" s="10" t="s">
        <v>35</v>
      </c>
      <c r="V738" s="9"/>
      <c r="W738" s="13" t="s">
        <v>78</v>
      </c>
      <c r="X738" s="10" t="s">
        <v>37</v>
      </c>
      <c r="Y738" s="10" t="s">
        <v>0</v>
      </c>
    </row>
    <row r="739">
      <c r="A739" s="10" t="s">
        <v>2729</v>
      </c>
      <c r="B739" s="11">
        <v>44312.49159534722</v>
      </c>
      <c r="C739" s="10" t="s">
        <v>330</v>
      </c>
      <c r="D739" s="10" t="s">
        <v>331</v>
      </c>
      <c r="E739" s="10" t="s">
        <v>2730</v>
      </c>
      <c r="F739" s="10" t="s">
        <v>2731</v>
      </c>
      <c r="G739" s="10" t="s">
        <v>2732</v>
      </c>
      <c r="H739" s="17">
        <v>44314.77083333333</v>
      </c>
      <c r="I739" s="17">
        <v>44314.85416666667</v>
      </c>
      <c r="J739" s="10" t="s">
        <v>128</v>
      </c>
      <c r="K739" s="10" t="s">
        <v>34</v>
      </c>
      <c r="N739" s="10" t="s">
        <v>35</v>
      </c>
      <c r="V739" s="9"/>
      <c r="W739" s="13" t="s">
        <v>78</v>
      </c>
      <c r="X739" s="10" t="s">
        <v>37</v>
      </c>
      <c r="Y739" s="10" t="s">
        <v>0</v>
      </c>
    </row>
    <row r="740">
      <c r="A740" s="10" t="s">
        <v>2733</v>
      </c>
      <c r="B740" s="11">
        <v>44312.49290038194</v>
      </c>
      <c r="C740" s="10" t="s">
        <v>330</v>
      </c>
      <c r="D740" s="10" t="s">
        <v>331</v>
      </c>
      <c r="E740" s="10" t="s">
        <v>2730</v>
      </c>
      <c r="F740" s="10" t="s">
        <v>2731</v>
      </c>
      <c r="G740" s="10" t="s">
        <v>2732</v>
      </c>
      <c r="H740" s="17">
        <v>44321.77083333333</v>
      </c>
      <c r="I740" s="17">
        <v>44321.85416666667</v>
      </c>
      <c r="J740" s="10" t="s">
        <v>128</v>
      </c>
      <c r="K740" s="10" t="s">
        <v>34</v>
      </c>
      <c r="N740" s="10" t="s">
        <v>35</v>
      </c>
      <c r="V740" s="9"/>
      <c r="W740" s="13" t="s">
        <v>78</v>
      </c>
      <c r="X740" s="10" t="s">
        <v>37</v>
      </c>
      <c r="Y740" s="10" t="s">
        <v>0</v>
      </c>
    </row>
    <row r="741">
      <c r="A741" s="10" t="s">
        <v>2734</v>
      </c>
      <c r="B741" s="11">
        <v>44312.49459537037</v>
      </c>
      <c r="C741" s="10" t="s">
        <v>330</v>
      </c>
      <c r="D741" s="10" t="s">
        <v>331</v>
      </c>
      <c r="E741" s="10" t="s">
        <v>2730</v>
      </c>
      <c r="F741" s="10" t="s">
        <v>2731</v>
      </c>
      <c r="G741" s="10" t="s">
        <v>2732</v>
      </c>
      <c r="H741" s="17">
        <v>44328.77083333333</v>
      </c>
      <c r="I741" s="17">
        <v>44328.85416666667</v>
      </c>
      <c r="J741" s="10" t="s">
        <v>128</v>
      </c>
      <c r="K741" s="10" t="s">
        <v>34</v>
      </c>
      <c r="N741" s="10" t="s">
        <v>35</v>
      </c>
      <c r="V741" s="9"/>
      <c r="W741" s="13" t="s">
        <v>78</v>
      </c>
      <c r="X741" s="10" t="s">
        <v>37</v>
      </c>
      <c r="Y741" s="10" t="s">
        <v>0</v>
      </c>
    </row>
    <row r="742">
      <c r="A742" s="10" t="s">
        <v>2735</v>
      </c>
      <c r="B742" s="11">
        <v>44312.49560206018</v>
      </c>
      <c r="C742" s="10" t="s">
        <v>330</v>
      </c>
      <c r="D742" s="10" t="s">
        <v>331</v>
      </c>
      <c r="E742" s="10" t="s">
        <v>2730</v>
      </c>
      <c r="F742" s="10" t="s">
        <v>2731</v>
      </c>
      <c r="G742" s="10" t="s">
        <v>2732</v>
      </c>
      <c r="H742" s="17">
        <v>44335.77083333333</v>
      </c>
      <c r="I742" s="17">
        <v>44335.85416666667</v>
      </c>
      <c r="J742" s="10" t="s">
        <v>128</v>
      </c>
      <c r="K742" s="10" t="s">
        <v>34</v>
      </c>
      <c r="N742" s="10" t="s">
        <v>35</v>
      </c>
      <c r="V742" s="9"/>
      <c r="W742" s="13" t="s">
        <v>78</v>
      </c>
      <c r="X742" s="10" t="s">
        <v>37</v>
      </c>
      <c r="Y742" s="10" t="s">
        <v>0</v>
      </c>
    </row>
    <row r="743">
      <c r="A743" s="10" t="s">
        <v>2736</v>
      </c>
      <c r="B743" s="11">
        <v>44312.49973170139</v>
      </c>
      <c r="C743" s="10" t="s">
        <v>330</v>
      </c>
      <c r="D743" s="10" t="s">
        <v>331</v>
      </c>
      <c r="E743" s="10" t="s">
        <v>2730</v>
      </c>
      <c r="F743" s="10" t="s">
        <v>2737</v>
      </c>
      <c r="G743" s="10" t="s">
        <v>2738</v>
      </c>
      <c r="H743" s="17">
        <v>44317.77083333333</v>
      </c>
      <c r="I743" s="17">
        <v>44317.85416666667</v>
      </c>
      <c r="J743" s="10" t="s">
        <v>128</v>
      </c>
      <c r="K743" s="10" t="s">
        <v>34</v>
      </c>
      <c r="N743" s="10" t="s">
        <v>35</v>
      </c>
      <c r="V743" s="9"/>
      <c r="W743" s="13" t="s">
        <v>78</v>
      </c>
      <c r="X743" s="10" t="s">
        <v>37</v>
      </c>
      <c r="Y743" s="10" t="s">
        <v>0</v>
      </c>
    </row>
    <row r="744">
      <c r="A744" s="10" t="s">
        <v>2739</v>
      </c>
      <c r="B744" s="11">
        <v>44312.50120003472</v>
      </c>
      <c r="C744" s="10" t="s">
        <v>330</v>
      </c>
      <c r="D744" s="10" t="s">
        <v>331</v>
      </c>
      <c r="E744" s="10" t="s">
        <v>2730</v>
      </c>
      <c r="F744" s="10" t="s">
        <v>2740</v>
      </c>
      <c r="G744" s="10" t="s">
        <v>2738</v>
      </c>
      <c r="H744" s="17">
        <v>44319.77083333333</v>
      </c>
      <c r="I744" s="17">
        <v>44319.85416666667</v>
      </c>
      <c r="J744" s="10" t="s">
        <v>128</v>
      </c>
      <c r="K744" s="10" t="s">
        <v>34</v>
      </c>
      <c r="N744" s="10" t="s">
        <v>35</v>
      </c>
      <c r="V744" s="9"/>
      <c r="W744" s="13" t="s">
        <v>78</v>
      </c>
      <c r="X744" s="10" t="s">
        <v>37</v>
      </c>
      <c r="Y744" s="10" t="s">
        <v>0</v>
      </c>
    </row>
    <row r="745">
      <c r="A745" s="10" t="s">
        <v>2741</v>
      </c>
      <c r="B745" s="11">
        <v>44312.50231277778</v>
      </c>
      <c r="C745" s="10" t="s">
        <v>330</v>
      </c>
      <c r="D745" s="10" t="s">
        <v>331</v>
      </c>
      <c r="E745" s="10" t="s">
        <v>2730</v>
      </c>
      <c r="F745" s="10" t="s">
        <v>2740</v>
      </c>
      <c r="G745" s="10" t="s">
        <v>2738</v>
      </c>
      <c r="H745" s="17">
        <v>44324.77083333333</v>
      </c>
      <c r="I745" s="17">
        <v>44324.85416666667</v>
      </c>
      <c r="J745" s="10" t="s">
        <v>128</v>
      </c>
      <c r="K745" s="10" t="s">
        <v>34</v>
      </c>
      <c r="N745" s="10" t="s">
        <v>35</v>
      </c>
      <c r="V745" s="9"/>
      <c r="W745" s="13" t="s">
        <v>78</v>
      </c>
      <c r="X745" s="10" t="s">
        <v>37</v>
      </c>
      <c r="Y745" s="10" t="s">
        <v>0</v>
      </c>
    </row>
    <row r="746">
      <c r="A746" s="10" t="s">
        <v>2742</v>
      </c>
      <c r="B746" s="11">
        <v>44312.503597939816</v>
      </c>
      <c r="C746" s="10" t="s">
        <v>330</v>
      </c>
      <c r="D746" s="10" t="s">
        <v>331</v>
      </c>
      <c r="E746" s="10" t="s">
        <v>2730</v>
      </c>
      <c r="F746" s="10" t="s">
        <v>2737</v>
      </c>
      <c r="G746" s="10" t="s">
        <v>2738</v>
      </c>
      <c r="H746" s="17">
        <v>44326.77083333333</v>
      </c>
      <c r="I746" s="17">
        <v>44326.85416666667</v>
      </c>
      <c r="J746" s="10" t="s">
        <v>128</v>
      </c>
      <c r="K746" s="10" t="s">
        <v>34</v>
      </c>
      <c r="N746" s="10" t="s">
        <v>35</v>
      </c>
      <c r="V746" s="9"/>
      <c r="W746" s="13" t="s">
        <v>78</v>
      </c>
      <c r="X746" s="10" t="s">
        <v>37</v>
      </c>
      <c r="Y746" s="10" t="s">
        <v>0</v>
      </c>
    </row>
    <row r="747">
      <c r="A747" s="10" t="s">
        <v>2743</v>
      </c>
      <c r="B747" s="11">
        <v>44312.504925104164</v>
      </c>
      <c r="C747" s="10" t="s">
        <v>330</v>
      </c>
      <c r="D747" s="10" t="s">
        <v>331</v>
      </c>
      <c r="E747" s="10" t="s">
        <v>2730</v>
      </c>
      <c r="F747" s="10" t="s">
        <v>2740</v>
      </c>
      <c r="G747" s="10" t="s">
        <v>2738</v>
      </c>
      <c r="H747" s="17">
        <v>44331.77083333333</v>
      </c>
      <c r="I747" s="17">
        <v>44331.85416666667</v>
      </c>
      <c r="J747" s="10" t="s">
        <v>128</v>
      </c>
      <c r="K747" s="10" t="s">
        <v>34</v>
      </c>
      <c r="N747" s="10" t="s">
        <v>35</v>
      </c>
      <c r="V747" s="9"/>
      <c r="W747" s="13" t="s">
        <v>78</v>
      </c>
      <c r="X747" s="10" t="s">
        <v>37</v>
      </c>
      <c r="Y747" s="10" t="s">
        <v>0</v>
      </c>
    </row>
    <row r="748">
      <c r="A748" s="10" t="s">
        <v>2744</v>
      </c>
      <c r="B748" s="11">
        <v>44312.50869096065</v>
      </c>
      <c r="C748" s="10" t="s">
        <v>96</v>
      </c>
      <c r="D748" s="10" t="s">
        <v>97</v>
      </c>
      <c r="E748" s="10" t="s">
        <v>2745</v>
      </c>
      <c r="F748" s="10" t="s">
        <v>2746</v>
      </c>
      <c r="G748" s="10" t="s">
        <v>2747</v>
      </c>
      <c r="H748" s="17">
        <v>44315.60416666667</v>
      </c>
      <c r="I748" s="17">
        <v>44315.66666666667</v>
      </c>
      <c r="J748" s="10" t="s">
        <v>33</v>
      </c>
      <c r="K748" s="10" t="s">
        <v>34</v>
      </c>
      <c r="N748" s="10" t="s">
        <v>296</v>
      </c>
      <c r="O748" s="18" t="s">
        <v>2748</v>
      </c>
      <c r="P748" s="10" t="s">
        <v>296</v>
      </c>
      <c r="Q748" s="10">
        <v>1.0</v>
      </c>
      <c r="R748" s="10" t="s">
        <v>35</v>
      </c>
      <c r="T748" s="10" t="s">
        <v>35</v>
      </c>
      <c r="V748" s="9"/>
      <c r="W748" s="13" t="s">
        <v>78</v>
      </c>
      <c r="X748" s="10" t="s">
        <v>37</v>
      </c>
      <c r="Y748" s="10" t="s">
        <v>0</v>
      </c>
    </row>
    <row r="749">
      <c r="A749" s="10" t="s">
        <v>2749</v>
      </c>
      <c r="B749" s="11">
        <v>44308.65887998843</v>
      </c>
      <c r="C749" s="10" t="s">
        <v>181</v>
      </c>
      <c r="D749" s="10" t="s">
        <v>69</v>
      </c>
      <c r="E749" s="10" t="s">
        <v>1229</v>
      </c>
      <c r="F749" s="10" t="s">
        <v>2750</v>
      </c>
      <c r="G749" s="10" t="s">
        <v>2751</v>
      </c>
      <c r="H749" s="24">
        <v>44315.72916666667</v>
      </c>
      <c r="I749" s="24">
        <v>44315.77083333333</v>
      </c>
      <c r="J749" s="10" t="s">
        <v>43</v>
      </c>
      <c r="K749" s="10" t="s">
        <v>34</v>
      </c>
      <c r="N749" s="10" t="s">
        <v>296</v>
      </c>
      <c r="O749" s="18" t="s">
        <v>2752</v>
      </c>
      <c r="P749" s="10" t="s">
        <v>296</v>
      </c>
      <c r="Q749" s="10">
        <v>1.0</v>
      </c>
      <c r="R749" s="10" t="s">
        <v>35</v>
      </c>
      <c r="T749" s="10" t="s">
        <v>35</v>
      </c>
      <c r="V749" s="9"/>
      <c r="W749" s="13" t="s">
        <v>78</v>
      </c>
      <c r="X749" s="10" t="s">
        <v>37</v>
      </c>
      <c r="Y749" s="10" t="s">
        <v>0</v>
      </c>
    </row>
    <row r="750">
      <c r="A750" s="10" t="s">
        <v>2753</v>
      </c>
      <c r="B750" s="11">
        <v>44313.14322758102</v>
      </c>
      <c r="C750" s="10" t="s">
        <v>137</v>
      </c>
      <c r="D750" s="10" t="s">
        <v>138</v>
      </c>
      <c r="E750" s="10" t="s">
        <v>139</v>
      </c>
      <c r="F750" s="10" t="s">
        <v>2754</v>
      </c>
      <c r="G750" s="10" t="s">
        <v>2755</v>
      </c>
      <c r="H750" s="17">
        <v>44356.77083333333</v>
      </c>
      <c r="I750" s="17">
        <v>44356.85416666667</v>
      </c>
      <c r="J750" s="10" t="s">
        <v>128</v>
      </c>
      <c r="K750" s="10" t="s">
        <v>34</v>
      </c>
      <c r="N750" s="10" t="s">
        <v>35</v>
      </c>
      <c r="V750" s="9"/>
      <c r="W750" s="13" t="s">
        <v>78</v>
      </c>
      <c r="X750" s="10" t="s">
        <v>37</v>
      </c>
      <c r="Y750" s="10" t="s">
        <v>0</v>
      </c>
    </row>
    <row r="751">
      <c r="A751" s="10" t="s">
        <v>2756</v>
      </c>
      <c r="B751" s="11">
        <v>44311.63400590278</v>
      </c>
      <c r="C751" s="10" t="s">
        <v>1583</v>
      </c>
      <c r="D751" s="10" t="s">
        <v>505</v>
      </c>
      <c r="E751" s="10" t="s">
        <v>2105</v>
      </c>
      <c r="F751" s="10" t="s">
        <v>2757</v>
      </c>
      <c r="G751" s="10" t="s">
        <v>2758</v>
      </c>
      <c r="H751" s="24">
        <v>44315.79166666667</v>
      </c>
      <c r="I751" s="24">
        <v>44315.875</v>
      </c>
      <c r="J751" s="10" t="s">
        <v>43</v>
      </c>
      <c r="K751" s="10" t="s">
        <v>34</v>
      </c>
      <c r="N751" s="10" t="s">
        <v>35</v>
      </c>
      <c r="V751" s="9"/>
      <c r="W751" s="13" t="s">
        <v>78</v>
      </c>
      <c r="X751" s="10" t="s">
        <v>37</v>
      </c>
      <c r="Y751" s="10" t="s">
        <v>0</v>
      </c>
    </row>
    <row r="752">
      <c r="A752" s="10" t="s">
        <v>2759</v>
      </c>
      <c r="B752" s="11">
        <v>44307.669899872686</v>
      </c>
      <c r="C752" s="10" t="s">
        <v>347</v>
      </c>
      <c r="D752" s="10" t="s">
        <v>348</v>
      </c>
      <c r="E752" s="10" t="s">
        <v>349</v>
      </c>
      <c r="F752" s="10" t="s">
        <v>2760</v>
      </c>
      <c r="G752" s="10" t="s">
        <v>2761</v>
      </c>
      <c r="H752" s="24">
        <v>44316.52083333333</v>
      </c>
      <c r="I752" s="24">
        <v>44316.0625</v>
      </c>
      <c r="J752" s="10" t="s">
        <v>43</v>
      </c>
      <c r="K752" s="10" t="s">
        <v>34</v>
      </c>
      <c r="N752" s="10" t="s">
        <v>296</v>
      </c>
      <c r="O752" s="18" t="s">
        <v>2762</v>
      </c>
      <c r="P752" s="10" t="s">
        <v>296</v>
      </c>
      <c r="Q752" s="10">
        <v>2.0</v>
      </c>
      <c r="R752" s="10" t="s">
        <v>35</v>
      </c>
      <c r="T752" s="10" t="s">
        <v>35</v>
      </c>
      <c r="V752" s="9"/>
      <c r="W752" s="13" t="s">
        <v>78</v>
      </c>
      <c r="X752" s="10" t="s">
        <v>37</v>
      </c>
      <c r="Y752" s="10" t="s">
        <v>0</v>
      </c>
    </row>
    <row r="753">
      <c r="A753" s="10" t="s">
        <v>2763</v>
      </c>
      <c r="B753" s="11">
        <v>44313.60801096065</v>
      </c>
      <c r="C753" s="10" t="s">
        <v>239</v>
      </c>
      <c r="D753" s="10" t="s">
        <v>240</v>
      </c>
      <c r="E753" s="10" t="s">
        <v>2764</v>
      </c>
      <c r="F753" s="10" t="s">
        <v>2765</v>
      </c>
      <c r="G753" s="10" t="s">
        <v>2766</v>
      </c>
      <c r="H753" s="17">
        <v>44317.8125</v>
      </c>
      <c r="I753" s="17">
        <v>44317.83333333333</v>
      </c>
      <c r="J753" s="10" t="s">
        <v>128</v>
      </c>
      <c r="K753" s="10" t="s">
        <v>34</v>
      </c>
      <c r="N753" s="10" t="s">
        <v>35</v>
      </c>
      <c r="V753" s="9"/>
      <c r="W753" s="13" t="s">
        <v>78</v>
      </c>
      <c r="X753" s="10" t="s">
        <v>37</v>
      </c>
      <c r="Y753" s="10" t="s">
        <v>0</v>
      </c>
    </row>
    <row r="754">
      <c r="A754" s="10" t="s">
        <v>2767</v>
      </c>
      <c r="B754" s="11">
        <v>44309.67499347222</v>
      </c>
      <c r="C754" s="10" t="s">
        <v>671</v>
      </c>
      <c r="D754" s="10" t="s">
        <v>672</v>
      </c>
      <c r="E754" s="10" t="s">
        <v>2768</v>
      </c>
      <c r="F754" s="10" t="s">
        <v>2769</v>
      </c>
      <c r="G754" s="10" t="s">
        <v>2770</v>
      </c>
      <c r="H754" s="24">
        <v>44316.60416666667</v>
      </c>
      <c r="I754" s="24">
        <v>44316.6875</v>
      </c>
      <c r="J754" s="10" t="s">
        <v>43</v>
      </c>
      <c r="K754" s="10" t="s">
        <v>34</v>
      </c>
      <c r="N754" s="10" t="s">
        <v>35</v>
      </c>
      <c r="V754" s="9"/>
      <c r="W754" s="13" t="s">
        <v>78</v>
      </c>
      <c r="X754" s="10" t="s">
        <v>37</v>
      </c>
      <c r="Y754" s="10" t="s">
        <v>0</v>
      </c>
    </row>
    <row r="755">
      <c r="A755" s="10" t="s">
        <v>2771</v>
      </c>
      <c r="B755" s="11">
        <v>44313.61652414352</v>
      </c>
      <c r="C755" s="10" t="s">
        <v>239</v>
      </c>
      <c r="D755" s="10" t="s">
        <v>240</v>
      </c>
      <c r="E755" s="10" t="s">
        <v>1975</v>
      </c>
      <c r="F755" s="10" t="s">
        <v>2772</v>
      </c>
      <c r="G755" s="10" t="s">
        <v>2773</v>
      </c>
      <c r="H755" s="17">
        <v>44315.64583333333</v>
      </c>
      <c r="I755" s="17">
        <v>44315.6875</v>
      </c>
      <c r="J755" s="10" t="s">
        <v>128</v>
      </c>
      <c r="K755" s="10" t="s">
        <v>34</v>
      </c>
      <c r="N755" s="10" t="s">
        <v>35</v>
      </c>
      <c r="V755" s="9"/>
      <c r="W755" s="13" t="s">
        <v>78</v>
      </c>
      <c r="X755" s="10" t="s">
        <v>37</v>
      </c>
      <c r="Y755" s="10" t="s">
        <v>0</v>
      </c>
    </row>
    <row r="756">
      <c r="A756" s="10" t="s">
        <v>2774</v>
      </c>
      <c r="B756" s="11">
        <v>44313.647593194444</v>
      </c>
      <c r="C756" s="10" t="s">
        <v>610</v>
      </c>
      <c r="D756" s="10" t="s">
        <v>611</v>
      </c>
      <c r="E756" s="10" t="s">
        <v>2562</v>
      </c>
      <c r="F756" s="10" t="s">
        <v>2563</v>
      </c>
      <c r="G756" s="10" t="s">
        <v>2775</v>
      </c>
      <c r="H756" s="17">
        <v>44317.0</v>
      </c>
      <c r="I756" s="17">
        <v>44317.99930555555</v>
      </c>
      <c r="J756" s="10" t="s">
        <v>128</v>
      </c>
      <c r="K756" s="10" t="s">
        <v>34</v>
      </c>
      <c r="N756" s="10" t="s">
        <v>35</v>
      </c>
      <c r="V756" s="9"/>
      <c r="W756" s="13" t="s">
        <v>78</v>
      </c>
      <c r="X756" s="10" t="s">
        <v>37</v>
      </c>
      <c r="Y756" s="10" t="s">
        <v>0</v>
      </c>
    </row>
    <row r="757">
      <c r="A757" s="10" t="s">
        <v>2776</v>
      </c>
      <c r="B757" s="11">
        <v>44313.658744444445</v>
      </c>
      <c r="C757" s="10" t="s">
        <v>80</v>
      </c>
      <c r="D757" s="10" t="s">
        <v>81</v>
      </c>
      <c r="E757" s="10" t="s">
        <v>2777</v>
      </c>
      <c r="F757" s="10" t="s">
        <v>2778</v>
      </c>
      <c r="G757" s="10" t="s">
        <v>2779</v>
      </c>
      <c r="H757" s="17">
        <v>44316.6875</v>
      </c>
      <c r="I757" s="17">
        <v>44316.72916666667</v>
      </c>
      <c r="J757" s="10" t="s">
        <v>33</v>
      </c>
      <c r="K757" s="10" t="s">
        <v>34</v>
      </c>
      <c r="N757" s="10" t="s">
        <v>296</v>
      </c>
      <c r="O757" s="18" t="s">
        <v>2780</v>
      </c>
      <c r="P757" s="10" t="s">
        <v>296</v>
      </c>
      <c r="Q757" s="10">
        <v>1.0</v>
      </c>
      <c r="R757" s="10" t="s">
        <v>35</v>
      </c>
      <c r="T757" s="10" t="s">
        <v>35</v>
      </c>
      <c r="V757" s="9"/>
      <c r="W757" s="13" t="s">
        <v>78</v>
      </c>
      <c r="X757" s="10" t="s">
        <v>37</v>
      </c>
      <c r="Y757" s="10" t="s">
        <v>0</v>
      </c>
    </row>
    <row r="758">
      <c r="A758" s="10" t="s">
        <v>2781</v>
      </c>
      <c r="B758" s="11">
        <v>44313.91274490741</v>
      </c>
      <c r="C758" s="10" t="s">
        <v>167</v>
      </c>
      <c r="D758" s="10" t="s">
        <v>168</v>
      </c>
      <c r="E758" s="10" t="s">
        <v>2782</v>
      </c>
      <c r="F758" s="10" t="s">
        <v>2783</v>
      </c>
      <c r="G758" s="10" t="s">
        <v>2784</v>
      </c>
      <c r="H758" s="17">
        <v>44316.77083333333</v>
      </c>
      <c r="I758" s="17">
        <v>44316.85416666667</v>
      </c>
      <c r="J758" s="10" t="s">
        <v>128</v>
      </c>
      <c r="K758" s="10" t="s">
        <v>34</v>
      </c>
      <c r="N758" s="10" t="s">
        <v>35</v>
      </c>
      <c r="V758" s="9"/>
      <c r="W758" s="13" t="s">
        <v>78</v>
      </c>
      <c r="X758" s="10" t="s">
        <v>37</v>
      </c>
      <c r="Y758" s="10" t="s">
        <v>0</v>
      </c>
    </row>
    <row r="759">
      <c r="A759" s="10" t="s">
        <v>2785</v>
      </c>
      <c r="B759" s="11">
        <v>44312.56817408565</v>
      </c>
      <c r="C759" s="10" t="s">
        <v>330</v>
      </c>
      <c r="D759" s="10" t="s">
        <v>331</v>
      </c>
      <c r="E759" s="10" t="s">
        <v>2786</v>
      </c>
      <c r="F759" s="10" t="s">
        <v>2787</v>
      </c>
      <c r="G759" s="10" t="s">
        <v>2788</v>
      </c>
      <c r="H759" s="16">
        <v>44316.64583333333</v>
      </c>
      <c r="I759" s="16">
        <v>44316.72916666667</v>
      </c>
      <c r="J759" s="10" t="s">
        <v>43</v>
      </c>
      <c r="K759" s="10" t="s">
        <v>34</v>
      </c>
      <c r="N759" s="10" t="s">
        <v>35</v>
      </c>
      <c r="V759" s="9"/>
      <c r="W759" s="13" t="s">
        <v>78</v>
      </c>
      <c r="X759" s="10" t="s">
        <v>37</v>
      </c>
      <c r="Y759" s="10" t="s">
        <v>0</v>
      </c>
    </row>
    <row r="760">
      <c r="A760" s="10" t="s">
        <v>2789</v>
      </c>
      <c r="B760" s="11">
        <v>44309.3770537963</v>
      </c>
      <c r="C760" s="10" t="s">
        <v>181</v>
      </c>
      <c r="D760" s="10" t="s">
        <v>69</v>
      </c>
      <c r="E760" s="10" t="s">
        <v>2790</v>
      </c>
      <c r="F760" s="10" t="s">
        <v>2791</v>
      </c>
      <c r="G760" s="10" t="s">
        <v>2792</v>
      </c>
      <c r="H760" s="24">
        <v>44316.6875</v>
      </c>
      <c r="I760" s="24">
        <v>44316.85416666667</v>
      </c>
      <c r="J760" s="10" t="s">
        <v>43</v>
      </c>
      <c r="K760" s="10" t="s">
        <v>34</v>
      </c>
      <c r="N760" s="10" t="s">
        <v>296</v>
      </c>
      <c r="O760" s="18" t="s">
        <v>2793</v>
      </c>
      <c r="P760" s="10" t="s">
        <v>296</v>
      </c>
      <c r="Q760" s="10">
        <v>1.0</v>
      </c>
      <c r="R760" s="10" t="s">
        <v>296</v>
      </c>
      <c r="S760" s="10">
        <v>1.0</v>
      </c>
      <c r="T760" s="10" t="s">
        <v>35</v>
      </c>
      <c r="V760" s="9"/>
      <c r="W760" s="13" t="s">
        <v>78</v>
      </c>
      <c r="X760" s="10" t="s">
        <v>37</v>
      </c>
      <c r="Y760" s="10" t="s">
        <v>0</v>
      </c>
    </row>
    <row r="761">
      <c r="A761" s="10" t="s">
        <v>2794</v>
      </c>
      <c r="B761" s="11">
        <v>44314.47141921296</v>
      </c>
      <c r="C761" s="10" t="s">
        <v>539</v>
      </c>
      <c r="D761" s="10" t="s">
        <v>540</v>
      </c>
      <c r="E761" s="10" t="s">
        <v>541</v>
      </c>
      <c r="F761" s="10" t="s">
        <v>2795</v>
      </c>
      <c r="G761" s="10" t="s">
        <v>2796</v>
      </c>
      <c r="H761" s="16">
        <v>44316.77083333333</v>
      </c>
      <c r="I761" s="16">
        <v>44316.8125</v>
      </c>
      <c r="J761" s="10" t="s">
        <v>43</v>
      </c>
      <c r="K761" s="10" t="s">
        <v>34</v>
      </c>
      <c r="N761" s="10" t="s">
        <v>296</v>
      </c>
      <c r="O761" s="18" t="s">
        <v>2797</v>
      </c>
      <c r="P761" s="10" t="s">
        <v>296</v>
      </c>
      <c r="Q761" s="10">
        <v>2.0</v>
      </c>
      <c r="R761" s="10" t="s">
        <v>35</v>
      </c>
      <c r="T761" s="10" t="s">
        <v>35</v>
      </c>
      <c r="V761" s="9"/>
      <c r="W761" s="13" t="s">
        <v>78</v>
      </c>
      <c r="X761" s="10" t="s">
        <v>37</v>
      </c>
      <c r="Y761" s="10" t="s">
        <v>0</v>
      </c>
    </row>
    <row r="762">
      <c r="A762" s="10" t="s">
        <v>2798</v>
      </c>
      <c r="B762" s="11">
        <v>44314.525604780094</v>
      </c>
      <c r="C762" s="10" t="s">
        <v>239</v>
      </c>
      <c r="D762" s="10" t="s">
        <v>240</v>
      </c>
      <c r="E762" s="10" t="s">
        <v>1975</v>
      </c>
      <c r="F762" s="10" t="s">
        <v>2799</v>
      </c>
      <c r="G762" s="10" t="s">
        <v>2800</v>
      </c>
      <c r="H762" s="17">
        <v>44316.77083333333</v>
      </c>
      <c r="I762" s="17">
        <v>44316.8125</v>
      </c>
      <c r="J762" s="10" t="s">
        <v>128</v>
      </c>
      <c r="K762" s="10" t="s">
        <v>34</v>
      </c>
      <c r="N762" s="10" t="s">
        <v>35</v>
      </c>
      <c r="V762" s="9"/>
      <c r="W762" s="13" t="s">
        <v>78</v>
      </c>
      <c r="X762" s="10" t="s">
        <v>37</v>
      </c>
      <c r="Y762" s="10" t="s">
        <v>0</v>
      </c>
    </row>
    <row r="763">
      <c r="A763" s="10" t="s">
        <v>2801</v>
      </c>
      <c r="B763" s="11">
        <v>44314.52662626158</v>
      </c>
      <c r="C763" s="10" t="s">
        <v>239</v>
      </c>
      <c r="D763" s="10" t="s">
        <v>240</v>
      </c>
      <c r="E763" s="10" t="s">
        <v>1975</v>
      </c>
      <c r="F763" s="10" t="s">
        <v>2802</v>
      </c>
      <c r="G763" s="10" t="s">
        <v>2803</v>
      </c>
      <c r="H763" s="17">
        <v>44316.85416666667</v>
      </c>
      <c r="I763" s="17">
        <v>44316.91666666667</v>
      </c>
      <c r="J763" s="10" t="s">
        <v>128</v>
      </c>
      <c r="K763" s="10" t="s">
        <v>34</v>
      </c>
      <c r="N763" s="10" t="s">
        <v>35</v>
      </c>
      <c r="V763" s="9"/>
      <c r="W763" s="13" t="s">
        <v>78</v>
      </c>
      <c r="X763" s="10" t="s">
        <v>37</v>
      </c>
      <c r="Y763" s="10" t="s">
        <v>0</v>
      </c>
    </row>
    <row r="764">
      <c r="A764" s="10" t="s">
        <v>2804</v>
      </c>
      <c r="B764" s="11">
        <v>44314.52965296296</v>
      </c>
      <c r="C764" s="10" t="s">
        <v>239</v>
      </c>
      <c r="D764" s="10" t="s">
        <v>240</v>
      </c>
      <c r="E764" s="10" t="s">
        <v>991</v>
      </c>
      <c r="F764" s="10" t="s">
        <v>2805</v>
      </c>
      <c r="G764" s="10" t="s">
        <v>2806</v>
      </c>
      <c r="H764" s="17">
        <v>44317.66666666667</v>
      </c>
      <c r="I764" s="17">
        <v>44317.79166666667</v>
      </c>
      <c r="J764" s="10" t="s">
        <v>128</v>
      </c>
      <c r="K764" s="10" t="s">
        <v>34</v>
      </c>
      <c r="N764" s="10" t="s">
        <v>35</v>
      </c>
      <c r="V764" s="9"/>
      <c r="W764" s="13" t="s">
        <v>78</v>
      </c>
      <c r="X764" s="10" t="s">
        <v>37</v>
      </c>
      <c r="Y764" s="10" t="s">
        <v>0</v>
      </c>
    </row>
    <row r="765">
      <c r="A765" s="10" t="s">
        <v>2807</v>
      </c>
      <c r="B765" s="11">
        <v>44314.62640770833</v>
      </c>
      <c r="C765" s="10" t="s">
        <v>137</v>
      </c>
      <c r="D765" s="10" t="s">
        <v>138</v>
      </c>
      <c r="E765" s="10" t="s">
        <v>2808</v>
      </c>
      <c r="F765" s="10" t="s">
        <v>2809</v>
      </c>
      <c r="G765" s="10" t="s">
        <v>2810</v>
      </c>
      <c r="H765" s="17">
        <v>44324.41666666667</v>
      </c>
      <c r="I765" s="17">
        <v>44324.5</v>
      </c>
      <c r="J765" s="10" t="s">
        <v>60</v>
      </c>
      <c r="K765" s="10" t="s">
        <v>34</v>
      </c>
      <c r="N765" s="10" t="s">
        <v>35</v>
      </c>
      <c r="V765" s="9"/>
      <c r="W765" s="13" t="s">
        <v>78</v>
      </c>
      <c r="X765" s="10" t="s">
        <v>37</v>
      </c>
      <c r="Y765" s="10" t="s">
        <v>0</v>
      </c>
    </row>
    <row r="766">
      <c r="A766" s="10" t="s">
        <v>2811</v>
      </c>
      <c r="B766" s="11">
        <v>44315.046815231486</v>
      </c>
      <c r="C766" s="10" t="s">
        <v>167</v>
      </c>
      <c r="D766" s="10" t="s">
        <v>168</v>
      </c>
      <c r="E766" s="10" t="s">
        <v>2782</v>
      </c>
      <c r="F766" s="10" t="s">
        <v>2812</v>
      </c>
      <c r="G766" s="10" t="s">
        <v>2813</v>
      </c>
      <c r="H766" s="17">
        <v>44319.58333333333</v>
      </c>
      <c r="I766" s="17">
        <v>44323.58333333333</v>
      </c>
      <c r="J766" s="10" t="s">
        <v>51</v>
      </c>
      <c r="K766" s="10" t="s">
        <v>34</v>
      </c>
      <c r="N766" s="10" t="s">
        <v>35</v>
      </c>
      <c r="V766" s="9"/>
      <c r="W766" s="13" t="s">
        <v>78</v>
      </c>
      <c r="X766" s="10" t="s">
        <v>37</v>
      </c>
      <c r="Y766" s="10" t="s">
        <v>0</v>
      </c>
    </row>
    <row r="767">
      <c r="A767" s="10" t="s">
        <v>2814</v>
      </c>
      <c r="B767" s="11">
        <v>44315.62479460648</v>
      </c>
      <c r="C767" s="10" t="s">
        <v>28</v>
      </c>
      <c r="D767" s="10" t="s">
        <v>29</v>
      </c>
      <c r="E767" s="10" t="s">
        <v>63</v>
      </c>
      <c r="F767" s="10" t="s">
        <v>2815</v>
      </c>
      <c r="G767" s="10" t="s">
        <v>2816</v>
      </c>
      <c r="H767" s="17">
        <v>44319.0</v>
      </c>
      <c r="I767" s="17">
        <v>44347.99930555555</v>
      </c>
      <c r="J767" s="10" t="s">
        <v>51</v>
      </c>
      <c r="K767" s="10" t="s">
        <v>34</v>
      </c>
      <c r="N767" s="10" t="s">
        <v>35</v>
      </c>
      <c r="V767" s="9"/>
      <c r="W767" s="13" t="s">
        <v>78</v>
      </c>
      <c r="X767" s="10" t="s">
        <v>37</v>
      </c>
      <c r="Y767" s="10" t="s">
        <v>0</v>
      </c>
    </row>
    <row r="768">
      <c r="A768" s="10" t="s">
        <v>2817</v>
      </c>
      <c r="B768" s="11">
        <v>44314.51478748843</v>
      </c>
      <c r="C768" s="10" t="s">
        <v>186</v>
      </c>
      <c r="D768" s="10" t="s">
        <v>187</v>
      </c>
      <c r="E768" s="10" t="s">
        <v>2818</v>
      </c>
      <c r="F768" s="10" t="s">
        <v>2819</v>
      </c>
      <c r="G768" s="10" t="s">
        <v>2820</v>
      </c>
      <c r="H768" s="16">
        <v>44317.29166666667</v>
      </c>
      <c r="I768" s="16">
        <v>44347.79166666667</v>
      </c>
      <c r="J768" s="10" t="s">
        <v>43</v>
      </c>
      <c r="K768" s="10" t="s">
        <v>34</v>
      </c>
      <c r="N768" s="10" t="s">
        <v>296</v>
      </c>
      <c r="O768" s="18" t="s">
        <v>2821</v>
      </c>
      <c r="P768" s="10" t="s">
        <v>296</v>
      </c>
      <c r="Q768" s="10">
        <v>10.0</v>
      </c>
      <c r="R768" s="10" t="s">
        <v>296</v>
      </c>
      <c r="S768" s="10">
        <v>6.0</v>
      </c>
      <c r="T768" s="10" t="s">
        <v>296</v>
      </c>
      <c r="U768" s="10">
        <v>1.0</v>
      </c>
      <c r="V768" s="27"/>
      <c r="W768" s="13" t="s">
        <v>78</v>
      </c>
      <c r="X768" s="10" t="s">
        <v>37</v>
      </c>
      <c r="Y768" s="10" t="s">
        <v>0</v>
      </c>
    </row>
    <row r="769">
      <c r="A769" s="10" t="s">
        <v>2822</v>
      </c>
      <c r="B769" s="11">
        <v>44291.49576637732</v>
      </c>
      <c r="C769" s="10" t="s">
        <v>181</v>
      </c>
      <c r="D769" s="10" t="s">
        <v>69</v>
      </c>
      <c r="E769" s="10" t="s">
        <v>2327</v>
      </c>
      <c r="F769" s="10" t="s">
        <v>2307</v>
      </c>
      <c r="G769" s="10" t="s">
        <v>2823</v>
      </c>
      <c r="H769" s="24">
        <v>44317.375</v>
      </c>
      <c r="I769" s="24">
        <v>44317.45833333333</v>
      </c>
      <c r="J769" s="10" t="s">
        <v>43</v>
      </c>
      <c r="K769" s="10" t="s">
        <v>34</v>
      </c>
      <c r="N769" s="10" t="s">
        <v>296</v>
      </c>
      <c r="O769" s="18" t="s">
        <v>2824</v>
      </c>
      <c r="P769" s="10" t="s">
        <v>35</v>
      </c>
      <c r="R769" s="10" t="s">
        <v>35</v>
      </c>
      <c r="T769" s="10" t="s">
        <v>296</v>
      </c>
      <c r="U769" s="10">
        <v>1.0</v>
      </c>
      <c r="V769" s="27"/>
      <c r="W769" s="13" t="s">
        <v>78</v>
      </c>
      <c r="X769" s="10" t="s">
        <v>37</v>
      </c>
      <c r="Y769" s="10" t="s">
        <v>0</v>
      </c>
    </row>
    <row r="770">
      <c r="A770" s="10" t="s">
        <v>2825</v>
      </c>
      <c r="B770" s="11">
        <v>44362.69815344908</v>
      </c>
      <c r="C770" s="10" t="s">
        <v>102</v>
      </c>
      <c r="D770" s="10" t="s">
        <v>103</v>
      </c>
      <c r="E770" s="10" t="s">
        <v>2826</v>
      </c>
      <c r="F770" s="10" t="s">
        <v>2827</v>
      </c>
      <c r="G770" s="10" t="s">
        <v>2828</v>
      </c>
      <c r="H770" s="16">
        <v>44317.64583333333</v>
      </c>
      <c r="I770" s="16">
        <v>44317.72916666667</v>
      </c>
      <c r="J770" s="10" t="s">
        <v>43</v>
      </c>
      <c r="K770" s="10" t="s">
        <v>34</v>
      </c>
      <c r="N770" s="10" t="s">
        <v>35</v>
      </c>
      <c r="V770" s="9"/>
      <c r="W770" s="13" t="s">
        <v>78</v>
      </c>
      <c r="X770" s="10" t="s">
        <v>37</v>
      </c>
      <c r="Y770" s="10" t="s">
        <v>0</v>
      </c>
    </row>
    <row r="771">
      <c r="A771" s="10" t="s">
        <v>2829</v>
      </c>
      <c r="B771" s="11">
        <v>44313.27721346065</v>
      </c>
      <c r="C771" s="10" t="s">
        <v>975</v>
      </c>
      <c r="D771" s="10" t="s">
        <v>976</v>
      </c>
      <c r="E771" s="10" t="s">
        <v>29</v>
      </c>
      <c r="F771" s="10" t="s">
        <v>2830</v>
      </c>
      <c r="G771" s="10" t="s">
        <v>2831</v>
      </c>
      <c r="H771" s="24">
        <v>44321.4375</v>
      </c>
      <c r="I771" s="24">
        <v>44321.52083333333</v>
      </c>
      <c r="J771" s="10" t="s">
        <v>43</v>
      </c>
      <c r="K771" s="10" t="s">
        <v>34</v>
      </c>
      <c r="N771" s="10" t="s">
        <v>35</v>
      </c>
      <c r="V771" s="9"/>
      <c r="W771" s="13" t="s">
        <v>78</v>
      </c>
      <c r="X771" s="10" t="s">
        <v>37</v>
      </c>
      <c r="Y771" s="10" t="s">
        <v>0</v>
      </c>
    </row>
    <row r="772">
      <c r="A772" s="10" t="s">
        <v>2832</v>
      </c>
      <c r="B772" s="11">
        <v>44315.6275336574</v>
      </c>
      <c r="C772" s="10" t="s">
        <v>28</v>
      </c>
      <c r="D772" s="10" t="s">
        <v>29</v>
      </c>
      <c r="E772" s="10" t="s">
        <v>63</v>
      </c>
      <c r="F772" s="10" t="s">
        <v>2833</v>
      </c>
      <c r="G772" s="10" t="s">
        <v>2834</v>
      </c>
      <c r="H772" s="24">
        <v>44321.4375</v>
      </c>
      <c r="I772" s="24">
        <v>44321.52083333333</v>
      </c>
      <c r="J772" s="10" t="s">
        <v>43</v>
      </c>
      <c r="K772" s="10" t="s">
        <v>34</v>
      </c>
      <c r="N772" s="10" t="s">
        <v>35</v>
      </c>
      <c r="V772" s="9"/>
      <c r="W772" s="13" t="s">
        <v>78</v>
      </c>
      <c r="X772" s="10" t="s">
        <v>37</v>
      </c>
      <c r="Y772" s="10" t="s">
        <v>0</v>
      </c>
    </row>
    <row r="773">
      <c r="A773" s="10" t="s">
        <v>2835</v>
      </c>
      <c r="B773" s="11">
        <v>44315.74457416667</v>
      </c>
      <c r="C773" s="10" t="s">
        <v>694</v>
      </c>
      <c r="D773" s="10" t="s">
        <v>695</v>
      </c>
      <c r="E773" s="10" t="s">
        <v>696</v>
      </c>
      <c r="F773" s="10" t="s">
        <v>2836</v>
      </c>
      <c r="G773" s="10" t="s">
        <v>2837</v>
      </c>
      <c r="H773" s="24">
        <v>44321.4375</v>
      </c>
      <c r="I773" s="24">
        <v>44321.47916666667</v>
      </c>
      <c r="J773" s="10" t="s">
        <v>43</v>
      </c>
      <c r="K773" s="10" t="s">
        <v>34</v>
      </c>
      <c r="N773" s="10" t="s">
        <v>35</v>
      </c>
      <c r="V773" s="9"/>
      <c r="W773" s="13" t="s">
        <v>78</v>
      </c>
      <c r="X773" s="10" t="s">
        <v>37</v>
      </c>
      <c r="Y773" s="10" t="s">
        <v>0</v>
      </c>
    </row>
    <row r="774">
      <c r="A774" s="10" t="s">
        <v>2838</v>
      </c>
      <c r="B774" s="11">
        <v>44315.70909267361</v>
      </c>
      <c r="C774" s="10" t="s">
        <v>160</v>
      </c>
      <c r="D774" s="10" t="s">
        <v>161</v>
      </c>
      <c r="E774" s="10" t="s">
        <v>947</v>
      </c>
      <c r="F774" s="10" t="s">
        <v>2839</v>
      </c>
      <c r="G774" s="10" t="s">
        <v>2840</v>
      </c>
      <c r="H774" s="17">
        <v>44316.625</v>
      </c>
      <c r="I774" s="17">
        <v>44316.70833333333</v>
      </c>
      <c r="J774" s="10" t="s">
        <v>128</v>
      </c>
      <c r="K774" s="10" t="s">
        <v>34</v>
      </c>
      <c r="N774" s="10" t="s">
        <v>296</v>
      </c>
      <c r="O774" s="18" t="s">
        <v>2841</v>
      </c>
      <c r="P774" s="10" t="s">
        <v>296</v>
      </c>
      <c r="Q774" s="10">
        <v>1.0</v>
      </c>
      <c r="R774" s="10" t="s">
        <v>35</v>
      </c>
      <c r="T774" s="10" t="s">
        <v>35</v>
      </c>
      <c r="V774" s="9"/>
      <c r="W774" s="13" t="s">
        <v>78</v>
      </c>
      <c r="X774" s="10" t="s">
        <v>37</v>
      </c>
      <c r="Y774" s="10" t="s">
        <v>0</v>
      </c>
    </row>
    <row r="775">
      <c r="A775" s="10" t="s">
        <v>2842</v>
      </c>
      <c r="B775" s="11">
        <v>44315.71461930555</v>
      </c>
      <c r="C775" s="10" t="s">
        <v>160</v>
      </c>
      <c r="D775" s="10" t="s">
        <v>161</v>
      </c>
      <c r="E775" s="10" t="s">
        <v>968</v>
      </c>
      <c r="F775" s="10" t="s">
        <v>2843</v>
      </c>
      <c r="G775" s="10" t="s">
        <v>2844</v>
      </c>
      <c r="H775" s="17">
        <v>44292.0</v>
      </c>
      <c r="I775" s="17">
        <v>44310.0</v>
      </c>
      <c r="J775" s="10" t="s">
        <v>51</v>
      </c>
      <c r="K775" s="10" t="s">
        <v>34</v>
      </c>
      <c r="N775" s="10" t="s">
        <v>35</v>
      </c>
      <c r="V775" s="9"/>
      <c r="W775" s="13" t="s">
        <v>78</v>
      </c>
      <c r="X775" s="10" t="s">
        <v>37</v>
      </c>
      <c r="Y775" s="10" t="s">
        <v>0</v>
      </c>
    </row>
    <row r="776">
      <c r="A776" s="10" t="s">
        <v>2845</v>
      </c>
      <c r="B776" s="11">
        <v>44309.78749436342</v>
      </c>
      <c r="C776" s="10" t="s">
        <v>28</v>
      </c>
      <c r="D776" s="10" t="s">
        <v>29</v>
      </c>
      <c r="E776" s="10" t="s">
        <v>63</v>
      </c>
      <c r="F776" s="10" t="s">
        <v>2846</v>
      </c>
      <c r="G776" s="10" t="s">
        <v>2847</v>
      </c>
      <c r="H776" s="24">
        <v>44321.72916666667</v>
      </c>
      <c r="I776" s="24">
        <v>44321.79166666667</v>
      </c>
      <c r="J776" s="10" t="s">
        <v>43</v>
      </c>
      <c r="K776" s="10" t="s">
        <v>34</v>
      </c>
      <c r="N776" s="10" t="s">
        <v>35</v>
      </c>
      <c r="V776" s="9"/>
      <c r="W776" s="13" t="s">
        <v>78</v>
      </c>
      <c r="X776" s="10" t="s">
        <v>37</v>
      </c>
      <c r="Y776" s="10" t="s">
        <v>0</v>
      </c>
    </row>
    <row r="777">
      <c r="A777" s="10" t="s">
        <v>2848</v>
      </c>
      <c r="B777" s="11">
        <v>44311.621128750005</v>
      </c>
      <c r="C777" s="10" t="s">
        <v>181</v>
      </c>
      <c r="D777" s="10" t="s">
        <v>69</v>
      </c>
      <c r="E777" s="10" t="s">
        <v>1229</v>
      </c>
      <c r="F777" s="10" t="s">
        <v>2849</v>
      </c>
      <c r="G777" s="10" t="s">
        <v>2850</v>
      </c>
      <c r="H777" s="24">
        <v>44321.72916666667</v>
      </c>
      <c r="I777" s="24">
        <v>44321.8125</v>
      </c>
      <c r="J777" s="10" t="s">
        <v>43</v>
      </c>
      <c r="K777" s="10" t="s">
        <v>34</v>
      </c>
      <c r="N777" s="10" t="s">
        <v>296</v>
      </c>
      <c r="O777" s="18" t="s">
        <v>2851</v>
      </c>
      <c r="P777" s="10" t="s">
        <v>35</v>
      </c>
      <c r="R777" s="10" t="s">
        <v>296</v>
      </c>
      <c r="S777" s="10">
        <v>1.0</v>
      </c>
      <c r="T777" s="10" t="s">
        <v>35</v>
      </c>
      <c r="V777" s="9"/>
      <c r="W777" s="13" t="s">
        <v>78</v>
      </c>
      <c r="X777" s="10" t="s">
        <v>37</v>
      </c>
      <c r="Y777" s="10" t="s">
        <v>0</v>
      </c>
    </row>
    <row r="778">
      <c r="A778" s="10" t="s">
        <v>2852</v>
      </c>
      <c r="B778" s="11">
        <v>44315.7458118287</v>
      </c>
      <c r="C778" s="10" t="s">
        <v>694</v>
      </c>
      <c r="D778" s="10" t="s">
        <v>695</v>
      </c>
      <c r="E778" s="10" t="s">
        <v>696</v>
      </c>
      <c r="F778" s="10" t="s">
        <v>697</v>
      </c>
      <c r="G778" s="10" t="s">
        <v>698</v>
      </c>
      <c r="H778" s="17">
        <v>44316.52083333333</v>
      </c>
      <c r="I778" s="17">
        <v>44316.5625</v>
      </c>
      <c r="J778" s="10" t="s">
        <v>128</v>
      </c>
      <c r="K778" s="10" t="s">
        <v>34</v>
      </c>
      <c r="N778" s="10" t="s">
        <v>35</v>
      </c>
      <c r="V778" s="9"/>
      <c r="W778" s="13" t="s">
        <v>78</v>
      </c>
      <c r="X778" s="10" t="s">
        <v>37</v>
      </c>
      <c r="Y778" s="10" t="s">
        <v>0</v>
      </c>
    </row>
    <row r="779">
      <c r="A779" s="10" t="s">
        <v>2853</v>
      </c>
      <c r="B779" s="11">
        <v>44315.82370125</v>
      </c>
      <c r="C779" s="10" t="s">
        <v>1516</v>
      </c>
      <c r="D779" s="10" t="s">
        <v>611</v>
      </c>
      <c r="E779" s="10" t="s">
        <v>612</v>
      </c>
      <c r="F779" s="10" t="s">
        <v>2854</v>
      </c>
      <c r="G779" s="10" t="s">
        <v>2855</v>
      </c>
      <c r="H779" s="17">
        <v>44321.0</v>
      </c>
      <c r="I779" s="17">
        <v>44329.99930555555</v>
      </c>
      <c r="J779" s="10" t="s">
        <v>128</v>
      </c>
      <c r="K779" s="10" t="s">
        <v>34</v>
      </c>
      <c r="N779" s="10" t="s">
        <v>35</v>
      </c>
      <c r="V779" s="9"/>
      <c r="W779" s="13" t="s">
        <v>78</v>
      </c>
      <c r="X779" s="10" t="s">
        <v>37</v>
      </c>
      <c r="Y779" s="10" t="s">
        <v>0</v>
      </c>
    </row>
    <row r="780">
      <c r="A780" s="10" t="s">
        <v>2856</v>
      </c>
      <c r="B780" s="11">
        <v>44315.82526193287</v>
      </c>
      <c r="C780" s="10" t="s">
        <v>610</v>
      </c>
      <c r="D780" s="10" t="s">
        <v>611</v>
      </c>
      <c r="E780" s="10" t="s">
        <v>612</v>
      </c>
      <c r="F780" s="10" t="s">
        <v>2854</v>
      </c>
      <c r="G780" s="10" t="s">
        <v>2857</v>
      </c>
      <c r="H780" s="17">
        <v>44321.0</v>
      </c>
      <c r="I780" s="17">
        <v>44329.99930555555</v>
      </c>
      <c r="J780" s="10" t="s">
        <v>128</v>
      </c>
      <c r="K780" s="10" t="s">
        <v>34</v>
      </c>
      <c r="N780" s="10" t="s">
        <v>35</v>
      </c>
      <c r="V780" s="9"/>
      <c r="W780" s="13" t="s">
        <v>78</v>
      </c>
      <c r="X780" s="10" t="s">
        <v>37</v>
      </c>
      <c r="Y780" s="10" t="s">
        <v>0</v>
      </c>
    </row>
    <row r="781">
      <c r="A781" s="10" t="s">
        <v>2858</v>
      </c>
      <c r="B781" s="11">
        <v>44316.54373984954</v>
      </c>
      <c r="C781" s="10" t="s">
        <v>96</v>
      </c>
      <c r="D781" s="10" t="s">
        <v>97</v>
      </c>
      <c r="E781" s="10" t="s">
        <v>2859</v>
      </c>
      <c r="F781" s="10" t="s">
        <v>2860</v>
      </c>
      <c r="G781" s="10" t="s">
        <v>2861</v>
      </c>
      <c r="H781" s="17">
        <v>44316.6875</v>
      </c>
      <c r="I781" s="17">
        <v>44316.75</v>
      </c>
      <c r="J781" s="10" t="s">
        <v>33</v>
      </c>
      <c r="K781" s="10" t="s">
        <v>34</v>
      </c>
      <c r="N781" s="10" t="s">
        <v>296</v>
      </c>
      <c r="O781" s="18" t="s">
        <v>2862</v>
      </c>
      <c r="P781" s="10" t="s">
        <v>296</v>
      </c>
      <c r="Q781" s="10">
        <v>1.0</v>
      </c>
      <c r="R781" s="10" t="s">
        <v>35</v>
      </c>
      <c r="T781" s="10" t="s">
        <v>35</v>
      </c>
      <c r="V781" s="9"/>
      <c r="W781" s="13" t="s">
        <v>78</v>
      </c>
      <c r="X781" s="10" t="s">
        <v>37</v>
      </c>
      <c r="Y781" s="10" t="s">
        <v>0</v>
      </c>
    </row>
    <row r="782">
      <c r="A782" s="10" t="s">
        <v>2863</v>
      </c>
      <c r="B782" s="11">
        <v>44316.56713376158</v>
      </c>
      <c r="C782" s="10" t="s">
        <v>2864</v>
      </c>
      <c r="D782" s="10" t="s">
        <v>321</v>
      </c>
      <c r="E782" s="10" t="s">
        <v>555</v>
      </c>
      <c r="F782" s="10" t="s">
        <v>2865</v>
      </c>
      <c r="G782" s="10" t="s">
        <v>2866</v>
      </c>
      <c r="H782" s="17">
        <v>44328.60416666667</v>
      </c>
      <c r="I782" s="17">
        <v>44328.6875</v>
      </c>
      <c r="J782" s="10" t="s">
        <v>33</v>
      </c>
      <c r="K782" s="10" t="s">
        <v>34</v>
      </c>
      <c r="N782" s="10" t="s">
        <v>35</v>
      </c>
      <c r="V782" s="9"/>
      <c r="W782" s="13" t="s">
        <v>78</v>
      </c>
      <c r="X782" s="10" t="s">
        <v>37</v>
      </c>
      <c r="Y782" s="10" t="s">
        <v>0</v>
      </c>
    </row>
    <row r="783">
      <c r="A783" s="10" t="s">
        <v>2867</v>
      </c>
      <c r="B783" s="11">
        <v>44316.57134609953</v>
      </c>
      <c r="C783" s="10" t="s">
        <v>320</v>
      </c>
      <c r="D783" s="10" t="s">
        <v>321</v>
      </c>
      <c r="E783" s="10" t="s">
        <v>555</v>
      </c>
      <c r="F783" s="10" t="s">
        <v>2865</v>
      </c>
      <c r="G783" s="10" t="s">
        <v>2868</v>
      </c>
      <c r="H783" s="17">
        <v>44328.60416666667</v>
      </c>
      <c r="I783" s="17">
        <v>44328.6875</v>
      </c>
      <c r="J783" s="10" t="s">
        <v>33</v>
      </c>
      <c r="K783" s="10" t="s">
        <v>34</v>
      </c>
      <c r="N783" s="10" t="s">
        <v>35</v>
      </c>
      <c r="V783" s="9"/>
      <c r="W783" s="13" t="s">
        <v>78</v>
      </c>
      <c r="X783" s="10" t="s">
        <v>37</v>
      </c>
      <c r="Y783" s="10" t="s">
        <v>0</v>
      </c>
    </row>
    <row r="784">
      <c r="A784" s="10" t="s">
        <v>2869</v>
      </c>
      <c r="B784" s="11">
        <v>44362.69496018518</v>
      </c>
      <c r="C784" s="10" t="s">
        <v>102</v>
      </c>
      <c r="D784" s="10" t="s">
        <v>103</v>
      </c>
      <c r="E784" s="10" t="s">
        <v>2870</v>
      </c>
      <c r="F784" s="10" t="s">
        <v>2871</v>
      </c>
      <c r="G784" s="10" t="s">
        <v>2872</v>
      </c>
      <c r="H784" s="16">
        <v>44321.77083333333</v>
      </c>
      <c r="I784" s="16">
        <v>44321.85416666667</v>
      </c>
      <c r="J784" s="10" t="s">
        <v>43</v>
      </c>
      <c r="K784" s="10" t="s">
        <v>34</v>
      </c>
      <c r="N784" s="10" t="s">
        <v>35</v>
      </c>
      <c r="V784" s="9"/>
      <c r="W784" s="13" t="s">
        <v>78</v>
      </c>
      <c r="X784" s="10" t="s">
        <v>37</v>
      </c>
      <c r="Y784" s="10" t="s">
        <v>0</v>
      </c>
    </row>
    <row r="785">
      <c r="A785" s="10" t="s">
        <v>2873</v>
      </c>
      <c r="B785" s="11">
        <v>44316.69993567129</v>
      </c>
      <c r="C785" s="10" t="s">
        <v>2874</v>
      </c>
      <c r="D785" s="10" t="s">
        <v>1036</v>
      </c>
      <c r="E785" s="10" t="s">
        <v>1579</v>
      </c>
      <c r="F785" s="10" t="s">
        <v>2875</v>
      </c>
      <c r="G785" s="10" t="s">
        <v>2876</v>
      </c>
      <c r="H785" s="17">
        <v>44323.39583333333</v>
      </c>
      <c r="I785" s="17">
        <v>44323.4375</v>
      </c>
      <c r="J785" s="10" t="s">
        <v>128</v>
      </c>
      <c r="K785" s="10" t="s">
        <v>34</v>
      </c>
      <c r="N785" s="10" t="s">
        <v>35</v>
      </c>
      <c r="V785" s="9"/>
      <c r="W785" s="13" t="s">
        <v>78</v>
      </c>
      <c r="X785" s="10" t="s">
        <v>37</v>
      </c>
      <c r="Y785" s="10" t="s">
        <v>0</v>
      </c>
    </row>
    <row r="786">
      <c r="A786" s="10" t="s">
        <v>2877</v>
      </c>
      <c r="B786" s="11">
        <v>44316.70240721064</v>
      </c>
      <c r="C786" s="10" t="s">
        <v>2874</v>
      </c>
      <c r="D786" s="10" t="s">
        <v>1036</v>
      </c>
      <c r="E786" s="10" t="s">
        <v>2878</v>
      </c>
      <c r="F786" s="10" t="s">
        <v>2879</v>
      </c>
      <c r="G786" s="10" t="s">
        <v>2880</v>
      </c>
      <c r="H786" s="17">
        <v>44322.77083333333</v>
      </c>
      <c r="I786" s="17">
        <v>44322.8125</v>
      </c>
      <c r="J786" s="10" t="s">
        <v>128</v>
      </c>
      <c r="K786" s="10" t="s">
        <v>34</v>
      </c>
      <c r="N786" s="10" t="s">
        <v>35</v>
      </c>
      <c r="V786" s="9"/>
      <c r="W786" s="13" t="s">
        <v>78</v>
      </c>
      <c r="X786" s="10" t="s">
        <v>37</v>
      </c>
      <c r="Y786" s="10" t="s">
        <v>0</v>
      </c>
    </row>
    <row r="787">
      <c r="A787" s="10" t="s">
        <v>2881</v>
      </c>
      <c r="B787" s="11">
        <v>44316.704813310185</v>
      </c>
      <c r="C787" s="10" t="s">
        <v>80</v>
      </c>
      <c r="D787" s="10" t="s">
        <v>81</v>
      </c>
      <c r="E787" s="10" t="s">
        <v>2882</v>
      </c>
      <c r="F787" s="10" t="s">
        <v>2883</v>
      </c>
      <c r="G787" s="10" t="s">
        <v>2884</v>
      </c>
      <c r="H787" s="24">
        <v>44322.41666666667</v>
      </c>
      <c r="I787" s="24">
        <v>44322.5</v>
      </c>
      <c r="J787" s="10" t="s">
        <v>43</v>
      </c>
      <c r="K787" s="10" t="s">
        <v>34</v>
      </c>
      <c r="N787" s="10" t="s">
        <v>296</v>
      </c>
      <c r="O787" s="18" t="s">
        <v>2885</v>
      </c>
      <c r="P787" s="10" t="s">
        <v>35</v>
      </c>
      <c r="R787" s="10" t="s">
        <v>296</v>
      </c>
      <c r="S787" s="10">
        <v>3.0</v>
      </c>
      <c r="T787" s="10" t="s">
        <v>35</v>
      </c>
      <c r="V787" s="9"/>
      <c r="W787" s="13" t="s">
        <v>78</v>
      </c>
      <c r="X787" s="10" t="s">
        <v>37</v>
      </c>
      <c r="Y787" s="10" t="s">
        <v>0</v>
      </c>
    </row>
    <row r="788">
      <c r="A788" s="10" t="s">
        <v>2886</v>
      </c>
      <c r="B788" s="11">
        <v>44321.76345809028</v>
      </c>
      <c r="C788" s="10" t="s">
        <v>80</v>
      </c>
      <c r="D788" s="10" t="s">
        <v>81</v>
      </c>
      <c r="E788" s="10" t="s">
        <v>2887</v>
      </c>
      <c r="F788" s="10" t="s">
        <v>2888</v>
      </c>
      <c r="G788" s="10" t="s">
        <v>2889</v>
      </c>
      <c r="H788" s="16">
        <v>44322.70833333333</v>
      </c>
      <c r="I788" s="16">
        <v>44322.79166666667</v>
      </c>
      <c r="J788" s="10" t="s">
        <v>43</v>
      </c>
      <c r="K788" s="10" t="s">
        <v>34</v>
      </c>
      <c r="N788" s="10" t="s">
        <v>296</v>
      </c>
      <c r="O788" s="18" t="s">
        <v>2890</v>
      </c>
      <c r="P788" s="10" t="s">
        <v>296</v>
      </c>
      <c r="Q788" s="10">
        <v>4.0</v>
      </c>
      <c r="R788" s="10" t="s">
        <v>35</v>
      </c>
      <c r="T788" s="10" t="s">
        <v>35</v>
      </c>
      <c r="V788" s="9"/>
      <c r="W788" s="13" t="s">
        <v>78</v>
      </c>
      <c r="X788" s="10" t="s">
        <v>37</v>
      </c>
      <c r="Y788" s="10" t="s">
        <v>0</v>
      </c>
    </row>
    <row r="789">
      <c r="A789" s="10" t="s">
        <v>2891</v>
      </c>
      <c r="B789" s="11">
        <v>44321.8343009838</v>
      </c>
      <c r="C789" s="10" t="s">
        <v>96</v>
      </c>
      <c r="D789" s="10" t="s">
        <v>97</v>
      </c>
      <c r="E789" s="10" t="s">
        <v>2892</v>
      </c>
      <c r="F789" s="10" t="s">
        <v>2893</v>
      </c>
      <c r="G789" s="10" t="s">
        <v>2889</v>
      </c>
      <c r="H789" s="16">
        <v>44322.70833333333</v>
      </c>
      <c r="I789" s="16">
        <v>44322.79166666667</v>
      </c>
      <c r="J789" s="10" t="s">
        <v>43</v>
      </c>
      <c r="K789" s="10" t="s">
        <v>34</v>
      </c>
      <c r="N789" s="10" t="s">
        <v>296</v>
      </c>
      <c r="O789" s="18" t="s">
        <v>2894</v>
      </c>
      <c r="P789" s="10" t="s">
        <v>296</v>
      </c>
      <c r="Q789" s="10">
        <v>4.0</v>
      </c>
      <c r="R789" s="10" t="s">
        <v>35</v>
      </c>
      <c r="T789" s="10" t="s">
        <v>35</v>
      </c>
      <c r="V789" s="9"/>
      <c r="W789" s="13" t="s">
        <v>78</v>
      </c>
      <c r="X789" s="10" t="s">
        <v>37</v>
      </c>
      <c r="Y789" s="10" t="s">
        <v>0</v>
      </c>
    </row>
    <row r="790">
      <c r="A790" s="10" t="s">
        <v>2895</v>
      </c>
      <c r="B790" s="11">
        <v>44317.440191319445</v>
      </c>
      <c r="C790" s="10" t="s">
        <v>491</v>
      </c>
      <c r="D790" s="10" t="s">
        <v>492</v>
      </c>
      <c r="E790" s="10" t="s">
        <v>2896</v>
      </c>
      <c r="F790" s="10" t="s">
        <v>2897</v>
      </c>
      <c r="G790" s="10" t="s">
        <v>2898</v>
      </c>
      <c r="H790" s="17">
        <v>44316.5</v>
      </c>
      <c r="I790" s="17">
        <v>44316.5</v>
      </c>
      <c r="J790" s="10" t="s">
        <v>73</v>
      </c>
      <c r="K790" s="10" t="s">
        <v>34</v>
      </c>
      <c r="N790" s="10" t="s">
        <v>35</v>
      </c>
      <c r="V790" s="9"/>
      <c r="W790" s="13" t="s">
        <v>78</v>
      </c>
      <c r="X790" s="10" t="s">
        <v>37</v>
      </c>
      <c r="Y790" s="10" t="s">
        <v>0</v>
      </c>
    </row>
    <row r="791">
      <c r="A791" s="10" t="s">
        <v>2899</v>
      </c>
      <c r="B791" s="11">
        <v>44317.44210216435</v>
      </c>
      <c r="C791" s="10" t="s">
        <v>491</v>
      </c>
      <c r="D791" s="10" t="s">
        <v>492</v>
      </c>
      <c r="E791" s="10" t="s">
        <v>657</v>
      </c>
      <c r="F791" s="10" t="s">
        <v>2900</v>
      </c>
      <c r="G791" s="10" t="s">
        <v>2901</v>
      </c>
      <c r="H791" s="17">
        <v>44317.41666666667</v>
      </c>
      <c r="I791" s="17">
        <v>44317.41666666667</v>
      </c>
      <c r="J791" s="10" t="s">
        <v>73</v>
      </c>
      <c r="K791" s="10" t="s">
        <v>34</v>
      </c>
      <c r="N791" s="10" t="s">
        <v>35</v>
      </c>
      <c r="V791" s="9"/>
      <c r="W791" s="13" t="s">
        <v>78</v>
      </c>
      <c r="X791" s="10" t="s">
        <v>37</v>
      </c>
      <c r="Y791" s="10" t="s">
        <v>0</v>
      </c>
    </row>
    <row r="792">
      <c r="A792" s="10" t="s">
        <v>2902</v>
      </c>
      <c r="B792" s="11">
        <v>44328.800930682875</v>
      </c>
      <c r="C792" s="10" t="s">
        <v>160</v>
      </c>
      <c r="D792" s="10" t="s">
        <v>161</v>
      </c>
      <c r="E792" s="10" t="s">
        <v>947</v>
      </c>
      <c r="F792" s="10" t="s">
        <v>2893</v>
      </c>
      <c r="G792" s="10" t="s">
        <v>2903</v>
      </c>
      <c r="H792" s="16">
        <v>44322.70833333333</v>
      </c>
      <c r="I792" s="16">
        <v>44322.79166666667</v>
      </c>
      <c r="J792" s="10" t="s">
        <v>43</v>
      </c>
      <c r="K792" s="10" t="s">
        <v>34</v>
      </c>
      <c r="N792" s="10" t="s">
        <v>296</v>
      </c>
      <c r="O792" s="18" t="s">
        <v>2904</v>
      </c>
      <c r="P792" s="10" t="s">
        <v>296</v>
      </c>
      <c r="Q792" s="10">
        <v>4.0</v>
      </c>
      <c r="R792" s="10" t="s">
        <v>35</v>
      </c>
      <c r="T792" s="10" t="s">
        <v>35</v>
      </c>
      <c r="V792" s="9"/>
      <c r="W792" s="13" t="s">
        <v>78</v>
      </c>
      <c r="X792" s="10" t="s">
        <v>37</v>
      </c>
      <c r="Y792" s="10" t="s">
        <v>0</v>
      </c>
    </row>
    <row r="793">
      <c r="A793" s="10" t="s">
        <v>2905</v>
      </c>
      <c r="B793" s="11">
        <v>44362.690533298606</v>
      </c>
      <c r="C793" s="10" t="s">
        <v>102</v>
      </c>
      <c r="D793" s="10" t="s">
        <v>103</v>
      </c>
      <c r="E793" s="10" t="s">
        <v>2906</v>
      </c>
      <c r="F793" s="10" t="s">
        <v>2907</v>
      </c>
      <c r="G793" s="10" t="s">
        <v>2908</v>
      </c>
      <c r="H793" s="16">
        <v>44322.70833333333</v>
      </c>
      <c r="I793" s="16">
        <v>44322.79166666667</v>
      </c>
      <c r="J793" s="10" t="s">
        <v>43</v>
      </c>
      <c r="K793" s="10" t="s">
        <v>34</v>
      </c>
      <c r="N793" s="10" t="s">
        <v>296</v>
      </c>
      <c r="O793" s="18" t="s">
        <v>2909</v>
      </c>
      <c r="P793" s="10" t="s">
        <v>296</v>
      </c>
      <c r="Q793" s="10">
        <v>4.0</v>
      </c>
      <c r="R793" s="10" t="s">
        <v>35</v>
      </c>
      <c r="T793" s="10" t="s">
        <v>35</v>
      </c>
      <c r="V793" s="9"/>
      <c r="W793" s="13" t="s">
        <v>78</v>
      </c>
      <c r="X793" s="10" t="s">
        <v>37</v>
      </c>
      <c r="Y793" s="10" t="s">
        <v>0</v>
      </c>
    </row>
    <row r="794">
      <c r="A794" s="10" t="s">
        <v>2910</v>
      </c>
      <c r="B794" s="11">
        <v>44318.42612395833</v>
      </c>
      <c r="C794" s="10" t="s">
        <v>491</v>
      </c>
      <c r="D794" s="10" t="s">
        <v>492</v>
      </c>
      <c r="E794" s="10" t="s">
        <v>2911</v>
      </c>
      <c r="F794" s="10" t="s">
        <v>2912</v>
      </c>
      <c r="G794" s="10" t="s">
        <v>2913</v>
      </c>
      <c r="H794" s="16">
        <v>44322.79166666667</v>
      </c>
      <c r="I794" s="16">
        <v>44322.85416666667</v>
      </c>
      <c r="J794" s="10" t="s">
        <v>43</v>
      </c>
      <c r="K794" s="10" t="s">
        <v>34</v>
      </c>
      <c r="N794" s="10" t="s">
        <v>35</v>
      </c>
      <c r="V794" s="9"/>
      <c r="W794" s="13" t="s">
        <v>78</v>
      </c>
      <c r="X794" s="10" t="s">
        <v>37</v>
      </c>
      <c r="Y794" s="10" t="s">
        <v>0</v>
      </c>
    </row>
    <row r="795">
      <c r="A795" s="10" t="s">
        <v>2914</v>
      </c>
      <c r="B795" s="11">
        <v>44315.62875094908</v>
      </c>
      <c r="C795" s="10" t="s">
        <v>28</v>
      </c>
      <c r="D795" s="10" t="s">
        <v>29</v>
      </c>
      <c r="E795" s="10" t="s">
        <v>63</v>
      </c>
      <c r="F795" s="10" t="s">
        <v>2915</v>
      </c>
      <c r="G795" s="10" t="s">
        <v>2916</v>
      </c>
      <c r="H795" s="24">
        <v>44323.4375</v>
      </c>
      <c r="I795" s="24">
        <v>44323.52083333333</v>
      </c>
      <c r="J795" s="10" t="s">
        <v>43</v>
      </c>
      <c r="K795" s="10" t="s">
        <v>34</v>
      </c>
      <c r="N795" s="10" t="s">
        <v>35</v>
      </c>
      <c r="V795" s="9"/>
      <c r="W795" s="13" t="s">
        <v>78</v>
      </c>
      <c r="X795" s="10" t="s">
        <v>37</v>
      </c>
      <c r="Y795" s="10" t="s">
        <v>0</v>
      </c>
    </row>
    <row r="796">
      <c r="A796" s="10" t="s">
        <v>2917</v>
      </c>
      <c r="B796" s="11">
        <v>44318.43652880787</v>
      </c>
      <c r="C796" s="10" t="s">
        <v>491</v>
      </c>
      <c r="D796" s="10" t="s">
        <v>492</v>
      </c>
      <c r="E796" s="10" t="s">
        <v>853</v>
      </c>
      <c r="F796" s="10" t="s">
        <v>2918</v>
      </c>
      <c r="G796" s="10" t="s">
        <v>2919</v>
      </c>
      <c r="H796" s="17">
        <v>44317.79166666667</v>
      </c>
      <c r="I796" s="17">
        <v>44317.79166666667</v>
      </c>
      <c r="J796" s="10" t="s">
        <v>73</v>
      </c>
      <c r="K796" s="10" t="s">
        <v>34</v>
      </c>
      <c r="N796" s="10" t="s">
        <v>35</v>
      </c>
      <c r="V796" s="9"/>
      <c r="W796" s="13" t="s">
        <v>78</v>
      </c>
      <c r="X796" s="10" t="s">
        <v>37</v>
      </c>
      <c r="Y796" s="10" t="s">
        <v>0</v>
      </c>
    </row>
    <row r="797">
      <c r="A797" s="10" t="s">
        <v>2920</v>
      </c>
      <c r="B797" s="11">
        <v>44318.70856018519</v>
      </c>
      <c r="C797" s="10" t="s">
        <v>186</v>
      </c>
      <c r="D797" s="10" t="s">
        <v>187</v>
      </c>
      <c r="E797" s="10" t="s">
        <v>188</v>
      </c>
      <c r="F797" s="10" t="s">
        <v>2921</v>
      </c>
      <c r="G797" s="10" t="s">
        <v>2922</v>
      </c>
      <c r="H797" s="17">
        <v>44319.52083333333</v>
      </c>
      <c r="I797" s="17">
        <v>44323.77083333333</v>
      </c>
      <c r="J797" s="10" t="s">
        <v>128</v>
      </c>
      <c r="K797" s="10" t="s">
        <v>34</v>
      </c>
      <c r="N797" s="10" t="s">
        <v>35</v>
      </c>
      <c r="V797" s="9"/>
      <c r="W797" s="13" t="s">
        <v>78</v>
      </c>
      <c r="X797" s="10" t="s">
        <v>37</v>
      </c>
      <c r="Y797" s="10" t="s">
        <v>0</v>
      </c>
    </row>
    <row r="798">
      <c r="A798" s="10" t="s">
        <v>2923</v>
      </c>
      <c r="B798" s="11">
        <v>44319.345521944444</v>
      </c>
      <c r="C798" s="10" t="s">
        <v>610</v>
      </c>
      <c r="D798" s="10" t="s">
        <v>611</v>
      </c>
      <c r="E798" s="10" t="s">
        <v>2562</v>
      </c>
      <c r="F798" s="10" t="s">
        <v>2924</v>
      </c>
      <c r="G798" s="10" t="s">
        <v>2925</v>
      </c>
      <c r="H798" s="17">
        <v>44323.0</v>
      </c>
      <c r="I798" s="17">
        <v>44337.99930555555</v>
      </c>
      <c r="J798" s="10" t="s">
        <v>128</v>
      </c>
      <c r="K798" s="10" t="s">
        <v>34</v>
      </c>
      <c r="N798" s="10" t="s">
        <v>35</v>
      </c>
      <c r="V798" s="9"/>
      <c r="W798" s="13" t="s">
        <v>78</v>
      </c>
      <c r="X798" s="10" t="s">
        <v>37</v>
      </c>
      <c r="Y798" s="10" t="s">
        <v>0</v>
      </c>
    </row>
    <row r="799">
      <c r="A799" s="10" t="s">
        <v>2926</v>
      </c>
      <c r="B799" s="11">
        <v>44316.688820208336</v>
      </c>
      <c r="C799" s="10" t="s">
        <v>186</v>
      </c>
      <c r="D799" s="10" t="s">
        <v>187</v>
      </c>
      <c r="E799" s="10" t="s">
        <v>188</v>
      </c>
      <c r="F799" s="10" t="s">
        <v>2927</v>
      </c>
      <c r="G799" s="10" t="s">
        <v>2928</v>
      </c>
      <c r="H799" s="24">
        <v>44323.4375</v>
      </c>
      <c r="I799" s="24">
        <v>44323.52083333333</v>
      </c>
      <c r="J799" s="10" t="s">
        <v>43</v>
      </c>
      <c r="K799" s="10" t="s">
        <v>34</v>
      </c>
      <c r="N799" s="10" t="s">
        <v>296</v>
      </c>
      <c r="O799" s="18" t="s">
        <v>2929</v>
      </c>
      <c r="P799" s="10" t="s">
        <v>296</v>
      </c>
      <c r="Q799" s="10">
        <v>6.0</v>
      </c>
      <c r="R799" s="10" t="s">
        <v>35</v>
      </c>
      <c r="T799" s="10" t="s">
        <v>35</v>
      </c>
      <c r="V799" s="9"/>
      <c r="W799" s="13" t="s">
        <v>78</v>
      </c>
      <c r="X799" s="10" t="s">
        <v>37</v>
      </c>
      <c r="Y799" s="10" t="s">
        <v>0</v>
      </c>
    </row>
    <row r="800">
      <c r="A800" s="10" t="s">
        <v>2930</v>
      </c>
      <c r="B800" s="11">
        <v>44319.69578355324</v>
      </c>
      <c r="C800" s="10" t="s">
        <v>239</v>
      </c>
      <c r="D800" s="10" t="s">
        <v>240</v>
      </c>
      <c r="E800" s="10" t="s">
        <v>1975</v>
      </c>
      <c r="F800" s="10" t="s">
        <v>2931</v>
      </c>
      <c r="G800" s="10" t="s">
        <v>2932</v>
      </c>
      <c r="H800" s="17">
        <v>44337.604166666664</v>
      </c>
      <c r="I800" s="17">
        <v>44337.645833333336</v>
      </c>
      <c r="J800" s="10" t="s">
        <v>128</v>
      </c>
      <c r="K800" s="10" t="s">
        <v>34</v>
      </c>
      <c r="N800" s="10" t="s">
        <v>35</v>
      </c>
      <c r="V800" s="9"/>
      <c r="W800" s="13" t="s">
        <v>78</v>
      </c>
      <c r="X800" s="10" t="s">
        <v>37</v>
      </c>
      <c r="Y800" s="10" t="s">
        <v>0</v>
      </c>
    </row>
    <row r="801">
      <c r="A801" s="10" t="s">
        <v>2933</v>
      </c>
      <c r="B801" s="11">
        <v>44316.70666574074</v>
      </c>
      <c r="C801" s="10" t="s">
        <v>80</v>
      </c>
      <c r="D801" s="10" t="s">
        <v>81</v>
      </c>
      <c r="E801" s="10" t="s">
        <v>2882</v>
      </c>
      <c r="F801" s="10" t="s">
        <v>2934</v>
      </c>
      <c r="G801" s="10" t="s">
        <v>2884</v>
      </c>
      <c r="H801" s="24">
        <v>44323.66666666667</v>
      </c>
      <c r="I801" s="24">
        <v>44323.73611111111</v>
      </c>
      <c r="J801" s="10" t="s">
        <v>43</v>
      </c>
      <c r="K801" s="10" t="s">
        <v>34</v>
      </c>
      <c r="N801" s="10" t="s">
        <v>296</v>
      </c>
      <c r="O801" s="18" t="s">
        <v>2935</v>
      </c>
      <c r="P801" s="10" t="s">
        <v>296</v>
      </c>
      <c r="Q801" s="10">
        <v>2.0</v>
      </c>
      <c r="R801" s="10" t="s">
        <v>296</v>
      </c>
      <c r="S801" s="10">
        <v>1.0</v>
      </c>
      <c r="T801" s="10" t="s">
        <v>35</v>
      </c>
      <c r="V801" s="9"/>
      <c r="W801" s="13" t="s">
        <v>78</v>
      </c>
      <c r="X801" s="10" t="s">
        <v>37</v>
      </c>
      <c r="Y801" s="10" t="s">
        <v>0</v>
      </c>
    </row>
    <row r="802">
      <c r="A802" s="10" t="s">
        <v>2936</v>
      </c>
      <c r="B802" s="11">
        <v>44320.45102847222</v>
      </c>
      <c r="C802" s="10" t="s">
        <v>181</v>
      </c>
      <c r="D802" s="10" t="s">
        <v>69</v>
      </c>
      <c r="E802" s="10" t="s">
        <v>860</v>
      </c>
      <c r="F802" s="10" t="s">
        <v>2937</v>
      </c>
      <c r="G802" s="10" t="s">
        <v>2938</v>
      </c>
      <c r="H802" s="17">
        <v>44327.375</v>
      </c>
      <c r="I802" s="17">
        <v>44338.95833333333</v>
      </c>
      <c r="J802" s="10" t="s">
        <v>73</v>
      </c>
      <c r="K802" s="10" t="s">
        <v>34</v>
      </c>
      <c r="N802" s="10" t="s">
        <v>35</v>
      </c>
      <c r="V802" s="9"/>
      <c r="W802" s="13" t="s">
        <v>78</v>
      </c>
      <c r="X802" s="10" t="s">
        <v>37</v>
      </c>
      <c r="Y802" s="10" t="s">
        <v>0</v>
      </c>
    </row>
    <row r="803">
      <c r="A803" s="10" t="s">
        <v>2939</v>
      </c>
      <c r="B803" s="11">
        <v>44319.92130685185</v>
      </c>
      <c r="C803" s="10" t="s">
        <v>1583</v>
      </c>
      <c r="D803" s="10" t="s">
        <v>505</v>
      </c>
      <c r="E803" s="10" t="s">
        <v>2105</v>
      </c>
      <c r="F803" s="10" t="s">
        <v>2940</v>
      </c>
      <c r="G803" s="10" t="s">
        <v>2941</v>
      </c>
      <c r="H803" s="16">
        <v>44323.79166666667</v>
      </c>
      <c r="I803" s="16">
        <v>44323.875</v>
      </c>
      <c r="J803" s="10" t="s">
        <v>43</v>
      </c>
      <c r="K803" s="10" t="s">
        <v>34</v>
      </c>
      <c r="N803" s="10" t="s">
        <v>35</v>
      </c>
      <c r="V803" s="9"/>
      <c r="W803" s="13" t="s">
        <v>78</v>
      </c>
      <c r="X803" s="10" t="s">
        <v>37</v>
      </c>
      <c r="Y803" s="10" t="s">
        <v>0</v>
      </c>
    </row>
    <row r="804">
      <c r="A804" s="10" t="s">
        <v>2942</v>
      </c>
      <c r="B804" s="11">
        <v>44320.64366165509</v>
      </c>
      <c r="C804" s="10" t="s">
        <v>347</v>
      </c>
      <c r="D804" s="10" t="s">
        <v>348</v>
      </c>
      <c r="E804" s="10" t="s">
        <v>2943</v>
      </c>
      <c r="F804" s="10" t="s">
        <v>2944</v>
      </c>
      <c r="G804" s="10" t="s">
        <v>2945</v>
      </c>
      <c r="H804" s="24">
        <v>44324.39583333333</v>
      </c>
      <c r="I804" s="24">
        <v>44324.47916666667</v>
      </c>
      <c r="J804" s="10" t="s">
        <v>172</v>
      </c>
      <c r="K804" s="10" t="s">
        <v>34</v>
      </c>
      <c r="M804" s="10" t="s">
        <v>2946</v>
      </c>
      <c r="N804" s="10" t="s">
        <v>35</v>
      </c>
      <c r="V804" s="9"/>
      <c r="W804" s="13" t="s">
        <v>78</v>
      </c>
      <c r="X804" s="10" t="s">
        <v>37</v>
      </c>
      <c r="Y804" s="10" t="s">
        <v>0</v>
      </c>
    </row>
    <row r="805">
      <c r="A805" s="10" t="s">
        <v>2947</v>
      </c>
      <c r="B805" s="11">
        <v>44324.45836780092</v>
      </c>
      <c r="C805" s="10" t="s">
        <v>694</v>
      </c>
      <c r="D805" s="10" t="s">
        <v>695</v>
      </c>
      <c r="E805" s="10" t="s">
        <v>696</v>
      </c>
      <c r="F805" s="10" t="s">
        <v>2948</v>
      </c>
      <c r="G805" s="10" t="s">
        <v>2949</v>
      </c>
      <c r="H805" s="16">
        <v>44324.39583333333</v>
      </c>
      <c r="I805" s="16">
        <v>44324.4375</v>
      </c>
      <c r="J805" s="10" t="s">
        <v>43</v>
      </c>
      <c r="K805" s="10" t="s">
        <v>34</v>
      </c>
      <c r="N805" s="10" t="s">
        <v>35</v>
      </c>
      <c r="V805" s="9"/>
      <c r="W805" s="13" t="s">
        <v>78</v>
      </c>
      <c r="X805" s="10" t="s">
        <v>37</v>
      </c>
      <c r="Y805" s="10" t="s">
        <v>0</v>
      </c>
    </row>
    <row r="806">
      <c r="A806" s="10" t="s">
        <v>2950</v>
      </c>
      <c r="B806" s="11">
        <v>44320.612454710645</v>
      </c>
      <c r="C806" s="10" t="s">
        <v>671</v>
      </c>
      <c r="D806" s="10" t="s">
        <v>672</v>
      </c>
      <c r="E806" s="10" t="s">
        <v>2951</v>
      </c>
      <c r="F806" s="10" t="s">
        <v>2952</v>
      </c>
      <c r="G806" s="10" t="s">
        <v>2953</v>
      </c>
      <c r="H806" s="17">
        <v>44322.6875</v>
      </c>
      <c r="I806" s="17">
        <v>44322.77083333333</v>
      </c>
      <c r="J806" s="10" t="s">
        <v>128</v>
      </c>
      <c r="K806" s="10" t="s">
        <v>34</v>
      </c>
      <c r="N806" s="10" t="s">
        <v>35</v>
      </c>
      <c r="V806" s="9"/>
      <c r="W806" s="13" t="s">
        <v>78</v>
      </c>
      <c r="X806" s="10" t="s">
        <v>37</v>
      </c>
      <c r="Y806" s="10" t="s">
        <v>0</v>
      </c>
    </row>
    <row r="807">
      <c r="A807" s="10" t="s">
        <v>2954</v>
      </c>
      <c r="B807" s="11">
        <v>44320.61376143519</v>
      </c>
      <c r="C807" s="10" t="s">
        <v>671</v>
      </c>
      <c r="D807" s="10" t="s">
        <v>672</v>
      </c>
      <c r="E807" s="10" t="s">
        <v>1722</v>
      </c>
      <c r="F807" s="10" t="s">
        <v>2955</v>
      </c>
      <c r="G807" s="10" t="s">
        <v>2956</v>
      </c>
      <c r="H807" s="17">
        <v>44323.6875</v>
      </c>
      <c r="I807" s="17">
        <v>44323.72916666667</v>
      </c>
      <c r="J807" s="10" t="s">
        <v>128</v>
      </c>
      <c r="K807" s="10" t="s">
        <v>34</v>
      </c>
      <c r="N807" s="10" t="s">
        <v>35</v>
      </c>
      <c r="V807" s="9"/>
      <c r="W807" s="13" t="s">
        <v>78</v>
      </c>
      <c r="X807" s="10" t="s">
        <v>37</v>
      </c>
      <c r="Y807" s="10" t="s">
        <v>0</v>
      </c>
    </row>
    <row r="808">
      <c r="A808" s="10" t="s">
        <v>2957</v>
      </c>
      <c r="B808" s="11">
        <v>44320.614443425926</v>
      </c>
      <c r="C808" s="10" t="s">
        <v>671</v>
      </c>
      <c r="D808" s="10" t="s">
        <v>672</v>
      </c>
      <c r="E808" s="10" t="s">
        <v>1722</v>
      </c>
      <c r="F808" s="10" t="s">
        <v>2958</v>
      </c>
      <c r="G808" s="10" t="s">
        <v>2959</v>
      </c>
      <c r="H808" s="17">
        <v>44323.60416666667</v>
      </c>
      <c r="I808" s="17">
        <v>44323.64583333333</v>
      </c>
      <c r="J808" s="10" t="s">
        <v>128</v>
      </c>
      <c r="K808" s="10" t="s">
        <v>34</v>
      </c>
      <c r="N808" s="10" t="s">
        <v>35</v>
      </c>
      <c r="V808" s="9"/>
      <c r="W808" s="13" t="s">
        <v>78</v>
      </c>
      <c r="X808" s="10" t="s">
        <v>37</v>
      </c>
      <c r="Y808" s="10" t="s">
        <v>0</v>
      </c>
    </row>
    <row r="809">
      <c r="A809" s="10" t="s">
        <v>2960</v>
      </c>
      <c r="B809" s="11">
        <v>44316.92571516204</v>
      </c>
      <c r="C809" s="10" t="s">
        <v>28</v>
      </c>
      <c r="D809" s="10" t="s">
        <v>29</v>
      </c>
      <c r="E809" s="10" t="s">
        <v>2323</v>
      </c>
      <c r="F809" s="10" t="s">
        <v>2961</v>
      </c>
      <c r="G809" s="10" t="s">
        <v>2962</v>
      </c>
      <c r="H809" s="16">
        <v>44324.4375</v>
      </c>
      <c r="I809" s="16">
        <v>44324.52083333333</v>
      </c>
      <c r="J809" s="10" t="s">
        <v>43</v>
      </c>
      <c r="K809" s="10" t="s">
        <v>34</v>
      </c>
      <c r="N809" s="10" t="s">
        <v>35</v>
      </c>
      <c r="V809" s="9"/>
      <c r="W809" s="13" t="s">
        <v>78</v>
      </c>
      <c r="X809" s="10" t="s">
        <v>37</v>
      </c>
      <c r="Y809" s="10" t="s">
        <v>0</v>
      </c>
    </row>
    <row r="810">
      <c r="A810" s="10" t="s">
        <v>2963</v>
      </c>
      <c r="B810" s="11">
        <v>44320.65652016204</v>
      </c>
      <c r="C810" s="10" t="s">
        <v>1516</v>
      </c>
      <c r="D810" s="10" t="s">
        <v>611</v>
      </c>
      <c r="E810" s="10" t="s">
        <v>2562</v>
      </c>
      <c r="F810" s="10" t="s">
        <v>2563</v>
      </c>
      <c r="G810" s="10" t="s">
        <v>2964</v>
      </c>
      <c r="H810" s="17">
        <v>44324.45833333333</v>
      </c>
      <c r="I810" s="17">
        <v>44324.99930555555</v>
      </c>
      <c r="J810" s="10" t="s">
        <v>128</v>
      </c>
      <c r="K810" s="10" t="s">
        <v>34</v>
      </c>
      <c r="N810" s="10" t="s">
        <v>35</v>
      </c>
      <c r="V810" s="9"/>
      <c r="W810" s="13" t="s">
        <v>78</v>
      </c>
      <c r="X810" s="10" t="s">
        <v>37</v>
      </c>
      <c r="Y810" s="10" t="s">
        <v>0</v>
      </c>
    </row>
    <row r="811">
      <c r="A811" s="10" t="s">
        <v>2965</v>
      </c>
      <c r="B811" s="11">
        <v>44320.68379804398</v>
      </c>
      <c r="C811" s="10" t="s">
        <v>610</v>
      </c>
      <c r="D811" s="10" t="s">
        <v>611</v>
      </c>
      <c r="E811" s="10" t="s">
        <v>2562</v>
      </c>
      <c r="F811" s="10" t="s">
        <v>2563</v>
      </c>
      <c r="G811" s="10" t="s">
        <v>2564</v>
      </c>
      <c r="H811" s="17">
        <v>44324.45833333333</v>
      </c>
      <c r="I811" s="17">
        <v>44324.99930555555</v>
      </c>
      <c r="J811" s="10" t="s">
        <v>128</v>
      </c>
      <c r="K811" s="10" t="s">
        <v>34</v>
      </c>
      <c r="N811" s="10" t="s">
        <v>35</v>
      </c>
      <c r="V811" s="9"/>
      <c r="W811" s="13" t="s">
        <v>78</v>
      </c>
      <c r="X811" s="10" t="s">
        <v>37</v>
      </c>
      <c r="Y811" s="10" t="s">
        <v>0</v>
      </c>
    </row>
    <row r="812">
      <c r="A812" s="10" t="s">
        <v>2966</v>
      </c>
      <c r="B812" s="11">
        <v>44362.68540248842</v>
      </c>
      <c r="C812" s="10" t="s">
        <v>102</v>
      </c>
      <c r="D812" s="10" t="s">
        <v>103</v>
      </c>
      <c r="E812" s="10" t="s">
        <v>2870</v>
      </c>
      <c r="F812" s="10" t="s">
        <v>2967</v>
      </c>
      <c r="G812" s="10" t="s">
        <v>2968</v>
      </c>
      <c r="H812" s="16">
        <v>44324.4375</v>
      </c>
      <c r="I812" s="16">
        <v>44324.52083333333</v>
      </c>
      <c r="J812" s="10" t="s">
        <v>43</v>
      </c>
      <c r="K812" s="10" t="s">
        <v>34</v>
      </c>
      <c r="N812" s="10" t="s">
        <v>296</v>
      </c>
      <c r="O812" s="18" t="s">
        <v>2969</v>
      </c>
      <c r="P812" s="10" t="s">
        <v>296</v>
      </c>
      <c r="Q812" s="10">
        <v>4.0</v>
      </c>
      <c r="R812" s="10" t="s">
        <v>35</v>
      </c>
      <c r="T812" s="10" t="s">
        <v>35</v>
      </c>
      <c r="V812" s="9"/>
      <c r="W812" s="13" t="s">
        <v>78</v>
      </c>
      <c r="X812" s="10" t="s">
        <v>37</v>
      </c>
      <c r="Y812" s="10" t="s">
        <v>0</v>
      </c>
    </row>
    <row r="813">
      <c r="A813" s="10" t="s">
        <v>2970</v>
      </c>
      <c r="B813" s="11">
        <v>44362.681375370375</v>
      </c>
      <c r="C813" s="10" t="s">
        <v>102</v>
      </c>
      <c r="D813" s="10" t="s">
        <v>103</v>
      </c>
      <c r="E813" s="10" t="s">
        <v>2870</v>
      </c>
      <c r="F813" s="10" t="s">
        <v>2971</v>
      </c>
      <c r="G813" s="10" t="s">
        <v>2972</v>
      </c>
      <c r="H813" s="16">
        <v>44324.72916666667</v>
      </c>
      <c r="I813" s="16">
        <v>44324.8125</v>
      </c>
      <c r="J813" s="10" t="s">
        <v>43</v>
      </c>
      <c r="K813" s="10" t="s">
        <v>34</v>
      </c>
      <c r="N813" s="10" t="s">
        <v>296</v>
      </c>
      <c r="O813" s="18" t="s">
        <v>2973</v>
      </c>
      <c r="P813" s="10" t="s">
        <v>296</v>
      </c>
      <c r="Q813" s="10">
        <v>4.0</v>
      </c>
      <c r="R813" s="10" t="s">
        <v>35</v>
      </c>
      <c r="T813" s="10" t="s">
        <v>35</v>
      </c>
      <c r="V813" s="9"/>
      <c r="W813" s="13" t="s">
        <v>78</v>
      </c>
      <c r="X813" s="10" t="s">
        <v>37</v>
      </c>
      <c r="Y813" s="10" t="s">
        <v>0</v>
      </c>
    </row>
    <row r="814">
      <c r="A814" s="10" t="s">
        <v>2974</v>
      </c>
      <c r="B814" s="11">
        <v>44314.39259876157</v>
      </c>
      <c r="C814" s="10" t="s">
        <v>209</v>
      </c>
      <c r="D814" s="10" t="s">
        <v>210</v>
      </c>
      <c r="E814" s="10" t="s">
        <v>261</v>
      </c>
      <c r="F814" s="10" t="s">
        <v>2975</v>
      </c>
      <c r="G814" s="10" t="s">
        <v>2976</v>
      </c>
      <c r="H814" s="24">
        <v>44326.60416666667</v>
      </c>
      <c r="I814" s="24">
        <v>44326.6875</v>
      </c>
      <c r="J814" s="10" t="s">
        <v>43</v>
      </c>
      <c r="K814" s="10" t="s">
        <v>34</v>
      </c>
      <c r="N814" s="10" t="s">
        <v>296</v>
      </c>
      <c r="O814" s="18" t="s">
        <v>2977</v>
      </c>
      <c r="P814" s="10" t="s">
        <v>35</v>
      </c>
      <c r="R814" s="10" t="s">
        <v>35</v>
      </c>
      <c r="T814" s="10" t="s">
        <v>296</v>
      </c>
      <c r="U814" s="10">
        <v>1.0</v>
      </c>
      <c r="V814" s="27"/>
      <c r="W814" s="13" t="s">
        <v>78</v>
      </c>
      <c r="X814" s="10" t="s">
        <v>37</v>
      </c>
      <c r="Y814" s="10" t="s">
        <v>0</v>
      </c>
    </row>
    <row r="815">
      <c r="A815" s="10" t="s">
        <v>2978</v>
      </c>
      <c r="B815" s="11">
        <v>44323.633859375</v>
      </c>
      <c r="C815" s="10" t="s">
        <v>181</v>
      </c>
      <c r="D815" s="10" t="s">
        <v>69</v>
      </c>
      <c r="E815" s="10" t="s">
        <v>2979</v>
      </c>
      <c r="F815" s="10" t="s">
        <v>2980</v>
      </c>
      <c r="G815" s="10" t="s">
        <v>2981</v>
      </c>
      <c r="H815" s="17">
        <v>44330.60416666667</v>
      </c>
      <c r="I815" s="17">
        <v>44330.6875</v>
      </c>
      <c r="J815" s="10" t="s">
        <v>128</v>
      </c>
      <c r="K815" s="10" t="s">
        <v>34</v>
      </c>
      <c r="N815" s="10" t="s">
        <v>35</v>
      </c>
      <c r="V815" s="9"/>
      <c r="W815" s="13" t="s">
        <v>78</v>
      </c>
      <c r="X815" s="10" t="s">
        <v>37</v>
      </c>
      <c r="Y815" s="10" t="s">
        <v>0</v>
      </c>
    </row>
    <row r="816">
      <c r="A816" s="10" t="s">
        <v>2982</v>
      </c>
      <c r="B816" s="11">
        <v>44323.731865497684</v>
      </c>
      <c r="C816" s="10" t="s">
        <v>181</v>
      </c>
      <c r="D816" s="10" t="s">
        <v>69</v>
      </c>
      <c r="E816" s="10" t="s">
        <v>2979</v>
      </c>
      <c r="F816" s="10" t="s">
        <v>2980</v>
      </c>
      <c r="G816" s="10" t="s">
        <v>2983</v>
      </c>
      <c r="H816" s="17">
        <v>44331.33333333333</v>
      </c>
      <c r="I816" s="17">
        <v>44331.33333333333</v>
      </c>
      <c r="J816" s="10" t="s">
        <v>73</v>
      </c>
      <c r="K816" s="10" t="s">
        <v>34</v>
      </c>
      <c r="N816" s="10" t="s">
        <v>35</v>
      </c>
      <c r="V816" s="9"/>
      <c r="W816" s="13" t="s">
        <v>78</v>
      </c>
      <c r="X816" s="10" t="s">
        <v>37</v>
      </c>
      <c r="Y816" s="10" t="s">
        <v>0</v>
      </c>
    </row>
    <row r="817">
      <c r="A817" s="10" t="s">
        <v>2984</v>
      </c>
      <c r="B817" s="11">
        <v>44328.79625142361</v>
      </c>
      <c r="C817" s="10" t="s">
        <v>160</v>
      </c>
      <c r="D817" s="10" t="s">
        <v>161</v>
      </c>
      <c r="E817" s="10" t="s">
        <v>947</v>
      </c>
      <c r="F817" s="10" t="s">
        <v>2985</v>
      </c>
      <c r="G817" s="10" t="s">
        <v>2986</v>
      </c>
      <c r="H817" s="16">
        <v>44326.6875</v>
      </c>
      <c r="I817" s="16">
        <v>44326.77083333333</v>
      </c>
      <c r="J817" s="10" t="s">
        <v>43</v>
      </c>
      <c r="K817" s="10" t="s">
        <v>34</v>
      </c>
      <c r="N817" s="10" t="s">
        <v>296</v>
      </c>
      <c r="O817" s="18" t="s">
        <v>2987</v>
      </c>
      <c r="P817" s="10" t="s">
        <v>296</v>
      </c>
      <c r="Q817" s="10">
        <v>4.0</v>
      </c>
      <c r="R817" s="10" t="s">
        <v>35</v>
      </c>
      <c r="T817" s="10" t="s">
        <v>35</v>
      </c>
      <c r="V817" s="9"/>
      <c r="W817" s="13" t="s">
        <v>78</v>
      </c>
      <c r="X817" s="10" t="s">
        <v>37</v>
      </c>
      <c r="Y817" s="10" t="s">
        <v>0</v>
      </c>
    </row>
    <row r="818">
      <c r="A818" s="10" t="s">
        <v>2988</v>
      </c>
      <c r="B818" s="11">
        <v>44363.78928802084</v>
      </c>
      <c r="C818" s="10" t="s">
        <v>102</v>
      </c>
      <c r="D818" s="10" t="s">
        <v>103</v>
      </c>
      <c r="E818" s="10" t="s">
        <v>2989</v>
      </c>
      <c r="F818" s="10" t="s">
        <v>2990</v>
      </c>
      <c r="G818" s="10" t="s">
        <v>2991</v>
      </c>
      <c r="H818" s="16">
        <v>44326.6875</v>
      </c>
      <c r="I818" s="16">
        <v>44326.77083333333</v>
      </c>
      <c r="J818" s="10" t="s">
        <v>43</v>
      </c>
      <c r="K818" s="10" t="s">
        <v>34</v>
      </c>
      <c r="N818" s="10" t="s">
        <v>296</v>
      </c>
      <c r="O818" s="18" t="s">
        <v>2992</v>
      </c>
      <c r="P818" s="10" t="s">
        <v>296</v>
      </c>
      <c r="Q818" s="10">
        <v>4.0</v>
      </c>
      <c r="R818" s="10" t="s">
        <v>35</v>
      </c>
      <c r="T818" s="10" t="s">
        <v>35</v>
      </c>
      <c r="V818" s="9"/>
      <c r="W818" s="13" t="s">
        <v>78</v>
      </c>
      <c r="X818" s="10" t="s">
        <v>37</v>
      </c>
      <c r="Y818" s="10" t="s">
        <v>0</v>
      </c>
    </row>
    <row r="819">
      <c r="A819" s="10" t="s">
        <v>2993</v>
      </c>
      <c r="B819" s="11">
        <v>44315.630327418985</v>
      </c>
      <c r="C819" s="10" t="s">
        <v>28</v>
      </c>
      <c r="D819" s="10" t="s">
        <v>29</v>
      </c>
      <c r="E819" s="10" t="s">
        <v>2323</v>
      </c>
      <c r="F819" s="10" t="s">
        <v>2994</v>
      </c>
      <c r="G819" s="10" t="s">
        <v>2995</v>
      </c>
      <c r="H819" s="24">
        <v>44327.60416666667</v>
      </c>
      <c r="I819" s="24">
        <v>44327.6875</v>
      </c>
      <c r="J819" s="10" t="s">
        <v>43</v>
      </c>
      <c r="K819" s="10" t="s">
        <v>34</v>
      </c>
      <c r="N819" s="10" t="s">
        <v>35</v>
      </c>
      <c r="V819" s="9"/>
      <c r="W819" s="13" t="s">
        <v>78</v>
      </c>
      <c r="X819" s="10" t="s">
        <v>37</v>
      </c>
      <c r="Y819" s="10" t="s">
        <v>0</v>
      </c>
    </row>
    <row r="820">
      <c r="A820" s="10" t="s">
        <v>2996</v>
      </c>
      <c r="B820" s="11">
        <v>44317.735769861116</v>
      </c>
      <c r="C820" s="10" t="s">
        <v>209</v>
      </c>
      <c r="D820" s="10" t="s">
        <v>210</v>
      </c>
      <c r="E820" s="10" t="s">
        <v>261</v>
      </c>
      <c r="F820" s="10" t="s">
        <v>2997</v>
      </c>
      <c r="G820" s="10" t="s">
        <v>2998</v>
      </c>
      <c r="H820" s="24">
        <v>44327.6875</v>
      </c>
      <c r="I820" s="24">
        <v>44327.77083333333</v>
      </c>
      <c r="J820" s="10" t="s">
        <v>43</v>
      </c>
      <c r="K820" s="10" t="s">
        <v>34</v>
      </c>
      <c r="N820" s="10" t="s">
        <v>296</v>
      </c>
      <c r="O820" s="18" t="s">
        <v>2999</v>
      </c>
      <c r="P820" s="10" t="s">
        <v>35</v>
      </c>
      <c r="R820" s="10" t="s">
        <v>296</v>
      </c>
      <c r="S820" s="10">
        <v>1.0</v>
      </c>
      <c r="T820" s="10" t="s">
        <v>296</v>
      </c>
      <c r="U820" s="10">
        <v>1.0</v>
      </c>
      <c r="V820" s="27"/>
      <c r="W820" s="13" t="s">
        <v>78</v>
      </c>
      <c r="X820" s="10" t="s">
        <v>37</v>
      </c>
      <c r="Y820" s="10" t="s">
        <v>0</v>
      </c>
    </row>
    <row r="821">
      <c r="A821" s="10" t="s">
        <v>3000</v>
      </c>
      <c r="B821" s="11">
        <v>44326.682396793985</v>
      </c>
      <c r="C821" s="10" t="s">
        <v>46</v>
      </c>
      <c r="D821" s="10" t="s">
        <v>47</v>
      </c>
      <c r="E821" s="10" t="s">
        <v>233</v>
      </c>
      <c r="F821" s="10" t="s">
        <v>3001</v>
      </c>
      <c r="G821" s="10" t="s">
        <v>3002</v>
      </c>
      <c r="H821" s="16">
        <v>44227.375</v>
      </c>
      <c r="I821" s="16">
        <v>44265.75</v>
      </c>
      <c r="J821" s="10" t="s">
        <v>128</v>
      </c>
      <c r="K821" s="10" t="s">
        <v>34</v>
      </c>
      <c r="N821" s="10" t="s">
        <v>35</v>
      </c>
      <c r="V821" s="9"/>
      <c r="W821" s="13" t="s">
        <v>1669</v>
      </c>
      <c r="X821" s="10" t="s">
        <v>237</v>
      </c>
      <c r="Y821" s="10" t="s">
        <v>0</v>
      </c>
    </row>
    <row r="822">
      <c r="A822" s="10" t="s">
        <v>3003</v>
      </c>
      <c r="B822" s="11">
        <v>44323.85394450232</v>
      </c>
      <c r="C822" s="10" t="s">
        <v>392</v>
      </c>
      <c r="D822" s="10" t="s">
        <v>393</v>
      </c>
      <c r="E822" s="10" t="s">
        <v>3004</v>
      </c>
      <c r="F822" s="10" t="s">
        <v>3005</v>
      </c>
      <c r="G822" s="10" t="s">
        <v>3006</v>
      </c>
      <c r="H822" s="24">
        <v>44327.75</v>
      </c>
      <c r="I822" s="24">
        <v>44327.83333333333</v>
      </c>
      <c r="J822" s="10" t="s">
        <v>43</v>
      </c>
      <c r="K822" s="10" t="s">
        <v>34</v>
      </c>
      <c r="N822" s="10" t="s">
        <v>296</v>
      </c>
      <c r="O822" s="18" t="s">
        <v>3007</v>
      </c>
      <c r="P822" s="10" t="s">
        <v>296</v>
      </c>
      <c r="Q822" s="10">
        <v>5.0</v>
      </c>
      <c r="R822" s="10" t="s">
        <v>296</v>
      </c>
      <c r="S822" s="10">
        <v>5.0</v>
      </c>
      <c r="T822" s="10" t="s">
        <v>35</v>
      </c>
      <c r="V822" s="9"/>
      <c r="W822" s="13" t="s">
        <v>1669</v>
      </c>
      <c r="X822" s="10" t="s">
        <v>37</v>
      </c>
      <c r="Y822" s="10" t="s">
        <v>0</v>
      </c>
    </row>
    <row r="823">
      <c r="A823" s="10" t="s">
        <v>3008</v>
      </c>
      <c r="B823" s="11">
        <v>44320.60299494213</v>
      </c>
      <c r="C823" s="10" t="s">
        <v>347</v>
      </c>
      <c r="D823" s="10" t="s">
        <v>348</v>
      </c>
      <c r="E823" s="10" t="s">
        <v>349</v>
      </c>
      <c r="F823" s="10" t="s">
        <v>3009</v>
      </c>
      <c r="G823" s="10" t="s">
        <v>3010</v>
      </c>
      <c r="H823" s="24">
        <v>44328.10416666667</v>
      </c>
      <c r="I823" s="24">
        <v>44328.14583333333</v>
      </c>
      <c r="J823" s="10" t="s">
        <v>43</v>
      </c>
      <c r="K823" s="10" t="s">
        <v>34</v>
      </c>
      <c r="N823" s="10" t="s">
        <v>296</v>
      </c>
      <c r="O823" s="18" t="s">
        <v>3011</v>
      </c>
      <c r="P823" s="10" t="s">
        <v>296</v>
      </c>
      <c r="Q823" s="10">
        <v>2.0</v>
      </c>
      <c r="R823" s="10" t="s">
        <v>35</v>
      </c>
      <c r="T823" s="10" t="s">
        <v>35</v>
      </c>
      <c r="V823" s="9"/>
      <c r="W823" s="13" t="s">
        <v>1669</v>
      </c>
      <c r="X823" s="10" t="s">
        <v>37</v>
      </c>
      <c r="Y823" s="10" t="s">
        <v>0</v>
      </c>
    </row>
    <row r="824">
      <c r="A824" s="10" t="s">
        <v>3012</v>
      </c>
      <c r="B824" s="11">
        <v>44326.70301960648</v>
      </c>
      <c r="C824" s="10" t="s">
        <v>46</v>
      </c>
      <c r="D824" s="10" t="s">
        <v>47</v>
      </c>
      <c r="E824" s="10" t="s">
        <v>3013</v>
      </c>
      <c r="F824" s="10" t="s">
        <v>3014</v>
      </c>
      <c r="G824" s="10" t="s">
        <v>3015</v>
      </c>
      <c r="H824" s="16">
        <v>44238.41666666667</v>
      </c>
      <c r="I824" s="16">
        <v>44238.99930555555</v>
      </c>
      <c r="J824" s="10" t="s">
        <v>51</v>
      </c>
      <c r="K824" s="10" t="s">
        <v>34</v>
      </c>
      <c r="N824" s="10" t="s">
        <v>35</v>
      </c>
      <c r="V824" s="9"/>
      <c r="W824" s="13" t="s">
        <v>1669</v>
      </c>
      <c r="X824" s="10" t="s">
        <v>237</v>
      </c>
      <c r="Y824" s="10" t="s">
        <v>0</v>
      </c>
    </row>
    <row r="825">
      <c r="A825" s="10" t="s">
        <v>3016</v>
      </c>
      <c r="B825" s="11">
        <v>44326.716678888886</v>
      </c>
      <c r="C825" s="10" t="s">
        <v>46</v>
      </c>
      <c r="D825" s="10" t="s">
        <v>47</v>
      </c>
      <c r="E825" s="10" t="s">
        <v>3017</v>
      </c>
      <c r="F825" s="10" t="s">
        <v>3018</v>
      </c>
      <c r="G825" s="10" t="s">
        <v>3019</v>
      </c>
      <c r="H825" s="16">
        <v>44247.66666666667</v>
      </c>
      <c r="I825" s="16">
        <v>44247.70833333333</v>
      </c>
      <c r="J825" s="10" t="s">
        <v>128</v>
      </c>
      <c r="K825" s="10" t="s">
        <v>34</v>
      </c>
      <c r="N825" s="10" t="s">
        <v>35</v>
      </c>
      <c r="V825" s="9"/>
      <c r="W825" s="13" t="s">
        <v>1669</v>
      </c>
      <c r="X825" s="10" t="s">
        <v>237</v>
      </c>
      <c r="Y825" s="10" t="s">
        <v>0</v>
      </c>
    </row>
    <row r="826">
      <c r="A826" s="10" t="s">
        <v>3020</v>
      </c>
      <c r="B826" s="11">
        <v>44326.71850173611</v>
      </c>
      <c r="C826" s="10" t="s">
        <v>46</v>
      </c>
      <c r="D826" s="10" t="s">
        <v>47</v>
      </c>
      <c r="E826" s="10" t="s">
        <v>3021</v>
      </c>
      <c r="F826" s="10" t="s">
        <v>3022</v>
      </c>
      <c r="G826" s="10" t="s">
        <v>3023</v>
      </c>
      <c r="H826" s="16">
        <v>44252.33333333333</v>
      </c>
      <c r="I826" s="16">
        <v>44252.99930555555</v>
      </c>
      <c r="J826" s="10" t="s">
        <v>51</v>
      </c>
      <c r="K826" s="10" t="s">
        <v>34</v>
      </c>
      <c r="N826" s="10" t="s">
        <v>35</v>
      </c>
      <c r="V826" s="9"/>
      <c r="W826" s="13" t="s">
        <v>1669</v>
      </c>
      <c r="X826" s="10" t="s">
        <v>237</v>
      </c>
      <c r="Y826" s="10" t="s">
        <v>0</v>
      </c>
    </row>
    <row r="827">
      <c r="A827" s="10" t="s">
        <v>3024</v>
      </c>
      <c r="B827" s="11">
        <v>44326.720682847226</v>
      </c>
      <c r="C827" s="10" t="s">
        <v>46</v>
      </c>
      <c r="D827" s="10" t="s">
        <v>47</v>
      </c>
      <c r="E827" s="10" t="s">
        <v>3021</v>
      </c>
      <c r="F827" s="10" t="s">
        <v>3025</v>
      </c>
      <c r="G827" s="10" t="s">
        <v>3026</v>
      </c>
      <c r="H827" s="16">
        <v>44252.33333333333</v>
      </c>
      <c r="I827" s="16">
        <v>44255.75</v>
      </c>
      <c r="J827" s="10" t="s">
        <v>51</v>
      </c>
      <c r="K827" s="10" t="s">
        <v>34</v>
      </c>
      <c r="N827" s="10" t="s">
        <v>35</v>
      </c>
      <c r="V827" s="9"/>
      <c r="W827" s="13" t="s">
        <v>1669</v>
      </c>
      <c r="X827" s="10" t="s">
        <v>237</v>
      </c>
      <c r="Y827" s="10" t="s">
        <v>0</v>
      </c>
    </row>
    <row r="828">
      <c r="A828" s="10" t="s">
        <v>3027</v>
      </c>
      <c r="B828" s="11">
        <v>44326.7219533912</v>
      </c>
      <c r="C828" s="10" t="s">
        <v>46</v>
      </c>
      <c r="D828" s="10" t="s">
        <v>47</v>
      </c>
      <c r="E828" s="10" t="s">
        <v>3021</v>
      </c>
      <c r="F828" s="10" t="s">
        <v>3028</v>
      </c>
      <c r="G828" s="10" t="s">
        <v>3029</v>
      </c>
      <c r="H828" s="16">
        <v>44254.33333333333</v>
      </c>
      <c r="I828" s="16">
        <v>44254.99930555555</v>
      </c>
      <c r="J828" s="10" t="s">
        <v>51</v>
      </c>
      <c r="K828" s="10" t="s">
        <v>34</v>
      </c>
      <c r="N828" s="10" t="s">
        <v>35</v>
      </c>
      <c r="V828" s="9"/>
      <c r="W828" s="13" t="s">
        <v>1669</v>
      </c>
      <c r="X828" s="10" t="s">
        <v>237</v>
      </c>
      <c r="Y828" s="10" t="s">
        <v>0</v>
      </c>
    </row>
    <row r="829">
      <c r="A829" s="10" t="s">
        <v>3030</v>
      </c>
      <c r="B829" s="11">
        <v>44326.72266804398</v>
      </c>
      <c r="C829" s="10" t="s">
        <v>46</v>
      </c>
      <c r="D829" s="10" t="s">
        <v>47</v>
      </c>
      <c r="E829" s="10" t="s">
        <v>3031</v>
      </c>
      <c r="F829" s="10" t="s">
        <v>3032</v>
      </c>
      <c r="G829" s="10" t="s">
        <v>3033</v>
      </c>
      <c r="H829" s="16">
        <v>44261.33333333333</v>
      </c>
      <c r="I829" s="16">
        <v>44265.99930555555</v>
      </c>
      <c r="J829" s="10" t="s">
        <v>51</v>
      </c>
      <c r="K829" s="10" t="s">
        <v>34</v>
      </c>
      <c r="N829" s="10" t="s">
        <v>35</v>
      </c>
      <c r="V829" s="9"/>
      <c r="W829" s="13" t="s">
        <v>1669</v>
      </c>
      <c r="X829" s="10" t="s">
        <v>237</v>
      </c>
      <c r="Y829" s="10" t="s">
        <v>0</v>
      </c>
    </row>
    <row r="830">
      <c r="A830" s="10" t="s">
        <v>3034</v>
      </c>
      <c r="B830" s="11">
        <v>44326.731559699074</v>
      </c>
      <c r="C830" s="10" t="s">
        <v>46</v>
      </c>
      <c r="D830" s="10" t="s">
        <v>47</v>
      </c>
      <c r="E830" s="10" t="s">
        <v>3017</v>
      </c>
      <c r="F830" s="10" t="s">
        <v>3035</v>
      </c>
      <c r="G830" s="10" t="s">
        <v>3036</v>
      </c>
      <c r="H830" s="16">
        <v>44275.625</v>
      </c>
      <c r="I830" s="16">
        <v>44275.58333333333</v>
      </c>
      <c r="J830" s="10" t="s">
        <v>128</v>
      </c>
      <c r="K830" s="10" t="s">
        <v>34</v>
      </c>
      <c r="N830" s="10" t="s">
        <v>35</v>
      </c>
      <c r="V830" s="9"/>
      <c r="W830" s="13" t="s">
        <v>1669</v>
      </c>
      <c r="X830" s="10" t="s">
        <v>237</v>
      </c>
      <c r="Y830" s="10" t="s">
        <v>0</v>
      </c>
    </row>
    <row r="831">
      <c r="A831" s="10" t="s">
        <v>3037</v>
      </c>
      <c r="B831" s="11">
        <v>44326.73537645834</v>
      </c>
      <c r="C831" s="10" t="s">
        <v>46</v>
      </c>
      <c r="D831" s="10" t="s">
        <v>47</v>
      </c>
      <c r="E831" s="10" t="s">
        <v>3038</v>
      </c>
      <c r="F831" s="10" t="s">
        <v>3039</v>
      </c>
      <c r="G831" s="10" t="s">
        <v>3040</v>
      </c>
      <c r="H831" s="16">
        <v>44263.33333333333</v>
      </c>
      <c r="I831" s="16">
        <v>44263.99930555555</v>
      </c>
      <c r="J831" s="10" t="s">
        <v>51</v>
      </c>
      <c r="K831" s="10" t="s">
        <v>34</v>
      </c>
      <c r="N831" s="10" t="s">
        <v>35</v>
      </c>
      <c r="V831" s="9"/>
      <c r="W831" s="13" t="s">
        <v>1669</v>
      </c>
      <c r="X831" s="10" t="s">
        <v>237</v>
      </c>
      <c r="Y831" s="10" t="s">
        <v>0</v>
      </c>
    </row>
    <row r="832">
      <c r="A832" s="10" t="s">
        <v>3041</v>
      </c>
      <c r="B832" s="11">
        <v>44326.74724319445</v>
      </c>
      <c r="C832" s="10" t="s">
        <v>46</v>
      </c>
      <c r="D832" s="10" t="s">
        <v>47</v>
      </c>
      <c r="E832" s="10" t="s">
        <v>3042</v>
      </c>
      <c r="F832" s="10" t="s">
        <v>3043</v>
      </c>
      <c r="G832" s="10" t="s">
        <v>3044</v>
      </c>
      <c r="H832" s="16">
        <v>44276.33333333333</v>
      </c>
      <c r="I832" s="16">
        <v>44277.33333333333</v>
      </c>
      <c r="J832" s="10" t="s">
        <v>51</v>
      </c>
      <c r="K832" s="10" t="s">
        <v>34</v>
      </c>
      <c r="N832" s="10" t="s">
        <v>35</v>
      </c>
      <c r="V832" s="9"/>
      <c r="W832" s="13" t="s">
        <v>1669</v>
      </c>
      <c r="X832" s="10" t="s">
        <v>237</v>
      </c>
      <c r="Y832" s="10" t="s">
        <v>0</v>
      </c>
    </row>
    <row r="833">
      <c r="A833" s="10" t="s">
        <v>3045</v>
      </c>
      <c r="B833" s="11">
        <v>44326.74847236111</v>
      </c>
      <c r="C833" s="10" t="s">
        <v>46</v>
      </c>
      <c r="D833" s="10" t="s">
        <v>47</v>
      </c>
      <c r="E833" s="10" t="s">
        <v>3042</v>
      </c>
      <c r="F833" s="10" t="s">
        <v>3046</v>
      </c>
      <c r="G833" s="10" t="s">
        <v>3047</v>
      </c>
      <c r="H833" s="16">
        <v>44277.29166666667</v>
      </c>
      <c r="I833" s="16">
        <v>44278.29166666667</v>
      </c>
      <c r="J833" s="10" t="s">
        <v>51</v>
      </c>
      <c r="K833" s="10" t="s">
        <v>34</v>
      </c>
      <c r="N833" s="10" t="s">
        <v>35</v>
      </c>
      <c r="V833" s="9"/>
      <c r="W833" s="13" t="s">
        <v>1669</v>
      </c>
      <c r="X833" s="10" t="s">
        <v>237</v>
      </c>
      <c r="Y833" s="10" t="s">
        <v>0</v>
      </c>
    </row>
    <row r="834">
      <c r="A834" s="10" t="s">
        <v>3048</v>
      </c>
      <c r="B834" s="11">
        <v>44326.77046135417</v>
      </c>
      <c r="C834" s="10" t="s">
        <v>46</v>
      </c>
      <c r="D834" s="10" t="s">
        <v>47</v>
      </c>
      <c r="E834" s="10" t="s">
        <v>3049</v>
      </c>
      <c r="F834" s="10" t="s">
        <v>3050</v>
      </c>
      <c r="G834" s="10" t="s">
        <v>3051</v>
      </c>
      <c r="H834" s="16">
        <v>44288.70833333333</v>
      </c>
      <c r="I834" s="16">
        <v>44288.875</v>
      </c>
      <c r="J834" s="10" t="s">
        <v>33</v>
      </c>
      <c r="K834" s="10" t="s">
        <v>34</v>
      </c>
      <c r="N834" s="10" t="s">
        <v>35</v>
      </c>
      <c r="V834" s="9"/>
      <c r="W834" s="13" t="s">
        <v>1669</v>
      </c>
      <c r="X834" s="10" t="s">
        <v>237</v>
      </c>
      <c r="Y834" s="10" t="s">
        <v>0</v>
      </c>
    </row>
    <row r="835">
      <c r="A835" s="10" t="s">
        <v>3052</v>
      </c>
      <c r="B835" s="11">
        <v>44326.773069849536</v>
      </c>
      <c r="C835" s="10" t="s">
        <v>46</v>
      </c>
      <c r="D835" s="10" t="s">
        <v>47</v>
      </c>
      <c r="E835" s="10" t="s">
        <v>1541</v>
      </c>
      <c r="F835" s="10" t="s">
        <v>3053</v>
      </c>
      <c r="G835" s="10" t="s">
        <v>3054</v>
      </c>
      <c r="H835" s="16">
        <v>44282.75</v>
      </c>
      <c r="I835" s="16">
        <v>44282.79166666667</v>
      </c>
      <c r="J835" s="10" t="s">
        <v>33</v>
      </c>
      <c r="K835" s="10" t="s">
        <v>34</v>
      </c>
      <c r="N835" s="10" t="s">
        <v>35</v>
      </c>
      <c r="V835" s="9"/>
      <c r="W835" s="13" t="s">
        <v>1669</v>
      </c>
      <c r="X835" s="10" t="s">
        <v>237</v>
      </c>
      <c r="Y835" s="10" t="s">
        <v>0</v>
      </c>
    </row>
    <row r="836">
      <c r="A836" s="10" t="s">
        <v>3055</v>
      </c>
      <c r="B836" s="11">
        <v>44326.775051793986</v>
      </c>
      <c r="C836" s="10" t="s">
        <v>46</v>
      </c>
      <c r="D836" s="10" t="s">
        <v>47</v>
      </c>
      <c r="E836" s="10" t="s">
        <v>3042</v>
      </c>
      <c r="F836" s="10" t="s">
        <v>3056</v>
      </c>
      <c r="G836" s="10" t="s">
        <v>3057</v>
      </c>
      <c r="H836" s="16">
        <v>44288.33333333333</v>
      </c>
      <c r="I836" s="16">
        <v>44289.33333333333</v>
      </c>
      <c r="J836" s="10" t="s">
        <v>51</v>
      </c>
      <c r="K836" s="10" t="s">
        <v>34</v>
      </c>
      <c r="N836" s="10" t="s">
        <v>35</v>
      </c>
      <c r="V836" s="9"/>
      <c r="W836" s="13" t="s">
        <v>1669</v>
      </c>
      <c r="X836" s="10" t="s">
        <v>237</v>
      </c>
      <c r="Y836" s="10" t="s">
        <v>0</v>
      </c>
    </row>
    <row r="837">
      <c r="A837" s="10" t="s">
        <v>3058</v>
      </c>
      <c r="B837" s="11">
        <v>44326.77744730324</v>
      </c>
      <c r="C837" s="10" t="s">
        <v>80</v>
      </c>
      <c r="D837" s="10" t="s">
        <v>81</v>
      </c>
      <c r="E837" s="10" t="s">
        <v>2365</v>
      </c>
      <c r="F837" s="10" t="s">
        <v>2366</v>
      </c>
      <c r="G837" s="10" t="s">
        <v>3059</v>
      </c>
      <c r="H837" s="16">
        <v>44333.33333333333</v>
      </c>
      <c r="I837" s="16">
        <v>44333.375</v>
      </c>
      <c r="J837" s="10" t="s">
        <v>73</v>
      </c>
      <c r="K837" s="10" t="s">
        <v>34</v>
      </c>
      <c r="N837" s="10" t="s">
        <v>35</v>
      </c>
      <c r="V837" s="9"/>
      <c r="W837" s="13" t="s">
        <v>1669</v>
      </c>
      <c r="X837" s="10" t="s">
        <v>237</v>
      </c>
      <c r="Y837" s="10" t="s">
        <v>0</v>
      </c>
    </row>
    <row r="838">
      <c r="A838" s="10" t="s">
        <v>3060</v>
      </c>
      <c r="B838" s="11">
        <v>44326.778156064815</v>
      </c>
      <c r="C838" s="10" t="s">
        <v>46</v>
      </c>
      <c r="D838" s="10" t="s">
        <v>47</v>
      </c>
      <c r="E838" s="10" t="s">
        <v>156</v>
      </c>
      <c r="F838" s="10" t="s">
        <v>3061</v>
      </c>
      <c r="G838" s="10" t="s">
        <v>3062</v>
      </c>
      <c r="H838" s="16">
        <v>44303.66666666667</v>
      </c>
      <c r="I838" s="16">
        <v>44303.70833333333</v>
      </c>
      <c r="J838" s="10" t="s">
        <v>128</v>
      </c>
      <c r="K838" s="10" t="s">
        <v>34</v>
      </c>
      <c r="N838" s="10" t="s">
        <v>35</v>
      </c>
      <c r="V838" s="9"/>
      <c r="W838" s="13" t="s">
        <v>1669</v>
      </c>
      <c r="X838" s="10" t="s">
        <v>237</v>
      </c>
      <c r="Y838" s="10" t="s">
        <v>0</v>
      </c>
    </row>
    <row r="839">
      <c r="A839" s="10" t="s">
        <v>3063</v>
      </c>
      <c r="B839" s="11">
        <v>44326.78424775463</v>
      </c>
      <c r="C839" s="10" t="s">
        <v>46</v>
      </c>
      <c r="D839" s="10" t="s">
        <v>47</v>
      </c>
      <c r="E839" s="10" t="s">
        <v>3064</v>
      </c>
      <c r="F839" s="10" t="s">
        <v>3065</v>
      </c>
      <c r="G839" s="10" t="s">
        <v>3066</v>
      </c>
      <c r="H839" s="16">
        <v>44305.33333333333</v>
      </c>
      <c r="I839" s="16">
        <v>44310.99930555555</v>
      </c>
      <c r="J839" s="10" t="s">
        <v>51</v>
      </c>
      <c r="K839" s="10" t="s">
        <v>34</v>
      </c>
      <c r="N839" s="10" t="s">
        <v>35</v>
      </c>
      <c r="V839" s="9"/>
      <c r="W839" s="13" t="s">
        <v>1669</v>
      </c>
      <c r="X839" s="10" t="s">
        <v>237</v>
      </c>
      <c r="Y839" s="10" t="s">
        <v>0</v>
      </c>
    </row>
    <row r="840">
      <c r="A840" s="10" t="s">
        <v>3067</v>
      </c>
      <c r="B840" s="11">
        <v>44326.79059533565</v>
      </c>
      <c r="C840" s="10" t="s">
        <v>46</v>
      </c>
      <c r="D840" s="10" t="s">
        <v>47</v>
      </c>
      <c r="E840" s="10" t="s">
        <v>3068</v>
      </c>
      <c r="F840" s="10" t="s">
        <v>3069</v>
      </c>
      <c r="G840" s="10" t="s">
        <v>3070</v>
      </c>
      <c r="H840" s="16">
        <v>44307.75</v>
      </c>
      <c r="I840" s="16">
        <v>44307.8125</v>
      </c>
      <c r="J840" s="10" t="s">
        <v>51</v>
      </c>
      <c r="K840" s="10" t="s">
        <v>34</v>
      </c>
      <c r="N840" s="10" t="s">
        <v>35</v>
      </c>
      <c r="V840" s="9"/>
      <c r="W840" s="13" t="s">
        <v>1669</v>
      </c>
      <c r="X840" s="10" t="s">
        <v>237</v>
      </c>
      <c r="Y840" s="10" t="s">
        <v>0</v>
      </c>
    </row>
    <row r="841">
      <c r="A841" s="10" t="s">
        <v>3071</v>
      </c>
      <c r="B841" s="11">
        <v>44326.793597083335</v>
      </c>
      <c r="C841" s="10" t="s">
        <v>46</v>
      </c>
      <c r="D841" s="10" t="s">
        <v>47</v>
      </c>
      <c r="E841" s="10" t="s">
        <v>75</v>
      </c>
      <c r="F841" s="10" t="s">
        <v>3072</v>
      </c>
      <c r="G841" s="10" t="s">
        <v>3073</v>
      </c>
      <c r="H841" s="16">
        <v>44308.79166666667</v>
      </c>
      <c r="I841" s="16">
        <v>44308.85416666667</v>
      </c>
      <c r="J841" s="10" t="s">
        <v>33</v>
      </c>
      <c r="K841" s="10" t="s">
        <v>34</v>
      </c>
      <c r="N841" s="10" t="s">
        <v>35</v>
      </c>
      <c r="V841" s="9"/>
      <c r="W841" s="13" t="s">
        <v>1669</v>
      </c>
      <c r="X841" s="10" t="s">
        <v>237</v>
      </c>
      <c r="Y841" s="10" t="s">
        <v>0</v>
      </c>
    </row>
    <row r="842">
      <c r="A842" s="10" t="s">
        <v>3074</v>
      </c>
      <c r="B842" s="11">
        <v>44317.74693962963</v>
      </c>
      <c r="C842" s="10" t="s">
        <v>209</v>
      </c>
      <c r="D842" s="10" t="s">
        <v>210</v>
      </c>
      <c r="E842" s="10" t="s">
        <v>261</v>
      </c>
      <c r="F842" s="10" t="s">
        <v>3075</v>
      </c>
      <c r="G842" s="10" t="s">
        <v>3076</v>
      </c>
      <c r="H842" s="24">
        <v>44328.60416666667</v>
      </c>
      <c r="I842" s="24">
        <v>44328.6875</v>
      </c>
      <c r="J842" s="10" t="s">
        <v>43</v>
      </c>
      <c r="K842" s="10" t="s">
        <v>34</v>
      </c>
      <c r="N842" s="10" t="s">
        <v>296</v>
      </c>
      <c r="O842" s="18" t="s">
        <v>3077</v>
      </c>
      <c r="P842" s="10" t="s">
        <v>35</v>
      </c>
      <c r="R842" s="10" t="s">
        <v>296</v>
      </c>
      <c r="S842" s="10">
        <v>2.0</v>
      </c>
      <c r="T842" s="10" t="s">
        <v>35</v>
      </c>
      <c r="V842" s="9"/>
      <c r="W842" s="13" t="s">
        <v>1669</v>
      </c>
      <c r="X842" s="10" t="s">
        <v>37</v>
      </c>
      <c r="Y842" s="10" t="s">
        <v>0</v>
      </c>
    </row>
    <row r="843">
      <c r="A843" s="10" t="s">
        <v>3078</v>
      </c>
      <c r="B843" s="11">
        <v>44320.608520486116</v>
      </c>
      <c r="C843" s="10" t="s">
        <v>347</v>
      </c>
      <c r="D843" s="10" t="s">
        <v>348</v>
      </c>
      <c r="E843" s="10" t="s">
        <v>349</v>
      </c>
      <c r="F843" s="10" t="s">
        <v>3009</v>
      </c>
      <c r="G843" s="10" t="s">
        <v>3010</v>
      </c>
      <c r="H843" s="24">
        <v>44328.60416666667</v>
      </c>
      <c r="I843" s="24">
        <v>44328.64583333333</v>
      </c>
      <c r="J843" s="10" t="s">
        <v>43</v>
      </c>
      <c r="K843" s="10" t="s">
        <v>34</v>
      </c>
      <c r="N843" s="10" t="s">
        <v>296</v>
      </c>
      <c r="O843" s="18" t="s">
        <v>3079</v>
      </c>
      <c r="P843" s="10" t="s">
        <v>296</v>
      </c>
      <c r="Q843" s="10">
        <v>2.0</v>
      </c>
      <c r="R843" s="10" t="s">
        <v>35</v>
      </c>
      <c r="T843" s="10" t="s">
        <v>35</v>
      </c>
      <c r="V843" s="9"/>
      <c r="W843" s="13" t="s">
        <v>1669</v>
      </c>
      <c r="X843" s="10" t="s">
        <v>37</v>
      </c>
      <c r="Y843" s="10" t="s">
        <v>0</v>
      </c>
    </row>
    <row r="844">
      <c r="A844" s="10" t="s">
        <v>3080</v>
      </c>
      <c r="B844" s="11">
        <v>44327.40079533565</v>
      </c>
      <c r="C844" s="10" t="s">
        <v>909</v>
      </c>
      <c r="D844" s="10" t="s">
        <v>662</v>
      </c>
      <c r="E844" s="10" t="s">
        <v>3081</v>
      </c>
      <c r="F844" s="10" t="s">
        <v>3082</v>
      </c>
      <c r="G844" s="10" t="s">
        <v>3083</v>
      </c>
      <c r="H844" s="16">
        <v>44316.35416666667</v>
      </c>
      <c r="I844" s="16">
        <v>44316.39583333333</v>
      </c>
      <c r="J844" s="10" t="s">
        <v>128</v>
      </c>
      <c r="K844" s="10" t="s">
        <v>34</v>
      </c>
      <c r="N844" s="10" t="s">
        <v>296</v>
      </c>
      <c r="O844" s="18" t="s">
        <v>3084</v>
      </c>
      <c r="P844" s="10" t="s">
        <v>296</v>
      </c>
      <c r="Q844" s="10">
        <v>1.0</v>
      </c>
      <c r="R844" s="10" t="s">
        <v>35</v>
      </c>
      <c r="T844" s="10" t="s">
        <v>35</v>
      </c>
      <c r="V844" s="9"/>
      <c r="W844" s="13" t="s">
        <v>1669</v>
      </c>
      <c r="X844" s="10" t="s">
        <v>237</v>
      </c>
      <c r="Y844" s="10" t="s">
        <v>0</v>
      </c>
    </row>
    <row r="845">
      <c r="A845" s="10" t="s">
        <v>3085</v>
      </c>
      <c r="B845" s="11">
        <v>44319.61827368056</v>
      </c>
      <c r="C845" s="10" t="s">
        <v>3086</v>
      </c>
      <c r="D845" s="10" t="s">
        <v>187</v>
      </c>
      <c r="E845" s="10" t="s">
        <v>3087</v>
      </c>
      <c r="F845" s="10" t="s">
        <v>3088</v>
      </c>
      <c r="G845" s="10" t="s">
        <v>3089</v>
      </c>
      <c r="H845" s="24">
        <v>44329.41666666667</v>
      </c>
      <c r="I845" s="24">
        <v>44329.5</v>
      </c>
      <c r="J845" s="10" t="s">
        <v>43</v>
      </c>
      <c r="K845" s="10" t="s">
        <v>34</v>
      </c>
      <c r="N845" s="10" t="s">
        <v>296</v>
      </c>
      <c r="O845" s="18" t="s">
        <v>3090</v>
      </c>
      <c r="P845" s="10" t="s">
        <v>296</v>
      </c>
      <c r="Q845" s="10">
        <v>1.0</v>
      </c>
      <c r="R845" s="10" t="s">
        <v>35</v>
      </c>
      <c r="T845" s="10" t="s">
        <v>35</v>
      </c>
      <c r="V845" s="9"/>
      <c r="W845" s="13" t="s">
        <v>78</v>
      </c>
      <c r="X845" s="10" t="s">
        <v>37</v>
      </c>
      <c r="Y845" s="10" t="s">
        <v>0</v>
      </c>
    </row>
    <row r="846">
      <c r="A846" s="10" t="s">
        <v>3091</v>
      </c>
      <c r="B846" s="11">
        <v>44328.450180555556</v>
      </c>
      <c r="C846" s="10" t="s">
        <v>610</v>
      </c>
      <c r="D846" s="10" t="s">
        <v>611</v>
      </c>
      <c r="E846" s="10" t="s">
        <v>612</v>
      </c>
      <c r="F846" s="10" t="s">
        <v>3092</v>
      </c>
      <c r="G846" s="10" t="s">
        <v>3093</v>
      </c>
      <c r="H846" s="17">
        <v>44331.4375</v>
      </c>
      <c r="I846" s="17">
        <v>44331.52083333333</v>
      </c>
      <c r="J846" s="10" t="s">
        <v>128</v>
      </c>
      <c r="K846" s="10" t="s">
        <v>34</v>
      </c>
      <c r="N846" s="10" t="s">
        <v>35</v>
      </c>
      <c r="V846" s="9"/>
      <c r="W846" s="13" t="s">
        <v>78</v>
      </c>
      <c r="X846" s="10" t="s">
        <v>37</v>
      </c>
      <c r="Y846" s="10" t="s">
        <v>0</v>
      </c>
    </row>
    <row r="847">
      <c r="A847" s="10" t="s">
        <v>3094</v>
      </c>
      <c r="B847" s="11">
        <v>44328.67894780093</v>
      </c>
      <c r="C847" s="10" t="s">
        <v>186</v>
      </c>
      <c r="D847" s="10" t="s">
        <v>187</v>
      </c>
      <c r="E847" s="10" t="s">
        <v>188</v>
      </c>
      <c r="F847" s="10" t="s">
        <v>3095</v>
      </c>
      <c r="G847" s="10" t="s">
        <v>3096</v>
      </c>
      <c r="H847" s="16">
        <v>44330.60416666667</v>
      </c>
      <c r="I847" s="16">
        <v>44330.6875</v>
      </c>
      <c r="J847" s="10" t="s">
        <v>128</v>
      </c>
      <c r="K847" s="10" t="s">
        <v>34</v>
      </c>
      <c r="N847" s="10" t="s">
        <v>35</v>
      </c>
      <c r="V847" s="9"/>
      <c r="W847" s="13" t="s">
        <v>78</v>
      </c>
      <c r="X847" s="10" t="s">
        <v>37</v>
      </c>
      <c r="Y847" s="10" t="s">
        <v>0</v>
      </c>
    </row>
    <row r="848">
      <c r="A848" s="10" t="s">
        <v>3097</v>
      </c>
      <c r="B848" s="11">
        <v>44328.73410180556</v>
      </c>
      <c r="C848" s="10" t="s">
        <v>80</v>
      </c>
      <c r="D848" s="10" t="s">
        <v>81</v>
      </c>
      <c r="E848" s="10" t="s">
        <v>2365</v>
      </c>
      <c r="F848" s="10" t="s">
        <v>3098</v>
      </c>
      <c r="G848" s="10" t="s">
        <v>2121</v>
      </c>
      <c r="H848" s="17">
        <v>44336.66666666667</v>
      </c>
      <c r="I848" s="17">
        <v>44336.70833333333</v>
      </c>
      <c r="J848" s="10" t="s">
        <v>73</v>
      </c>
      <c r="K848" s="10" t="s">
        <v>34</v>
      </c>
      <c r="N848" s="10" t="s">
        <v>35</v>
      </c>
      <c r="V848" s="9"/>
      <c r="W848" s="13" t="s">
        <v>78</v>
      </c>
      <c r="X848" s="10" t="s">
        <v>37</v>
      </c>
      <c r="Y848" s="10" t="s">
        <v>0</v>
      </c>
    </row>
    <row r="849">
      <c r="A849" s="10" t="s">
        <v>3099</v>
      </c>
      <c r="B849" s="11">
        <v>44324.485895289356</v>
      </c>
      <c r="C849" s="10" t="s">
        <v>247</v>
      </c>
      <c r="D849" s="10" t="s">
        <v>248</v>
      </c>
      <c r="E849" s="10" t="s">
        <v>2717</v>
      </c>
      <c r="F849" s="10" t="s">
        <v>3100</v>
      </c>
      <c r="G849" s="10" t="s">
        <v>3101</v>
      </c>
      <c r="H849" s="24">
        <v>44329.41666666667</v>
      </c>
      <c r="I849" s="24">
        <v>44329.5</v>
      </c>
      <c r="J849" s="10" t="s">
        <v>43</v>
      </c>
      <c r="K849" s="10" t="s">
        <v>34</v>
      </c>
      <c r="N849" s="10" t="s">
        <v>296</v>
      </c>
      <c r="O849" s="18" t="s">
        <v>3102</v>
      </c>
      <c r="P849" s="10" t="s">
        <v>35</v>
      </c>
      <c r="R849" s="10" t="s">
        <v>35</v>
      </c>
      <c r="T849" s="10" t="s">
        <v>296</v>
      </c>
      <c r="U849" s="10">
        <v>1.0</v>
      </c>
      <c r="V849" s="27"/>
      <c r="W849" s="13" t="s">
        <v>1669</v>
      </c>
      <c r="X849" s="10" t="s">
        <v>37</v>
      </c>
      <c r="Y849" s="10" t="s">
        <v>0</v>
      </c>
    </row>
    <row r="850">
      <c r="A850" s="10" t="s">
        <v>3103</v>
      </c>
      <c r="B850" s="11">
        <v>44315.63139427084</v>
      </c>
      <c r="C850" s="10" t="s">
        <v>28</v>
      </c>
      <c r="D850" s="10" t="s">
        <v>29</v>
      </c>
      <c r="E850" s="10" t="s">
        <v>2323</v>
      </c>
      <c r="F850" s="10" t="s">
        <v>3104</v>
      </c>
      <c r="G850" s="10" t="s">
        <v>3105</v>
      </c>
      <c r="H850" s="24">
        <v>44329.60416666667</v>
      </c>
      <c r="I850" s="24">
        <v>44329.6875</v>
      </c>
      <c r="J850" s="10" t="s">
        <v>43</v>
      </c>
      <c r="K850" s="10" t="s">
        <v>34</v>
      </c>
      <c r="N850" s="10" t="s">
        <v>35</v>
      </c>
      <c r="V850" s="9"/>
      <c r="W850" s="13" t="s">
        <v>1669</v>
      </c>
      <c r="X850" s="10" t="s">
        <v>37</v>
      </c>
      <c r="Y850" s="10" t="s">
        <v>0</v>
      </c>
    </row>
    <row r="851">
      <c r="A851" s="10" t="s">
        <v>3106</v>
      </c>
      <c r="B851" s="11">
        <v>44329.60432457176</v>
      </c>
      <c r="C851" s="10" t="s">
        <v>96</v>
      </c>
      <c r="D851" s="10" t="s">
        <v>97</v>
      </c>
      <c r="E851" s="10" t="s">
        <v>3107</v>
      </c>
      <c r="F851" s="10" t="s">
        <v>3108</v>
      </c>
      <c r="G851" s="10" t="s">
        <v>3109</v>
      </c>
      <c r="H851" s="16">
        <v>44329.72916666667</v>
      </c>
      <c r="I851" s="16">
        <v>44329.77083333333</v>
      </c>
      <c r="J851" s="10" t="s">
        <v>43</v>
      </c>
      <c r="K851" s="10" t="s">
        <v>34</v>
      </c>
      <c r="N851" s="10" t="s">
        <v>296</v>
      </c>
      <c r="O851" s="18" t="s">
        <v>3110</v>
      </c>
      <c r="P851" s="10" t="s">
        <v>296</v>
      </c>
      <c r="Q851" s="10">
        <v>1.0</v>
      </c>
      <c r="R851" s="10" t="s">
        <v>35</v>
      </c>
      <c r="T851" s="10" t="s">
        <v>35</v>
      </c>
      <c r="V851" s="9"/>
      <c r="W851" s="13" t="s">
        <v>78</v>
      </c>
      <c r="X851" s="10" t="s">
        <v>237</v>
      </c>
      <c r="Y851" s="10" t="s">
        <v>0</v>
      </c>
    </row>
    <row r="852">
      <c r="A852" s="10" t="s">
        <v>3111</v>
      </c>
      <c r="B852" s="11">
        <v>44313.279529479165</v>
      </c>
      <c r="C852" s="10" t="s">
        <v>975</v>
      </c>
      <c r="D852" s="10" t="s">
        <v>976</v>
      </c>
      <c r="E852" s="10" t="s">
        <v>3112</v>
      </c>
      <c r="F852" s="10" t="s">
        <v>3113</v>
      </c>
      <c r="G852" s="10" t="s">
        <v>3114</v>
      </c>
      <c r="H852" s="24">
        <v>44330.4375</v>
      </c>
      <c r="I852" s="24">
        <v>44330.52083333333</v>
      </c>
      <c r="J852" s="10" t="s">
        <v>43</v>
      </c>
      <c r="K852" s="10" t="s">
        <v>34</v>
      </c>
      <c r="N852" s="10" t="s">
        <v>296</v>
      </c>
      <c r="O852" s="18" t="s">
        <v>3115</v>
      </c>
      <c r="P852" s="10" t="s">
        <v>296</v>
      </c>
      <c r="Q852" s="10">
        <v>4.0</v>
      </c>
      <c r="R852" s="10" t="s">
        <v>35</v>
      </c>
      <c r="T852" s="10" t="s">
        <v>35</v>
      </c>
      <c r="V852" s="9"/>
      <c r="W852" s="13" t="s">
        <v>78</v>
      </c>
      <c r="X852" s="10" t="s">
        <v>37</v>
      </c>
      <c r="Y852" s="10" t="s">
        <v>0</v>
      </c>
    </row>
    <row r="853">
      <c r="A853" s="10" t="s">
        <v>3116</v>
      </c>
      <c r="B853" s="11">
        <v>44308.700788946764</v>
      </c>
      <c r="C853" s="10" t="s">
        <v>694</v>
      </c>
      <c r="D853" s="21" t="s">
        <v>695</v>
      </c>
      <c r="E853" s="21" t="s">
        <v>696</v>
      </c>
      <c r="F853" s="21" t="s">
        <v>3117</v>
      </c>
      <c r="G853" s="21" t="s">
        <v>3118</v>
      </c>
      <c r="H853" s="24">
        <v>44330.5625</v>
      </c>
      <c r="I853" s="24">
        <v>44331.541666666664</v>
      </c>
      <c r="J853" s="21" t="s">
        <v>236</v>
      </c>
      <c r="K853" s="10" t="s">
        <v>34</v>
      </c>
      <c r="N853" s="10" t="s">
        <v>35</v>
      </c>
      <c r="V853" s="9"/>
      <c r="W853" s="13" t="s">
        <v>78</v>
      </c>
      <c r="X853" s="10" t="s">
        <v>37</v>
      </c>
      <c r="Y853" s="10" t="s">
        <v>0</v>
      </c>
    </row>
    <row r="854">
      <c r="A854" s="10" t="s">
        <v>3119</v>
      </c>
      <c r="B854" s="11">
        <v>44320.60557381944</v>
      </c>
      <c r="C854" s="10" t="s">
        <v>347</v>
      </c>
      <c r="D854" s="10" t="s">
        <v>348</v>
      </c>
      <c r="E854" s="10" t="s">
        <v>349</v>
      </c>
      <c r="F854" s="10" t="s">
        <v>3120</v>
      </c>
      <c r="G854" s="10" t="s">
        <v>3121</v>
      </c>
      <c r="H854" s="24">
        <v>44330.60416666667</v>
      </c>
      <c r="I854" s="24">
        <v>44330.64583333333</v>
      </c>
      <c r="J854" s="10" t="s">
        <v>43</v>
      </c>
      <c r="K854" s="10" t="s">
        <v>34</v>
      </c>
      <c r="N854" s="10" t="s">
        <v>296</v>
      </c>
      <c r="O854" s="18" t="s">
        <v>3122</v>
      </c>
      <c r="P854" s="10" t="s">
        <v>296</v>
      </c>
      <c r="Q854" s="10">
        <v>1.0</v>
      </c>
      <c r="R854" s="10" t="s">
        <v>35</v>
      </c>
      <c r="T854" s="10" t="s">
        <v>35</v>
      </c>
      <c r="V854" s="9"/>
      <c r="W854" s="13" t="s">
        <v>78</v>
      </c>
      <c r="X854" s="10" t="s">
        <v>37</v>
      </c>
      <c r="Y854" s="10" t="s">
        <v>0</v>
      </c>
    </row>
    <row r="855">
      <c r="A855" s="10" t="s">
        <v>3123</v>
      </c>
      <c r="B855" s="11">
        <v>44329.825962731484</v>
      </c>
      <c r="C855" s="10" t="s">
        <v>181</v>
      </c>
      <c r="D855" s="10" t="s">
        <v>69</v>
      </c>
      <c r="E855" s="10" t="s">
        <v>1229</v>
      </c>
      <c r="F855" s="10" t="s">
        <v>3124</v>
      </c>
      <c r="G855" s="10" t="s">
        <v>3125</v>
      </c>
      <c r="H855" s="17">
        <v>44337.6875</v>
      </c>
      <c r="I855" s="17">
        <v>44337.77083333333</v>
      </c>
      <c r="J855" s="10" t="s">
        <v>33</v>
      </c>
      <c r="K855" s="10" t="s">
        <v>34</v>
      </c>
      <c r="N855" s="10" t="s">
        <v>296</v>
      </c>
      <c r="O855" s="18" t="s">
        <v>3126</v>
      </c>
      <c r="P855" s="10" t="s">
        <v>296</v>
      </c>
      <c r="Q855" s="10">
        <v>1.0</v>
      </c>
      <c r="R855" s="10" t="s">
        <v>35</v>
      </c>
      <c r="T855" s="10" t="s">
        <v>35</v>
      </c>
      <c r="V855" s="9"/>
      <c r="W855" s="13" t="s">
        <v>78</v>
      </c>
      <c r="X855" s="10" t="s">
        <v>37</v>
      </c>
      <c r="Y855" s="10" t="s">
        <v>0</v>
      </c>
    </row>
    <row r="856">
      <c r="A856" s="10" t="s">
        <v>3127</v>
      </c>
      <c r="B856" s="11">
        <v>44330.35079532408</v>
      </c>
      <c r="C856" s="10" t="s">
        <v>186</v>
      </c>
      <c r="D856" s="10" t="s">
        <v>187</v>
      </c>
      <c r="E856" s="10" t="s">
        <v>188</v>
      </c>
      <c r="F856" s="10" t="s">
        <v>3128</v>
      </c>
      <c r="G856" s="10" t="s">
        <v>3129</v>
      </c>
      <c r="H856" s="16">
        <v>44330.33333333333</v>
      </c>
      <c r="I856" s="16">
        <v>44330.41666666667</v>
      </c>
      <c r="J856" s="10" t="s">
        <v>128</v>
      </c>
      <c r="K856" s="10" t="s">
        <v>34</v>
      </c>
      <c r="N856" s="10" t="s">
        <v>296</v>
      </c>
      <c r="O856" s="18" t="s">
        <v>3130</v>
      </c>
      <c r="P856" s="10" t="s">
        <v>35</v>
      </c>
      <c r="R856" s="10" t="s">
        <v>35</v>
      </c>
      <c r="T856" s="10" t="s">
        <v>296</v>
      </c>
      <c r="U856" s="10">
        <v>1.0</v>
      </c>
      <c r="V856" s="27"/>
      <c r="W856" s="13" t="s">
        <v>1669</v>
      </c>
      <c r="X856" s="10" t="s">
        <v>37</v>
      </c>
      <c r="Y856" s="10" t="s">
        <v>0</v>
      </c>
    </row>
    <row r="857">
      <c r="A857" s="10" t="s">
        <v>3131</v>
      </c>
      <c r="B857" s="11">
        <v>44331.80995967593</v>
      </c>
      <c r="C857" s="10" t="s">
        <v>239</v>
      </c>
      <c r="D857" s="10" t="s">
        <v>240</v>
      </c>
      <c r="E857" s="10" t="s">
        <v>991</v>
      </c>
      <c r="F857" s="10" t="s">
        <v>3132</v>
      </c>
      <c r="G857" s="10" t="s">
        <v>3133</v>
      </c>
      <c r="H857" s="17">
        <v>44337.72916666667</v>
      </c>
      <c r="I857" s="17">
        <v>44337.77083333333</v>
      </c>
      <c r="J857" s="10" t="s">
        <v>128</v>
      </c>
      <c r="K857" s="10" t="s">
        <v>34</v>
      </c>
      <c r="N857" s="10" t="s">
        <v>35</v>
      </c>
      <c r="V857" s="9"/>
      <c r="W857" s="13" t="s">
        <v>78</v>
      </c>
      <c r="X857" s="10" t="s">
        <v>237</v>
      </c>
      <c r="Y857" s="10" t="s">
        <v>0</v>
      </c>
    </row>
    <row r="858">
      <c r="A858" s="10" t="s">
        <v>3134</v>
      </c>
      <c r="B858" s="11">
        <v>44322.53108320602</v>
      </c>
      <c r="C858" s="10" t="s">
        <v>80</v>
      </c>
      <c r="D858" s="10" t="s">
        <v>81</v>
      </c>
      <c r="E858" s="10" t="s">
        <v>3135</v>
      </c>
      <c r="F858" s="10" t="s">
        <v>3136</v>
      </c>
      <c r="G858" s="10" t="s">
        <v>3137</v>
      </c>
      <c r="H858" s="24">
        <v>44330.60416666667</v>
      </c>
      <c r="I858" s="24">
        <v>44330.66666666667</v>
      </c>
      <c r="J858" s="10" t="s">
        <v>43</v>
      </c>
      <c r="K858" s="10" t="s">
        <v>34</v>
      </c>
      <c r="N858" s="10" t="s">
        <v>296</v>
      </c>
      <c r="O858" s="18" t="s">
        <v>3138</v>
      </c>
      <c r="P858" s="10" t="s">
        <v>296</v>
      </c>
      <c r="Q858" s="10">
        <v>1.0</v>
      </c>
      <c r="R858" s="10" t="s">
        <v>296</v>
      </c>
      <c r="S858" s="10">
        <v>2.0</v>
      </c>
      <c r="T858" s="10" t="s">
        <v>35</v>
      </c>
      <c r="V858" s="9"/>
      <c r="W858" s="13" t="s">
        <v>78</v>
      </c>
      <c r="X858" s="10" t="s">
        <v>37</v>
      </c>
      <c r="Y858" s="10" t="s">
        <v>0</v>
      </c>
    </row>
    <row r="859">
      <c r="A859" s="10" t="s">
        <v>3139</v>
      </c>
      <c r="B859" s="11">
        <v>44325.53973880787</v>
      </c>
      <c r="C859" s="10" t="s">
        <v>975</v>
      </c>
      <c r="D859" s="10" t="s">
        <v>976</v>
      </c>
      <c r="E859" s="10" t="s">
        <v>3140</v>
      </c>
      <c r="F859" s="10" t="s">
        <v>3141</v>
      </c>
      <c r="G859" s="10" t="s">
        <v>3142</v>
      </c>
      <c r="H859" s="24">
        <v>44330.60416666667</v>
      </c>
      <c r="I859" s="24">
        <v>44330.64583333333</v>
      </c>
      <c r="J859" s="10" t="s">
        <v>43</v>
      </c>
      <c r="K859" s="10" t="s">
        <v>34</v>
      </c>
      <c r="N859" s="10" t="s">
        <v>35</v>
      </c>
      <c r="V859" s="9"/>
      <c r="W859" s="13" t="s">
        <v>78</v>
      </c>
      <c r="X859" s="10" t="s">
        <v>37</v>
      </c>
      <c r="Y859" s="10" t="s">
        <v>0</v>
      </c>
    </row>
    <row r="860">
      <c r="A860" s="10" t="s">
        <v>3143</v>
      </c>
      <c r="B860" s="11">
        <v>44335.45136028936</v>
      </c>
      <c r="C860" s="10" t="s">
        <v>320</v>
      </c>
      <c r="D860" s="10" t="s">
        <v>321</v>
      </c>
      <c r="E860" s="10" t="s">
        <v>555</v>
      </c>
      <c r="F860" s="10" t="s">
        <v>3144</v>
      </c>
      <c r="G860" s="10" t="s">
        <v>3145</v>
      </c>
      <c r="H860" s="17">
        <v>44337.60416666667</v>
      </c>
      <c r="I860" s="17">
        <v>44337.66666666667</v>
      </c>
      <c r="J860" s="10" t="s">
        <v>128</v>
      </c>
      <c r="K860" s="10" t="s">
        <v>34</v>
      </c>
      <c r="N860" s="10" t="s">
        <v>35</v>
      </c>
      <c r="V860" s="9"/>
      <c r="W860" s="13" t="s">
        <v>78</v>
      </c>
      <c r="X860" s="10" t="s">
        <v>237</v>
      </c>
      <c r="Y860" s="10" t="s">
        <v>0</v>
      </c>
    </row>
    <row r="861">
      <c r="A861" s="10" t="s">
        <v>3146</v>
      </c>
      <c r="B861" s="11">
        <v>44335.781862476855</v>
      </c>
      <c r="C861" s="10" t="s">
        <v>694</v>
      </c>
      <c r="D861" s="10" t="s">
        <v>695</v>
      </c>
      <c r="E861" s="10" t="s">
        <v>696</v>
      </c>
      <c r="F861" s="10" t="s">
        <v>697</v>
      </c>
      <c r="G861" s="10" t="s">
        <v>698</v>
      </c>
      <c r="H861" s="17">
        <v>44337.52083333333</v>
      </c>
      <c r="I861" s="17">
        <v>44337.52083333333</v>
      </c>
      <c r="J861" s="10" t="s">
        <v>128</v>
      </c>
      <c r="K861" s="10" t="s">
        <v>34</v>
      </c>
      <c r="N861" s="10" t="s">
        <v>35</v>
      </c>
      <c r="V861" s="9"/>
      <c r="W861" s="13" t="s">
        <v>78</v>
      </c>
      <c r="X861" s="10" t="s">
        <v>237</v>
      </c>
      <c r="Y861" s="10" t="s">
        <v>0</v>
      </c>
    </row>
    <row r="862">
      <c r="A862" s="10" t="s">
        <v>3147</v>
      </c>
      <c r="B862" s="11">
        <v>44336.63623001157</v>
      </c>
      <c r="C862" s="10" t="s">
        <v>491</v>
      </c>
      <c r="D862" s="10" t="s">
        <v>492</v>
      </c>
      <c r="E862" s="10" t="s">
        <v>3148</v>
      </c>
      <c r="F862" s="10" t="s">
        <v>3149</v>
      </c>
      <c r="G862" s="10" t="s">
        <v>3150</v>
      </c>
      <c r="H862" s="17">
        <v>44336.5</v>
      </c>
      <c r="I862" s="17">
        <v>44337.5</v>
      </c>
      <c r="J862" s="10" t="s">
        <v>73</v>
      </c>
      <c r="K862" s="10" t="s">
        <v>34</v>
      </c>
      <c r="N862" s="10" t="s">
        <v>35</v>
      </c>
      <c r="V862" s="9"/>
      <c r="W862" s="13" t="s">
        <v>78</v>
      </c>
      <c r="X862" s="10" t="s">
        <v>237</v>
      </c>
      <c r="Y862" s="10" t="s">
        <v>0</v>
      </c>
    </row>
    <row r="863">
      <c r="A863" s="10" t="s">
        <v>3151</v>
      </c>
      <c r="B863" s="11">
        <v>44336.72836707176</v>
      </c>
      <c r="C863" s="10" t="s">
        <v>1077</v>
      </c>
      <c r="D863" s="10" t="s">
        <v>81</v>
      </c>
      <c r="E863" s="10" t="s">
        <v>3152</v>
      </c>
      <c r="F863" s="10" t="s">
        <v>3153</v>
      </c>
      <c r="G863" s="10" t="s">
        <v>3154</v>
      </c>
      <c r="H863" s="17">
        <v>44337.54166666667</v>
      </c>
      <c r="I863" s="17">
        <v>44337.66666666667</v>
      </c>
      <c r="J863" s="10" t="s">
        <v>33</v>
      </c>
      <c r="K863" s="10" t="s">
        <v>34</v>
      </c>
      <c r="N863" s="10" t="s">
        <v>296</v>
      </c>
      <c r="O863" s="18" t="s">
        <v>3155</v>
      </c>
      <c r="P863" s="10" t="s">
        <v>296</v>
      </c>
      <c r="Q863" s="10">
        <v>1.0</v>
      </c>
      <c r="R863" s="10" t="s">
        <v>35</v>
      </c>
      <c r="T863" s="10" t="s">
        <v>35</v>
      </c>
      <c r="V863" s="9"/>
      <c r="W863" s="13" t="s">
        <v>78</v>
      </c>
      <c r="X863" s="10" t="s">
        <v>237</v>
      </c>
      <c r="Y863" s="10" t="s">
        <v>0</v>
      </c>
    </row>
    <row r="864">
      <c r="A864" s="10" t="s">
        <v>3156</v>
      </c>
      <c r="B864" s="11">
        <v>44336.776918564814</v>
      </c>
      <c r="C864" s="10" t="s">
        <v>80</v>
      </c>
      <c r="D864" s="10" t="s">
        <v>81</v>
      </c>
      <c r="E864" s="10" t="s">
        <v>2365</v>
      </c>
      <c r="F864" s="10" t="s">
        <v>3157</v>
      </c>
      <c r="G864" s="10" t="s">
        <v>3158</v>
      </c>
      <c r="H864" s="17">
        <v>44344.66666666667</v>
      </c>
      <c r="I864" s="17">
        <v>44344.70833333333</v>
      </c>
      <c r="J864" s="10" t="s">
        <v>73</v>
      </c>
      <c r="K864" s="10" t="s">
        <v>34</v>
      </c>
      <c r="N864" s="10" t="s">
        <v>35</v>
      </c>
      <c r="V864" s="9"/>
      <c r="W864" s="13" t="s">
        <v>78</v>
      </c>
      <c r="X864" s="10" t="s">
        <v>237</v>
      </c>
      <c r="Y864" s="10" t="s">
        <v>0</v>
      </c>
    </row>
    <row r="865">
      <c r="A865" s="10" t="s">
        <v>3159</v>
      </c>
      <c r="B865" s="11">
        <v>44336.91572665509</v>
      </c>
      <c r="C865" s="10" t="s">
        <v>491</v>
      </c>
      <c r="D865" s="10" t="s">
        <v>492</v>
      </c>
      <c r="E865" s="10" t="s">
        <v>1745</v>
      </c>
      <c r="F865" s="10" t="s">
        <v>3160</v>
      </c>
      <c r="G865" s="10" t="s">
        <v>3161</v>
      </c>
      <c r="H865" s="17">
        <v>44343.78125</v>
      </c>
      <c r="I865" s="17">
        <v>44343.85416666667</v>
      </c>
      <c r="J865" s="10" t="s">
        <v>128</v>
      </c>
      <c r="K865" s="10" t="s">
        <v>34</v>
      </c>
      <c r="N865" s="10" t="s">
        <v>35</v>
      </c>
      <c r="V865" s="9"/>
      <c r="W865" s="13" t="s">
        <v>78</v>
      </c>
      <c r="X865" s="10" t="s">
        <v>237</v>
      </c>
      <c r="Y865" s="10" t="s">
        <v>0</v>
      </c>
    </row>
    <row r="866">
      <c r="A866" s="10" t="s">
        <v>3162</v>
      </c>
      <c r="B866" s="11">
        <v>44336.95815074074</v>
      </c>
      <c r="C866" s="10" t="s">
        <v>96</v>
      </c>
      <c r="D866" s="10" t="s">
        <v>97</v>
      </c>
      <c r="E866" s="10" t="s">
        <v>3163</v>
      </c>
      <c r="F866" s="10" t="s">
        <v>3164</v>
      </c>
      <c r="G866" s="10" t="s">
        <v>3165</v>
      </c>
      <c r="H866" s="17">
        <v>44337.625</v>
      </c>
      <c r="I866" s="17">
        <v>44337.6875</v>
      </c>
      <c r="J866" s="10" t="s">
        <v>33</v>
      </c>
      <c r="K866" s="10" t="s">
        <v>34</v>
      </c>
      <c r="N866" s="10" t="s">
        <v>296</v>
      </c>
      <c r="O866" s="18" t="s">
        <v>3166</v>
      </c>
      <c r="P866" s="10" t="s">
        <v>296</v>
      </c>
      <c r="Q866" s="10">
        <v>1.0</v>
      </c>
      <c r="R866" s="10" t="s">
        <v>35</v>
      </c>
      <c r="T866" s="10" t="s">
        <v>35</v>
      </c>
      <c r="V866" s="9"/>
      <c r="W866" s="13" t="s">
        <v>78</v>
      </c>
      <c r="X866" s="10" t="s">
        <v>237</v>
      </c>
      <c r="Y866" s="10" t="s">
        <v>0</v>
      </c>
    </row>
    <row r="867">
      <c r="A867" s="10" t="s">
        <v>3167</v>
      </c>
      <c r="B867" s="11">
        <v>44337.37190604166</v>
      </c>
      <c r="C867" s="10" t="s">
        <v>80</v>
      </c>
      <c r="D867" s="10" t="s">
        <v>81</v>
      </c>
      <c r="E867" s="10" t="s">
        <v>3152</v>
      </c>
      <c r="F867" s="10" t="s">
        <v>3153</v>
      </c>
      <c r="G867" s="10" t="s">
        <v>3168</v>
      </c>
      <c r="H867" s="17">
        <v>44337.625</v>
      </c>
      <c r="I867" s="17">
        <v>44337.66666666667</v>
      </c>
      <c r="J867" s="10" t="s">
        <v>33</v>
      </c>
      <c r="K867" s="10" t="s">
        <v>34</v>
      </c>
      <c r="N867" s="10" t="s">
        <v>296</v>
      </c>
      <c r="O867" s="18" t="s">
        <v>3169</v>
      </c>
      <c r="P867" s="10" t="s">
        <v>296</v>
      </c>
      <c r="Q867" s="10">
        <v>1.0</v>
      </c>
      <c r="R867" s="10" t="s">
        <v>35</v>
      </c>
      <c r="T867" s="10" t="s">
        <v>35</v>
      </c>
      <c r="V867" s="9"/>
      <c r="W867" s="13" t="s">
        <v>78</v>
      </c>
      <c r="X867" s="10" t="s">
        <v>237</v>
      </c>
      <c r="Y867" s="10" t="s">
        <v>0</v>
      </c>
    </row>
    <row r="868">
      <c r="A868" s="10" t="s">
        <v>3170</v>
      </c>
      <c r="B868" s="11">
        <v>44337.382361909724</v>
      </c>
      <c r="C868" s="10" t="s">
        <v>491</v>
      </c>
      <c r="D868" s="10" t="s">
        <v>492</v>
      </c>
      <c r="E868" s="10" t="s">
        <v>1745</v>
      </c>
      <c r="F868" s="10" t="s">
        <v>3160</v>
      </c>
      <c r="G868" s="10" t="s">
        <v>3161</v>
      </c>
      <c r="H868" s="17">
        <v>44343.78125</v>
      </c>
      <c r="I868" s="17">
        <v>44343.85416666667</v>
      </c>
      <c r="J868" s="10" t="s">
        <v>128</v>
      </c>
      <c r="K868" s="10" t="s">
        <v>34</v>
      </c>
      <c r="N868" s="10" t="s">
        <v>35</v>
      </c>
      <c r="V868" s="9"/>
      <c r="W868" s="13" t="s">
        <v>78</v>
      </c>
      <c r="X868" s="10" t="s">
        <v>237</v>
      </c>
      <c r="Y868" s="10" t="s">
        <v>0</v>
      </c>
    </row>
    <row r="869">
      <c r="A869" s="10" t="s">
        <v>3171</v>
      </c>
      <c r="B869" s="11">
        <v>44337.461618877314</v>
      </c>
      <c r="C869" s="10" t="s">
        <v>186</v>
      </c>
      <c r="D869" s="10" t="s">
        <v>187</v>
      </c>
      <c r="E869" s="10" t="s">
        <v>188</v>
      </c>
      <c r="F869" s="10" t="s">
        <v>3172</v>
      </c>
      <c r="G869" s="26" t="s">
        <v>6007</v>
      </c>
      <c r="H869" s="17">
        <v>44338.375</v>
      </c>
      <c r="I869" s="17">
        <v>44338.4375</v>
      </c>
      <c r="J869" s="10" t="s">
        <v>128</v>
      </c>
      <c r="K869" s="10" t="s">
        <v>34</v>
      </c>
      <c r="N869" s="10" t="s">
        <v>35</v>
      </c>
      <c r="V869" s="9"/>
      <c r="W869" s="13" t="s">
        <v>78</v>
      </c>
      <c r="X869" s="10" t="s">
        <v>237</v>
      </c>
      <c r="Y869" s="10" t="s">
        <v>0</v>
      </c>
    </row>
    <row r="870">
      <c r="A870" s="10" t="s">
        <v>3174</v>
      </c>
      <c r="B870" s="11">
        <v>44337.9486190625</v>
      </c>
      <c r="C870" s="10" t="s">
        <v>491</v>
      </c>
      <c r="D870" s="10" t="s">
        <v>492</v>
      </c>
      <c r="E870" s="10" t="s">
        <v>3175</v>
      </c>
      <c r="F870" s="10" t="s">
        <v>3176</v>
      </c>
      <c r="G870" s="10" t="s">
        <v>3177</v>
      </c>
      <c r="H870" s="17">
        <v>44343.79166666667</v>
      </c>
      <c r="I870" s="17">
        <v>44343.85416666667</v>
      </c>
      <c r="J870" s="10" t="s">
        <v>128</v>
      </c>
      <c r="K870" s="10" t="s">
        <v>34</v>
      </c>
      <c r="N870" s="10" t="s">
        <v>35</v>
      </c>
      <c r="V870" s="9"/>
      <c r="W870" s="13" t="s">
        <v>78</v>
      </c>
      <c r="X870" s="10" t="s">
        <v>237</v>
      </c>
      <c r="Y870" s="10" t="s">
        <v>0</v>
      </c>
    </row>
    <row r="871">
      <c r="A871" s="10" t="s">
        <v>3178</v>
      </c>
      <c r="B871" s="11">
        <v>44340.73861490741</v>
      </c>
      <c r="C871" s="10" t="s">
        <v>137</v>
      </c>
      <c r="D871" s="10" t="s">
        <v>138</v>
      </c>
      <c r="E871" s="10" t="s">
        <v>3179</v>
      </c>
      <c r="F871" s="10" t="s">
        <v>2754</v>
      </c>
      <c r="G871" s="10" t="s">
        <v>3180</v>
      </c>
      <c r="H871" s="17">
        <v>44344.58333333333</v>
      </c>
      <c r="I871" s="17">
        <v>44344.66666666667</v>
      </c>
      <c r="J871" s="10" t="s">
        <v>128</v>
      </c>
      <c r="K871" s="10" t="s">
        <v>34</v>
      </c>
      <c r="N871" s="10" t="s">
        <v>35</v>
      </c>
      <c r="V871" s="9"/>
      <c r="W871" s="13" t="s">
        <v>78</v>
      </c>
      <c r="X871" s="10" t="s">
        <v>37</v>
      </c>
      <c r="Y871" s="10" t="s">
        <v>0</v>
      </c>
    </row>
    <row r="872">
      <c r="A872" s="10" t="s">
        <v>3181</v>
      </c>
      <c r="B872" s="11">
        <v>44315.72529400463</v>
      </c>
      <c r="C872" s="10" t="s">
        <v>160</v>
      </c>
      <c r="D872" s="10" t="s">
        <v>161</v>
      </c>
      <c r="E872" s="10" t="s">
        <v>947</v>
      </c>
      <c r="F872" s="10" t="s">
        <v>3182</v>
      </c>
      <c r="G872" s="10" t="s">
        <v>3183</v>
      </c>
      <c r="H872" s="24">
        <v>44330.645833333336</v>
      </c>
      <c r="I872" s="24">
        <v>44330.729166666664</v>
      </c>
      <c r="J872" s="10" t="s">
        <v>43</v>
      </c>
      <c r="K872" s="10" t="s">
        <v>34</v>
      </c>
      <c r="N872" s="10" t="s">
        <v>296</v>
      </c>
      <c r="O872" s="18" t="s">
        <v>3184</v>
      </c>
      <c r="P872" s="10" t="s">
        <v>296</v>
      </c>
      <c r="Q872" s="10">
        <v>2.0</v>
      </c>
      <c r="R872" s="10" t="s">
        <v>35</v>
      </c>
      <c r="T872" s="10" t="s">
        <v>35</v>
      </c>
      <c r="V872" s="9"/>
      <c r="W872" s="13" t="s">
        <v>78</v>
      </c>
      <c r="X872" s="10" t="s">
        <v>37</v>
      </c>
      <c r="Y872" s="10" t="s">
        <v>0</v>
      </c>
    </row>
    <row r="873">
      <c r="A873" s="10" t="s">
        <v>3185</v>
      </c>
      <c r="B873" s="11">
        <v>44329.42188232639</v>
      </c>
      <c r="C873" s="10" t="s">
        <v>381</v>
      </c>
      <c r="D873" s="10" t="s">
        <v>382</v>
      </c>
      <c r="E873" s="10" t="s">
        <v>2045</v>
      </c>
      <c r="F873" s="10" t="s">
        <v>3186</v>
      </c>
      <c r="G873" s="10" t="s">
        <v>3187</v>
      </c>
      <c r="H873" s="16">
        <v>44330.6875</v>
      </c>
      <c r="I873" s="16">
        <v>44330.72916666667</v>
      </c>
      <c r="J873" s="10" t="s">
        <v>43</v>
      </c>
      <c r="K873" s="10" t="s">
        <v>34</v>
      </c>
      <c r="N873" s="10" t="s">
        <v>35</v>
      </c>
      <c r="V873" s="9"/>
      <c r="W873" s="13" t="s">
        <v>78</v>
      </c>
      <c r="X873" s="10" t="s">
        <v>37</v>
      </c>
      <c r="Y873" s="10" t="s">
        <v>0</v>
      </c>
    </row>
    <row r="874">
      <c r="A874" s="10" t="s">
        <v>3188</v>
      </c>
      <c r="B874" s="11">
        <v>44327.56249616898</v>
      </c>
      <c r="C874" s="10" t="s">
        <v>1583</v>
      </c>
      <c r="D874" s="10" t="s">
        <v>505</v>
      </c>
      <c r="E874" s="10" t="s">
        <v>2105</v>
      </c>
      <c r="F874" s="10" t="s">
        <v>3189</v>
      </c>
      <c r="G874" s="10" t="s">
        <v>3190</v>
      </c>
      <c r="H874" s="16">
        <v>44330.75</v>
      </c>
      <c r="I874" s="16">
        <v>44330.83333333333</v>
      </c>
      <c r="J874" s="10" t="s">
        <v>43</v>
      </c>
      <c r="K874" s="10" t="s">
        <v>34</v>
      </c>
      <c r="N874" s="10" t="s">
        <v>296</v>
      </c>
      <c r="O874" s="18" t="s">
        <v>3191</v>
      </c>
      <c r="P874" s="10" t="s">
        <v>296</v>
      </c>
      <c r="Q874" s="10">
        <v>2.0</v>
      </c>
      <c r="R874" s="10" t="s">
        <v>35</v>
      </c>
      <c r="T874" s="10" t="s">
        <v>35</v>
      </c>
      <c r="V874" s="9"/>
      <c r="W874" s="13" t="s">
        <v>78</v>
      </c>
      <c r="X874" s="10" t="s">
        <v>37</v>
      </c>
      <c r="Y874" s="10" t="s">
        <v>0</v>
      </c>
    </row>
    <row r="875">
      <c r="A875" s="10" t="s">
        <v>3192</v>
      </c>
      <c r="B875" s="11">
        <v>44291.496651423615</v>
      </c>
      <c r="C875" s="10" t="s">
        <v>181</v>
      </c>
      <c r="D875" s="10" t="s">
        <v>69</v>
      </c>
      <c r="E875" s="10" t="s">
        <v>2327</v>
      </c>
      <c r="F875" s="10" t="s">
        <v>3193</v>
      </c>
      <c r="G875" s="10" t="s">
        <v>3194</v>
      </c>
      <c r="H875" s="24">
        <v>44331.375</v>
      </c>
      <c r="I875" s="24">
        <v>44331.45833333333</v>
      </c>
      <c r="J875" s="10" t="s">
        <v>43</v>
      </c>
      <c r="K875" s="10" t="s">
        <v>34</v>
      </c>
      <c r="N875" s="10" t="s">
        <v>296</v>
      </c>
      <c r="O875" s="18" t="s">
        <v>3195</v>
      </c>
      <c r="P875" s="10" t="s">
        <v>35</v>
      </c>
      <c r="R875" s="10" t="s">
        <v>35</v>
      </c>
      <c r="T875" s="10" t="s">
        <v>296</v>
      </c>
      <c r="U875" s="10">
        <v>1.0</v>
      </c>
      <c r="V875" s="27"/>
      <c r="W875" s="13" t="s">
        <v>78</v>
      </c>
      <c r="X875" s="10" t="s">
        <v>37</v>
      </c>
      <c r="Y875" s="10" t="s">
        <v>0</v>
      </c>
    </row>
    <row r="876">
      <c r="A876" s="10" t="s">
        <v>3196</v>
      </c>
      <c r="B876" s="11">
        <v>44317.75377329861</v>
      </c>
      <c r="C876" s="10" t="s">
        <v>209</v>
      </c>
      <c r="D876" s="10" t="s">
        <v>210</v>
      </c>
      <c r="E876" s="10" t="s">
        <v>261</v>
      </c>
      <c r="F876" s="10" t="s">
        <v>3197</v>
      </c>
      <c r="G876" s="10" t="s">
        <v>3198</v>
      </c>
      <c r="H876" s="24">
        <v>44331.60416666667</v>
      </c>
      <c r="I876" s="24">
        <v>44331.6875</v>
      </c>
      <c r="J876" s="10" t="s">
        <v>43</v>
      </c>
      <c r="K876" s="10" t="s">
        <v>34</v>
      </c>
      <c r="N876" s="10" t="s">
        <v>296</v>
      </c>
      <c r="O876" s="18" t="s">
        <v>3199</v>
      </c>
      <c r="P876" s="10" t="s">
        <v>35</v>
      </c>
      <c r="R876" s="10" t="s">
        <v>296</v>
      </c>
      <c r="S876" s="10">
        <v>1.0</v>
      </c>
      <c r="T876" s="10" t="s">
        <v>35</v>
      </c>
      <c r="V876" s="9"/>
      <c r="W876" s="13" t="s">
        <v>78</v>
      </c>
      <c r="X876" s="10" t="s">
        <v>37</v>
      </c>
      <c r="Y876" s="10" t="s">
        <v>0</v>
      </c>
    </row>
    <row r="877">
      <c r="A877" s="10" t="s">
        <v>3200</v>
      </c>
      <c r="B877" s="11">
        <v>44344.46052959491</v>
      </c>
      <c r="C877" s="10" t="s">
        <v>150</v>
      </c>
      <c r="D877" s="10" t="s">
        <v>151</v>
      </c>
      <c r="E877" s="10" t="s">
        <v>152</v>
      </c>
      <c r="F877" s="10" t="s">
        <v>3201</v>
      </c>
      <c r="G877" s="10" t="s">
        <v>3202</v>
      </c>
      <c r="H877" s="17">
        <v>44345.41666666667</v>
      </c>
      <c r="I877" s="17">
        <v>44345.5</v>
      </c>
      <c r="J877" s="10" t="s">
        <v>128</v>
      </c>
      <c r="K877" s="10" t="s">
        <v>34</v>
      </c>
      <c r="N877" s="10" t="s">
        <v>35</v>
      </c>
      <c r="V877" s="9"/>
      <c r="W877" s="13" t="s">
        <v>1669</v>
      </c>
      <c r="X877" s="10" t="s">
        <v>37</v>
      </c>
      <c r="Y877" s="10" t="s">
        <v>0</v>
      </c>
    </row>
    <row r="878">
      <c r="A878" s="10" t="s">
        <v>3203</v>
      </c>
      <c r="B878" s="11">
        <v>44344.72321210648</v>
      </c>
      <c r="C878" s="10" t="s">
        <v>28</v>
      </c>
      <c r="D878" s="10" t="s">
        <v>29</v>
      </c>
      <c r="E878" s="10" t="s">
        <v>63</v>
      </c>
      <c r="F878" s="10" t="s">
        <v>3204</v>
      </c>
      <c r="G878" s="10" t="s">
        <v>3205</v>
      </c>
      <c r="H878" s="17">
        <v>44351.60416666667</v>
      </c>
      <c r="I878" s="17">
        <v>44351.6875</v>
      </c>
      <c r="J878" s="10" t="s">
        <v>128</v>
      </c>
      <c r="K878" s="10" t="s">
        <v>34</v>
      </c>
      <c r="N878" s="10" t="s">
        <v>35</v>
      </c>
      <c r="V878" s="9"/>
      <c r="W878" s="13" t="s">
        <v>1669</v>
      </c>
      <c r="X878" s="10" t="s">
        <v>37</v>
      </c>
      <c r="Y878" s="10" t="s">
        <v>0</v>
      </c>
    </row>
    <row r="879">
      <c r="A879" s="10" t="s">
        <v>3206</v>
      </c>
      <c r="B879" s="11">
        <v>44344.734170185184</v>
      </c>
      <c r="C879" s="10" t="s">
        <v>80</v>
      </c>
      <c r="D879" s="10" t="s">
        <v>81</v>
      </c>
      <c r="E879" s="10" t="s">
        <v>3207</v>
      </c>
      <c r="F879" s="10" t="s">
        <v>3208</v>
      </c>
      <c r="G879" s="10" t="s">
        <v>3209</v>
      </c>
      <c r="H879" s="17">
        <v>44345.6875</v>
      </c>
      <c r="I879" s="17">
        <v>44345.72916666667</v>
      </c>
      <c r="J879" s="10" t="s">
        <v>128</v>
      </c>
      <c r="K879" s="10" t="s">
        <v>34</v>
      </c>
      <c r="N879" s="10" t="s">
        <v>35</v>
      </c>
      <c r="V879" s="9"/>
      <c r="W879" s="13" t="s">
        <v>1669</v>
      </c>
      <c r="X879" s="10" t="s">
        <v>37</v>
      </c>
      <c r="Y879" s="10" t="s">
        <v>0</v>
      </c>
    </row>
    <row r="880">
      <c r="A880" s="10" t="s">
        <v>3210</v>
      </c>
      <c r="B880" s="11">
        <v>44348.47785146991</v>
      </c>
      <c r="C880" s="10" t="s">
        <v>209</v>
      </c>
      <c r="D880" s="10" t="s">
        <v>210</v>
      </c>
      <c r="E880" s="10" t="s">
        <v>3211</v>
      </c>
      <c r="F880" s="10" t="s">
        <v>3212</v>
      </c>
      <c r="G880" s="10" t="s">
        <v>3213</v>
      </c>
      <c r="H880" s="17">
        <v>44349.4375</v>
      </c>
      <c r="I880" s="17">
        <v>44377.4375</v>
      </c>
      <c r="J880" s="10" t="s">
        <v>51</v>
      </c>
      <c r="K880" s="10" t="s">
        <v>34</v>
      </c>
      <c r="N880" s="10" t="s">
        <v>35</v>
      </c>
      <c r="V880" s="9"/>
      <c r="W880" s="13" t="s">
        <v>1669</v>
      </c>
      <c r="X880" s="10" t="s">
        <v>37</v>
      </c>
      <c r="Y880" s="10" t="s">
        <v>0</v>
      </c>
    </row>
    <row r="881">
      <c r="A881" s="10" t="s">
        <v>3214</v>
      </c>
      <c r="B881" s="11">
        <v>44349.937883032406</v>
      </c>
      <c r="C881" s="10" t="s">
        <v>491</v>
      </c>
      <c r="D881" s="10" t="s">
        <v>492</v>
      </c>
      <c r="E881" s="10" t="s">
        <v>853</v>
      </c>
      <c r="F881" s="10" t="s">
        <v>3215</v>
      </c>
      <c r="G881" s="10" t="s">
        <v>3216</v>
      </c>
      <c r="H881" s="17">
        <v>44342.5</v>
      </c>
      <c r="I881" s="17">
        <v>44342.5</v>
      </c>
      <c r="J881" s="10" t="s">
        <v>73</v>
      </c>
      <c r="K881" s="10" t="s">
        <v>34</v>
      </c>
      <c r="N881" s="10" t="s">
        <v>35</v>
      </c>
      <c r="V881" s="9"/>
      <c r="W881" s="13" t="s">
        <v>1669</v>
      </c>
      <c r="X881" s="10" t="s">
        <v>37</v>
      </c>
      <c r="Y881" s="10" t="s">
        <v>0</v>
      </c>
    </row>
    <row r="882">
      <c r="A882" s="10" t="s">
        <v>3217</v>
      </c>
      <c r="B882" s="11">
        <v>44349.938833368054</v>
      </c>
      <c r="C882" s="10" t="s">
        <v>491</v>
      </c>
      <c r="D882" s="10" t="s">
        <v>492</v>
      </c>
      <c r="E882" s="10" t="s">
        <v>853</v>
      </c>
      <c r="F882" s="10" t="s">
        <v>2897</v>
      </c>
      <c r="G882" s="10" t="s">
        <v>3218</v>
      </c>
      <c r="H882" s="17">
        <v>44344.5</v>
      </c>
      <c r="I882" s="17">
        <v>44344.5</v>
      </c>
      <c r="J882" s="10" t="s">
        <v>73</v>
      </c>
      <c r="K882" s="10" t="s">
        <v>34</v>
      </c>
      <c r="N882" s="10" t="s">
        <v>35</v>
      </c>
      <c r="V882" s="9"/>
      <c r="W882" s="13" t="s">
        <v>1669</v>
      </c>
      <c r="X882" s="10" t="s">
        <v>37</v>
      </c>
      <c r="Y882" s="10" t="s">
        <v>0</v>
      </c>
    </row>
    <row r="883">
      <c r="A883" s="10" t="s">
        <v>3219</v>
      </c>
      <c r="B883" s="11">
        <v>44349.93954587963</v>
      </c>
      <c r="C883" s="10" t="s">
        <v>491</v>
      </c>
      <c r="D883" s="10" t="s">
        <v>492</v>
      </c>
      <c r="E883" s="10" t="s">
        <v>853</v>
      </c>
      <c r="F883" s="10" t="s">
        <v>3220</v>
      </c>
      <c r="G883" s="10" t="s">
        <v>3221</v>
      </c>
      <c r="H883" s="17">
        <v>44346.5</v>
      </c>
      <c r="I883" s="17">
        <v>44346.5</v>
      </c>
      <c r="J883" s="10" t="s">
        <v>73</v>
      </c>
      <c r="K883" s="10" t="s">
        <v>34</v>
      </c>
      <c r="N883" s="10" t="s">
        <v>35</v>
      </c>
      <c r="V883" s="9"/>
      <c r="W883" s="13" t="s">
        <v>1669</v>
      </c>
      <c r="X883" s="10" t="s">
        <v>37</v>
      </c>
      <c r="Y883" s="10" t="s">
        <v>0</v>
      </c>
    </row>
    <row r="884">
      <c r="A884" s="10" t="s">
        <v>3222</v>
      </c>
      <c r="B884" s="11">
        <v>44349.940487430555</v>
      </c>
      <c r="C884" s="10" t="s">
        <v>491</v>
      </c>
      <c r="D884" s="10" t="s">
        <v>492</v>
      </c>
      <c r="E884" s="10" t="s">
        <v>853</v>
      </c>
      <c r="F884" s="10" t="s">
        <v>3223</v>
      </c>
      <c r="G884" s="10" t="s">
        <v>3224</v>
      </c>
      <c r="H884" s="17">
        <v>44349.79166666667</v>
      </c>
      <c r="I884" s="17">
        <v>44349.79166666667</v>
      </c>
      <c r="J884" s="10" t="s">
        <v>73</v>
      </c>
      <c r="K884" s="10" t="s">
        <v>34</v>
      </c>
      <c r="N884" s="10" t="s">
        <v>35</v>
      </c>
      <c r="V884" s="9"/>
      <c r="W884" s="13" t="s">
        <v>1669</v>
      </c>
      <c r="X884" s="10" t="s">
        <v>37</v>
      </c>
      <c r="Y884" s="10" t="s">
        <v>0</v>
      </c>
    </row>
    <row r="885">
      <c r="A885" s="10" t="s">
        <v>3225</v>
      </c>
      <c r="B885" s="11">
        <v>44313.611519513885</v>
      </c>
      <c r="C885" s="10" t="s">
        <v>239</v>
      </c>
      <c r="D885" s="10" t="s">
        <v>240</v>
      </c>
      <c r="E885" s="10" t="s">
        <v>2041</v>
      </c>
      <c r="F885" s="10" t="s">
        <v>3226</v>
      </c>
      <c r="G885" s="10" t="s">
        <v>3227</v>
      </c>
      <c r="H885" s="24">
        <v>44331.66666666667</v>
      </c>
      <c r="I885" s="24">
        <v>44331.70833333333</v>
      </c>
      <c r="J885" s="10" t="s">
        <v>43</v>
      </c>
      <c r="K885" s="10" t="s">
        <v>34</v>
      </c>
      <c r="N885" s="10" t="s">
        <v>35</v>
      </c>
      <c r="V885" s="9"/>
      <c r="W885" s="13" t="s">
        <v>78</v>
      </c>
      <c r="X885" s="10" t="s">
        <v>37</v>
      </c>
      <c r="Y885" s="10" t="s">
        <v>0</v>
      </c>
    </row>
    <row r="886">
      <c r="A886" s="10" t="s">
        <v>3228</v>
      </c>
      <c r="B886" s="11">
        <v>44315.63273814815</v>
      </c>
      <c r="C886" s="10" t="s">
        <v>28</v>
      </c>
      <c r="D886" s="10" t="s">
        <v>29</v>
      </c>
      <c r="E886" s="10" t="s">
        <v>2323</v>
      </c>
      <c r="F886" s="10" t="s">
        <v>3229</v>
      </c>
      <c r="G886" s="10" t="s">
        <v>3105</v>
      </c>
      <c r="H886" s="24">
        <v>44334.60416666667</v>
      </c>
      <c r="I886" s="24">
        <v>44334.6875</v>
      </c>
      <c r="J886" s="10" t="s">
        <v>43</v>
      </c>
      <c r="K886" s="10" t="s">
        <v>34</v>
      </c>
      <c r="N886" s="10" t="s">
        <v>35</v>
      </c>
      <c r="V886" s="9"/>
      <c r="W886" s="13" t="s">
        <v>78</v>
      </c>
      <c r="X886" s="10" t="s">
        <v>37</v>
      </c>
      <c r="Y886" s="10" t="s">
        <v>0</v>
      </c>
    </row>
    <row r="887">
      <c r="A887" s="10" t="s">
        <v>3230</v>
      </c>
      <c r="B887" s="11">
        <v>44355.73654398148</v>
      </c>
      <c r="C887" s="10" t="s">
        <v>610</v>
      </c>
      <c r="D887" s="10" t="s">
        <v>611</v>
      </c>
      <c r="E887" s="10" t="s">
        <v>2562</v>
      </c>
      <c r="F887" s="10" t="s">
        <v>3231</v>
      </c>
      <c r="G887" s="10" t="s">
        <v>3232</v>
      </c>
      <c r="H887" s="16">
        <v>44358.0</v>
      </c>
      <c r="I887" s="16">
        <v>44372.99930555555</v>
      </c>
      <c r="J887" s="10" t="s">
        <v>128</v>
      </c>
      <c r="K887" s="10" t="s">
        <v>34</v>
      </c>
      <c r="N887" s="10" t="s">
        <v>35</v>
      </c>
      <c r="V887" s="9"/>
      <c r="W887" s="13" t="s">
        <v>78</v>
      </c>
      <c r="X887" s="10" t="s">
        <v>37</v>
      </c>
      <c r="Y887" s="10" t="s">
        <v>0</v>
      </c>
    </row>
    <row r="888">
      <c r="A888" s="10" t="s">
        <v>3233</v>
      </c>
      <c r="B888" s="11">
        <v>44329.578907083334</v>
      </c>
      <c r="C888" s="10" t="s">
        <v>181</v>
      </c>
      <c r="D888" s="10" t="s">
        <v>69</v>
      </c>
      <c r="E888" s="10" t="s">
        <v>1229</v>
      </c>
      <c r="F888" s="10" t="s">
        <v>3234</v>
      </c>
      <c r="G888" s="10" t="s">
        <v>3235</v>
      </c>
      <c r="H888" s="24">
        <v>44336.60416666667</v>
      </c>
      <c r="I888" s="24">
        <v>44336.6875</v>
      </c>
      <c r="J888" s="10" t="s">
        <v>43</v>
      </c>
      <c r="K888" s="10" t="s">
        <v>34</v>
      </c>
      <c r="N888" s="10" t="s">
        <v>296</v>
      </c>
      <c r="O888" s="18" t="s">
        <v>3236</v>
      </c>
      <c r="P888" s="10" t="s">
        <v>35</v>
      </c>
      <c r="R888" s="10" t="s">
        <v>296</v>
      </c>
      <c r="S888" s="10">
        <v>1.0</v>
      </c>
      <c r="T888" s="10" t="s">
        <v>35</v>
      </c>
      <c r="V888" s="9"/>
      <c r="W888" s="13" t="s">
        <v>1669</v>
      </c>
      <c r="X888" s="10" t="s">
        <v>237</v>
      </c>
      <c r="Y888" s="10" t="s">
        <v>0</v>
      </c>
    </row>
    <row r="889">
      <c r="A889" s="10" t="s">
        <v>3237</v>
      </c>
      <c r="B889" s="11">
        <v>44362.67225163194</v>
      </c>
      <c r="C889" s="10" t="s">
        <v>239</v>
      </c>
      <c r="D889" s="10" t="s">
        <v>240</v>
      </c>
      <c r="E889" s="10" t="s">
        <v>3238</v>
      </c>
      <c r="F889" s="10" t="s">
        <v>3239</v>
      </c>
      <c r="G889" s="10" t="s">
        <v>3240</v>
      </c>
      <c r="H889" s="32" t="s">
        <v>3241</v>
      </c>
      <c r="I889" s="32">
        <v>44365.72916666667</v>
      </c>
      <c r="J889" s="10" t="s">
        <v>128</v>
      </c>
      <c r="K889" s="10" t="s">
        <v>61</v>
      </c>
      <c r="N889" s="10" t="s">
        <v>35</v>
      </c>
      <c r="V889" s="9"/>
      <c r="W889" s="13" t="s">
        <v>3242</v>
      </c>
      <c r="X889" s="10" t="s">
        <v>2360</v>
      </c>
      <c r="Y889" s="10" t="s">
        <v>0</v>
      </c>
    </row>
    <row r="890">
      <c r="A890" s="10" t="s">
        <v>3243</v>
      </c>
      <c r="B890" s="11">
        <v>44334.77549814815</v>
      </c>
      <c r="C890" s="10" t="s">
        <v>2658</v>
      </c>
      <c r="D890" s="10" t="s">
        <v>97</v>
      </c>
      <c r="E890" s="10" t="s">
        <v>98</v>
      </c>
      <c r="F890" s="10" t="s">
        <v>3244</v>
      </c>
      <c r="G890" s="10" t="s">
        <v>3245</v>
      </c>
      <c r="H890" s="16">
        <v>44336.60416666667</v>
      </c>
      <c r="I890" s="16">
        <v>44336.66666666667</v>
      </c>
      <c r="J890" s="10" t="s">
        <v>43</v>
      </c>
      <c r="K890" s="10" t="s">
        <v>34</v>
      </c>
      <c r="N890" s="10" t="s">
        <v>296</v>
      </c>
      <c r="O890" s="18" t="s">
        <v>3246</v>
      </c>
      <c r="P890" s="10" t="s">
        <v>35</v>
      </c>
      <c r="R890" s="10" t="s">
        <v>296</v>
      </c>
      <c r="S890" s="10">
        <v>1.0</v>
      </c>
      <c r="T890" s="10" t="s">
        <v>35</v>
      </c>
      <c r="V890" s="9"/>
      <c r="W890" s="13" t="s">
        <v>1669</v>
      </c>
      <c r="X890" s="10" t="s">
        <v>237</v>
      </c>
      <c r="Y890" s="10" t="s">
        <v>0</v>
      </c>
    </row>
    <row r="891">
      <c r="A891" s="10" t="s">
        <v>3247</v>
      </c>
      <c r="B891" s="11">
        <v>44315.634679490744</v>
      </c>
      <c r="C891" s="10" t="s">
        <v>28</v>
      </c>
      <c r="D891" s="10" t="s">
        <v>29</v>
      </c>
      <c r="E891" s="10" t="s">
        <v>63</v>
      </c>
      <c r="F891" s="10" t="s">
        <v>3248</v>
      </c>
      <c r="G891" s="10" t="s">
        <v>3249</v>
      </c>
      <c r="H891" s="24">
        <v>44337.4375</v>
      </c>
      <c r="I891" s="24">
        <v>44337.52083333333</v>
      </c>
      <c r="J891" s="10" t="s">
        <v>43</v>
      </c>
      <c r="K891" s="10" t="s">
        <v>34</v>
      </c>
      <c r="N891" s="10" t="s">
        <v>35</v>
      </c>
      <c r="V891" s="9"/>
      <c r="W891" s="13" t="s">
        <v>1669</v>
      </c>
      <c r="X891" s="10" t="s">
        <v>37</v>
      </c>
      <c r="Y891" s="10" t="s">
        <v>0</v>
      </c>
    </row>
    <row r="892">
      <c r="A892" s="10" t="s">
        <v>3250</v>
      </c>
      <c r="B892" s="11">
        <v>44329.424761608796</v>
      </c>
      <c r="C892" s="10" t="s">
        <v>381</v>
      </c>
      <c r="D892" s="10" t="s">
        <v>382</v>
      </c>
      <c r="E892" s="10" t="s">
        <v>2045</v>
      </c>
      <c r="F892" s="10" t="s">
        <v>3251</v>
      </c>
      <c r="G892" s="10" t="s">
        <v>3252</v>
      </c>
      <c r="H892" s="24">
        <v>44337.6875</v>
      </c>
      <c r="I892" s="24">
        <v>44337.72916666667</v>
      </c>
      <c r="J892" s="10" t="s">
        <v>43</v>
      </c>
      <c r="K892" s="10" t="s">
        <v>34</v>
      </c>
      <c r="N892" s="10" t="s">
        <v>35</v>
      </c>
      <c r="V892" s="9"/>
      <c r="W892" s="13" t="s">
        <v>1669</v>
      </c>
      <c r="X892" s="10" t="s">
        <v>37</v>
      </c>
      <c r="Y892" s="10" t="s">
        <v>0</v>
      </c>
    </row>
    <row r="893">
      <c r="A893" s="10" t="s">
        <v>3253</v>
      </c>
      <c r="B893" s="11">
        <v>44333.88443900463</v>
      </c>
      <c r="C893" s="10" t="s">
        <v>1583</v>
      </c>
      <c r="D893" s="10" t="s">
        <v>505</v>
      </c>
      <c r="E893" s="10" t="s">
        <v>2105</v>
      </c>
      <c r="F893" s="10" t="s">
        <v>3254</v>
      </c>
      <c r="G893" s="10" t="s">
        <v>3255</v>
      </c>
      <c r="H893" s="16">
        <v>44337.79166666667</v>
      </c>
      <c r="I893" s="16">
        <v>44337.875</v>
      </c>
      <c r="J893" s="10" t="s">
        <v>43</v>
      </c>
      <c r="K893" s="10" t="s">
        <v>34</v>
      </c>
      <c r="N893" s="10" t="s">
        <v>296</v>
      </c>
      <c r="O893" s="18" t="s">
        <v>3256</v>
      </c>
      <c r="P893" s="10" t="s">
        <v>296</v>
      </c>
      <c r="Q893" s="10">
        <v>1.0</v>
      </c>
      <c r="R893" s="10" t="s">
        <v>35</v>
      </c>
      <c r="T893" s="10" t="s">
        <v>35</v>
      </c>
      <c r="V893" s="9"/>
      <c r="W893" s="13" t="s">
        <v>1669</v>
      </c>
      <c r="X893" s="10" t="s">
        <v>237</v>
      </c>
      <c r="Y893" s="10" t="s">
        <v>0</v>
      </c>
    </row>
    <row r="894">
      <c r="A894" s="10" t="s">
        <v>3257</v>
      </c>
      <c r="B894" s="11">
        <v>44341.061653136574</v>
      </c>
      <c r="C894" s="10" t="s">
        <v>1583</v>
      </c>
      <c r="D894" s="10" t="s">
        <v>505</v>
      </c>
      <c r="E894" s="10" t="s">
        <v>3258</v>
      </c>
      <c r="F894" s="10" t="s">
        <v>3259</v>
      </c>
      <c r="G894" s="10" t="s">
        <v>3260</v>
      </c>
      <c r="H894" s="16">
        <v>44344.79166666667</v>
      </c>
      <c r="I894" s="16">
        <v>44344.875</v>
      </c>
      <c r="J894" s="10" t="s">
        <v>43</v>
      </c>
      <c r="K894" s="10" t="s">
        <v>34</v>
      </c>
      <c r="N894" s="10" t="s">
        <v>296</v>
      </c>
      <c r="O894" s="18" t="s">
        <v>3261</v>
      </c>
      <c r="P894" s="10" t="s">
        <v>296</v>
      </c>
      <c r="Q894" s="10">
        <v>1.0</v>
      </c>
      <c r="R894" s="10" t="s">
        <v>35</v>
      </c>
      <c r="T894" s="10" t="s">
        <v>35</v>
      </c>
      <c r="V894" s="9"/>
      <c r="W894" s="13" t="s">
        <v>1669</v>
      </c>
      <c r="X894" s="10" t="s">
        <v>37</v>
      </c>
      <c r="Y894" s="10" t="s">
        <v>0</v>
      </c>
    </row>
    <row r="895">
      <c r="A895" s="10" t="s">
        <v>3262</v>
      </c>
      <c r="B895" s="11">
        <v>44291.49760503472</v>
      </c>
      <c r="C895" s="10" t="s">
        <v>181</v>
      </c>
      <c r="D895" s="10" t="s">
        <v>69</v>
      </c>
      <c r="E895" s="10" t="s">
        <v>2327</v>
      </c>
      <c r="F895" s="10" t="s">
        <v>2307</v>
      </c>
      <c r="G895" s="10" t="s">
        <v>3263</v>
      </c>
      <c r="H895" s="24">
        <v>44345.375</v>
      </c>
      <c r="I895" s="24">
        <v>44345.45833333333</v>
      </c>
      <c r="J895" s="10" t="s">
        <v>43</v>
      </c>
      <c r="K895" s="10" t="s">
        <v>34</v>
      </c>
      <c r="N895" s="10" t="s">
        <v>296</v>
      </c>
      <c r="O895" s="18" t="s">
        <v>3264</v>
      </c>
      <c r="P895" s="10" t="s">
        <v>35</v>
      </c>
      <c r="R895" s="10" t="s">
        <v>35</v>
      </c>
      <c r="T895" s="10" t="s">
        <v>296</v>
      </c>
      <c r="U895" s="10">
        <v>1.0</v>
      </c>
      <c r="V895" s="27"/>
      <c r="W895" s="13" t="s">
        <v>78</v>
      </c>
      <c r="X895" s="10" t="s">
        <v>37</v>
      </c>
      <c r="Y895" s="10" t="s">
        <v>0</v>
      </c>
    </row>
    <row r="896">
      <c r="A896" s="10" t="s">
        <v>3265</v>
      </c>
      <c r="B896" s="11">
        <v>44363.78127416667</v>
      </c>
      <c r="C896" s="10" t="s">
        <v>102</v>
      </c>
      <c r="D896" s="10" t="s">
        <v>103</v>
      </c>
      <c r="E896" s="10" t="s">
        <v>3266</v>
      </c>
      <c r="F896" s="10" t="s">
        <v>3267</v>
      </c>
      <c r="G896" s="10" t="s">
        <v>3268</v>
      </c>
      <c r="H896" s="16">
        <v>44345.41666666667</v>
      </c>
      <c r="I896" s="16">
        <v>44345.5</v>
      </c>
      <c r="J896" s="10" t="s">
        <v>43</v>
      </c>
      <c r="K896" s="10" t="s">
        <v>34</v>
      </c>
      <c r="N896" s="10" t="s">
        <v>296</v>
      </c>
      <c r="O896" s="18" t="s">
        <v>3269</v>
      </c>
      <c r="P896" s="10" t="s">
        <v>296</v>
      </c>
      <c r="Q896" s="10">
        <v>2.0</v>
      </c>
      <c r="R896" s="10" t="s">
        <v>296</v>
      </c>
      <c r="S896" s="10">
        <v>1.0</v>
      </c>
      <c r="T896" s="10" t="s">
        <v>35</v>
      </c>
      <c r="V896" s="9"/>
      <c r="W896" s="13" t="s">
        <v>1669</v>
      </c>
      <c r="X896" s="10" t="s">
        <v>37</v>
      </c>
      <c r="Y896" s="10" t="s">
        <v>0</v>
      </c>
    </row>
    <row r="897">
      <c r="A897" s="10" t="s">
        <v>3270</v>
      </c>
      <c r="B897" s="11">
        <v>44363.76337010416</v>
      </c>
      <c r="C897" s="10" t="s">
        <v>102</v>
      </c>
      <c r="D897" s="10" t="s">
        <v>103</v>
      </c>
      <c r="E897" s="10" t="s">
        <v>2870</v>
      </c>
      <c r="F897" s="10" t="s">
        <v>3271</v>
      </c>
      <c r="G897" s="10" t="s">
        <v>3272</v>
      </c>
      <c r="H897" s="16">
        <v>44354.77083333333</v>
      </c>
      <c r="I897" s="16">
        <v>44354.8125</v>
      </c>
      <c r="J897" s="10" t="s">
        <v>51</v>
      </c>
      <c r="K897" s="10" t="s">
        <v>34</v>
      </c>
      <c r="N897" s="10" t="s">
        <v>296</v>
      </c>
      <c r="O897" s="18" t="s">
        <v>3273</v>
      </c>
      <c r="P897" s="10" t="s">
        <v>35</v>
      </c>
      <c r="R897" s="10" t="s">
        <v>296</v>
      </c>
      <c r="S897" s="10">
        <v>1.0</v>
      </c>
      <c r="T897" s="10" t="s">
        <v>35</v>
      </c>
      <c r="V897" s="9"/>
      <c r="W897" s="13" t="s">
        <v>1669</v>
      </c>
      <c r="X897" s="10" t="s">
        <v>37</v>
      </c>
      <c r="Y897" s="10" t="s">
        <v>0</v>
      </c>
    </row>
    <row r="898">
      <c r="A898" s="10" t="s">
        <v>3274</v>
      </c>
      <c r="B898" s="11">
        <v>44342.831553020835</v>
      </c>
      <c r="C898" s="10" t="s">
        <v>46</v>
      </c>
      <c r="D898" s="10" t="s">
        <v>47</v>
      </c>
      <c r="E898" s="10" t="s">
        <v>233</v>
      </c>
      <c r="F898" s="10" t="s">
        <v>3275</v>
      </c>
      <c r="G898" s="10" t="s">
        <v>3276</v>
      </c>
      <c r="H898" s="16">
        <v>44345.625</v>
      </c>
      <c r="I898" s="16">
        <v>44345.66666666667</v>
      </c>
      <c r="J898" s="10" t="s">
        <v>43</v>
      </c>
      <c r="K898" s="10" t="s">
        <v>34</v>
      </c>
      <c r="N898" s="10" t="s">
        <v>35</v>
      </c>
      <c r="V898" s="9"/>
      <c r="W898" s="13" t="s">
        <v>1669</v>
      </c>
      <c r="X898" s="10" t="s">
        <v>37</v>
      </c>
      <c r="Y898" s="10" t="s">
        <v>0</v>
      </c>
    </row>
    <row r="899">
      <c r="A899" s="10" t="s">
        <v>3277</v>
      </c>
      <c r="B899" s="11">
        <v>44342.5743296875</v>
      </c>
      <c r="C899" s="10" t="s">
        <v>3278</v>
      </c>
      <c r="D899" s="10" t="s">
        <v>2351</v>
      </c>
      <c r="E899" s="10" t="s">
        <v>3279</v>
      </c>
      <c r="F899" s="10" t="s">
        <v>3280</v>
      </c>
      <c r="G899" s="10" t="s">
        <v>3281</v>
      </c>
      <c r="H899" s="24">
        <v>44349.1875</v>
      </c>
      <c r="I899" s="24">
        <v>44349.22916666667</v>
      </c>
      <c r="J899" s="10" t="s">
        <v>43</v>
      </c>
      <c r="K899" s="10" t="s">
        <v>34</v>
      </c>
      <c r="N899" s="10" t="s">
        <v>296</v>
      </c>
      <c r="O899" s="18" t="s">
        <v>3282</v>
      </c>
      <c r="P899" s="10" t="s">
        <v>296</v>
      </c>
      <c r="Q899" s="10">
        <v>20.0</v>
      </c>
      <c r="R899" s="10" t="s">
        <v>296</v>
      </c>
      <c r="S899" s="10">
        <v>20.0</v>
      </c>
      <c r="T899" s="10" t="s">
        <v>35</v>
      </c>
      <c r="V899" s="9"/>
      <c r="W899" s="13" t="s">
        <v>1669</v>
      </c>
      <c r="X899" s="10" t="s">
        <v>37</v>
      </c>
      <c r="Y899" s="10" t="s">
        <v>0</v>
      </c>
    </row>
    <row r="900">
      <c r="A900" s="10" t="s">
        <v>3283</v>
      </c>
      <c r="B900" s="11">
        <v>44363.768792511575</v>
      </c>
      <c r="C900" s="10" t="s">
        <v>102</v>
      </c>
      <c r="D900" s="10" t="s">
        <v>103</v>
      </c>
      <c r="E900" s="10" t="s">
        <v>3284</v>
      </c>
      <c r="F900" s="10" t="s">
        <v>3285</v>
      </c>
      <c r="G900" s="10" t="s">
        <v>3286</v>
      </c>
      <c r="H900" s="16">
        <v>44350.41666666667</v>
      </c>
      <c r="I900" s="16">
        <v>44350.5</v>
      </c>
      <c r="J900" s="10" t="s">
        <v>43</v>
      </c>
      <c r="K900" s="10" t="s">
        <v>34</v>
      </c>
      <c r="N900" s="10" t="s">
        <v>296</v>
      </c>
      <c r="O900" s="18" t="s">
        <v>3287</v>
      </c>
      <c r="P900" s="10" t="s">
        <v>296</v>
      </c>
      <c r="Q900" s="10">
        <v>2.0</v>
      </c>
      <c r="R900" s="10" t="s">
        <v>35</v>
      </c>
      <c r="T900" s="10" t="s">
        <v>35</v>
      </c>
      <c r="V900" s="9"/>
      <c r="W900" s="13" t="s">
        <v>1669</v>
      </c>
      <c r="X900" s="10" t="s">
        <v>37</v>
      </c>
      <c r="Y900" s="10" t="s">
        <v>0</v>
      </c>
    </row>
    <row r="901">
      <c r="A901" s="10" t="s">
        <v>3288</v>
      </c>
      <c r="B901" s="11">
        <v>44342.59971862269</v>
      </c>
      <c r="C901" s="21" t="s">
        <v>181</v>
      </c>
      <c r="D901" s="21" t="s">
        <v>69</v>
      </c>
      <c r="E901" s="21" t="s">
        <v>842</v>
      </c>
      <c r="F901" s="21" t="s">
        <v>3289</v>
      </c>
      <c r="G901" s="21" t="s">
        <v>3290</v>
      </c>
      <c r="H901" s="24">
        <v>44355.60416666667</v>
      </c>
      <c r="I901" s="24">
        <v>44357.77083333333</v>
      </c>
      <c r="J901" s="10" t="s">
        <v>236</v>
      </c>
      <c r="K901" s="10" t="s">
        <v>34</v>
      </c>
      <c r="N901" s="10" t="s">
        <v>296</v>
      </c>
      <c r="O901" s="18" t="s">
        <v>3291</v>
      </c>
      <c r="P901" s="10" t="s">
        <v>296</v>
      </c>
      <c r="Q901" s="10">
        <v>4.0</v>
      </c>
      <c r="R901" s="10" t="s">
        <v>296</v>
      </c>
      <c r="S901" s="10">
        <v>9.0</v>
      </c>
      <c r="T901" s="10" t="s">
        <v>296</v>
      </c>
      <c r="U901" s="10">
        <v>2.0</v>
      </c>
      <c r="V901" s="27"/>
      <c r="W901" s="13" t="s">
        <v>1669</v>
      </c>
      <c r="X901" s="10" t="s">
        <v>37</v>
      </c>
      <c r="Y901" s="10" t="s">
        <v>0</v>
      </c>
    </row>
    <row r="902">
      <c r="A902" s="10" t="s">
        <v>3292</v>
      </c>
      <c r="B902" s="11">
        <v>44363.756175682865</v>
      </c>
      <c r="C902" s="10" t="s">
        <v>102</v>
      </c>
      <c r="D902" s="10" t="s">
        <v>103</v>
      </c>
      <c r="E902" s="10" t="s">
        <v>3293</v>
      </c>
      <c r="F902" s="10" t="s">
        <v>3294</v>
      </c>
      <c r="G902" s="10" t="s">
        <v>3295</v>
      </c>
      <c r="H902" s="16">
        <v>44356.66666666667</v>
      </c>
      <c r="I902" s="16">
        <v>44356.75</v>
      </c>
      <c r="J902" s="10" t="s">
        <v>43</v>
      </c>
      <c r="K902" s="10" t="s">
        <v>34</v>
      </c>
      <c r="N902" s="10" t="s">
        <v>296</v>
      </c>
      <c r="O902" s="18" t="s">
        <v>3296</v>
      </c>
      <c r="P902" s="10" t="s">
        <v>296</v>
      </c>
      <c r="Q902" s="10">
        <v>4.0</v>
      </c>
      <c r="R902" s="10" t="s">
        <v>35</v>
      </c>
      <c r="T902" s="10" t="s">
        <v>35</v>
      </c>
      <c r="V902" s="9"/>
      <c r="W902" s="13" t="s">
        <v>1669</v>
      </c>
      <c r="X902" s="10" t="s">
        <v>37</v>
      </c>
      <c r="Y902" s="10" t="s">
        <v>0</v>
      </c>
    </row>
    <row r="903">
      <c r="A903" s="10" t="s">
        <v>3297</v>
      </c>
      <c r="B903" s="11">
        <v>44407.50966214121</v>
      </c>
      <c r="C903" s="10" t="s">
        <v>3298</v>
      </c>
      <c r="D903" s="10" t="s">
        <v>138</v>
      </c>
      <c r="E903" s="10" t="s">
        <v>3299</v>
      </c>
      <c r="F903" s="10" t="s">
        <v>3300</v>
      </c>
      <c r="G903" s="10" t="s">
        <v>3301</v>
      </c>
      <c r="H903" s="11">
        <v>44362.33333333333</v>
      </c>
      <c r="I903" s="11">
        <v>44386.83333333333</v>
      </c>
      <c r="J903" s="10" t="s">
        <v>43</v>
      </c>
      <c r="K903" s="10" t="s">
        <v>34</v>
      </c>
      <c r="N903" s="10" t="s">
        <v>35</v>
      </c>
      <c r="V903" s="9"/>
      <c r="W903" s="13" t="s">
        <v>1669</v>
      </c>
      <c r="X903" s="10" t="s">
        <v>3302</v>
      </c>
      <c r="Y903" s="10" t="s">
        <v>0</v>
      </c>
    </row>
    <row r="904">
      <c r="A904" s="10" t="s">
        <v>3303</v>
      </c>
      <c r="B904" s="11">
        <v>44365.86256164352</v>
      </c>
      <c r="C904" s="10" t="s">
        <v>3304</v>
      </c>
      <c r="D904" s="10" t="s">
        <v>695</v>
      </c>
      <c r="E904" s="10" t="s">
        <v>3305</v>
      </c>
      <c r="F904" s="10" t="s">
        <v>3306</v>
      </c>
      <c r="G904" s="10" t="s">
        <v>3307</v>
      </c>
      <c r="H904" s="24">
        <v>44368.41666666667</v>
      </c>
      <c r="I904" s="24">
        <v>44368.91666666667</v>
      </c>
      <c r="J904" s="10" t="s">
        <v>73</v>
      </c>
      <c r="K904" s="10" t="s">
        <v>34</v>
      </c>
      <c r="N904" s="10" t="s">
        <v>35</v>
      </c>
      <c r="V904" s="9"/>
      <c r="W904" s="13" t="s">
        <v>1669</v>
      </c>
      <c r="X904" s="10" t="s">
        <v>37</v>
      </c>
      <c r="Y904" s="10" t="s">
        <v>0</v>
      </c>
    </row>
    <row r="905">
      <c r="A905" s="10" t="s">
        <v>3308</v>
      </c>
      <c r="B905" s="11">
        <v>44355.48295341435</v>
      </c>
      <c r="C905" s="10" t="s">
        <v>46</v>
      </c>
      <c r="D905" s="10" t="s">
        <v>47</v>
      </c>
      <c r="E905" s="10" t="s">
        <v>3309</v>
      </c>
      <c r="F905" s="10" t="s">
        <v>3310</v>
      </c>
      <c r="G905" s="10" t="s">
        <v>3311</v>
      </c>
      <c r="H905" s="24">
        <v>44362.41666666667</v>
      </c>
      <c r="I905" s="24">
        <v>44362.47916666667</v>
      </c>
      <c r="J905" s="10" t="s">
        <v>43</v>
      </c>
      <c r="K905" s="10" t="s">
        <v>34</v>
      </c>
      <c r="N905" s="10" t="s">
        <v>35</v>
      </c>
      <c r="V905" s="9"/>
      <c r="W905" s="13" t="s">
        <v>1669</v>
      </c>
      <c r="X905" s="10" t="s">
        <v>37</v>
      </c>
      <c r="Y905" s="10" t="s">
        <v>0</v>
      </c>
    </row>
    <row r="906">
      <c r="A906" s="10" t="s">
        <v>3312</v>
      </c>
      <c r="B906" s="11">
        <v>44362.60067447917</v>
      </c>
      <c r="C906" s="10" t="s">
        <v>80</v>
      </c>
      <c r="D906" s="10" t="s">
        <v>81</v>
      </c>
      <c r="E906" s="10" t="s">
        <v>3313</v>
      </c>
      <c r="F906" s="10" t="s">
        <v>3314</v>
      </c>
      <c r="G906" s="10" t="s">
        <v>3315</v>
      </c>
      <c r="H906" s="16">
        <v>44362.72916666667</v>
      </c>
      <c r="I906" s="16">
        <v>44362.79166666667</v>
      </c>
      <c r="J906" s="10" t="s">
        <v>43</v>
      </c>
      <c r="K906" s="10" t="s">
        <v>34</v>
      </c>
      <c r="N906" s="10" t="s">
        <v>296</v>
      </c>
      <c r="O906" s="18" t="s">
        <v>3316</v>
      </c>
      <c r="P906" s="10" t="s">
        <v>296</v>
      </c>
      <c r="Q906" s="10">
        <v>2.0</v>
      </c>
      <c r="R906" s="10" t="s">
        <v>296</v>
      </c>
      <c r="S906" s="10">
        <v>3.0</v>
      </c>
      <c r="T906" s="10" t="s">
        <v>35</v>
      </c>
      <c r="V906" s="9"/>
      <c r="W906" s="13" t="s">
        <v>1669</v>
      </c>
      <c r="X906" s="10" t="s">
        <v>37</v>
      </c>
      <c r="Y906" s="10" t="s">
        <v>0</v>
      </c>
    </row>
    <row r="907">
      <c r="A907" s="10" t="s">
        <v>3317</v>
      </c>
      <c r="B907" s="11">
        <v>44377.70989916667</v>
      </c>
      <c r="C907" s="10" t="s">
        <v>160</v>
      </c>
      <c r="D907" s="10" t="s">
        <v>161</v>
      </c>
      <c r="E907" s="10" t="s">
        <v>3318</v>
      </c>
      <c r="F907" s="10" t="s">
        <v>3319</v>
      </c>
      <c r="G907" s="10" t="s">
        <v>3320</v>
      </c>
      <c r="H907" s="16">
        <v>44364.39583333333</v>
      </c>
      <c r="I907" s="16">
        <v>44364.47916666667</v>
      </c>
      <c r="J907" s="10" t="s">
        <v>43</v>
      </c>
      <c r="K907" s="10" t="s">
        <v>34</v>
      </c>
      <c r="N907" s="10" t="s">
        <v>296</v>
      </c>
      <c r="O907" s="18" t="s">
        <v>3321</v>
      </c>
      <c r="P907" s="10" t="s">
        <v>35</v>
      </c>
      <c r="R907" s="10" t="s">
        <v>35</v>
      </c>
      <c r="T907" s="10" t="s">
        <v>296</v>
      </c>
      <c r="U907" s="10">
        <v>1.0</v>
      </c>
      <c r="V907" s="27"/>
      <c r="W907" s="13" t="s">
        <v>1669</v>
      </c>
      <c r="X907" s="10" t="s">
        <v>37</v>
      </c>
      <c r="Y907" s="10" t="s">
        <v>0</v>
      </c>
    </row>
    <row r="908">
      <c r="A908" s="10" t="s">
        <v>3322</v>
      </c>
      <c r="B908" s="11">
        <v>44343.574086168985</v>
      </c>
      <c r="C908" s="21" t="s">
        <v>453</v>
      </c>
      <c r="D908" s="21" t="s">
        <v>393</v>
      </c>
      <c r="E908" s="21" t="s">
        <v>3323</v>
      </c>
      <c r="F908" s="21" t="s">
        <v>3324</v>
      </c>
      <c r="G908" s="21" t="s">
        <v>3325</v>
      </c>
      <c r="H908" s="24">
        <v>44364.625</v>
      </c>
      <c r="I908" s="24">
        <v>44364.75</v>
      </c>
      <c r="J908" s="10" t="s">
        <v>236</v>
      </c>
      <c r="K908" s="10" t="s">
        <v>34</v>
      </c>
      <c r="N908" s="10" t="s">
        <v>296</v>
      </c>
      <c r="O908" s="19" t="s">
        <v>3326</v>
      </c>
      <c r="P908" s="10" t="s">
        <v>296</v>
      </c>
      <c r="Q908" s="10">
        <v>2.0</v>
      </c>
      <c r="R908" s="10" t="s">
        <v>296</v>
      </c>
      <c r="S908" s="10">
        <v>6.0</v>
      </c>
      <c r="T908" s="10" t="s">
        <v>35</v>
      </c>
      <c r="V908" s="9"/>
      <c r="W908" s="13" t="s">
        <v>78</v>
      </c>
      <c r="X908" s="10" t="s">
        <v>37</v>
      </c>
      <c r="Y908" s="10" t="s">
        <v>0</v>
      </c>
    </row>
    <row r="909">
      <c r="A909" s="10" t="s">
        <v>3327</v>
      </c>
      <c r="B909" s="11">
        <v>44407.961300428244</v>
      </c>
      <c r="C909" s="10" t="s">
        <v>137</v>
      </c>
      <c r="D909" s="10" t="s">
        <v>138</v>
      </c>
      <c r="E909" s="10" t="s">
        <v>3299</v>
      </c>
      <c r="F909" s="10" t="s">
        <v>3328</v>
      </c>
      <c r="G909" s="10" t="s">
        <v>3329</v>
      </c>
      <c r="H909" s="11">
        <v>44365.58333333333</v>
      </c>
      <c r="I909" s="11">
        <v>44365.64583333333</v>
      </c>
      <c r="J909" s="10" t="s">
        <v>43</v>
      </c>
      <c r="K909" s="10" t="s">
        <v>34</v>
      </c>
      <c r="N909" s="10" t="s">
        <v>35</v>
      </c>
      <c r="V909" s="9"/>
      <c r="W909" s="13" t="s">
        <v>1669</v>
      </c>
      <c r="X909" s="10" t="s">
        <v>37</v>
      </c>
      <c r="Y909" s="10" t="s">
        <v>0</v>
      </c>
    </row>
    <row r="910">
      <c r="A910" s="10" t="s">
        <v>3330</v>
      </c>
      <c r="B910" s="11">
        <v>44355.34817300926</v>
      </c>
      <c r="C910" s="10" t="s">
        <v>3278</v>
      </c>
      <c r="D910" s="10" t="s">
        <v>2351</v>
      </c>
      <c r="E910" s="10" t="s">
        <v>3279</v>
      </c>
      <c r="F910" s="10" t="s">
        <v>3331</v>
      </c>
      <c r="G910" s="10" t="s">
        <v>3332</v>
      </c>
      <c r="H910" s="24">
        <v>44365.6875</v>
      </c>
      <c r="I910" s="24">
        <v>44386.72916666667</v>
      </c>
      <c r="J910" s="10" t="s">
        <v>43</v>
      </c>
      <c r="K910" s="10" t="s">
        <v>34</v>
      </c>
      <c r="N910" s="10" t="s">
        <v>35</v>
      </c>
      <c r="V910" s="9"/>
      <c r="W910" s="13" t="s">
        <v>78</v>
      </c>
      <c r="X910" s="10" t="s">
        <v>37</v>
      </c>
      <c r="Y910" s="10" t="s">
        <v>0</v>
      </c>
    </row>
    <row r="911">
      <c r="A911" s="10" t="s">
        <v>3333</v>
      </c>
      <c r="B911" s="11">
        <v>44369.744594097225</v>
      </c>
      <c r="C911" s="10" t="s">
        <v>80</v>
      </c>
      <c r="D911" s="10" t="s">
        <v>81</v>
      </c>
      <c r="E911" s="10" t="s">
        <v>3207</v>
      </c>
      <c r="F911" s="10" t="s">
        <v>3334</v>
      </c>
      <c r="G911" s="10" t="s">
        <v>3335</v>
      </c>
      <c r="H911" s="16">
        <v>44369.72916666667</v>
      </c>
      <c r="I911" s="16">
        <v>44369.77083333333</v>
      </c>
      <c r="J911" s="10" t="s">
        <v>43</v>
      </c>
      <c r="K911" s="10" t="s">
        <v>34</v>
      </c>
      <c r="N911" s="10" t="s">
        <v>296</v>
      </c>
      <c r="O911" s="18" t="s">
        <v>3336</v>
      </c>
      <c r="P911" s="10" t="s">
        <v>296</v>
      </c>
      <c r="Q911" s="10">
        <v>2.0</v>
      </c>
      <c r="R911" s="10" t="s">
        <v>35</v>
      </c>
      <c r="T911" s="10" t="s">
        <v>35</v>
      </c>
      <c r="V911" s="9"/>
      <c r="W911" s="13" t="s">
        <v>1669</v>
      </c>
      <c r="X911" s="10" t="s">
        <v>37</v>
      </c>
      <c r="Y911" s="10" t="s">
        <v>0</v>
      </c>
    </row>
    <row r="912">
      <c r="A912" s="10" t="s">
        <v>3337</v>
      </c>
      <c r="B912" s="11">
        <v>44365.91360894676</v>
      </c>
      <c r="C912" s="10" t="s">
        <v>3304</v>
      </c>
      <c r="D912" s="10" t="s">
        <v>695</v>
      </c>
      <c r="E912" s="10" t="s">
        <v>3338</v>
      </c>
      <c r="F912" s="10" t="s">
        <v>3339</v>
      </c>
      <c r="G912" s="10" t="s">
        <v>3340</v>
      </c>
      <c r="H912" s="24">
        <v>44371.6875</v>
      </c>
      <c r="I912" s="24">
        <v>44371.72916666667</v>
      </c>
      <c r="J912" s="10" t="s">
        <v>43</v>
      </c>
      <c r="K912" s="10" t="s">
        <v>34</v>
      </c>
      <c r="N912" s="10" t="s">
        <v>296</v>
      </c>
      <c r="O912" s="18" t="s">
        <v>3341</v>
      </c>
      <c r="P912" s="10" t="s">
        <v>296</v>
      </c>
      <c r="Q912" s="10">
        <v>1.0</v>
      </c>
      <c r="R912" s="10" t="s">
        <v>35</v>
      </c>
      <c r="T912" s="10" t="s">
        <v>35</v>
      </c>
      <c r="V912" s="9"/>
      <c r="W912" s="13" t="s">
        <v>1669</v>
      </c>
      <c r="X912" s="10" t="s">
        <v>37</v>
      </c>
      <c r="Y912" s="10" t="s">
        <v>0</v>
      </c>
    </row>
    <row r="913">
      <c r="A913" s="10" t="s">
        <v>3342</v>
      </c>
      <c r="B913" s="11">
        <v>44368.946416527775</v>
      </c>
      <c r="C913" s="10" t="s">
        <v>1583</v>
      </c>
      <c r="D913" s="10" t="s">
        <v>505</v>
      </c>
      <c r="E913" s="10" t="s">
        <v>2105</v>
      </c>
      <c r="F913" s="10" t="s">
        <v>3343</v>
      </c>
      <c r="G913" s="10" t="s">
        <v>3344</v>
      </c>
      <c r="H913" s="16">
        <v>44371.79166666667</v>
      </c>
      <c r="I913" s="16">
        <v>44371.875</v>
      </c>
      <c r="J913" s="10" t="s">
        <v>43</v>
      </c>
      <c r="K913" s="10" t="s">
        <v>34</v>
      </c>
      <c r="N913" s="10" t="s">
        <v>35</v>
      </c>
      <c r="V913" s="9"/>
      <c r="W913" s="13" t="s">
        <v>78</v>
      </c>
      <c r="X913" s="10" t="s">
        <v>37</v>
      </c>
      <c r="Y913" s="10" t="s">
        <v>0</v>
      </c>
    </row>
    <row r="914">
      <c r="A914" s="10" t="s">
        <v>3345</v>
      </c>
      <c r="B914" s="11">
        <v>44365.92549540509</v>
      </c>
      <c r="C914" s="10" t="s">
        <v>3304</v>
      </c>
      <c r="D914" s="10" t="s">
        <v>695</v>
      </c>
      <c r="E914" s="10" t="s">
        <v>3346</v>
      </c>
      <c r="F914" s="10" t="s">
        <v>3347</v>
      </c>
      <c r="G914" s="10" t="s">
        <v>3348</v>
      </c>
      <c r="H914" s="24">
        <v>44372.4375</v>
      </c>
      <c r="I914" s="24">
        <v>44372.47916666667</v>
      </c>
      <c r="J914" s="10" t="s">
        <v>43</v>
      </c>
      <c r="K914" s="10" t="s">
        <v>34</v>
      </c>
      <c r="N914" s="10" t="s">
        <v>296</v>
      </c>
      <c r="O914" s="18" t="s">
        <v>3349</v>
      </c>
      <c r="P914" s="10" t="s">
        <v>296</v>
      </c>
      <c r="Q914" s="10">
        <v>1.0</v>
      </c>
      <c r="R914" s="10" t="s">
        <v>35</v>
      </c>
      <c r="T914" s="10" t="s">
        <v>35</v>
      </c>
      <c r="V914" s="9"/>
      <c r="W914" s="13" t="s">
        <v>78</v>
      </c>
      <c r="X914" s="10" t="s">
        <v>37</v>
      </c>
      <c r="Y914" s="10" t="s">
        <v>0</v>
      </c>
    </row>
  </sheetData>
  <autoFilter ref="$A$1:$AC$914">
    <filterColumn colId="1">
      <filters>
        <filter val="2/11/2021 19:11:47"/>
        <filter val="1/28/2021 22:16:58"/>
        <filter val="4/21/2021 10:27:55"/>
        <filter val="6/22/2021 17:52:13"/>
        <filter val="3/6/2021 12:10:25"/>
        <filter val="2/15/2021 17:44:25"/>
        <filter val="2/16/2021 20:30:29"/>
        <filter val="2/8/2021 10:58:50"/>
        <filter val="3/10/2021 21:01:50"/>
        <filter val="4/12/2021 22:34:42"/>
        <filter val="4/7/2021 8:06:54"/>
        <filter val="4/13/2021 14:10:58"/>
        <filter val="4/30/2021 16:57:36"/>
        <filter val="3/27/2021 19:34:39"/>
        <filter val="2/20/2021 14:34:28"/>
        <filter val="2/18/2021 14:36:58"/>
        <filter val="4/27/2021 3:26:15"/>
        <filter val="3/18/2021 16:20:29"/>
        <filter val="4/2/2021 9:43:38"/>
        <filter val="4/9/2021 10:49:47"/>
        <filter val="5/11/2021 9:37:09"/>
        <filter val="5/9/2021 12:57:13"/>
        <filter val="2/9/2021 23:24:08"/>
        <filter val="4/14/2021 17:59:38"/>
        <filter val="2/15/2021 9:50:57"/>
        <filter val="2/15/2021 9:39:32"/>
        <filter val="4/23/2021 18:51:56"/>
        <filter val="2/18/2021 16:23:35"/>
        <filter val="2/11/2021 20:58:54"/>
        <filter val="3/12/2021 16:51:10"/>
        <filter val="3/23/2021 17:29:36"/>
        <filter val="4/29/2021 1:07:25"/>
        <filter val="4/21/2021 16:12:18"/>
        <filter val="4/26/2021 11:52:13"/>
        <filter val="2/8/2021 20:43:53"/>
        <filter val="4/12/2021 19:14:29"/>
        <filter val="7/30/2021 23:04:16"/>
        <filter val="2/5/2021 21:20:00"/>
        <filter val="3/30/2021 22:39:41"/>
        <filter val="9/30/2021 15:39:50"/>
        <filter val="4/2/2021 17:11:16"/>
        <filter val="4/5/2021 21:21:39"/>
        <filter val="4/3/2021 18:49:13"/>
        <filter val="2/2/2021 13:10:39"/>
        <filter val="2/19/2021 12:37:52"/>
        <filter val="4/30/2021 13:42:44"/>
        <filter val="2/26/2021 7:53:46"/>
        <filter val="3/15/2021 19:35:48"/>
        <filter val="3/4/2021 17:14:22"/>
        <filter val="5/10/2021 16:29:39"/>
        <filter val="1/29/2021 13:36:46"/>
        <filter val="3/26/2021 23:36:52"/>
        <filter val="3/3/2021 9:58:21"/>
        <filter val="4/9/2021 20:00:32"/>
        <filter val="3/23/2021 12:07:12"/>
        <filter val="2/20/2021 10:16:39"/>
        <filter val="3/17/2021 13:31:33"/>
        <filter val="3/30/2021 22:42:00"/>
        <filter val="4/13/2021 14:24:33"/>
        <filter val="4/28/2021 12:42:42"/>
        <filter val="4/29/2021 17:52:11"/>
        <filter val="4/8/2021 10:29:57"/>
        <filter val="3/26/2021 16:55:14"/>
        <filter val="1/29/2021 14:31:05"/>
        <filter val="3/7/2021 19:55:33"/>
        <filter val="3/31/2021 17:53:23"/>
        <filter val="7/30/2021 12:13:55"/>
        <filter val="3/17/2021 12:14:58"/>
        <filter val="5/10/2021 17:12:01"/>
        <filter val="5/3/2021 8:17:33"/>
        <filter val="2/16/2021 17:09:45"/>
        <filter val="5/15/2021 19:26:21"/>
        <filter val="2/4/2021 17:49:10"/>
        <filter val="2/15/2021 9:40:28"/>
        <filter val="3/8/2021 20:39:52"/>
        <filter val="3/4/2021 17:02:12"/>
        <filter val="3/12/2021 12:51:42"/>
        <filter val="3/15/2021 20:04:18"/>
        <filter val="5/5/2021 18:19:23"/>
        <filter val="3/3/2021 9:54:35"/>
        <filter val="2/11/2021 18:51:36"/>
        <filter val="5/21/2021 11:04:44"/>
        <filter val="4/22/2021 22:55:10"/>
        <filter val="2/19/2021 14:00:20"/>
        <filter val="2/16/2021 12:17:42"/>
        <filter val="3/4/2021 11:56:04"/>
        <filter val="2/16/2021 16:05:39"/>
        <filter val="5/12/2021 16:17:41"/>
        <filter val="4/14/2021 14:20:20"/>
        <filter val="2/15/2021 20:44:49"/>
        <filter val="3/5/2021 15:03:16"/>
        <filter val="3/8/2021 20:19:04"/>
        <filter val="1/28/2021 17:07:28"/>
        <filter val="4/12/2021 22:36:02"/>
        <filter val="4/26/2021 6:39:09"/>
        <filter val="6/8/2021 17:40:37"/>
        <filter val="3/8/2021 18:56:34"/>
        <filter val="4/5/2021 20:16:53"/>
        <filter val="4/9/2021 12:12:29"/>
        <filter val="3/19/2021 16:30:41"/>
        <filter val="4/26/2021 11:49:47"/>
        <filter val="5/10/2021 16:52:21"/>
        <filter val="2/15/2021 9:40:37"/>
        <filter val="3/12/2021 11:12:37"/>
        <filter val="2/15/2021 9:40:34"/>
        <filter val="4/16/2021 8:16:16"/>
        <filter val="3/19/2021 17:02:15"/>
        <filter val="2/16/2021 23:43:47"/>
        <filter val="3/4/2021 13:14:40"/>
        <filter val="2/20/2021 19:46:35"/>
        <filter val="3/19/2021 22:41:34"/>
        <filter val="3/1/2021 7:45:59"/>
        <filter val="2/15/2021 9:52:19"/>
        <filter val="4/26/2021 13:38:10"/>
        <filter val="2/3/2021 16:37:50"/>
        <filter val="6/18/2021 20:42:05"/>
        <filter val="5/4/2021 14:28:19"/>
        <filter val="5/4/2021 15:26:52"/>
        <filter val="4/20/2021 17:02:20"/>
        <filter val="2/15/2021 9:35:46"/>
        <filter val="3/21/2021 16:17:41"/>
        <filter val="3/21/2021 13:22:05"/>
        <filter val="3/31/2021 17:33:49"/>
        <filter val="2/17/2021 8:49:58"/>
        <filter val="2/3/2021 16:27:29"/>
        <filter val="3/5/2021 11:44:19"/>
        <filter val="4/26/2021 12:12:31"/>
        <filter val="3/14/2021 16:16:10"/>
        <filter val="4/21/2021 10:25:48"/>
        <filter val="1/28/2021 19:21:35"/>
        <filter val="2/11/2021 14:59:55"/>
        <filter val="5/14/2021 8:25:09"/>
        <filter val="4/19/2021 10:24:06"/>
        <filter val="3/8/2021 20:44:31"/>
        <filter val="3/16/2021 15:19:39"/>
        <filter val="2/5/2021 0:30:32"/>
        <filter val="4/5/2021 14:01:49"/>
        <filter val="5/10/2021 17:38:57"/>
        <filter val="3/4/2021 8:03:26"/>
        <filter val="2/25/2021 19:39:09"/>
        <filter val="2/26/2021 15:58:46"/>
        <filter val="2/13/2021 18:48:38"/>
        <filter val="4/7/2021 19:47:21"/>
        <filter val="2/8/2021 19:17:34"/>
        <filter val="3/30/2021 15:54:48"/>
        <filter val="2/8/2021 18:25:54"/>
        <filter val="4/5/2021 16:56:54"/>
        <filter val="4/26/2021 11:47:54"/>
        <filter val="5/21/2021 8:55:33"/>
        <filter val="3/4/2021 16:46:29"/>
        <filter val="3/13/2021 15:54:05"/>
        <filter val="6/8/2021 11:35:27"/>
        <filter val="6/2/2021 22:31:55"/>
        <filter val="5/1/2021 17:39:31"/>
        <filter val="2/15/2021 17:34:42"/>
        <filter val="2/2/2021 15:28:45"/>
        <filter val="2/24/2021 12:04:43"/>
        <filter val="3/19/2021 16:40:26"/>
        <filter val="2/23/2021 17:15:00"/>
        <filter val="2/15/2021 17:56:50"/>
        <filter val="2/22/2021 20:06:40"/>
        <filter val="4/13/2021 14:12:56"/>
        <filter val="4/29/2021 17:09:03"/>
        <filter val="2/20/2021 10:18:26"/>
        <filter val="6/22/2021 0:38:51"/>
        <filter val="4/26/2021 11:59:37"/>
        <filter val="5/26/2021 19:57:26"/>
        <filter val="5/20/2021 15:16:10"/>
        <filter val="2/26/2021 8:06:46"/>
        <filter val="4/8/2021 18:35:58"/>
        <filter val="3/27/2021 14:32:26"/>
        <filter val="3/4/2021 17:22:47"/>
        <filter val="4/27/2021 6:39:11"/>
        <filter val="3/6/2021 17:32:23"/>
        <filter val="4/5/2021 16:04:24"/>
        <filter val="4/23/2021 16:44:41"/>
        <filter val="2/21/2021 9:53:41"/>
        <filter val="5/1/2021 10:33:53"/>
        <filter val="2/11/2021 18:02:41"/>
        <filter val="3/4/2021 7:57:43"/>
        <filter val="5/10/2021 17:14:39"/>
        <filter val="5/12/2021 19:13:20"/>
        <filter val="3/23/2021 12:44:45"/>
        <filter val="2/9/2021 13:07:20"/>
        <filter val="4/9/2021 12:16:03"/>
        <filter val="6/15/2021 16:40:45"/>
        <filter val="3/2/2021 18:45:18"/>
        <filter val="4/5/2021 8:26:58"/>
        <filter val="3/1/2021 11:46:43"/>
        <filter val="4/6/2021 9:39:27"/>
        <filter val="2/17/2021 14:36:59"/>
        <filter val="3/25/2021 15:43:15"/>
        <filter val="4/19/2021 17:21:02"/>
        <filter val="4/19/2021 18:41:44"/>
        <filter val="5/4/2021 14:41:56"/>
        <filter val="2/15/2021 9:37:53"/>
        <filter val="2/4/2021 17:52:28"/>
        <filter val="3/4/2021 13:12:17"/>
        <filter val="4/7/2021 20:02:57"/>
        <filter val="4/9/2021 19:01:06"/>
        <filter val="4/18/2021 19:29:43"/>
        <filter val="2/20/2021 12:17:57"/>
        <filter val="1/28/2021 19:21:23"/>
        <filter val="3/6/2021 12:34:46"/>
        <filter val="2/23/2021 20:06:02"/>
        <filter val="2/2/2021 13:19:59"/>
        <filter val="4/5/2021 9:39:11"/>
        <filter val="4/29/2021 15:11:09"/>
        <filter val="4/7/2021 9:41:57"/>
        <filter val="4/22/2021 12:14:39"/>
        <filter val="4/13/2021 16:11:09"/>
        <filter val="4/21/2021 22:13:16"/>
        <filter val="4/23/2021 10:37:10"/>
        <filter val="4/3/2021 18:47:27"/>
        <filter val="3/31/2021 17:43:53"/>
        <filter val="3/31/2021 9:34:40"/>
        <filter val="4/12/2021 19:54:40"/>
        <filter val="4/2/2021 9:45:33"/>
        <filter val="4/30/2021 16:47:54"/>
        <filter val="4/12/2021 18:32:44"/>
        <filter val="3/26/2021 16:53:12"/>
        <filter val="2/18/2021 16:13:24"/>
        <filter val="4/20/2021 8:16:01"/>
        <filter val="5/3/2021 22:06:41"/>
        <filter val="4/5/2021 8:28:18"/>
        <filter val="2/16/2021 20:59:15"/>
        <filter val="3/30/2021 22:34:20"/>
        <filter val="3/5/2021 15:08:06"/>
        <filter val="4/12/2021 11:39:05"/>
        <filter val="3/14/2021 11:40:55"/>
        <filter val="4/23/2021 20:17:21"/>
        <filter val="2/10/2021 12:21:04"/>
        <filter val="2/15/2021 20:48:24"/>
        <filter val="3/20/2021 10:27:48"/>
        <filter val="5/3/2021 16:41:56"/>
        <filter val="5/4/2021 14:32:02"/>
        <filter val="3/26/2021 15:33:40"/>
        <filter val="2/16/2021 21:05:34"/>
        <filter val="5/10/2021 18:58:27"/>
        <filter val="2/8/2021 16:25:17"/>
        <filter val="4/21/2021 10:23:21"/>
        <filter val="3/6/2021 12:03:59"/>
        <filter val="3/18/2021 10:31:30"/>
        <filter val="2/19/2021 13:50:13"/>
        <filter val="4/5/2021 14:33:57"/>
        <filter val="3/19/2021 13:44:58"/>
        <filter val="4/22/2021 13:00:49"/>
        <filter val="4/5/2021 11:55:11"/>
        <filter val="3/12/2021 16:21:11"/>
        <filter val="2/15/2021 17:50:00"/>
        <filter val="4/7/2021 20:09:13"/>
        <filter val="2/8/2021 17:53:06"/>
        <filter val="3/13/2021 15:51:03"/>
        <filter val="6/21/2021 22:42:50"/>
        <filter val="5/10/2021 19:05:15"/>
        <filter val="4/24/2021 18:45:30"/>
        <filter val="4/14/2021 10:10:09"/>
        <filter val="4/9/2021 13:47:11"/>
        <filter val="4/18/2021 0:43:37"/>
        <filter val="2/2/2021 22:34:02"/>
        <filter val="4/30/2021 13:02:59"/>
        <filter val="5/13/2021 13:53:38"/>
        <filter val="3/6/2021 12:15:55"/>
        <filter val="3/3/2021 17:08:32"/>
        <filter val="3/12/2021 9:05:17"/>
        <filter val="4/10/2021 17:13:02"/>
        <filter val="2/15/2021 18:09:02"/>
        <filter val="4/9/2021 10:45:30"/>
        <filter val="4/8/2021 20:43:14"/>
        <filter val="3/4/2021 13:44:45"/>
        <filter val="3/31/2021 20:35:32"/>
        <filter val="2/4/2021 15:47:42"/>
        <filter val="2/13/2021 14:02:30"/>
        <filter val="3/22/2021 16:19:19"/>
        <filter val="2/11/2021 22:38:22"/>
        <filter val="2/9/2021 23:16:44"/>
        <filter val="4/30/2021 13:36:40"/>
        <filter val="5/10/2021 18:36:04"/>
        <filter val="2/15/2021 13:19:21"/>
        <filter val="3/5/2021 15:06:33"/>
        <filter val="4/13/2021 13:36:17"/>
        <filter val="4/26/2021 12:03:20"/>
        <filter val="4/5/2021 11:53:54"/>
        <filter val="4/9/2021 19:08:01"/>
        <filter val="2/2/2021 22:56:24"/>
        <filter val="2/17/2021 8:53:40"/>
        <filter val="5/20/2021 22:59:44"/>
        <filter val="2/17/2021 15:15:28"/>
        <filter val="3/2/2021 18:25:48"/>
        <filter val="4/17/2021 0:07:56"/>
        <filter val="2/5/2021 21:35:56"/>
        <filter val="2/2/2021 13:07:13"/>
        <filter val="2/11/2021 23:57:18"/>
        <filter val="5/8/2021 11:00:03"/>
        <filter val="5/2/2021 17:00:20"/>
        <filter val="4/7/2021 17:45:03"/>
        <filter val="4/26/2021 12:05:11"/>
        <filter val="3/6/2021 12:13:55"/>
        <filter val="3/25/2021 15:34:02"/>
        <filter val="4/10/2021 13:59:59"/>
        <filter val="3/16/2021 15:21:48"/>
        <filter val="4/7/2021 9:39:40"/>
        <filter val="4/27/2021 21:54:21"/>
        <filter val="2/8/2021 12:27:13"/>
        <filter val="4/6/2021 13:05:59"/>
        <filter val="3/5/2021 17:31:13"/>
        <filter val="4/23/2021 8:28:16"/>
        <filter val="2/27/2021 10:26:22"/>
        <filter val="4/22/2021 16:49:08"/>
        <filter val="6/2/2021 22:30:33"/>
        <filter val="2/5/2021 21:25:31"/>
        <filter val="3/14/2021 0:41:54"/>
        <filter val="2/7/2021 18:58:58"/>
        <filter val="3/1/2021 15:48:18"/>
        <filter val="2/11/2021 20:41:06"/>
        <filter val="2/2/2021 21:48:41"/>
        <filter val="2/11/2021 23:45:49"/>
        <filter val="3/17/2021 23:08:29"/>
        <filter val="3/19/2021 16:46:35"/>
        <filter val="2/20/2021 14:15:44"/>
        <filter val="2/17/2021 15:39:31"/>
        <filter val="4/8/2021 18:27:15"/>
        <filter val="6/30/2021 17:02:15"/>
        <filter val="5/4/2021 14:44:48"/>
        <filter val="6/18/2021 17:52:26"/>
        <filter val="5/6/2021 12:44:46"/>
        <filter val="3/15/2021 19:52:34"/>
        <filter val="2/18/2021 14:45:03"/>
        <filter val="2/8/2021 16:25:20"/>
        <filter val="4/19/2021 17:00:10"/>
        <filter val="5/10/2021 17:17:47"/>
        <filter val="3/4/2021 8:00:27"/>
        <filter val="4/21/2021 16:04:39"/>
        <filter val="3/22/2021 14:13:16"/>
        <filter val="2/22/2021 23:40:58"/>
        <filter val="4/2/2021 16:24:01"/>
        <filter val="4/29/2021 17:24:25"/>
        <filter val="2/13/2021 19:27:22"/>
        <filter val="4/8/2021 14:40:09"/>
        <filter val="3/17/2021 16:36:33"/>
        <filter val="4/9/2021 19:53:40"/>
        <filter val="4/3/2021 18:45:14"/>
        <filter val="4/29/2021 19:46:08"/>
        <filter val="5/2/2021 10:28:36"/>
        <filter val="2/25/2021 10:46:58"/>
        <filter val="4/12/2021 12:17:29"/>
        <filter val="4/11/2021 14:28:19"/>
        <filter val="4/23/2021 13:21:07"/>
        <filter val="2/11/2021 23:53:16"/>
        <filter val="3/19/2021 13:48:02"/>
        <filter val="4/12/2021 19:50:56"/>
        <filter val="2/19/2021 19:05:34"/>
        <filter val="4/5/2021 8:21:11"/>
        <filter val="2/17/2021 8:33:11"/>
        <filter val="4/16/2021 10:19:51"/>
        <filter val="3/9/2021 10:04:58"/>
        <filter val="2/4/2021 17:47:57"/>
        <filter val="2/15/2021 13:10:45"/>
        <filter val="6/8/2021 8:21:22"/>
        <filter val="3/9/2021 0:10:20"/>
        <filter val="2/1/2021 15:48:22"/>
        <filter val="4/12/2021 19:40:16"/>
        <filter val="4/23/2021 9:02:57"/>
        <filter val="4/20/2021 16:54:45"/>
        <filter val="4/5/2021 12:08:56"/>
        <filter val="4/22/2021 12:10:41"/>
        <filter val="3/1/2021 9:24:17"/>
        <filter val="4/26/2021 12:07:06"/>
        <filter val="3/6/2021 13:52:48"/>
        <filter val="2/2/2021 15:57:47"/>
        <filter val="2/24/2021 11:59:28"/>
        <filter val="4/7/2021 8:05:14"/>
        <filter val="4/27/2021 15:48:36"/>
        <filter val="2/5/2021 23:43:26"/>
        <filter val="2/8/2021 18:08:29"/>
        <filter val="3/4/2021 17:49:51"/>
        <filter val="4/15/2021 11:26:48"/>
        <filter val="3/22/2021 10:40:31"/>
        <filter val="3/2/2021 15:20:02"/>
        <filter val="4/30/2021 16:54:56"/>
        <filter val="3/4/2021 17:40:15"/>
        <filter val="4/13/2021 13:48:50"/>
        <filter val="3/11/2021 23:25:35"/>
        <filter val="2/8/2021 23:22:43"/>
        <filter val="3/12/2021 12:50:37"/>
        <filter val="2/15/2021 13:22:47"/>
        <filter val="2/3/2021 19:02:24"/>
        <filter val="3/31/2021 9:28:07"/>
        <filter val="3/14/2021 11:49:41"/>
        <filter val="3/10/2021 8:19:07"/>
        <filter val="2/2/2021 20:04:07"/>
        <filter val="6/16/2021 18:56:34"/>
        <filter val="1/29/2021 17:05:59"/>
        <filter val="4/12/2021 19:05:32"/>
        <filter val="4/9/2021 12:11:17"/>
        <filter val="2/2/2021 22:36:39"/>
        <filter val="3/18/2021 12:03:20"/>
        <filter val="1/30/2021 21:30:49"/>
        <filter val="3/20/2021 19:03:52"/>
        <filter val="5/21/2021 22:46:01"/>
        <filter val="5/10/2021 16:22:39"/>
        <filter val="5/10/2021 17:56:02"/>
        <filter val="3/19/2021 20:55:16"/>
        <filter val="4/8/2021 18:30:46"/>
        <filter val="3/15/2021 9:37:05"/>
        <filter val="5/10/2021 17:20:39"/>
        <filter val="3/5/2021 15:38:16"/>
        <filter val="4/13/2021 14:06:41"/>
        <filter val="5/4/2021 16:24:40"/>
        <filter val="3/6/2021 12:52:13"/>
        <filter val="2/23/2021 12:22:55"/>
        <filter val="3/13/2021 16:58:33"/>
        <filter val="4/2/2021 16:10:41"/>
        <filter val="2/11/2021 22:31:52"/>
        <filter val="3/9/2021 9:35:58"/>
        <filter val="5/10/2021 17:19:37"/>
        <filter val="2/4/2021 20:46:10"/>
        <filter val="2/16/2021 17:53:30"/>
        <filter val="3/6/2021 12:39:57"/>
        <filter val="4/2/2021 9:49:55"/>
        <filter val="2/16/2021 21:19:08"/>
        <filter val="2/19/2021 13:07:37"/>
        <filter val="3/4/2021 12:50:56"/>
        <filter val="3/1/2021 14:06:27"/>
        <filter val="4/5/2021 9:43:45"/>
        <filter val="3/2/2021 18:37:46"/>
        <filter val="3/10/2021 19:23:59"/>
        <filter val="2/26/2021 15:33:25"/>
        <filter val="2/8/2021 17:45:07"/>
        <filter val="2/15/2021 9:43:16"/>
        <filter val="4/29/2021 19:48:23"/>
        <filter val="3/3/2021 9:41:08"/>
        <filter val="3/27/2021 15:02:42"/>
        <filter val="3/20/2021 18:59:39"/>
        <filter val="4/13/2021 14:38:59"/>
        <filter val="2/8/2021 21:00:28"/>
        <filter val="3/2/2021 9:37:42"/>
        <filter val="3/11/2021 22:13:08"/>
        <filter val="3/28/2021 12:47:52"/>
        <filter val="4/9/2021 13:43:16"/>
        <filter val="3/22/2021 13:50:25"/>
        <filter val="4/21/2021 22:07:04"/>
        <filter val="2/15/2021 10:00:20"/>
        <filter val="6/18/2021 21:55:36"/>
        <filter val="5/7/2021 17:33:53"/>
        <filter val="4/2/2021 15:32:45"/>
        <filter val="6/15/2021 16:45:20"/>
        <filter val="4/15/2021 10:28:52"/>
        <filter val="3/2/2021 18:27:23"/>
        <filter val="2/4/2021 17:45:40"/>
        <filter val="5/13/2021 10:11:39"/>
        <filter val="3/8/2021 10:29:16"/>
        <filter val="3/2/2021 18:39:04"/>
        <filter val="5/4/2021 14:36:16"/>
        <filter val="3/13/2021 17:00:53"/>
        <filter val="2/23/2021 11:34:50"/>
        <filter val="3/16/2021 8:18:59"/>
        <filter val="2/15/2021 17:55:34"/>
        <filter val="3/12/2021 14:41:07"/>
        <filter val="3/23/2021 10:30:48"/>
        <filter val="4/30/2021 22:13:02"/>
        <filter val="4/25/2021 15:12:58"/>
        <filter val="5/10/2021 18:29:28"/>
        <filter val="3/22/2021 11:24:41"/>
        <filter val="2/15/2021 16:51:17"/>
        <filter val="3/15/2021 12:27:29"/>
        <filter val="5/19/2021 10:49:58"/>
        <filter val="1/27/2021 12:21:43"/>
        <filter val="2/15/2021 13:13:39"/>
        <filter val="2/17/2021 22:03:33"/>
        <filter val="3/17/2021 12:25:26"/>
        <filter val="3/16/2021 10:51:44"/>
        <filter val="4/25/2021 14:54:26"/>
        <filter val="5/10/2021 16:43:15"/>
        <filter val="2/26/2021 17:29:35"/>
        <filter val="3/25/2021 8:41:18"/>
        <filter val="3/10/2021 8:16:02"/>
        <filter val="4/5/2021 8:17:22"/>
        <filter val="2/8/2021 18:28:15"/>
        <filter val="4/5/2021 10:55:33"/>
        <filter val="4/21/2021 10:16:29"/>
        <filter val="2/26/2021 22:48:50"/>
        <filter val="3/5/2021 14:56:06"/>
        <filter val="3/17/2021 12:13:41"/>
        <filter val="4/12/2021 11:34:04"/>
        <filter val="5/3/2021 14:50:19"/>
        <filter val="4/20/2021 16:45:51"/>
        <filter val="3/8/2021 20:31:05"/>
        <filter val="3/8/2021 16:38:20"/>
        <filter val="3/17/2021 14:10:40"/>
        <filter val="2/13/2021 18:52:15"/>
        <filter val="3/10/2021 22:53:50"/>
        <filter val="2/16/2021 8:36:07"/>
        <filter val="4/29/2021 15:09:12"/>
        <filter val="1/27/2021 15:58:28"/>
        <filter val="4/5/2021 18:24:07"/>
        <filter val="2/12/2021 22:32:40"/>
        <filter val="3/1/2021 11:35:12"/>
        <filter val="2/8/2021 13:28:12"/>
        <filter val="2/11/2021 23:48:52"/>
        <filter val="5/8/2021 11:39:41"/>
        <filter val="3/2/2021 18:42:42"/>
        <filter val="3/3/2021 16:31:59"/>
        <filter val="2/20/2021 14:21:57"/>
        <filter val="3/4/2021 20:35:24"/>
        <filter val="4/2/2021 16:17:04"/>
        <filter val="3/4/2021 16:43:22"/>
        <filter val="3/20/2021 8:58:40"/>
        <filter val="4/27/2021 15:32:32"/>
        <filter val="4/5/2021 21:24:16"/>
        <filter val="4/22/2021 18:20:46"/>
        <filter val="2/7/2021 17:26:25"/>
        <filter val="4/19/2021 19:26:47"/>
        <filter val="5/10/2021 17:57:48"/>
        <filter val="4/5/2021 8:19:13"/>
        <filter val="4/29/2021 14:59:42"/>
        <filter val="7/26/2021 14:52:51"/>
        <filter val="5/11/2021 13:30:00"/>
        <filter val="3/13/2021 21:54:53"/>
        <filter val="4/16/2021 12:07:48"/>
        <filter val="3/15/2021 19:58:58"/>
        <filter val="2/19/2021 11:46:37"/>
        <filter val="3/2/2021 18:30:19"/>
        <filter val="3/14/2021 11:23:04"/>
        <filter val="3/30/2021 15:59:03"/>
        <filter val="2/23/2021 17:12:32"/>
        <filter val="2/16/2021 21:21:31"/>
        <filter val="3/9/2021 10:42:34"/>
        <filter val="4/6/2021 9:10:19"/>
        <filter val="5/10/2021 18:40:33"/>
        <filter val="4/7/2021 12:17:56"/>
        <filter val="4/23/2021 18:54:00"/>
        <filter val="2/8/2021 20:20:29"/>
        <filter val="2/8/2021 18:18:35"/>
        <filter val="4/9/2021 12:11:46"/>
        <filter val="4/28/2021 12:21:18"/>
        <filter val="4/9/2021 13:40:27"/>
        <filter val="5/1/2021 17:55:36"/>
        <filter val="3/15/2021 19:46:45"/>
        <filter val="4/22/2021 15:48:47"/>
        <filter val="3/1/2021 11:45:00"/>
        <filter val="2/25/2021 8:46:38"/>
        <filter val="6/15/2021 16:21:11"/>
        <filter val="3/6/2021 12:43:01"/>
        <filter val="3/8/2021 13:03:10"/>
        <filter val="4/14/2021 17:12:35"/>
        <filter val="5/13/2021 14:30:14"/>
        <filter val="3/4/2021 17:47:15"/>
        <filter val="4/29/2021 15:07:40"/>
        <filter val="4/9/2021 13:50:59"/>
        <filter val="3/6/2021 17:35:26"/>
        <filter val="2/18/2021 14:50:40"/>
        <filter val="2/2/2021 13:33:51"/>
        <filter val="5/12/2021 10:48:16"/>
        <filter val="2/11/2021 18:39:39"/>
        <filter val="2/15/2021 9:28:52"/>
        <filter val="3/17/2021 15:04:03"/>
        <filter val="2/5/2021 13:11:19"/>
        <filter val="3/1/2021 14:04:29"/>
        <filter val="3/1/2021 20:49:01"/>
        <filter val="1/28/2021 17:08:06"/>
        <filter val="3/31/2021 21:24:42"/>
        <filter val="5/10/2021 18:39:31"/>
        <filter val="6/16/2021 18:19:15"/>
        <filter val="6/16/2021 18:27:04"/>
        <filter val="2/23/2021 14:51:37"/>
        <filter val="2/1/2021 13:55:44"/>
        <filter val="3/15/2021 10:43:44"/>
        <filter val="4/12/2021 14:33:11"/>
        <filter val="3/17/2021 15:18:37"/>
        <filter val="3/17/2021 12:27:34"/>
        <filter val="3/17/2021 11:06:08"/>
        <filter val="2/23/2021 12:17:50"/>
        <filter val="4/5/2021 18:26:46"/>
        <filter val="2/3/2021 21:53:14"/>
        <filter val="4/26/2021 6:48:30"/>
        <filter val="4/9/2021 13:49:50"/>
        <filter val="4/9/2021 17:35:04"/>
        <filter val="5/13/2021 10:07:31"/>
        <filter val="4/2/2021 16:03:22"/>
        <filter val="4/12/2021 19:57:19"/>
        <filter val="2/15/2021 17:57:48"/>
        <filter val="3/8/2021 20:55:33"/>
        <filter val="5/10/2021 18:49:19"/>
        <filter val="3/4/2021 13:03:17"/>
        <filter val="2/26/2021 21:24:30"/>
        <filter val="2/15/2021 13:15:42"/>
        <filter val="4/9/2021 19:56:12"/>
        <filter val="2/8/2021 10:40:21"/>
        <filter val="2/21/2021 9:44:07"/>
        <filter val="3/23/2021 9:59:21"/>
        <filter val="3/5/2021 15:09:37"/>
        <filter val="3/6/2021 17:53:28"/>
        <filter val="4/21/2021 10:24:46"/>
        <filter val="1/27/2021 12:37:09"/>
        <filter val="2/17/2021 21:47:53"/>
        <filter val="4/16/2021 15:57:17"/>
        <filter val="4/3/2021 18:46:18"/>
        <filter val="5/1/2021 18:05:26"/>
        <filter val="1/27/2021 21:23:35"/>
        <filter val="2/13/2021 14:05:21"/>
        <filter val="3/18/2021 13:19:17"/>
        <filter val="2/26/2021 7:59:53"/>
        <filter val="3/1/2021 11:37:27"/>
        <filter val="4/15/2021 10:33:52"/>
        <filter val="3/8/2021 16:41:58"/>
        <filter val="6/15/2021 16:08:03"/>
        <filter val="2/11/2021 19:04:21"/>
        <filter val="4/19/2021 9:07:33"/>
        <filter val="2/26/2021 15:59:22"/>
        <filter val="3/31/2021 17:56:31"/>
        <filter val="4/12/2021 19:45:13"/>
        <filter val="2/8/2021 18:04:02"/>
        <filter val="4/6/2021 21:12:39"/>
        <filter val="4/28/2021 15:02:02"/>
        <filter val="3/1/2021 17:01:35"/>
        <filter val="3/18/2021 16:18:14"/>
        <filter val="3/19/2021 19:05:28"/>
        <filter val="2/15/2021 16:14:37"/>
        <filter val="3/12/2021 15:41:18"/>
        <filter val="2/24/2021 12:07:24"/>
        <filter val="2/16/2021 21:13:10"/>
        <filter val="4/5/2021 8:15:55"/>
        <filter val="4/5/2021 23:25:11"/>
        <filter val="2/12/2021 17:25:35"/>
        <filter val="5/21/2021 9:10:36"/>
        <filter val="3/1/2021 10:24:36"/>
        <filter val="5/7/2021 20:29:41"/>
        <filter val="4/20/2021 17:59:04"/>
        <filter val="1/29/2021 23:54:30"/>
        <filter val="3/21/2021 13:23:13"/>
        <filter val="3/31/2021 14:55:34"/>
        <filter val="3/1/2021 14:24:03"/>
        <filter val="6/2/2021 22:32:57"/>
        <filter val="4/13/2021 13:33:43"/>
        <filter val="2/23/2021 11:29:48"/>
        <filter val="4/6/2021 17:25:31"/>
        <filter val="2/4/2021 23:39:14"/>
        <filter val="5/19/2021 18:45:53"/>
        <filter val="2/11/2021 18:49:02"/>
        <filter val="3/8/2021 12:43:54"/>
        <filter val="4/11/2021 13:13:32"/>
        <filter val="5/20/2021 18:38:46"/>
        <filter val="3/15/2021 10:41:57"/>
        <filter val="4/29/2021 17:53:58"/>
        <filter val="4/9/2021 19:00:18"/>
        <filter val="3/18/2021 14:05:36"/>
        <filter val="3/14/2021 16:39:32"/>
        <filter val="5/28/2021 17:37:12"/>
        <filter val="3/13/2021 22:28:35"/>
        <filter val="3/1/2021 15:11:46"/>
        <filter val="3/16/2021 10:53:30"/>
        <filter val="6/18/2021 19:48:33"/>
        <filter val="4/21/2021 22:00:57"/>
        <filter val="3/8/2021 22:42:51"/>
        <filter val="4/23/2021 16:11:59"/>
        <filter val="4/5/2021 16:59:07"/>
        <filter val="4/20/2021 16:57:36"/>
        <filter val="4/7/2021 12:37:25"/>
        <filter val="4/19/2021 10:33:57"/>
        <filter val="2/15/2021 9:38:18"/>
        <filter val="2/17/2021 22:01:32"/>
        <filter val="6/2/2021 22:34:18"/>
        <filter val="5/17/2021 21:13:36"/>
        <filter val="3/23/2021 10:22:45"/>
        <filter val="4/21/2021 17:45:58"/>
        <filter val="3/30/2021 15:57:04"/>
        <filter val="3/22/2021 14:10:24"/>
        <filter val="2/8/2021 23:27:20"/>
        <filter val="2/17/2021 23:58:01"/>
        <filter val="3/31/2021 18:09:34"/>
        <filter val="4/26/2021 12:01:44"/>
        <filter val="2/19/2021 14:03:06"/>
        <filter val="5/12/2021 17:37:06"/>
        <filter val="2/15/2021 17:47:25"/>
        <filter val="4/5/2021 9:38:37"/>
        <filter val="4/7/2021 18:12:42"/>
        <filter val="5/10/2021 19:02:47"/>
        <filter val="2/3/2021 16:41:25"/>
        <filter val="3/23/2021 10:00:21"/>
        <filter val="4/8/2021 11:59:51"/>
        <filter val="3/14/2021 16:42:16"/>
        <filter val="5/20/2021 17:28:51"/>
        <filter val="2/11/2021 18:59:17"/>
        <filter val="3/8/2021 20:23:49"/>
        <filter val="4/28/2021 11:18:51"/>
        <filter val="4/29/2021 15:13:56"/>
        <filter val="2/8/2021 19:04:27"/>
        <filter val="3/8/2021 19:34:53"/>
        <filter val="3/30/2021 22:45:33"/>
        <filter val="4/29/2021 17:01:06"/>
        <filter val="6/19/2021 1:17:20"/>
        <filter val="3/19/2021 13:57:03"/>
        <filter val="2/19/2021 11:16:36"/>
        <filter val="6/18/2021 14:37:29"/>
        <filter val="3/8/2021 16:44:29"/>
        <filter val="3/30/2021 22:11:33"/>
        <filter val="3/8/2021 20:35:40"/>
        <filter val="2/17/2021 18:18:04"/>
        <filter val="6/18/2021 22:12:43"/>
        <filter val="5/25/2021 1:28:47"/>
        <filter val="2/18/2021 18:50:40"/>
        <filter val="4/2/2021 16:23:56"/>
        <filter val="3/2/2021 18:36:32"/>
        <filter val="4/9/2021 19:52:53"/>
        <filter val="2/14/2021 10:29:08"/>
        <filter val="4/5/2021 15:40:00"/>
        <filter val="2/18/2021 15:37:04"/>
        <filter val="3/3/2021 17:30:57"/>
        <filter val="3/17/2021 10:31:57"/>
        <filter val="3/1/2021 11:52:21"/>
        <filter val="3/14/2021 12:10:32"/>
        <filter val="4/27/2021 14:35:32"/>
        <filter val="4/8/2021 11:04:55"/>
        <filter val="4/4/2021 21:30:33"/>
        <filter val="3/31/2021 17:37:21"/>
        <filter val="3/9/2021 9:44:39"/>
        <filter val="4/20/2021 10:59:19"/>
        <filter val="4/19/2021 13:50:59"/>
        <filter val="3/27/2021 14:03:46"/>
        <filter val="2/15/2021 17:48:49"/>
        <filter val="2/19/2021 22:07:32"/>
        <filter val="2/8/2021 16:36:05"/>
        <filter val="1/27/2021 21:07:25"/>
        <filter val="4/29/2021 15:03:39"/>
        <filter val="2/20/2021 14:38:52"/>
        <filter val="3/12/2021 18:30:25"/>
        <filter val="3/19/2021 19:03:16"/>
        <filter val="2/18/2021 16:54:07"/>
        <filter val="2/22/2021 23:43:03"/>
        <filter val="2/26/2021 8:04:12"/>
        <filter val="4/8/2021 23:22:34"/>
        <filter val="4/19/2021 12:11:51"/>
        <filter val="4/19/2021 17:23:52"/>
        <filter val="6/15/2021 16:26:59"/>
        <filter val="1/27/2021 16:12:41"/>
        <filter val="3/11/2021 9:25:37"/>
        <filter val="2/26/2021 10:36:22"/>
        <filter val="4/28/2021 9:25:21"/>
        <filter val="5/28/2021 17:21:26"/>
        <filter val="4/25/2021 11:12:35"/>
        <filter val="2/11/2021 18:47:05"/>
        <filter val="2/24/2021 11:56:13"/>
        <filter val="4/12/2021 19:41:52"/>
        <filter val="4/19/2021 19:11:47"/>
        <filter val="2/8/2021 18:36:00"/>
        <filter val="3/14/2021 16:19:34"/>
        <filter val="4/14/2021 14:26:20"/>
        <filter val="4/9/2021 19:07:48"/>
        <filter val="3/17/2021 20:54:39"/>
        <filter val="5/13/2021 19:49:23"/>
        <filter val="3/12/2021 12:58:17"/>
        <filter val="2/19/2021 13:51:15"/>
        <filter val="3/4/2021 17:51:50"/>
        <filter val="3/31/2021 17:35:25"/>
        <filter val="4/28/2021 12:36:52"/>
        <filter val="4/27/2021 14:47:48"/>
        <filter val="5/4/2021 14:43:49"/>
        <filter val="4/10/2021 17:14:07"/>
        <filter val="3/14/2021 11:38:41"/>
        <filter val="3/31/2021 17:45:57"/>
        <filter val="4/2/2021 9:48:05"/>
        <filter val="2/2/2021 22:53:58"/>
        <filter val="2/26/2021 22:45:22"/>
        <filter val="4/5/2021 9:40:59"/>
        <filter val="5/1/2021 10:36:38"/>
        <filter val="3/5/2021 11:32:54"/>
        <filter val="2/26/2021 21:28:34"/>
        <filter val="2/5/2021 22:54:02"/>
        <filter val="2/13/2021 18:43:49"/>
        <filter val="2/15/2021 20:50:32"/>
        <filter val="3/6/2021 11:55:23"/>
        <filter val="2/23/2021 17:06:33"/>
        <filter val="2/8/2021 18:12:59"/>
        <filter val="4/5/2021 11:52:35"/>
        <filter val="3/3/2021 15:09:10"/>
        <filter val="5/18/2021 18:36:43"/>
        <filter val="4/30/2021 16:51:28"/>
        <filter val="2/16/2021 21:28:14"/>
        <filter val="2/11/2021 18:01:19"/>
        <filter val="5/2/2021 10:13:37"/>
        <filter val="5/28/2021 11:03:10"/>
        <filter val="2/11/2021 17:57:01"/>
        <filter val="5/27/2021 13:46:41"/>
        <filter val="4/21/2021 15:32:56"/>
        <filter val="1/27/2021 18:18:44"/>
        <filter val="4/9/2021 18:59:43"/>
        <filter val="2/8/2021 17:42:27"/>
        <filter val="6/1/2021 11:28:06"/>
        <filter val="3/4/2021 17:08:09"/>
        <filter val="4/5/2021 8:36:20"/>
        <filter val="3/11/2021 22:09:48"/>
        <filter val="4/2/2021 12:37:00"/>
        <filter val="2/1/2021 18:21:26"/>
        <filter val="3/16/2021 21:03:30"/>
        <filter val="2/23/2021 22:24:29"/>
        <filter val="2/1/2021 13:49:42"/>
        <filter val="1/30/2021 12:19:38"/>
        <filter val="2/11/2021 19:08:32"/>
        <filter val="3/1/2021 18:52:42"/>
        <filter val="5/4/2021 10:49:29"/>
        <filter val="2/25/2021 21:32:29"/>
        <filter val="3/4/2021 17:26:43"/>
        <filter val="4/26/2021 11:53:40"/>
        <filter val="4/22/2021 22:32:09"/>
        <filter val="5/20/2021 21:58:39"/>
        <filter val="2/15/2021 18:06:04"/>
        <filter val="2/26/2021 16:34:18"/>
        <filter val="2/3/2021 14:35:33"/>
        <filter val="4/12/2021 19:38:38"/>
        <filter val="5/26/2021 13:47:02"/>
        <filter val="3/23/2021 10:15:43"/>
        <filter val="3/8/2021 16:46:45"/>
        <filter val="2/4/2021 20:47:24"/>
        <filter val="2/15/2021 9:42:33"/>
        <filter val="2/15/2021 17:51:59"/>
        <filter val="3/6/2021 12:18:19"/>
        <filter val="4/16/2021 16:04:08"/>
        <filter val="5/7/2021 15:12:45"/>
        <filter val="4/28/2021 12:38:21"/>
        <filter val="2/14/2021 13:34:31"/>
        <filter val="3/17/2021 13:15:00"/>
        <filter val="4/19/2021 19:59:24"/>
        <filter val="3/2/2021 18:28:47"/>
        <filter val="3/17/2021 11:23:45"/>
        <filter val="4/13/2021 13:27:30"/>
        <filter val="4/5/2021 15:30:43"/>
        <filter val="5/26/2021 14:23:36"/>
        <filter val="5/4/2021 15:45:23"/>
        <filter val="4/5/2021 11:56:33"/>
        <filter val="3/30/2021 22:03:29"/>
        <filter val="1/28/2021 19:27:56"/>
        <filter val="2/23/2021 11:47:48"/>
        <filter val="5/12/2021 19:06:36"/>
        <filter val="3/10/2021 17:14:20"/>
        <filter val="3/6/2021 12:41:26"/>
        <filter val="5/10/2021 19:06:59"/>
        <filter val="3/26/2021 23:47:36"/>
        <filter val="6/16/2021 18:08:54"/>
        <filter val="3/8/2021 19:04:27"/>
        <filter val="4/9/2021 12:10:43"/>
        <filter val="5/10/2021 17:33:27"/>
        <filter val="3/8/2021 12:41:10"/>
        <filter val="2/2/2021 1:04:56"/>
        <filter val="4/19/2021 17:03:52"/>
        <filter val="6/15/2021 14:24:58"/>
        <filter val="5/10/2021 18:33:13"/>
        <filter val="2/15/2021 9:30:40"/>
        <filter val="3/5/2021 14:52:25"/>
        <filter val="2/5/2021 23:44:14"/>
        <filter val="4/8/2021 11:08:28"/>
        <filter val="3/5/2021 16:27:57"/>
        <filter val="3/20/2021 19:02:59"/>
        <filter val="2/9/2021 23:10:45"/>
        <filter val="4/9/2021 12:10:15"/>
        <filter val="2/13/2021 18:41:23"/>
        <filter val="3/2/2021 23:05:46"/>
        <filter val="6/15/2021 16:34:22"/>
        <filter val="1/29/2021 19:04:36"/>
        <filter val="4/19/2021 20:04:28"/>
        <filter val="2/19/2021 17:41:14"/>
        <filter val="3/30/2021 22:27:03"/>
        <filter val="3/1/2021 11:30:19"/>
        <filter val="2/14/2021 15:42:53"/>
        <filter val="3/17/2021 12:11:52"/>
        <filter val="4/9/2021 19:52:22"/>
        <filter val="2/12/2021 22:31:24"/>
        <filter val="4/27/2021 6:42:31"/>
        <filter val="1/29/2021 17:26:31"/>
        <filter val="2/14/2021 15:07:52"/>
        <filter val="2/5/2021 21:22:42"/>
        <filter val="5/5/2021 20:01:24"/>
        <filter val="4/21/2021 10:22:14"/>
        <filter val="3/10/2021 15:26:12"/>
        <filter val="2/25/2021 22:32:41"/>
        <filter val="3/6/2021 12:28:15"/>
        <filter val="3/11/2021 17:25:00"/>
        <filter val="4/30/2021 16:31:54"/>
        <filter val="4/19/2021 13:37:44"/>
        <filter val="4/19/2021 13:37:41"/>
        <filter val="2/21/2021 9:48:35"/>
        <filter val="2/3/2021 16:35:26"/>
        <filter val="2/28/2021 23:41:48"/>
        <filter val="3/18/2021 16:22:20"/>
        <filter val="3/10/2021 14:36:55"/>
        <filter val="4/5/2021 12:10:46"/>
        <filter val="4/7/2021 11:20:54"/>
        <filter val="2/25/2021 8:43:42"/>
        <filter val="4/13/2021 12:17:59"/>
        <filter val="4/27/2021 14:40:35"/>
        <filter val="3/14/2021 11:36:43"/>
        <filter val="3/2/2021 19:26:43"/>
        <filter val="3/31/2021 17:50:26"/>
        <filter val="4/23/2021 17:40:18"/>
        <filter val="2/26/2021 10:24:06"/>
        <filter val="3/25/2021 8:25:03"/>
        <filter val="3/17/2021 14:13:08"/>
        <filter val="3/17/2021 10:37:01"/>
        <filter val="4/5/2021 20:31:31"/>
        <filter val="5/24/2021 17:43:36"/>
        <filter val="4/25/2021 15:07:02"/>
        <filter val="6/16/2021 18:45:02"/>
        <filter val="3/14/2021 11:26:03"/>
        <filter val="3/1/2021 15:07:06"/>
        <filter val="3/23/2021 10:17:06"/>
        <filter val="2/16/2021 8:33:48"/>
        <filter val="4/2/2021 10:11:50"/>
        <filter val="1/29/2021 19:26:24"/>
        <filter val="2/9/2021 21:34:08"/>
        <filter val="2/15/2021 9:32:24"/>
        <filter val="3/8/2021 20:15:39"/>
        <filter val="3/8/2021 12:38:52"/>
        <filter val="4/29/2021 15:05:24"/>
      </filters>
    </filterColumn>
  </autoFilter>
  <hyperlinks>
    <hyperlink r:id="rId1" ref="V3"/>
    <hyperlink r:id="rId2" ref="O59"/>
    <hyperlink r:id="rId3" ref="O60"/>
    <hyperlink r:id="rId4" ref="O70"/>
    <hyperlink r:id="rId5" ref="O92"/>
    <hyperlink r:id="rId6" ref="O94"/>
    <hyperlink r:id="rId7" ref="O95"/>
    <hyperlink r:id="rId8" ref="O98"/>
    <hyperlink r:id="rId9" ref="O106"/>
    <hyperlink r:id="rId10" ref="O114"/>
    <hyperlink r:id="rId11" ref="O115"/>
    <hyperlink r:id="rId12" ref="O136"/>
    <hyperlink r:id="rId13" ref="O145"/>
    <hyperlink r:id="rId14" ref="O147"/>
    <hyperlink r:id="rId15" ref="O160"/>
    <hyperlink r:id="rId16" ref="O166"/>
    <hyperlink r:id="rId17" ref="O168"/>
    <hyperlink r:id="rId18" ref="O169"/>
    <hyperlink r:id="rId19" ref="G191"/>
    <hyperlink r:id="rId20" ref="O193"/>
    <hyperlink r:id="rId21" ref="O212"/>
    <hyperlink r:id="rId22" ref="O213"/>
    <hyperlink r:id="rId23" ref="O216"/>
    <hyperlink r:id="rId24" ref="O224"/>
    <hyperlink r:id="rId25" ref="O227"/>
    <hyperlink r:id="rId26" ref="O228"/>
    <hyperlink r:id="rId27" ref="O252"/>
    <hyperlink r:id="rId28" ref="O254"/>
    <hyperlink r:id="rId29" ref="O255"/>
    <hyperlink r:id="rId30" ref="O261"/>
    <hyperlink r:id="rId31" ref="O262"/>
    <hyperlink r:id="rId32" ref="O263"/>
    <hyperlink r:id="rId33" ref="O268"/>
    <hyperlink r:id="rId34" ref="O269"/>
    <hyperlink r:id="rId35" ref="O270"/>
    <hyperlink r:id="rId36" ref="O275"/>
    <hyperlink r:id="rId37" ref="O276"/>
    <hyperlink r:id="rId38" ref="O293"/>
    <hyperlink r:id="rId39" ref="O294"/>
    <hyperlink r:id="rId40" ref="O300"/>
    <hyperlink r:id="rId41" ref="O301"/>
    <hyperlink r:id="rId42" ref="O303"/>
    <hyperlink r:id="rId43" ref="O308"/>
    <hyperlink r:id="rId44" ref="O309"/>
    <hyperlink r:id="rId45" ref="O315"/>
    <hyperlink r:id="rId46" ref="O316"/>
    <hyperlink r:id="rId47" ref="O317"/>
    <hyperlink r:id="rId48" ref="O318"/>
    <hyperlink r:id="rId49" ref="O319"/>
    <hyperlink r:id="rId50" ref="O322"/>
    <hyperlink r:id="rId51" ref="O323"/>
    <hyperlink r:id="rId52" ref="O324"/>
    <hyperlink r:id="rId53" ref="O331"/>
    <hyperlink r:id="rId54" ref="O334"/>
    <hyperlink r:id="rId55" ref="O337"/>
    <hyperlink r:id="rId56" ref="O346"/>
    <hyperlink r:id="rId57" ref="O350"/>
    <hyperlink r:id="rId58" ref="O354"/>
    <hyperlink r:id="rId59" ref="O383"/>
    <hyperlink r:id="rId60" ref="G386"/>
    <hyperlink r:id="rId61" ref="O387"/>
    <hyperlink r:id="rId62" ref="O390"/>
    <hyperlink r:id="rId63" ref="G395"/>
    <hyperlink r:id="rId64" ref="O399"/>
    <hyperlink r:id="rId65" ref="O408"/>
    <hyperlink r:id="rId66" ref="O415"/>
    <hyperlink r:id="rId67" ref="O424"/>
    <hyperlink r:id="rId68" ref="O429"/>
    <hyperlink r:id="rId69" ref="O430"/>
    <hyperlink r:id="rId70" ref="O451"/>
    <hyperlink r:id="rId71" ref="O456"/>
    <hyperlink r:id="rId72" ref="O463"/>
    <hyperlink r:id="rId73" ref="O464"/>
    <hyperlink r:id="rId74" ref="O473"/>
    <hyperlink r:id="rId75" ref="O474"/>
    <hyperlink r:id="rId76" ref="O475"/>
    <hyperlink r:id="rId77" ref="O477"/>
    <hyperlink r:id="rId78" ref="O484"/>
    <hyperlink r:id="rId79" ref="O488"/>
    <hyperlink r:id="rId80" ref="O490"/>
    <hyperlink r:id="rId81" ref="O491"/>
    <hyperlink r:id="rId82" ref="O495"/>
    <hyperlink r:id="rId83" ref="O502"/>
    <hyperlink r:id="rId84" ref="O511"/>
    <hyperlink r:id="rId85" ref="O518"/>
    <hyperlink r:id="rId86" ref="O521"/>
    <hyperlink r:id="rId87" ref="O535"/>
    <hyperlink r:id="rId88" ref="O553"/>
    <hyperlink r:id="rId89" ref="O562"/>
    <hyperlink r:id="rId90" ref="G566"/>
    <hyperlink r:id="rId91" ref="O566"/>
    <hyperlink r:id="rId92" ref="O574"/>
    <hyperlink r:id="rId93" ref="O575"/>
    <hyperlink r:id="rId94" ref="O580"/>
    <hyperlink r:id="rId95" ref="O581"/>
    <hyperlink r:id="rId96" ref="O582"/>
    <hyperlink r:id="rId97" ref="O591"/>
    <hyperlink r:id="rId98" ref="O593"/>
    <hyperlink r:id="rId99" ref="O594"/>
    <hyperlink r:id="rId100" ref="O598"/>
    <hyperlink r:id="rId101" ref="O602"/>
    <hyperlink r:id="rId102" ref="O608"/>
    <hyperlink r:id="rId103" ref="O609"/>
    <hyperlink r:id="rId104" ref="O610"/>
    <hyperlink r:id="rId105" ref="O611"/>
    <hyperlink r:id="rId106" ref="O624"/>
    <hyperlink r:id="rId107" ref="O629"/>
    <hyperlink r:id="rId108" ref="O634"/>
    <hyperlink r:id="rId109" ref="O635"/>
    <hyperlink r:id="rId110" ref="O643"/>
    <hyperlink r:id="rId111" ref="O648"/>
    <hyperlink r:id="rId112" ref="O653"/>
    <hyperlink r:id="rId113" ref="O674"/>
    <hyperlink r:id="rId114" ref="O677"/>
    <hyperlink r:id="rId115" ref="O680"/>
    <hyperlink r:id="rId116" ref="O681"/>
    <hyperlink r:id="rId117" ref="O684"/>
    <hyperlink r:id="rId118" ref="O687"/>
    <hyperlink r:id="rId119" ref="G688"/>
    <hyperlink r:id="rId120" ref="O689"/>
    <hyperlink r:id="rId121" ref="O697"/>
    <hyperlink r:id="rId122" ref="O701"/>
    <hyperlink r:id="rId123" ref="O702"/>
    <hyperlink r:id="rId124" ref="O704"/>
    <hyperlink r:id="rId125" ref="O706"/>
    <hyperlink r:id="rId126" ref="O707"/>
    <hyperlink r:id="rId127" ref="O708"/>
    <hyperlink r:id="rId128" ref="O718"/>
    <hyperlink r:id="rId129" ref="O719"/>
    <hyperlink r:id="rId130" ref="O721"/>
    <hyperlink r:id="rId131" ref="O723"/>
    <hyperlink r:id="rId132" ref="O725"/>
    <hyperlink r:id="rId133" ref="O729"/>
    <hyperlink r:id="rId134" ref="O730"/>
    <hyperlink r:id="rId135" ref="O734"/>
    <hyperlink r:id="rId136" ref="O736"/>
    <hyperlink r:id="rId137" ref="O737"/>
    <hyperlink r:id="rId138" ref="O748"/>
    <hyperlink r:id="rId139" ref="O749"/>
    <hyperlink r:id="rId140" ref="O752"/>
    <hyperlink r:id="rId141" ref="O757"/>
    <hyperlink r:id="rId142" ref="O760"/>
    <hyperlink r:id="rId143" ref="O761"/>
    <hyperlink r:id="rId144" ref="O768"/>
    <hyperlink r:id="rId145" ref="O769"/>
    <hyperlink r:id="rId146" ref="O774"/>
    <hyperlink r:id="rId147" ref="O777"/>
    <hyperlink r:id="rId148" ref="O781"/>
    <hyperlink r:id="rId149" ref="O787"/>
    <hyperlink r:id="rId150" ref="O788"/>
    <hyperlink r:id="rId151" ref="O789"/>
    <hyperlink r:id="rId152" ref="O792"/>
    <hyperlink r:id="rId153" ref="O793"/>
    <hyperlink r:id="rId154" ref="O799"/>
    <hyperlink r:id="rId155" ref="O801"/>
    <hyperlink r:id="rId156" ref="O812"/>
    <hyperlink r:id="rId157" ref="O813"/>
    <hyperlink r:id="rId158" ref="O814"/>
    <hyperlink r:id="rId159" ref="O817"/>
    <hyperlink r:id="rId160" ref="O818"/>
    <hyperlink r:id="rId161" ref="O820"/>
    <hyperlink r:id="rId162" ref="O822"/>
    <hyperlink r:id="rId163" ref="O823"/>
    <hyperlink r:id="rId164" ref="O842"/>
    <hyperlink r:id="rId165" ref="O843"/>
    <hyperlink r:id="rId166" ref="O844"/>
    <hyperlink r:id="rId167" ref="O845"/>
    <hyperlink r:id="rId168" ref="O849"/>
    <hyperlink r:id="rId169" ref="O851"/>
    <hyperlink r:id="rId170" ref="O852"/>
    <hyperlink r:id="rId171" ref="O854"/>
    <hyperlink r:id="rId172" ref="O855"/>
    <hyperlink r:id="rId173" ref="O856"/>
    <hyperlink r:id="rId174" ref="O858"/>
    <hyperlink r:id="rId175" ref="O863"/>
    <hyperlink r:id="rId176" ref="O866"/>
    <hyperlink r:id="rId177" ref="O867"/>
    <hyperlink r:id="rId178" ref="G869"/>
    <hyperlink r:id="rId179" ref="O872"/>
    <hyperlink r:id="rId180" ref="O874"/>
    <hyperlink r:id="rId181" ref="O875"/>
    <hyperlink r:id="rId182" ref="O876"/>
    <hyperlink r:id="rId183" ref="O888"/>
    <hyperlink r:id="rId184" ref="O890"/>
    <hyperlink r:id="rId185" ref="O893"/>
    <hyperlink r:id="rId186" ref="O894"/>
    <hyperlink r:id="rId187" ref="O895"/>
    <hyperlink r:id="rId188" ref="O896"/>
    <hyperlink r:id="rId189" ref="O897"/>
    <hyperlink r:id="rId190" ref="O899"/>
    <hyperlink r:id="rId191" ref="O900"/>
    <hyperlink r:id="rId192" ref="O901"/>
    <hyperlink r:id="rId193" ref="O902"/>
    <hyperlink r:id="rId194" ref="O906"/>
    <hyperlink r:id="rId195" ref="O907"/>
    <hyperlink r:id="rId196" ref="O908"/>
    <hyperlink r:id="rId197" ref="O911"/>
    <hyperlink r:id="rId198" ref="O912"/>
    <hyperlink r:id="rId199" ref="O914"/>
  </hyperlinks>
  <drawing r:id="rId200"/>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2" t="s">
        <v>2</v>
      </c>
      <c r="D1" s="2" t="s">
        <v>3</v>
      </c>
      <c r="E1" s="2" t="s">
        <v>4</v>
      </c>
      <c r="F1" s="2" t="s">
        <v>5</v>
      </c>
      <c r="G1" s="2" t="s">
        <v>6</v>
      </c>
      <c r="H1" s="3" t="s">
        <v>7</v>
      </c>
      <c r="I1" s="3" t="s">
        <v>8</v>
      </c>
      <c r="J1" s="2" t="s">
        <v>9</v>
      </c>
      <c r="K1" s="2" t="s">
        <v>10</v>
      </c>
      <c r="L1" s="4" t="s">
        <v>11</v>
      </c>
      <c r="M1" s="4" t="s">
        <v>12</v>
      </c>
      <c r="N1" s="2" t="s">
        <v>13</v>
      </c>
      <c r="O1" s="2" t="s">
        <v>14</v>
      </c>
      <c r="P1" s="4" t="s">
        <v>15</v>
      </c>
      <c r="Q1" s="4" t="s">
        <v>16</v>
      </c>
      <c r="R1" s="4" t="s">
        <v>17</v>
      </c>
      <c r="S1" s="4" t="s">
        <v>18</v>
      </c>
      <c r="T1" s="4" t="s">
        <v>19</v>
      </c>
      <c r="U1" s="4" t="s">
        <v>20</v>
      </c>
      <c r="V1" s="4" t="s">
        <v>21</v>
      </c>
      <c r="W1" s="5" t="s">
        <v>22</v>
      </c>
      <c r="X1" s="2" t="s">
        <v>23</v>
      </c>
      <c r="Y1" s="2" t="s">
        <v>24</v>
      </c>
      <c r="Z1" s="6" t="s">
        <v>25</v>
      </c>
      <c r="AA1" s="7" t="s">
        <v>26</v>
      </c>
      <c r="AB1" s="8">
        <v>2.0</v>
      </c>
      <c r="AC1" s="9"/>
    </row>
    <row r="2">
      <c r="A2" s="10" t="s">
        <v>3350</v>
      </c>
      <c r="B2" s="11">
        <v>44378.91228207176</v>
      </c>
      <c r="C2" s="10" t="s">
        <v>1405</v>
      </c>
      <c r="D2" s="10" t="s">
        <v>1406</v>
      </c>
      <c r="E2" s="10" t="s">
        <v>1477</v>
      </c>
      <c r="F2" s="10" t="s">
        <v>3351</v>
      </c>
      <c r="G2" s="10" t="s">
        <v>3352</v>
      </c>
      <c r="H2" s="11">
        <v>44379.58333333333</v>
      </c>
      <c r="I2" s="11">
        <v>44387.66666666667</v>
      </c>
      <c r="J2" s="10" t="s">
        <v>51</v>
      </c>
      <c r="K2" s="10" t="s">
        <v>34</v>
      </c>
      <c r="N2" s="10" t="s">
        <v>35</v>
      </c>
      <c r="V2" s="9"/>
      <c r="W2" s="13" t="s">
        <v>78</v>
      </c>
      <c r="X2" s="10" t="s">
        <v>37</v>
      </c>
      <c r="Y2" s="10" t="s">
        <v>0</v>
      </c>
    </row>
    <row r="3">
      <c r="A3" s="10" t="s">
        <v>3353</v>
      </c>
      <c r="B3" s="11">
        <v>44390.85384873842</v>
      </c>
      <c r="C3" s="10" t="s">
        <v>320</v>
      </c>
      <c r="D3" s="10" t="s">
        <v>321</v>
      </c>
      <c r="E3" s="10" t="s">
        <v>3354</v>
      </c>
      <c r="F3" s="10" t="s">
        <v>3355</v>
      </c>
      <c r="G3" s="10" t="s">
        <v>3356</v>
      </c>
      <c r="H3" s="11">
        <v>44394.0</v>
      </c>
      <c r="I3" s="11">
        <v>44400.0</v>
      </c>
      <c r="J3" s="10" t="s">
        <v>128</v>
      </c>
      <c r="K3" s="10" t="s">
        <v>34</v>
      </c>
      <c r="N3" s="10" t="s">
        <v>35</v>
      </c>
      <c r="V3" s="9"/>
      <c r="W3" s="13" t="s">
        <v>3357</v>
      </c>
      <c r="X3" s="10" t="s">
        <v>37</v>
      </c>
      <c r="Y3" s="10" t="s">
        <v>0</v>
      </c>
    </row>
    <row r="4">
      <c r="A4" s="10" t="s">
        <v>3358</v>
      </c>
      <c r="B4" s="11">
        <v>44390.856288483796</v>
      </c>
      <c r="C4" s="10" t="s">
        <v>320</v>
      </c>
      <c r="D4" s="10" t="s">
        <v>321</v>
      </c>
      <c r="E4" s="10" t="s">
        <v>3359</v>
      </c>
      <c r="F4" s="10" t="s">
        <v>3360</v>
      </c>
      <c r="G4" s="10" t="s">
        <v>3361</v>
      </c>
      <c r="H4" s="11">
        <v>44394.0</v>
      </c>
      <c r="I4" s="11">
        <v>44400.0</v>
      </c>
      <c r="J4" s="10" t="s">
        <v>128</v>
      </c>
      <c r="K4" s="10" t="s">
        <v>34</v>
      </c>
      <c r="N4" s="10" t="s">
        <v>35</v>
      </c>
      <c r="V4" s="9"/>
      <c r="W4" s="13" t="s">
        <v>3357</v>
      </c>
      <c r="X4" s="10" t="s">
        <v>37</v>
      </c>
      <c r="Y4" s="10" t="s">
        <v>0</v>
      </c>
    </row>
    <row r="5">
      <c r="A5" s="10" t="s">
        <v>3362</v>
      </c>
      <c r="B5" s="11">
        <v>44407.95400008102</v>
      </c>
      <c r="C5" s="10" t="s">
        <v>137</v>
      </c>
      <c r="D5" s="10" t="s">
        <v>138</v>
      </c>
      <c r="E5" s="10" t="s">
        <v>3299</v>
      </c>
      <c r="F5" s="10" t="s">
        <v>3363</v>
      </c>
      <c r="G5" s="10" t="s">
        <v>3364</v>
      </c>
      <c r="H5" s="11">
        <v>44372.625</v>
      </c>
      <c r="I5" s="11">
        <v>44372.66666666667</v>
      </c>
      <c r="J5" s="10" t="s">
        <v>43</v>
      </c>
      <c r="K5" s="10" t="s">
        <v>34</v>
      </c>
      <c r="N5" s="10" t="s">
        <v>35</v>
      </c>
      <c r="V5" s="9"/>
      <c r="W5" s="13" t="s">
        <v>3357</v>
      </c>
      <c r="X5" s="10" t="s">
        <v>37</v>
      </c>
      <c r="Y5" s="10" t="s">
        <v>0</v>
      </c>
    </row>
    <row r="6">
      <c r="A6" s="10" t="s">
        <v>3365</v>
      </c>
      <c r="B6" s="11">
        <v>44407.95741103009</v>
      </c>
      <c r="C6" s="10" t="s">
        <v>137</v>
      </c>
      <c r="D6" s="10" t="s">
        <v>138</v>
      </c>
      <c r="E6" s="10" t="s">
        <v>3299</v>
      </c>
      <c r="F6" s="10" t="s">
        <v>3366</v>
      </c>
      <c r="G6" s="10" t="s">
        <v>3367</v>
      </c>
      <c r="H6" s="11">
        <v>44376.75</v>
      </c>
      <c r="I6" s="11">
        <v>44406.83333333333</v>
      </c>
      <c r="J6" s="10" t="s">
        <v>43</v>
      </c>
      <c r="K6" s="10" t="s">
        <v>34</v>
      </c>
      <c r="N6" s="10" t="s">
        <v>35</v>
      </c>
      <c r="V6" s="9"/>
      <c r="W6" s="13" t="s">
        <v>3357</v>
      </c>
      <c r="X6" s="10" t="s">
        <v>37</v>
      </c>
      <c r="Y6" s="10" t="s">
        <v>0</v>
      </c>
    </row>
    <row r="7">
      <c r="A7" s="10" t="s">
        <v>3368</v>
      </c>
      <c r="B7" s="11">
        <v>44377.7129644213</v>
      </c>
      <c r="C7" s="10" t="s">
        <v>160</v>
      </c>
      <c r="D7" s="10" t="s">
        <v>161</v>
      </c>
      <c r="E7" s="10" t="s">
        <v>3318</v>
      </c>
      <c r="F7" s="10" t="s">
        <v>3369</v>
      </c>
      <c r="G7" s="10" t="s">
        <v>3370</v>
      </c>
      <c r="H7" s="16">
        <v>44378.60416666667</v>
      </c>
      <c r="I7" s="16">
        <v>44378.6875</v>
      </c>
      <c r="J7" s="10" t="s">
        <v>43</v>
      </c>
      <c r="K7" s="10" t="s">
        <v>34</v>
      </c>
      <c r="N7" s="10" t="s">
        <v>296</v>
      </c>
      <c r="O7" s="18" t="s">
        <v>3371</v>
      </c>
      <c r="P7" s="10" t="s">
        <v>296</v>
      </c>
      <c r="Q7" s="10">
        <v>1.0</v>
      </c>
      <c r="R7" s="10" t="s">
        <v>35</v>
      </c>
      <c r="T7" s="10" t="s">
        <v>35</v>
      </c>
      <c r="V7" s="9"/>
      <c r="W7" s="13" t="s">
        <v>3357</v>
      </c>
      <c r="X7" s="10" t="s">
        <v>37</v>
      </c>
      <c r="Y7" s="10" t="s">
        <v>0</v>
      </c>
    </row>
    <row r="8">
      <c r="A8" s="10" t="s">
        <v>3372</v>
      </c>
      <c r="B8" s="11">
        <v>44397.8867409838</v>
      </c>
      <c r="C8" s="10" t="s">
        <v>1583</v>
      </c>
      <c r="D8" s="10" t="s">
        <v>505</v>
      </c>
      <c r="E8" s="10" t="s">
        <v>3373</v>
      </c>
      <c r="F8" s="10" t="s">
        <v>3374</v>
      </c>
      <c r="G8" s="10" t="s">
        <v>3375</v>
      </c>
      <c r="H8" s="11">
        <v>44402.5</v>
      </c>
      <c r="I8" s="11">
        <v>44403.5</v>
      </c>
      <c r="J8" s="10" t="s">
        <v>51</v>
      </c>
      <c r="K8" s="10" t="s">
        <v>34</v>
      </c>
      <c r="N8" s="10" t="s">
        <v>35</v>
      </c>
      <c r="V8" s="9"/>
      <c r="W8" s="13" t="s">
        <v>3357</v>
      </c>
      <c r="X8" s="10" t="s">
        <v>37</v>
      </c>
      <c r="Y8" s="10" t="s">
        <v>0</v>
      </c>
      <c r="AB8" s="10"/>
    </row>
    <row r="9">
      <c r="A9" s="10" t="s">
        <v>3376</v>
      </c>
      <c r="B9" s="11">
        <v>44402.664542708335</v>
      </c>
      <c r="C9" s="10" t="s">
        <v>1583</v>
      </c>
      <c r="D9" s="10" t="s">
        <v>505</v>
      </c>
      <c r="E9" s="10" t="s">
        <v>2105</v>
      </c>
      <c r="F9" s="10" t="s">
        <v>3377</v>
      </c>
      <c r="G9" s="10" t="s">
        <v>3378</v>
      </c>
      <c r="H9" s="11">
        <v>44407.5</v>
      </c>
      <c r="I9" s="11">
        <v>44408.5</v>
      </c>
      <c r="J9" s="10" t="s">
        <v>51</v>
      </c>
      <c r="K9" s="10" t="s">
        <v>34</v>
      </c>
      <c r="N9" s="10" t="s">
        <v>35</v>
      </c>
      <c r="V9" s="9"/>
      <c r="W9" s="13" t="s">
        <v>3357</v>
      </c>
      <c r="X9" s="10" t="s">
        <v>37</v>
      </c>
      <c r="Y9" s="10" t="s">
        <v>0</v>
      </c>
    </row>
    <row r="10">
      <c r="A10" s="10" t="s">
        <v>3379</v>
      </c>
      <c r="B10" s="11">
        <v>44402.6692071875</v>
      </c>
      <c r="C10" s="10" t="s">
        <v>1583</v>
      </c>
      <c r="D10" s="10" t="s">
        <v>505</v>
      </c>
      <c r="E10" s="10" t="s">
        <v>2105</v>
      </c>
      <c r="F10" s="10" t="s">
        <v>3380</v>
      </c>
      <c r="G10" s="10" t="s">
        <v>3381</v>
      </c>
      <c r="H10" s="11">
        <v>44407.79166666667</v>
      </c>
      <c r="I10" s="11">
        <v>44407.875</v>
      </c>
      <c r="J10" s="10" t="s">
        <v>128</v>
      </c>
      <c r="K10" s="10" t="s">
        <v>34</v>
      </c>
      <c r="N10" s="10" t="s">
        <v>35</v>
      </c>
      <c r="V10" s="9"/>
      <c r="W10" s="13" t="s">
        <v>3357</v>
      </c>
      <c r="X10" s="10" t="s">
        <v>37</v>
      </c>
      <c r="Y10" s="10" t="s">
        <v>0</v>
      </c>
    </row>
    <row r="11">
      <c r="A11" s="10" t="s">
        <v>3382</v>
      </c>
      <c r="B11" s="11">
        <v>44403.60591021991</v>
      </c>
      <c r="C11" s="10" t="s">
        <v>46</v>
      </c>
      <c r="D11" s="10" t="s">
        <v>47</v>
      </c>
      <c r="E11" s="10" t="s">
        <v>2357</v>
      </c>
      <c r="F11" s="10" t="s">
        <v>3383</v>
      </c>
      <c r="G11" s="10" t="s">
        <v>3384</v>
      </c>
      <c r="H11" s="11">
        <v>44255.33333333333</v>
      </c>
      <c r="I11" s="11">
        <v>44255.75</v>
      </c>
      <c r="J11" s="10" t="s">
        <v>51</v>
      </c>
      <c r="K11" s="10" t="s">
        <v>34</v>
      </c>
      <c r="N11" s="10" t="s">
        <v>35</v>
      </c>
      <c r="V11" s="9"/>
      <c r="W11" s="13" t="s">
        <v>3385</v>
      </c>
      <c r="X11" s="10" t="s">
        <v>2360</v>
      </c>
      <c r="Y11" s="10" t="s">
        <v>0</v>
      </c>
    </row>
    <row r="12">
      <c r="A12" s="10" t="s">
        <v>3386</v>
      </c>
      <c r="B12" s="11">
        <v>44403.610556273146</v>
      </c>
      <c r="C12" s="10" t="s">
        <v>46</v>
      </c>
      <c r="D12" s="10" t="s">
        <v>47</v>
      </c>
      <c r="E12" s="10" t="s">
        <v>2357</v>
      </c>
      <c r="F12" s="10" t="s">
        <v>3387</v>
      </c>
      <c r="G12" s="10" t="s">
        <v>3388</v>
      </c>
      <c r="H12" s="11">
        <v>44334.33333333333</v>
      </c>
      <c r="I12" s="11">
        <v>44334.75</v>
      </c>
      <c r="J12" s="10" t="s">
        <v>51</v>
      </c>
      <c r="K12" s="10" t="s">
        <v>34</v>
      </c>
      <c r="N12" s="10" t="s">
        <v>35</v>
      </c>
      <c r="V12" s="9"/>
      <c r="W12" s="13" t="s">
        <v>3385</v>
      </c>
      <c r="X12" s="10" t="s">
        <v>2360</v>
      </c>
      <c r="Y12" s="10" t="s">
        <v>0</v>
      </c>
    </row>
    <row r="13">
      <c r="A13" s="10" t="s">
        <v>3389</v>
      </c>
      <c r="B13" s="11">
        <v>44363.61715751157</v>
      </c>
      <c r="C13" s="10" t="s">
        <v>239</v>
      </c>
      <c r="D13" s="10" t="s">
        <v>240</v>
      </c>
      <c r="E13" s="10" t="s">
        <v>1928</v>
      </c>
      <c r="F13" s="10" t="s">
        <v>3390</v>
      </c>
      <c r="G13" s="10" t="s">
        <v>3391</v>
      </c>
      <c r="H13" s="33">
        <v>44380.54166666667</v>
      </c>
      <c r="I13" s="33">
        <v>44380.58333333333</v>
      </c>
      <c r="J13" s="10" t="s">
        <v>236</v>
      </c>
      <c r="K13" s="10" t="s">
        <v>34</v>
      </c>
      <c r="N13" s="10" t="s">
        <v>35</v>
      </c>
      <c r="V13" s="9"/>
      <c r="W13" s="13" t="s">
        <v>3385</v>
      </c>
      <c r="X13" s="10" t="s">
        <v>37</v>
      </c>
      <c r="Y13" s="10" t="s">
        <v>0</v>
      </c>
    </row>
    <row r="14">
      <c r="A14" s="10" t="s">
        <v>3392</v>
      </c>
      <c r="B14" s="11">
        <v>44405.78277196759</v>
      </c>
      <c r="C14" s="10" t="s">
        <v>418</v>
      </c>
      <c r="D14" s="10" t="s">
        <v>419</v>
      </c>
      <c r="E14" s="10" t="s">
        <v>3393</v>
      </c>
      <c r="F14" s="10" t="s">
        <v>3394</v>
      </c>
      <c r="G14" s="10" t="s">
        <v>3395</v>
      </c>
      <c r="H14" s="11">
        <v>44414.4375</v>
      </c>
      <c r="I14" s="28">
        <v>44414.5</v>
      </c>
      <c r="J14" s="10" t="s">
        <v>128</v>
      </c>
      <c r="K14" s="10" t="s">
        <v>34</v>
      </c>
      <c r="N14" s="10" t="s">
        <v>296</v>
      </c>
      <c r="O14" s="18" t="s">
        <v>3396</v>
      </c>
      <c r="P14" s="10" t="s">
        <v>35</v>
      </c>
      <c r="R14" s="10" t="s">
        <v>35</v>
      </c>
      <c r="T14" s="10" t="s">
        <v>35</v>
      </c>
      <c r="V14" s="9"/>
      <c r="W14" s="13" t="s">
        <v>3397</v>
      </c>
      <c r="X14" s="10" t="s">
        <v>37</v>
      </c>
    </row>
    <row r="15">
      <c r="A15" s="10" t="s">
        <v>3398</v>
      </c>
      <c r="B15" s="11">
        <v>44407.95999420139</v>
      </c>
      <c r="C15" s="10" t="s">
        <v>137</v>
      </c>
      <c r="D15" s="10" t="s">
        <v>138</v>
      </c>
      <c r="E15" s="10" t="s">
        <v>3299</v>
      </c>
      <c r="F15" s="10" t="s">
        <v>3399</v>
      </c>
      <c r="G15" s="10" t="s">
        <v>3400</v>
      </c>
      <c r="H15" s="11">
        <v>44386.58333333333</v>
      </c>
      <c r="I15" s="11">
        <v>44386.66666666667</v>
      </c>
      <c r="J15" s="10" t="s">
        <v>43</v>
      </c>
      <c r="K15" s="10" t="s">
        <v>34</v>
      </c>
      <c r="N15" s="10" t="s">
        <v>35</v>
      </c>
      <c r="V15" s="9"/>
      <c r="W15" s="13"/>
      <c r="X15" s="10" t="s">
        <v>3302</v>
      </c>
      <c r="Y15" s="10" t="s">
        <v>0</v>
      </c>
    </row>
    <row r="16">
      <c r="A16" s="10" t="s">
        <v>3401</v>
      </c>
      <c r="B16" s="11">
        <v>44407.48637039352</v>
      </c>
      <c r="C16" s="10" t="s">
        <v>3298</v>
      </c>
      <c r="D16" s="10" t="s">
        <v>138</v>
      </c>
      <c r="E16" s="10" t="s">
        <v>3299</v>
      </c>
      <c r="F16" s="10" t="s">
        <v>921</v>
      </c>
      <c r="G16" s="10" t="s">
        <v>3402</v>
      </c>
      <c r="H16" s="11">
        <v>44407.58333333333</v>
      </c>
      <c r="I16" s="11">
        <v>44407.625</v>
      </c>
      <c r="J16" s="10" t="s">
        <v>128</v>
      </c>
      <c r="K16" s="10" t="s">
        <v>34</v>
      </c>
      <c r="N16" s="10" t="s">
        <v>35</v>
      </c>
      <c r="V16" s="9"/>
      <c r="W16" s="13"/>
      <c r="X16" s="10" t="s">
        <v>37</v>
      </c>
      <c r="Y16" s="10" t="s">
        <v>0</v>
      </c>
    </row>
    <row r="17">
      <c r="A17" s="10" t="s">
        <v>3403</v>
      </c>
      <c r="B17" s="11">
        <v>44377.7153730787</v>
      </c>
      <c r="C17" s="10" t="s">
        <v>160</v>
      </c>
      <c r="D17" s="10" t="s">
        <v>161</v>
      </c>
      <c r="E17" s="10" t="s">
        <v>3318</v>
      </c>
      <c r="F17" s="10" t="s">
        <v>3404</v>
      </c>
      <c r="G17" s="10" t="s">
        <v>3405</v>
      </c>
      <c r="H17" s="33">
        <v>44392.39583333333</v>
      </c>
      <c r="I17" s="33">
        <v>44392.47916666667</v>
      </c>
      <c r="J17" s="10" t="s">
        <v>43</v>
      </c>
      <c r="K17" s="10" t="s">
        <v>34</v>
      </c>
      <c r="N17" s="10" t="s">
        <v>296</v>
      </c>
      <c r="O17" s="18" t="s">
        <v>3406</v>
      </c>
      <c r="P17" s="10" t="s">
        <v>35</v>
      </c>
      <c r="R17" s="10" t="s">
        <v>35</v>
      </c>
      <c r="T17" s="10" t="s">
        <v>296</v>
      </c>
      <c r="U17" s="10">
        <v>1.0</v>
      </c>
      <c r="V17" s="27"/>
      <c r="W17" s="13" t="s">
        <v>3407</v>
      </c>
      <c r="X17" s="10" t="s">
        <v>37</v>
      </c>
      <c r="Y17" s="10" t="s">
        <v>0</v>
      </c>
    </row>
    <row r="18">
      <c r="A18" s="10" t="s">
        <v>3408</v>
      </c>
      <c r="B18" s="11">
        <v>44392.87102824074</v>
      </c>
      <c r="C18" s="10" t="s">
        <v>1583</v>
      </c>
      <c r="D18" s="10" t="s">
        <v>505</v>
      </c>
      <c r="E18" s="10" t="s">
        <v>2105</v>
      </c>
      <c r="F18" s="10" t="s">
        <v>3409</v>
      </c>
      <c r="G18" s="10" t="s">
        <v>3410</v>
      </c>
      <c r="H18" s="11">
        <v>44397.75</v>
      </c>
      <c r="I18" s="11">
        <v>44397.83333333333</v>
      </c>
      <c r="J18" s="10" t="s">
        <v>43</v>
      </c>
      <c r="K18" s="10" t="s">
        <v>34</v>
      </c>
      <c r="N18" s="10" t="s">
        <v>35</v>
      </c>
      <c r="V18" s="9"/>
      <c r="W18" s="13"/>
      <c r="X18" s="10" t="s">
        <v>37</v>
      </c>
      <c r="Y18" s="10" t="s">
        <v>0</v>
      </c>
    </row>
    <row r="19">
      <c r="A19" s="10" t="s">
        <v>3411</v>
      </c>
      <c r="B19" s="11">
        <v>44377.721479432876</v>
      </c>
      <c r="C19" s="10" t="s">
        <v>160</v>
      </c>
      <c r="D19" s="10" t="s">
        <v>161</v>
      </c>
      <c r="E19" s="10" t="s">
        <v>3318</v>
      </c>
      <c r="F19" s="10" t="s">
        <v>3412</v>
      </c>
      <c r="G19" s="10" t="s">
        <v>3413</v>
      </c>
      <c r="H19" s="33">
        <v>44405.39583333333</v>
      </c>
      <c r="I19" s="33">
        <v>44405.47916666667</v>
      </c>
      <c r="J19" s="10" t="s">
        <v>43</v>
      </c>
      <c r="K19" s="10" t="s">
        <v>34</v>
      </c>
      <c r="N19" s="10" t="s">
        <v>296</v>
      </c>
      <c r="O19" s="18" t="s">
        <v>3414</v>
      </c>
      <c r="P19" s="10" t="s">
        <v>35</v>
      </c>
      <c r="R19" s="10" t="s">
        <v>35</v>
      </c>
      <c r="T19" s="10" t="s">
        <v>296</v>
      </c>
      <c r="U19" s="10">
        <v>1.0</v>
      </c>
      <c r="V19" s="27"/>
      <c r="W19" s="13"/>
      <c r="X19" s="10" t="s">
        <v>37</v>
      </c>
      <c r="Y19" s="10" t="s">
        <v>0</v>
      </c>
    </row>
    <row r="20">
      <c r="A20" s="10" t="s">
        <v>3415</v>
      </c>
      <c r="B20" s="11">
        <v>44397.638392002315</v>
      </c>
      <c r="C20" s="10" t="s">
        <v>186</v>
      </c>
      <c r="D20" s="10" t="s">
        <v>187</v>
      </c>
      <c r="E20" s="10" t="s">
        <v>188</v>
      </c>
      <c r="F20" s="10" t="s">
        <v>3416</v>
      </c>
      <c r="G20" s="10" t="s">
        <v>3417</v>
      </c>
      <c r="H20" s="11">
        <v>44406.375</v>
      </c>
      <c r="I20" s="11">
        <v>44408.5</v>
      </c>
      <c r="J20" s="10" t="s">
        <v>236</v>
      </c>
      <c r="K20" s="10" t="s">
        <v>34</v>
      </c>
      <c r="N20" s="10" t="s">
        <v>296</v>
      </c>
      <c r="O20" s="18" t="s">
        <v>3418</v>
      </c>
      <c r="P20" s="10" t="s">
        <v>35</v>
      </c>
      <c r="R20" s="10" t="s">
        <v>296</v>
      </c>
      <c r="S20" s="10">
        <v>10.0</v>
      </c>
      <c r="T20" s="10" t="s">
        <v>296</v>
      </c>
      <c r="U20" s="10">
        <v>8.0</v>
      </c>
      <c r="V20" s="27"/>
      <c r="W20" s="13" t="s">
        <v>3419</v>
      </c>
      <c r="X20" s="10" t="s">
        <v>37</v>
      </c>
      <c r="Y20" s="10" t="s">
        <v>0</v>
      </c>
    </row>
    <row r="21">
      <c r="A21" s="10" t="s">
        <v>3420</v>
      </c>
      <c r="B21" s="11">
        <v>44397.64018236111</v>
      </c>
      <c r="C21" s="10" t="s">
        <v>186</v>
      </c>
      <c r="D21" s="10" t="s">
        <v>187</v>
      </c>
      <c r="E21" s="10" t="s">
        <v>188</v>
      </c>
      <c r="F21" s="10" t="s">
        <v>3416</v>
      </c>
      <c r="G21" s="10" t="s">
        <v>3421</v>
      </c>
      <c r="H21" s="11">
        <v>44406.375</v>
      </c>
      <c r="I21" s="11">
        <v>44408.5</v>
      </c>
      <c r="J21" s="10" t="s">
        <v>236</v>
      </c>
      <c r="K21" s="10" t="s">
        <v>34</v>
      </c>
      <c r="N21" s="10" t="s">
        <v>296</v>
      </c>
      <c r="O21" s="18" t="s">
        <v>3422</v>
      </c>
      <c r="P21" s="10" t="s">
        <v>35</v>
      </c>
      <c r="R21" s="10" t="s">
        <v>296</v>
      </c>
      <c r="S21" s="10">
        <v>10.0</v>
      </c>
      <c r="T21" s="10" t="s">
        <v>296</v>
      </c>
      <c r="U21" s="10">
        <v>8.0</v>
      </c>
      <c r="V21" s="27"/>
      <c r="W21" s="13"/>
      <c r="X21" s="10" t="s">
        <v>37</v>
      </c>
      <c r="Y21" s="10" t="s">
        <v>0</v>
      </c>
    </row>
    <row r="22">
      <c r="A22" s="10" t="s">
        <v>3423</v>
      </c>
      <c r="B22" s="11">
        <v>44411.94047486111</v>
      </c>
      <c r="C22" s="10" t="s">
        <v>1583</v>
      </c>
      <c r="D22" s="10" t="s">
        <v>505</v>
      </c>
      <c r="E22" s="10" t="s">
        <v>2105</v>
      </c>
      <c r="F22" s="10" t="s">
        <v>3424</v>
      </c>
      <c r="G22" s="10" t="s">
        <v>3425</v>
      </c>
      <c r="H22" s="11">
        <v>44414.79166666667</v>
      </c>
      <c r="I22" s="11">
        <v>44414.875</v>
      </c>
      <c r="J22" s="10" t="s">
        <v>43</v>
      </c>
      <c r="K22" s="10" t="s">
        <v>34</v>
      </c>
      <c r="N22" s="10" t="s">
        <v>296</v>
      </c>
      <c r="O22" s="18" t="s">
        <v>3426</v>
      </c>
      <c r="P22" s="10" t="s">
        <v>296</v>
      </c>
      <c r="Q22" s="10">
        <v>1.0</v>
      </c>
      <c r="R22" s="10" t="s">
        <v>35</v>
      </c>
      <c r="T22" s="10" t="s">
        <v>35</v>
      </c>
      <c r="V22" s="14" t="s">
        <v>3427</v>
      </c>
      <c r="W22" s="15"/>
      <c r="X22" s="10" t="s">
        <v>37</v>
      </c>
      <c r="Y22" s="10" t="s">
        <v>0</v>
      </c>
    </row>
    <row r="23">
      <c r="A23" s="10" t="s">
        <v>3428</v>
      </c>
      <c r="B23" s="11">
        <v>44408.53459365741</v>
      </c>
      <c r="C23" s="10" t="s">
        <v>347</v>
      </c>
      <c r="D23" s="10" t="s">
        <v>348</v>
      </c>
      <c r="E23" s="10" t="s">
        <v>3429</v>
      </c>
      <c r="F23" s="10" t="s">
        <v>3430</v>
      </c>
      <c r="G23" s="10" t="s">
        <v>3431</v>
      </c>
      <c r="H23" s="11">
        <v>44401.4375</v>
      </c>
      <c r="I23" s="11">
        <v>44401.52083333333</v>
      </c>
      <c r="J23" s="10" t="s">
        <v>128</v>
      </c>
      <c r="K23" s="10" t="s">
        <v>34</v>
      </c>
      <c r="N23" s="10" t="s">
        <v>35</v>
      </c>
      <c r="V23" s="9"/>
      <c r="W23" s="13"/>
      <c r="X23" s="10" t="s">
        <v>37</v>
      </c>
      <c r="Y23" s="10" t="s">
        <v>0</v>
      </c>
    </row>
    <row r="24">
      <c r="A24" s="10" t="s">
        <v>3432</v>
      </c>
      <c r="B24" s="11">
        <v>44408.53799202546</v>
      </c>
      <c r="C24" s="10" t="s">
        <v>347</v>
      </c>
      <c r="D24" s="10" t="s">
        <v>348</v>
      </c>
      <c r="E24" s="10" t="s">
        <v>3429</v>
      </c>
      <c r="F24" s="10" t="s">
        <v>3433</v>
      </c>
      <c r="G24" s="10" t="s">
        <v>3434</v>
      </c>
      <c r="H24" s="11">
        <v>44408.45833333333</v>
      </c>
      <c r="I24" s="11">
        <v>44408.54166666667</v>
      </c>
      <c r="J24" s="10" t="s">
        <v>128</v>
      </c>
      <c r="K24" s="10" t="s">
        <v>34</v>
      </c>
      <c r="N24" s="10" t="s">
        <v>35</v>
      </c>
      <c r="V24" s="9"/>
      <c r="W24" s="13"/>
      <c r="X24" s="10" t="s">
        <v>37</v>
      </c>
      <c r="Y24" s="10" t="s">
        <v>0</v>
      </c>
    </row>
    <row r="25">
      <c r="A25" s="10" t="s">
        <v>3435</v>
      </c>
      <c r="B25" s="11">
        <v>44408.8371743287</v>
      </c>
      <c r="C25" s="10" t="s">
        <v>137</v>
      </c>
      <c r="D25" s="10" t="s">
        <v>138</v>
      </c>
      <c r="E25" s="10" t="s">
        <v>3299</v>
      </c>
      <c r="F25" s="10" t="s">
        <v>921</v>
      </c>
      <c r="G25" s="10" t="s">
        <v>3436</v>
      </c>
      <c r="H25" s="11">
        <v>44414.58333333333</v>
      </c>
      <c r="I25" s="28">
        <v>44414.66666666667</v>
      </c>
      <c r="J25" s="10" t="s">
        <v>128</v>
      </c>
      <c r="K25" s="10" t="s">
        <v>34</v>
      </c>
      <c r="N25" s="10" t="s">
        <v>35</v>
      </c>
      <c r="V25" s="9"/>
      <c r="W25" s="13"/>
      <c r="X25" s="10" t="s">
        <v>37</v>
      </c>
      <c r="Y25" s="10" t="s">
        <v>0</v>
      </c>
    </row>
    <row r="26">
      <c r="A26" s="10" t="s">
        <v>3437</v>
      </c>
      <c r="B26" s="11">
        <v>44408.8379891088</v>
      </c>
      <c r="C26" s="10" t="s">
        <v>137</v>
      </c>
      <c r="D26" s="10" t="s">
        <v>138</v>
      </c>
      <c r="E26" s="10" t="s">
        <v>3299</v>
      </c>
      <c r="F26" s="10" t="s">
        <v>921</v>
      </c>
      <c r="G26" s="10" t="s">
        <v>3438</v>
      </c>
      <c r="H26" s="11">
        <v>44421.58333333333</v>
      </c>
      <c r="I26" s="11">
        <v>44421.66666666667</v>
      </c>
      <c r="J26" s="10" t="s">
        <v>128</v>
      </c>
      <c r="K26" s="10" t="s">
        <v>34</v>
      </c>
      <c r="N26" s="10" t="s">
        <v>35</v>
      </c>
      <c r="V26" s="9"/>
      <c r="W26" s="13"/>
      <c r="X26" s="10" t="s">
        <v>37</v>
      </c>
      <c r="Y26" s="10" t="s">
        <v>0</v>
      </c>
    </row>
    <row r="27">
      <c r="A27" s="10" t="s">
        <v>3439</v>
      </c>
      <c r="B27" s="11">
        <v>44408.83865090278</v>
      </c>
      <c r="C27" s="10" t="s">
        <v>137</v>
      </c>
      <c r="D27" s="10" t="s">
        <v>138</v>
      </c>
      <c r="E27" s="10" t="s">
        <v>3299</v>
      </c>
      <c r="F27" s="10" t="s">
        <v>921</v>
      </c>
      <c r="G27" s="10" t="s">
        <v>3440</v>
      </c>
      <c r="H27" s="11">
        <v>44428.58333333333</v>
      </c>
      <c r="I27" s="11">
        <v>44428.66666666667</v>
      </c>
      <c r="J27" s="10" t="s">
        <v>128</v>
      </c>
      <c r="K27" s="10" t="s">
        <v>34</v>
      </c>
      <c r="N27" s="10" t="s">
        <v>35</v>
      </c>
      <c r="V27" s="9"/>
      <c r="W27" s="13"/>
      <c r="X27" s="10" t="s">
        <v>37</v>
      </c>
      <c r="Y27" s="10" t="s">
        <v>0</v>
      </c>
    </row>
    <row r="28">
      <c r="A28" s="10" t="s">
        <v>3441</v>
      </c>
      <c r="B28" s="11">
        <v>44408.83909259259</v>
      </c>
      <c r="C28" s="10" t="s">
        <v>137</v>
      </c>
      <c r="D28" s="10" t="s">
        <v>138</v>
      </c>
      <c r="E28" s="10" t="s">
        <v>3299</v>
      </c>
      <c r="F28" s="10" t="s">
        <v>921</v>
      </c>
      <c r="G28" s="10" t="s">
        <v>3442</v>
      </c>
      <c r="H28" s="11">
        <v>44435.58333333333</v>
      </c>
      <c r="I28" s="11">
        <v>44435.66666666667</v>
      </c>
      <c r="J28" s="10" t="s">
        <v>128</v>
      </c>
      <c r="K28" s="10" t="s">
        <v>34</v>
      </c>
      <c r="N28" s="10" t="s">
        <v>35</v>
      </c>
      <c r="V28" s="9"/>
      <c r="W28" s="13"/>
      <c r="X28" s="10" t="s">
        <v>37</v>
      </c>
      <c r="Y28" s="10" t="s">
        <v>0</v>
      </c>
    </row>
    <row r="29">
      <c r="A29" s="10" t="s">
        <v>3443</v>
      </c>
      <c r="B29" s="11">
        <v>44428.657104375</v>
      </c>
      <c r="C29" s="10" t="s">
        <v>347</v>
      </c>
      <c r="D29" s="10" t="s">
        <v>348</v>
      </c>
      <c r="E29" s="10" t="s">
        <v>3429</v>
      </c>
      <c r="F29" s="10" t="s">
        <v>3444</v>
      </c>
      <c r="G29" s="10" t="s">
        <v>3445</v>
      </c>
      <c r="H29" s="11">
        <v>44436.4375</v>
      </c>
      <c r="I29" s="11">
        <v>44436.52083333333</v>
      </c>
      <c r="J29" s="10" t="s">
        <v>128</v>
      </c>
      <c r="K29" s="10" t="s">
        <v>34</v>
      </c>
      <c r="N29" s="10" t="s">
        <v>35</v>
      </c>
      <c r="V29" s="14" t="s">
        <v>3446</v>
      </c>
      <c r="W29" s="15"/>
      <c r="X29" s="10" t="s">
        <v>37</v>
      </c>
      <c r="Y29" s="10" t="s">
        <v>0</v>
      </c>
    </row>
    <row r="30">
      <c r="A30" s="10" t="s">
        <v>3447</v>
      </c>
      <c r="B30" s="11">
        <v>44432.638168564816</v>
      </c>
      <c r="C30" s="10" t="s">
        <v>610</v>
      </c>
      <c r="D30" s="10" t="s">
        <v>611</v>
      </c>
      <c r="E30" s="34" t="s">
        <v>3448</v>
      </c>
      <c r="F30" s="10" t="s">
        <v>2663</v>
      </c>
      <c r="G30" s="10" t="s">
        <v>3449</v>
      </c>
      <c r="H30" s="11">
        <v>44436.4375</v>
      </c>
      <c r="I30" s="11">
        <v>44436.5</v>
      </c>
      <c r="J30" s="10" t="s">
        <v>128</v>
      </c>
      <c r="K30" s="10" t="s">
        <v>34</v>
      </c>
      <c r="N30" s="10" t="s">
        <v>35</v>
      </c>
      <c r="V30" s="35" t="s">
        <v>3450</v>
      </c>
      <c r="W30" s="15"/>
      <c r="X30" s="10" t="s">
        <v>37</v>
      </c>
      <c r="Y30" s="10" t="s">
        <v>0</v>
      </c>
    </row>
    <row r="31">
      <c r="A31" s="10" t="s">
        <v>3451</v>
      </c>
      <c r="B31" s="11">
        <v>44427.62777518519</v>
      </c>
      <c r="C31" s="10" t="s">
        <v>374</v>
      </c>
      <c r="D31" s="10" t="s">
        <v>375</v>
      </c>
      <c r="E31" s="10" t="s">
        <v>3452</v>
      </c>
      <c r="F31" s="10" t="s">
        <v>797</v>
      </c>
      <c r="G31" s="10" t="s">
        <v>3453</v>
      </c>
      <c r="H31" s="11">
        <v>44436.60416666667</v>
      </c>
      <c r="I31" s="11">
        <v>44436.66666666667</v>
      </c>
      <c r="J31" s="10" t="s">
        <v>128</v>
      </c>
      <c r="K31" s="10" t="s">
        <v>34</v>
      </c>
      <c r="N31" s="10" t="s">
        <v>35</v>
      </c>
      <c r="V31" s="35" t="s">
        <v>3454</v>
      </c>
      <c r="W31" s="15"/>
      <c r="X31" s="10" t="s">
        <v>37</v>
      </c>
      <c r="Y31" s="10" t="s">
        <v>0</v>
      </c>
    </row>
    <row r="32">
      <c r="A32" s="10" t="s">
        <v>3455</v>
      </c>
      <c r="B32" s="11">
        <v>44433.47214353009</v>
      </c>
      <c r="C32" s="10" t="s">
        <v>581</v>
      </c>
      <c r="D32" s="10" t="s">
        <v>220</v>
      </c>
      <c r="E32" s="10" t="s">
        <v>3456</v>
      </c>
      <c r="F32" s="10" t="s">
        <v>3457</v>
      </c>
      <c r="G32" s="10" t="s">
        <v>3458</v>
      </c>
      <c r="H32" s="11">
        <v>44436.66666666667</v>
      </c>
      <c r="I32" s="11">
        <v>44436.70833333333</v>
      </c>
      <c r="J32" s="10" t="s">
        <v>128</v>
      </c>
      <c r="K32" s="10" t="s">
        <v>34</v>
      </c>
      <c r="N32" s="10" t="s">
        <v>35</v>
      </c>
      <c r="V32" s="14" t="s">
        <v>3459</v>
      </c>
      <c r="W32" s="15"/>
      <c r="X32" s="10" t="s">
        <v>37</v>
      </c>
      <c r="Y32" s="10" t="s">
        <v>0</v>
      </c>
    </row>
    <row r="33">
      <c r="A33" s="10" t="s">
        <v>3460</v>
      </c>
      <c r="B33" s="11">
        <v>44434.608019293984</v>
      </c>
      <c r="C33" s="10" t="s">
        <v>3304</v>
      </c>
      <c r="D33" s="10" t="s">
        <v>695</v>
      </c>
      <c r="E33" s="10" t="s">
        <v>3461</v>
      </c>
      <c r="F33" s="10" t="s">
        <v>3462</v>
      </c>
      <c r="G33" s="10" t="s">
        <v>3463</v>
      </c>
      <c r="H33" s="11">
        <v>44437.5625</v>
      </c>
      <c r="I33" s="11">
        <v>44437.99930555555</v>
      </c>
      <c r="J33" s="10" t="s">
        <v>73</v>
      </c>
      <c r="K33" s="10" t="s">
        <v>34</v>
      </c>
      <c r="N33" s="10" t="s">
        <v>35</v>
      </c>
      <c r="V33" s="14" t="s">
        <v>3464</v>
      </c>
      <c r="W33" s="15"/>
      <c r="X33" s="10" t="s">
        <v>37</v>
      </c>
      <c r="Y33" s="10" t="s">
        <v>0</v>
      </c>
    </row>
    <row r="34">
      <c r="A34" s="10" t="s">
        <v>3465</v>
      </c>
      <c r="B34" s="11">
        <v>44434.458352789356</v>
      </c>
      <c r="C34" s="10" t="s">
        <v>1035</v>
      </c>
      <c r="D34" s="10" t="s">
        <v>1036</v>
      </c>
      <c r="E34" s="10" t="s">
        <v>3466</v>
      </c>
      <c r="F34" s="10" t="s">
        <v>3467</v>
      </c>
      <c r="G34" s="10" t="s">
        <v>3468</v>
      </c>
      <c r="H34" s="11">
        <v>44437.6875</v>
      </c>
      <c r="I34" s="11">
        <v>44437.72916666667</v>
      </c>
      <c r="J34" s="10" t="s">
        <v>128</v>
      </c>
      <c r="K34" s="10" t="s">
        <v>34</v>
      </c>
      <c r="N34" s="10" t="s">
        <v>35</v>
      </c>
      <c r="V34" s="14" t="s">
        <v>3469</v>
      </c>
      <c r="W34" s="15"/>
      <c r="X34" s="10" t="s">
        <v>37</v>
      </c>
      <c r="Y34" s="10" t="s">
        <v>0</v>
      </c>
    </row>
    <row r="35">
      <c r="A35" s="10" t="s">
        <v>3470</v>
      </c>
      <c r="B35" s="11">
        <v>44435.38752289352</v>
      </c>
      <c r="C35" s="10" t="s">
        <v>181</v>
      </c>
      <c r="D35" s="10" t="s">
        <v>69</v>
      </c>
      <c r="E35" s="10" t="s">
        <v>3471</v>
      </c>
      <c r="F35" s="10" t="s">
        <v>3472</v>
      </c>
      <c r="G35" s="10" t="s">
        <v>3473</v>
      </c>
      <c r="H35" s="36">
        <v>44438.47916666667</v>
      </c>
      <c r="I35" s="11">
        <v>44438.52083333333</v>
      </c>
      <c r="J35" s="10" t="s">
        <v>128</v>
      </c>
      <c r="K35" s="10" t="s">
        <v>34</v>
      </c>
      <c r="N35" s="10" t="s">
        <v>35</v>
      </c>
      <c r="V35" s="14" t="s">
        <v>3474</v>
      </c>
      <c r="W35" s="15"/>
      <c r="X35" s="10" t="s">
        <v>37</v>
      </c>
      <c r="Y35" s="10" t="s">
        <v>0</v>
      </c>
    </row>
    <row r="36">
      <c r="A36" s="10" t="s">
        <v>3475</v>
      </c>
      <c r="B36" s="11">
        <v>44435.38599834491</v>
      </c>
      <c r="C36" s="10" t="s">
        <v>181</v>
      </c>
      <c r="D36" s="10" t="s">
        <v>69</v>
      </c>
      <c r="E36" s="10" t="s">
        <v>3476</v>
      </c>
      <c r="F36" s="10" t="s">
        <v>3477</v>
      </c>
      <c r="G36" s="10" t="s">
        <v>3478</v>
      </c>
      <c r="H36" s="36">
        <v>44438.54166666667</v>
      </c>
      <c r="I36" s="11">
        <v>44438.58333333333</v>
      </c>
      <c r="J36" s="10" t="s">
        <v>128</v>
      </c>
      <c r="K36" s="10" t="s">
        <v>34</v>
      </c>
      <c r="N36" s="10" t="s">
        <v>35</v>
      </c>
      <c r="V36" s="14" t="s">
        <v>3479</v>
      </c>
      <c r="W36" s="15"/>
      <c r="X36" s="10" t="s">
        <v>37</v>
      </c>
      <c r="Y36" s="10" t="s">
        <v>0</v>
      </c>
    </row>
    <row r="37">
      <c r="A37" s="10" t="s">
        <v>3480</v>
      </c>
      <c r="B37" s="11">
        <v>44434.61306510417</v>
      </c>
      <c r="C37" s="10" t="s">
        <v>3304</v>
      </c>
      <c r="D37" s="10" t="s">
        <v>695</v>
      </c>
      <c r="E37" s="10" t="s">
        <v>3305</v>
      </c>
      <c r="F37" s="10" t="s">
        <v>3481</v>
      </c>
      <c r="G37" s="10" t="s">
        <v>3482</v>
      </c>
      <c r="H37" s="36">
        <v>44438.5625</v>
      </c>
      <c r="I37" s="11">
        <v>44438.99930555555</v>
      </c>
      <c r="J37" s="10" t="s">
        <v>73</v>
      </c>
      <c r="K37" s="10" t="s">
        <v>34</v>
      </c>
      <c r="N37" s="10" t="s">
        <v>35</v>
      </c>
      <c r="V37" s="14" t="s">
        <v>3464</v>
      </c>
      <c r="W37" s="15"/>
      <c r="X37" s="10" t="s">
        <v>37</v>
      </c>
      <c r="Y37" s="10" t="s">
        <v>0</v>
      </c>
    </row>
    <row r="38">
      <c r="A38" s="10" t="s">
        <v>3483</v>
      </c>
      <c r="B38" s="11">
        <v>44427.6412694676</v>
      </c>
      <c r="C38" s="10" t="s">
        <v>374</v>
      </c>
      <c r="D38" s="10" t="s">
        <v>375</v>
      </c>
      <c r="E38" s="10" t="s">
        <v>3452</v>
      </c>
      <c r="F38" s="10" t="s">
        <v>3484</v>
      </c>
      <c r="G38" s="10" t="s">
        <v>3485</v>
      </c>
      <c r="H38" s="36">
        <v>44438.60416666667</v>
      </c>
      <c r="I38" s="11">
        <v>44442.79166666667</v>
      </c>
      <c r="J38" s="10" t="s">
        <v>73</v>
      </c>
      <c r="K38" s="10" t="s">
        <v>34</v>
      </c>
      <c r="N38" s="10" t="s">
        <v>35</v>
      </c>
      <c r="V38" s="14" t="s">
        <v>3486</v>
      </c>
      <c r="W38" s="15"/>
      <c r="X38" s="10" t="s">
        <v>37</v>
      </c>
      <c r="Y38" s="10" t="s">
        <v>0</v>
      </c>
    </row>
    <row r="39">
      <c r="A39" s="10" t="s">
        <v>3487</v>
      </c>
      <c r="B39" s="11">
        <v>44435.37446859953</v>
      </c>
      <c r="C39" s="10" t="s">
        <v>181</v>
      </c>
      <c r="D39" s="10" t="s">
        <v>69</v>
      </c>
      <c r="E39" s="10" t="s">
        <v>1179</v>
      </c>
      <c r="F39" s="10" t="s">
        <v>3488</v>
      </c>
      <c r="G39" s="10" t="s">
        <v>3489</v>
      </c>
      <c r="H39" s="36">
        <v>44438.60416666667</v>
      </c>
      <c r="I39" s="11">
        <v>44438.6875</v>
      </c>
      <c r="J39" s="10" t="s">
        <v>128</v>
      </c>
      <c r="K39" s="10" t="s">
        <v>34</v>
      </c>
      <c r="N39" s="10" t="s">
        <v>35</v>
      </c>
      <c r="V39" s="14" t="s">
        <v>3490</v>
      </c>
      <c r="W39" s="15"/>
      <c r="X39" s="10" t="s">
        <v>37</v>
      </c>
      <c r="Y39" s="10" t="s">
        <v>0</v>
      </c>
    </row>
    <row r="40">
      <c r="A40" s="10" t="s">
        <v>3491</v>
      </c>
      <c r="B40" s="11">
        <v>44417.38172464121</v>
      </c>
      <c r="C40" s="10" t="s">
        <v>453</v>
      </c>
      <c r="D40" s="10" t="s">
        <v>393</v>
      </c>
      <c r="E40" s="10" t="s">
        <v>3492</v>
      </c>
      <c r="F40" s="10" t="s">
        <v>3493</v>
      </c>
      <c r="G40" s="10" t="s">
        <v>3494</v>
      </c>
      <c r="H40" s="11">
        <v>44417.0</v>
      </c>
      <c r="I40" s="11">
        <v>44419.0</v>
      </c>
      <c r="J40" s="10" t="s">
        <v>172</v>
      </c>
      <c r="K40" s="10" t="s">
        <v>34</v>
      </c>
      <c r="N40" s="10" t="s">
        <v>35</v>
      </c>
      <c r="V40" s="14" t="s">
        <v>3495</v>
      </c>
      <c r="W40" s="15"/>
      <c r="X40" s="10" t="s">
        <v>37</v>
      </c>
      <c r="Y40" s="10" t="s">
        <v>0</v>
      </c>
    </row>
    <row r="41">
      <c r="A41" s="10" t="s">
        <v>3496</v>
      </c>
      <c r="B41" s="11">
        <v>44409.422982881944</v>
      </c>
      <c r="C41" s="10" t="s">
        <v>3497</v>
      </c>
      <c r="D41" s="10" t="s">
        <v>47</v>
      </c>
      <c r="E41" s="10" t="s">
        <v>233</v>
      </c>
      <c r="F41" s="10" t="s">
        <v>3498</v>
      </c>
      <c r="G41" s="10" t="s">
        <v>3499</v>
      </c>
      <c r="H41" s="11">
        <v>44365.33333333333</v>
      </c>
      <c r="I41" s="11">
        <v>44366.79166666667</v>
      </c>
      <c r="J41" s="10" t="s">
        <v>51</v>
      </c>
      <c r="K41" s="10" t="s">
        <v>34</v>
      </c>
      <c r="N41" s="10" t="s">
        <v>35</v>
      </c>
      <c r="V41" s="9"/>
      <c r="W41" s="13"/>
      <c r="X41" s="10" t="s">
        <v>37</v>
      </c>
      <c r="Y41" s="10" t="s">
        <v>0</v>
      </c>
    </row>
    <row r="42">
      <c r="A42" s="10" t="s">
        <v>3500</v>
      </c>
      <c r="B42" s="11">
        <v>44409.42602940972</v>
      </c>
      <c r="C42" s="10" t="s">
        <v>46</v>
      </c>
      <c r="D42" s="10" t="s">
        <v>47</v>
      </c>
      <c r="E42" s="10" t="s">
        <v>233</v>
      </c>
      <c r="F42" s="10" t="s">
        <v>3498</v>
      </c>
      <c r="G42" s="10" t="s">
        <v>3499</v>
      </c>
      <c r="H42" s="11">
        <v>44365.33333333333</v>
      </c>
      <c r="I42" s="11">
        <v>44366.79166666667</v>
      </c>
      <c r="J42" s="10" t="s">
        <v>51</v>
      </c>
      <c r="K42" s="10" t="s">
        <v>34</v>
      </c>
      <c r="N42" s="10" t="s">
        <v>35</v>
      </c>
      <c r="V42" s="9"/>
      <c r="W42" s="13"/>
      <c r="X42" s="10" t="s">
        <v>37</v>
      </c>
      <c r="Y42" s="10" t="s">
        <v>0</v>
      </c>
    </row>
    <row r="43">
      <c r="A43" s="10" t="s">
        <v>3501</v>
      </c>
      <c r="B43" s="11">
        <v>44411.49871332176</v>
      </c>
      <c r="C43" s="10" t="s">
        <v>209</v>
      </c>
      <c r="D43" s="10" t="s">
        <v>210</v>
      </c>
      <c r="E43" s="10" t="s">
        <v>3502</v>
      </c>
      <c r="F43" s="10" t="s">
        <v>2220</v>
      </c>
      <c r="G43" s="10" t="s">
        <v>3503</v>
      </c>
      <c r="H43" s="11">
        <v>44421.4375</v>
      </c>
      <c r="I43" s="11">
        <v>44421.52083333333</v>
      </c>
      <c r="J43" s="10" t="s">
        <v>128</v>
      </c>
      <c r="K43" s="10" t="s">
        <v>34</v>
      </c>
      <c r="N43" s="10" t="s">
        <v>35</v>
      </c>
      <c r="V43" s="35" t="s">
        <v>3504</v>
      </c>
      <c r="W43" s="15"/>
      <c r="X43" s="10" t="s">
        <v>37</v>
      </c>
      <c r="Y43" s="10" t="s">
        <v>0</v>
      </c>
    </row>
    <row r="44">
      <c r="A44" s="10" t="s">
        <v>3505</v>
      </c>
      <c r="B44" s="11">
        <v>44412.81751444444</v>
      </c>
      <c r="C44" s="10" t="s">
        <v>239</v>
      </c>
      <c r="D44" s="10" t="s">
        <v>240</v>
      </c>
      <c r="E44" s="10" t="s">
        <v>3506</v>
      </c>
      <c r="F44" s="10" t="s">
        <v>3507</v>
      </c>
      <c r="G44" s="10" t="s">
        <v>3508</v>
      </c>
      <c r="H44" s="11">
        <v>44418.10416666667</v>
      </c>
      <c r="I44" s="11">
        <v>44418.14583333333</v>
      </c>
      <c r="J44" s="10" t="s">
        <v>172</v>
      </c>
      <c r="K44" s="10" t="s">
        <v>34</v>
      </c>
      <c r="N44" s="10" t="s">
        <v>35</v>
      </c>
      <c r="V44" s="35" t="s">
        <v>3509</v>
      </c>
      <c r="W44" s="15"/>
      <c r="X44" s="10" t="s">
        <v>37</v>
      </c>
      <c r="Y44" s="10" t="s">
        <v>0</v>
      </c>
    </row>
    <row r="45">
      <c r="A45" s="10" t="s">
        <v>3510</v>
      </c>
      <c r="B45" s="11">
        <v>44414.680673124996</v>
      </c>
      <c r="C45" s="10" t="s">
        <v>1035</v>
      </c>
      <c r="D45" s="10" t="s">
        <v>1036</v>
      </c>
      <c r="E45" s="10" t="s">
        <v>3511</v>
      </c>
      <c r="F45" s="10" t="s">
        <v>367</v>
      </c>
      <c r="G45" s="10" t="s">
        <v>3512</v>
      </c>
      <c r="H45" s="11">
        <v>44418.29166666667</v>
      </c>
      <c r="I45" s="11">
        <v>44420.75</v>
      </c>
      <c r="J45" s="10" t="s">
        <v>172</v>
      </c>
      <c r="K45" s="10" t="s">
        <v>34</v>
      </c>
      <c r="N45" s="10" t="s">
        <v>35</v>
      </c>
      <c r="V45" s="14" t="s">
        <v>3469</v>
      </c>
      <c r="W45" s="15"/>
      <c r="X45" s="10" t="s">
        <v>37</v>
      </c>
      <c r="Y45" s="10" t="s">
        <v>0</v>
      </c>
    </row>
    <row r="46">
      <c r="A46" s="10" t="s">
        <v>3513</v>
      </c>
      <c r="B46" s="11">
        <v>44408.52961344908</v>
      </c>
      <c r="C46" s="10" t="s">
        <v>347</v>
      </c>
      <c r="D46" s="10" t="s">
        <v>348</v>
      </c>
      <c r="E46" s="10" t="s">
        <v>3429</v>
      </c>
      <c r="F46" s="10" t="s">
        <v>173</v>
      </c>
      <c r="G46" s="10" t="s">
        <v>3514</v>
      </c>
      <c r="H46" s="11">
        <v>44418.33333333333</v>
      </c>
      <c r="I46" s="11">
        <v>44420.75</v>
      </c>
      <c r="J46" s="10" t="s">
        <v>172</v>
      </c>
      <c r="K46" s="10" t="s">
        <v>34</v>
      </c>
      <c r="M46" s="10" t="s">
        <v>173</v>
      </c>
      <c r="N46" s="10" t="s">
        <v>35</v>
      </c>
      <c r="V46" s="9"/>
      <c r="W46" s="13"/>
      <c r="X46" s="10" t="s">
        <v>37</v>
      </c>
      <c r="Y46" s="10" t="s">
        <v>0</v>
      </c>
    </row>
    <row r="47">
      <c r="A47" s="10" t="s">
        <v>3515</v>
      </c>
      <c r="B47" s="11">
        <v>44411.94281462963</v>
      </c>
      <c r="C47" s="10" t="s">
        <v>1583</v>
      </c>
      <c r="D47" s="10" t="s">
        <v>505</v>
      </c>
      <c r="E47" s="10" t="s">
        <v>3516</v>
      </c>
      <c r="F47" s="10" t="s">
        <v>3517</v>
      </c>
      <c r="G47" s="10" t="s">
        <v>3518</v>
      </c>
      <c r="H47" s="11">
        <v>44417.5</v>
      </c>
      <c r="I47" s="11">
        <v>44418.5</v>
      </c>
      <c r="J47" s="10" t="s">
        <v>51</v>
      </c>
      <c r="K47" s="10" t="s">
        <v>34</v>
      </c>
      <c r="N47" s="10" t="s">
        <v>35</v>
      </c>
      <c r="V47" s="14" t="s">
        <v>3519</v>
      </c>
      <c r="W47" s="15"/>
      <c r="X47" s="10" t="s">
        <v>37</v>
      </c>
      <c r="Y47" s="10" t="s">
        <v>0</v>
      </c>
    </row>
    <row r="48">
      <c r="A48" s="10" t="s">
        <v>3520</v>
      </c>
      <c r="B48" s="11">
        <v>44411.926428506944</v>
      </c>
      <c r="C48" s="10" t="s">
        <v>3521</v>
      </c>
      <c r="D48" s="10" t="s">
        <v>69</v>
      </c>
      <c r="E48" s="10" t="s">
        <v>2979</v>
      </c>
      <c r="F48" s="10" t="s">
        <v>3522</v>
      </c>
      <c r="G48" s="10" t="s">
        <v>3523</v>
      </c>
      <c r="H48" s="11">
        <v>44418.33333333333</v>
      </c>
      <c r="I48" s="11">
        <v>44420.77083333333</v>
      </c>
      <c r="J48" s="10" t="s">
        <v>172</v>
      </c>
      <c r="K48" s="10" t="s">
        <v>34</v>
      </c>
      <c r="N48" s="10" t="s">
        <v>35</v>
      </c>
      <c r="V48" s="14" t="s">
        <v>3524</v>
      </c>
      <c r="W48" s="15"/>
      <c r="X48" s="10" t="s">
        <v>37</v>
      </c>
      <c r="Y48" s="10" t="s">
        <v>0</v>
      </c>
    </row>
    <row r="49">
      <c r="A49" s="10" t="s">
        <v>3525</v>
      </c>
      <c r="B49" s="11">
        <v>44412.79055077546</v>
      </c>
      <c r="C49" s="10" t="s">
        <v>96</v>
      </c>
      <c r="D49" s="10" t="s">
        <v>97</v>
      </c>
      <c r="E49" s="10" t="s">
        <v>3526</v>
      </c>
      <c r="F49" s="10" t="s">
        <v>3527</v>
      </c>
      <c r="G49" s="10" t="s">
        <v>3528</v>
      </c>
      <c r="H49" s="11">
        <v>44418.33333333333</v>
      </c>
      <c r="I49" s="11">
        <v>44420.77083333333</v>
      </c>
      <c r="J49" s="10" t="s">
        <v>172</v>
      </c>
      <c r="K49" s="10" t="s">
        <v>34</v>
      </c>
      <c r="N49" s="10" t="s">
        <v>35</v>
      </c>
      <c r="V49" s="14" t="s">
        <v>3529</v>
      </c>
      <c r="W49" s="15"/>
      <c r="X49" s="10" t="s">
        <v>37</v>
      </c>
      <c r="Y49" s="10" t="s">
        <v>0</v>
      </c>
    </row>
    <row r="50">
      <c r="A50" s="10" t="s">
        <v>3530</v>
      </c>
      <c r="B50" s="11">
        <v>44413.97481328704</v>
      </c>
      <c r="C50" s="10" t="s">
        <v>610</v>
      </c>
      <c r="D50" s="10" t="s">
        <v>611</v>
      </c>
      <c r="E50" s="10" t="s">
        <v>3531</v>
      </c>
      <c r="F50" s="10" t="s">
        <v>173</v>
      </c>
      <c r="G50" s="10" t="s">
        <v>3532</v>
      </c>
      <c r="H50" s="11">
        <v>44418.33333333333</v>
      </c>
      <c r="I50" s="11">
        <v>44420.77083333333</v>
      </c>
      <c r="J50" s="10" t="s">
        <v>172</v>
      </c>
      <c r="K50" s="10" t="s">
        <v>34</v>
      </c>
      <c r="N50" s="10" t="s">
        <v>35</v>
      </c>
      <c r="V50" s="14" t="s">
        <v>3533</v>
      </c>
      <c r="W50" s="15"/>
      <c r="X50" s="10" t="s">
        <v>37</v>
      </c>
      <c r="Y50" s="10" t="s">
        <v>0</v>
      </c>
    </row>
    <row r="51">
      <c r="A51" s="10" t="s">
        <v>3534</v>
      </c>
      <c r="B51" s="11">
        <v>44414.69534701389</v>
      </c>
      <c r="C51" s="10" t="s">
        <v>610</v>
      </c>
      <c r="D51" s="10" t="s">
        <v>611</v>
      </c>
      <c r="E51" s="10" t="s">
        <v>3535</v>
      </c>
      <c r="F51" s="10" t="s">
        <v>173</v>
      </c>
      <c r="G51" s="10" t="s">
        <v>3536</v>
      </c>
      <c r="H51" s="11">
        <v>44418.33333333333</v>
      </c>
      <c r="I51" s="11">
        <v>44420.77083333333</v>
      </c>
      <c r="J51" s="10" t="s">
        <v>172</v>
      </c>
      <c r="K51" s="10" t="s">
        <v>34</v>
      </c>
      <c r="N51" s="10" t="s">
        <v>35</v>
      </c>
      <c r="V51" s="14" t="s">
        <v>3533</v>
      </c>
      <c r="W51" s="15"/>
      <c r="X51" s="10" t="s">
        <v>37</v>
      </c>
      <c r="Y51" s="10" t="s">
        <v>0</v>
      </c>
    </row>
    <row r="52">
      <c r="A52" s="10" t="s">
        <v>3537</v>
      </c>
      <c r="B52" s="11">
        <v>44417.82398238426</v>
      </c>
      <c r="C52" s="10" t="s">
        <v>694</v>
      </c>
      <c r="D52" s="10" t="s">
        <v>695</v>
      </c>
      <c r="E52" s="10" t="s">
        <v>3538</v>
      </c>
      <c r="F52" s="10" t="s">
        <v>173</v>
      </c>
      <c r="G52" s="10" t="s">
        <v>3539</v>
      </c>
      <c r="H52" s="11">
        <v>44418.33333333333</v>
      </c>
      <c r="I52" s="11">
        <v>44420.77083333333</v>
      </c>
      <c r="J52" s="10" t="s">
        <v>172</v>
      </c>
      <c r="K52" s="10" t="s">
        <v>34</v>
      </c>
      <c r="N52" s="10" t="s">
        <v>35</v>
      </c>
      <c r="V52" s="14" t="s">
        <v>3540</v>
      </c>
      <c r="W52" s="15"/>
      <c r="X52" s="10" t="s">
        <v>37</v>
      </c>
      <c r="Y52" s="10" t="s">
        <v>0</v>
      </c>
    </row>
    <row r="53">
      <c r="A53" s="10" t="s">
        <v>3541</v>
      </c>
      <c r="B53" s="11">
        <v>44424.76672454861</v>
      </c>
      <c r="C53" s="10" t="s">
        <v>160</v>
      </c>
      <c r="D53" s="10" t="s">
        <v>161</v>
      </c>
      <c r="E53" s="10" t="s">
        <v>3542</v>
      </c>
      <c r="F53" s="10" t="s">
        <v>173</v>
      </c>
      <c r="G53" s="10" t="s">
        <v>3543</v>
      </c>
      <c r="H53" s="11">
        <v>44418.33333333333</v>
      </c>
      <c r="I53" s="11">
        <v>44420.77083333333</v>
      </c>
      <c r="J53" s="10" t="s">
        <v>172</v>
      </c>
      <c r="K53" s="10" t="s">
        <v>34</v>
      </c>
      <c r="N53" s="10" t="s">
        <v>35</v>
      </c>
      <c r="V53" s="14" t="s">
        <v>3544</v>
      </c>
      <c r="W53" s="15"/>
      <c r="X53" s="10" t="s">
        <v>37</v>
      </c>
      <c r="Y53" s="10" t="s">
        <v>0</v>
      </c>
    </row>
    <row r="54">
      <c r="A54" s="10" t="s">
        <v>3545</v>
      </c>
      <c r="B54" s="11">
        <v>44413.03331940972</v>
      </c>
      <c r="C54" s="10" t="s">
        <v>347</v>
      </c>
      <c r="D54" s="10" t="s">
        <v>348</v>
      </c>
      <c r="E54" s="10" t="s">
        <v>3546</v>
      </c>
      <c r="F54" s="10" t="s">
        <v>3547</v>
      </c>
      <c r="G54" s="10" t="s">
        <v>3548</v>
      </c>
      <c r="H54" s="11">
        <v>44421.10416666667</v>
      </c>
      <c r="I54" s="11">
        <v>44421.1875</v>
      </c>
      <c r="J54" s="10" t="s">
        <v>128</v>
      </c>
      <c r="K54" s="10" t="s">
        <v>34</v>
      </c>
      <c r="N54" s="10" t="s">
        <v>35</v>
      </c>
      <c r="V54" s="14" t="s">
        <v>3549</v>
      </c>
      <c r="W54" s="15"/>
      <c r="X54" s="10" t="s">
        <v>37</v>
      </c>
      <c r="Y54" s="10" t="s">
        <v>0</v>
      </c>
    </row>
    <row r="55">
      <c r="A55" s="10" t="s">
        <v>3550</v>
      </c>
      <c r="B55" s="11">
        <v>44413.45151059028</v>
      </c>
      <c r="C55" s="10" t="s">
        <v>3521</v>
      </c>
      <c r="D55" s="10" t="s">
        <v>69</v>
      </c>
      <c r="E55" s="10" t="s">
        <v>3551</v>
      </c>
      <c r="F55" s="10" t="s">
        <v>3552</v>
      </c>
      <c r="G55" s="10" t="s">
        <v>3553</v>
      </c>
      <c r="H55" s="11">
        <v>44410.72916666667</v>
      </c>
      <c r="I55" s="11">
        <v>44537.77083333333</v>
      </c>
      <c r="J55" s="10" t="s">
        <v>128</v>
      </c>
      <c r="K55" s="10" t="s">
        <v>34</v>
      </c>
      <c r="N55" s="10" t="s">
        <v>35</v>
      </c>
      <c r="V55" s="14" t="s">
        <v>3554</v>
      </c>
      <c r="W55" s="15"/>
      <c r="X55" s="10" t="s">
        <v>37</v>
      </c>
      <c r="Y55" s="10" t="s">
        <v>0</v>
      </c>
    </row>
    <row r="56">
      <c r="A56" s="10" t="s">
        <v>3555</v>
      </c>
      <c r="B56" s="11">
        <v>44412.84207349537</v>
      </c>
      <c r="C56" s="10" t="s">
        <v>239</v>
      </c>
      <c r="D56" s="10" t="s">
        <v>240</v>
      </c>
      <c r="E56" s="10" t="s">
        <v>3506</v>
      </c>
      <c r="F56" s="10" t="s">
        <v>3556</v>
      </c>
      <c r="G56" s="10" t="s">
        <v>3557</v>
      </c>
      <c r="H56" s="11">
        <v>44418.4375</v>
      </c>
      <c r="I56" s="11">
        <v>44418.47916666667</v>
      </c>
      <c r="J56" s="10" t="s">
        <v>172</v>
      </c>
      <c r="K56" s="10" t="s">
        <v>34</v>
      </c>
      <c r="N56" s="10" t="s">
        <v>35</v>
      </c>
      <c r="V56" s="14" t="s">
        <v>3558</v>
      </c>
      <c r="W56" s="15"/>
      <c r="X56" s="10" t="s">
        <v>37</v>
      </c>
      <c r="Y56" s="10" t="s">
        <v>0</v>
      </c>
    </row>
    <row r="57">
      <c r="A57" s="10" t="s">
        <v>3559</v>
      </c>
      <c r="B57" s="11">
        <v>44414.59617609954</v>
      </c>
      <c r="C57" s="10" t="s">
        <v>347</v>
      </c>
      <c r="D57" s="10" t="s">
        <v>348</v>
      </c>
      <c r="E57" s="10" t="s">
        <v>3429</v>
      </c>
      <c r="F57" s="10" t="s">
        <v>3560</v>
      </c>
      <c r="G57" s="10" t="s">
        <v>3561</v>
      </c>
      <c r="H57" s="11">
        <v>44421.6875</v>
      </c>
      <c r="I57" s="11">
        <v>44421.72916666667</v>
      </c>
      <c r="J57" s="10" t="s">
        <v>128</v>
      </c>
      <c r="K57" s="10" t="s">
        <v>34</v>
      </c>
      <c r="N57" s="10" t="s">
        <v>35</v>
      </c>
      <c r="V57" s="14" t="s">
        <v>3562</v>
      </c>
      <c r="W57" s="15"/>
      <c r="X57" s="10" t="s">
        <v>37</v>
      </c>
      <c r="Y57" s="10" t="s">
        <v>0</v>
      </c>
    </row>
    <row r="58">
      <c r="A58" s="10" t="s">
        <v>3563</v>
      </c>
      <c r="B58" s="11">
        <v>44414.59882223379</v>
      </c>
      <c r="C58" s="10" t="s">
        <v>347</v>
      </c>
      <c r="D58" s="10" t="s">
        <v>348</v>
      </c>
      <c r="E58" s="10" t="s">
        <v>3429</v>
      </c>
      <c r="F58" s="10" t="s">
        <v>3564</v>
      </c>
      <c r="G58" s="10" t="s">
        <v>3565</v>
      </c>
      <c r="H58" s="11">
        <v>44422.4375</v>
      </c>
      <c r="I58" s="11">
        <v>44422.52083333333</v>
      </c>
      <c r="J58" s="10" t="s">
        <v>128</v>
      </c>
      <c r="K58" s="10" t="s">
        <v>34</v>
      </c>
      <c r="N58" s="10" t="s">
        <v>35</v>
      </c>
      <c r="V58" s="14" t="s">
        <v>3562</v>
      </c>
      <c r="W58" s="15"/>
      <c r="X58" s="10" t="s">
        <v>37</v>
      </c>
      <c r="Y58" s="10" t="s">
        <v>0</v>
      </c>
    </row>
    <row r="59">
      <c r="A59" s="10" t="s">
        <v>3566</v>
      </c>
      <c r="B59" s="11">
        <v>44414.67390284722</v>
      </c>
      <c r="C59" s="10" t="s">
        <v>80</v>
      </c>
      <c r="D59" s="10" t="s">
        <v>81</v>
      </c>
      <c r="E59" s="10" t="s">
        <v>82</v>
      </c>
      <c r="F59" s="10" t="s">
        <v>3567</v>
      </c>
      <c r="G59" s="10" t="s">
        <v>3568</v>
      </c>
      <c r="H59" s="11">
        <v>44415.6875</v>
      </c>
      <c r="I59" s="11">
        <v>44415.72916666667</v>
      </c>
      <c r="J59" s="10" t="s">
        <v>128</v>
      </c>
      <c r="K59" s="10" t="s">
        <v>34</v>
      </c>
      <c r="N59" s="10" t="s">
        <v>35</v>
      </c>
      <c r="V59" s="14" t="s">
        <v>3569</v>
      </c>
      <c r="W59" s="15"/>
      <c r="X59" s="10" t="s">
        <v>37</v>
      </c>
      <c r="Y59" s="10" t="s">
        <v>0</v>
      </c>
    </row>
    <row r="60">
      <c r="A60" s="10" t="s">
        <v>3570</v>
      </c>
      <c r="B60" s="11">
        <v>44414.67690005787</v>
      </c>
      <c r="C60" s="10" t="s">
        <v>181</v>
      </c>
      <c r="D60" s="10" t="s">
        <v>69</v>
      </c>
      <c r="E60" s="10" t="s">
        <v>3551</v>
      </c>
      <c r="F60" s="10" t="s">
        <v>3571</v>
      </c>
      <c r="G60" s="10" t="s">
        <v>3572</v>
      </c>
      <c r="H60" s="11">
        <v>44417.72916666667</v>
      </c>
      <c r="I60" s="11">
        <v>44417.77083333333</v>
      </c>
      <c r="J60" s="10" t="s">
        <v>128</v>
      </c>
      <c r="K60" s="10" t="s">
        <v>34</v>
      </c>
      <c r="N60" s="10" t="s">
        <v>35</v>
      </c>
      <c r="V60" s="14" t="s">
        <v>3554</v>
      </c>
      <c r="W60" s="15"/>
      <c r="X60" s="10" t="s">
        <v>37</v>
      </c>
      <c r="Y60" s="10" t="s">
        <v>0</v>
      </c>
    </row>
    <row r="61">
      <c r="A61" s="10" t="s">
        <v>3573</v>
      </c>
      <c r="B61" s="11">
        <v>44414.678362060185</v>
      </c>
      <c r="C61" s="10" t="s">
        <v>181</v>
      </c>
      <c r="D61" s="10" t="s">
        <v>69</v>
      </c>
      <c r="E61" s="10" t="s">
        <v>3574</v>
      </c>
      <c r="F61" s="10" t="s">
        <v>3575</v>
      </c>
      <c r="G61" s="10" t="s">
        <v>3576</v>
      </c>
      <c r="H61" s="11">
        <v>44417.54166666667</v>
      </c>
      <c r="I61" s="11">
        <v>44417.58333333333</v>
      </c>
      <c r="J61" s="10" t="s">
        <v>128</v>
      </c>
      <c r="K61" s="10" t="s">
        <v>34</v>
      </c>
      <c r="N61" s="10" t="s">
        <v>35</v>
      </c>
      <c r="V61" s="14" t="s">
        <v>3577</v>
      </c>
      <c r="W61" s="15"/>
      <c r="X61" s="10" t="s">
        <v>37</v>
      </c>
      <c r="Y61" s="10" t="s">
        <v>0</v>
      </c>
    </row>
    <row r="62">
      <c r="A62" s="10" t="s">
        <v>3578</v>
      </c>
      <c r="B62" s="11">
        <v>44411.524088645834</v>
      </c>
      <c r="C62" s="10" t="s">
        <v>209</v>
      </c>
      <c r="D62" s="10" t="s">
        <v>210</v>
      </c>
      <c r="E62" s="10" t="s">
        <v>261</v>
      </c>
      <c r="F62" s="10" t="s">
        <v>3579</v>
      </c>
      <c r="G62" s="10" t="s">
        <v>3580</v>
      </c>
      <c r="H62" s="11">
        <v>44418.60416666667</v>
      </c>
      <c r="I62" s="11">
        <v>44418.6875</v>
      </c>
      <c r="J62" s="10" t="s">
        <v>43</v>
      </c>
      <c r="K62" s="10" t="s">
        <v>34</v>
      </c>
      <c r="N62" s="10" t="s">
        <v>296</v>
      </c>
      <c r="O62" s="18" t="s">
        <v>3581</v>
      </c>
      <c r="P62" s="10" t="s">
        <v>296</v>
      </c>
      <c r="Q62" s="10">
        <v>2.0</v>
      </c>
      <c r="R62" s="10" t="s">
        <v>35</v>
      </c>
      <c r="T62" s="10" t="s">
        <v>296</v>
      </c>
      <c r="U62" s="10">
        <v>1.0</v>
      </c>
      <c r="V62" s="14" t="s">
        <v>3582</v>
      </c>
      <c r="W62" s="15" t="s">
        <v>3583</v>
      </c>
      <c r="X62" s="10" t="s">
        <v>37</v>
      </c>
      <c r="Y62" s="10" t="s">
        <v>0</v>
      </c>
    </row>
    <row r="63">
      <c r="A63" s="10" t="s">
        <v>3584</v>
      </c>
      <c r="B63" s="11">
        <v>44414.704790625</v>
      </c>
      <c r="C63" s="10" t="s">
        <v>3585</v>
      </c>
      <c r="D63" s="10" t="s">
        <v>220</v>
      </c>
      <c r="E63" s="10" t="s">
        <v>3586</v>
      </c>
      <c r="F63" s="10" t="s">
        <v>3587</v>
      </c>
      <c r="G63" s="10" t="s">
        <v>3588</v>
      </c>
      <c r="H63" s="11">
        <v>44418.625</v>
      </c>
      <c r="I63" s="11">
        <v>44418.99930555555</v>
      </c>
      <c r="J63" s="10" t="s">
        <v>172</v>
      </c>
      <c r="K63" s="10" t="s">
        <v>34</v>
      </c>
      <c r="N63" s="10" t="s">
        <v>35</v>
      </c>
      <c r="V63" s="14" t="s">
        <v>3589</v>
      </c>
      <c r="W63" s="15"/>
      <c r="X63" s="10" t="s">
        <v>37</v>
      </c>
      <c r="Y63" s="10" t="s">
        <v>0</v>
      </c>
    </row>
    <row r="64">
      <c r="A64" s="10" t="s">
        <v>3590</v>
      </c>
      <c r="B64" s="11">
        <v>44414.68368400463</v>
      </c>
      <c r="C64" s="10" t="s">
        <v>181</v>
      </c>
      <c r="D64" s="10" t="s">
        <v>69</v>
      </c>
      <c r="E64" s="10" t="s">
        <v>1179</v>
      </c>
      <c r="F64" s="10" t="s">
        <v>3591</v>
      </c>
      <c r="G64" s="10" t="s">
        <v>3592</v>
      </c>
      <c r="H64" s="11">
        <v>44417.60416666667</v>
      </c>
      <c r="I64" s="11">
        <v>44417.6875</v>
      </c>
      <c r="J64" s="10" t="s">
        <v>128</v>
      </c>
      <c r="K64" s="10" t="s">
        <v>34</v>
      </c>
      <c r="N64" s="10" t="s">
        <v>35</v>
      </c>
      <c r="V64" s="14" t="s">
        <v>3490</v>
      </c>
      <c r="W64" s="15"/>
      <c r="X64" s="10" t="s">
        <v>37</v>
      </c>
      <c r="Y64" s="10" t="s">
        <v>0</v>
      </c>
    </row>
    <row r="65">
      <c r="A65" s="10" t="s">
        <v>3593</v>
      </c>
      <c r="B65" s="11">
        <v>44414.68499681713</v>
      </c>
      <c r="C65" s="10" t="s">
        <v>181</v>
      </c>
      <c r="D65" s="10" t="s">
        <v>69</v>
      </c>
      <c r="E65" s="10" t="s">
        <v>1179</v>
      </c>
      <c r="F65" s="10" t="s">
        <v>3594</v>
      </c>
      <c r="G65" s="10" t="s">
        <v>3595</v>
      </c>
      <c r="H65" s="11">
        <v>44422.60416666667</v>
      </c>
      <c r="I65" s="11">
        <v>44422.6875</v>
      </c>
      <c r="J65" s="10" t="s">
        <v>128</v>
      </c>
      <c r="K65" s="10" t="s">
        <v>34</v>
      </c>
      <c r="N65" s="10" t="s">
        <v>35</v>
      </c>
      <c r="V65" s="14" t="s">
        <v>3490</v>
      </c>
      <c r="W65" s="15"/>
      <c r="X65" s="10" t="s">
        <v>37</v>
      </c>
      <c r="Y65" s="10" t="s">
        <v>0</v>
      </c>
    </row>
    <row r="66">
      <c r="A66" s="10" t="s">
        <v>3596</v>
      </c>
      <c r="B66" s="11">
        <v>44412.81937506945</v>
      </c>
      <c r="C66" s="10" t="s">
        <v>239</v>
      </c>
      <c r="D66" s="10" t="s">
        <v>240</v>
      </c>
      <c r="E66" s="10" t="s">
        <v>3506</v>
      </c>
      <c r="F66" s="10" t="s">
        <v>3507</v>
      </c>
      <c r="G66" s="10" t="s">
        <v>3597</v>
      </c>
      <c r="H66" s="11">
        <v>44419.4375</v>
      </c>
      <c r="I66" s="11">
        <v>44419.47916666667</v>
      </c>
      <c r="J66" s="10" t="s">
        <v>172</v>
      </c>
      <c r="K66" s="10" t="s">
        <v>34</v>
      </c>
      <c r="N66" s="10" t="s">
        <v>35</v>
      </c>
      <c r="V66" s="35" t="s">
        <v>3598</v>
      </c>
      <c r="W66" s="15"/>
      <c r="X66" s="10" t="s">
        <v>37</v>
      </c>
      <c r="Y66" s="10" t="s">
        <v>0</v>
      </c>
    </row>
    <row r="67">
      <c r="A67" s="10" t="s">
        <v>3599</v>
      </c>
      <c r="B67" s="11">
        <v>44414.701534340275</v>
      </c>
      <c r="C67" s="10" t="s">
        <v>3585</v>
      </c>
      <c r="D67" s="10" t="s">
        <v>220</v>
      </c>
      <c r="E67" s="10" t="s">
        <v>3586</v>
      </c>
      <c r="F67" s="10" t="s">
        <v>3600</v>
      </c>
      <c r="G67" s="10" t="s">
        <v>3601</v>
      </c>
      <c r="H67" s="11">
        <v>44417.625</v>
      </c>
      <c r="I67" s="11">
        <v>44417.99930555555</v>
      </c>
      <c r="J67" s="10" t="s">
        <v>73</v>
      </c>
      <c r="K67" s="10" t="s">
        <v>34</v>
      </c>
      <c r="N67" s="10" t="s">
        <v>35</v>
      </c>
      <c r="V67" s="14" t="s">
        <v>3589</v>
      </c>
      <c r="W67" s="15"/>
      <c r="X67" s="10" t="s">
        <v>37</v>
      </c>
      <c r="Y67" s="10" t="s">
        <v>0</v>
      </c>
    </row>
    <row r="68">
      <c r="A68" s="10" t="s">
        <v>3602</v>
      </c>
      <c r="B68" s="11">
        <v>44414.70589142361</v>
      </c>
      <c r="C68" s="10" t="s">
        <v>3585</v>
      </c>
      <c r="D68" s="10" t="s">
        <v>220</v>
      </c>
      <c r="E68" s="10" t="s">
        <v>3586</v>
      </c>
      <c r="F68" s="10" t="s">
        <v>3603</v>
      </c>
      <c r="G68" s="10" t="s">
        <v>3604</v>
      </c>
      <c r="H68" s="11">
        <v>44419.54166666667</v>
      </c>
      <c r="I68" s="11">
        <v>44419.99930555555</v>
      </c>
      <c r="J68" s="10" t="s">
        <v>172</v>
      </c>
      <c r="K68" s="10" t="s">
        <v>34</v>
      </c>
      <c r="N68" s="10" t="s">
        <v>35</v>
      </c>
      <c r="V68" s="14" t="s">
        <v>3589</v>
      </c>
      <c r="W68" s="15"/>
      <c r="X68" s="10" t="s">
        <v>37</v>
      </c>
      <c r="Y68" s="10" t="s">
        <v>0</v>
      </c>
    </row>
    <row r="69">
      <c r="A69" s="10" t="s">
        <v>3605</v>
      </c>
      <c r="B69" s="11">
        <v>44414.70717878472</v>
      </c>
      <c r="C69" s="10" t="s">
        <v>3585</v>
      </c>
      <c r="D69" s="10" t="s">
        <v>220</v>
      </c>
      <c r="E69" s="10" t="s">
        <v>3606</v>
      </c>
      <c r="F69" s="10" t="s">
        <v>3607</v>
      </c>
      <c r="G69" s="10" t="s">
        <v>3608</v>
      </c>
      <c r="H69" s="11">
        <v>44419.58333333333</v>
      </c>
      <c r="I69" s="11">
        <v>44419.99930555555</v>
      </c>
      <c r="J69" s="10" t="s">
        <v>172</v>
      </c>
      <c r="K69" s="10" t="s">
        <v>34</v>
      </c>
      <c r="N69" s="10" t="s">
        <v>35</v>
      </c>
      <c r="V69" s="14" t="s">
        <v>3589</v>
      </c>
      <c r="W69" s="15"/>
      <c r="X69" s="10" t="s">
        <v>37</v>
      </c>
      <c r="Y69" s="10" t="s">
        <v>0</v>
      </c>
    </row>
    <row r="70">
      <c r="A70" s="10" t="s">
        <v>3609</v>
      </c>
      <c r="B70" s="11">
        <v>44414.708581747684</v>
      </c>
      <c r="C70" s="10" t="s">
        <v>3585</v>
      </c>
      <c r="D70" s="10" t="s">
        <v>220</v>
      </c>
      <c r="E70" s="10" t="s">
        <v>3586</v>
      </c>
      <c r="F70" s="10" t="s">
        <v>3610</v>
      </c>
      <c r="G70" s="10" t="s">
        <v>3611</v>
      </c>
      <c r="H70" s="11">
        <v>44419.66666666667</v>
      </c>
      <c r="I70" s="11">
        <v>44419.99930555555</v>
      </c>
      <c r="J70" s="10" t="s">
        <v>172</v>
      </c>
      <c r="K70" s="10" t="s">
        <v>34</v>
      </c>
      <c r="N70" s="10" t="s">
        <v>35</v>
      </c>
      <c r="V70" s="14" t="s">
        <v>3589</v>
      </c>
      <c r="W70" s="15"/>
      <c r="X70" s="10" t="s">
        <v>37</v>
      </c>
      <c r="Y70" s="10" t="s">
        <v>0</v>
      </c>
    </row>
    <row r="71">
      <c r="A71" s="10" t="s">
        <v>3612</v>
      </c>
      <c r="B71" s="11">
        <v>44417.76354979166</v>
      </c>
      <c r="C71" s="10" t="s">
        <v>247</v>
      </c>
      <c r="D71" s="10" t="s">
        <v>248</v>
      </c>
      <c r="E71" s="10" t="s">
        <v>3613</v>
      </c>
      <c r="F71" s="10" t="s">
        <v>3614</v>
      </c>
      <c r="G71" s="10" t="s">
        <v>3615</v>
      </c>
      <c r="H71" s="11">
        <v>44420.41666666667</v>
      </c>
      <c r="I71" s="11">
        <v>44420.45833333333</v>
      </c>
      <c r="J71" s="10" t="s">
        <v>43</v>
      </c>
      <c r="K71" s="10" t="s">
        <v>34</v>
      </c>
      <c r="N71" s="10" t="s">
        <v>296</v>
      </c>
      <c r="O71" s="18" t="s">
        <v>3616</v>
      </c>
      <c r="P71" s="10" t="s">
        <v>296</v>
      </c>
      <c r="Q71" s="10">
        <v>1.0</v>
      </c>
      <c r="R71" s="10" t="s">
        <v>35</v>
      </c>
      <c r="T71" s="10" t="s">
        <v>35</v>
      </c>
      <c r="V71" s="14" t="s">
        <v>3617</v>
      </c>
      <c r="W71" s="15"/>
      <c r="X71" s="10" t="s">
        <v>37</v>
      </c>
      <c r="Y71" s="10" t="s">
        <v>0</v>
      </c>
    </row>
    <row r="72">
      <c r="A72" s="10" t="s">
        <v>3618</v>
      </c>
      <c r="B72" s="11">
        <v>44412.82059179398</v>
      </c>
      <c r="C72" s="10" t="s">
        <v>239</v>
      </c>
      <c r="D72" s="10" t="s">
        <v>240</v>
      </c>
      <c r="E72" s="10" t="s">
        <v>3506</v>
      </c>
      <c r="F72" s="10" t="s">
        <v>3507</v>
      </c>
      <c r="G72" s="10" t="s">
        <v>3619</v>
      </c>
      <c r="H72" s="11">
        <v>44420.47916666667</v>
      </c>
      <c r="I72" s="11">
        <v>44420.52083333333</v>
      </c>
      <c r="J72" s="10" t="s">
        <v>172</v>
      </c>
      <c r="K72" s="10" t="s">
        <v>34</v>
      </c>
      <c r="N72" s="10" t="s">
        <v>35</v>
      </c>
      <c r="V72" s="14" t="s">
        <v>3558</v>
      </c>
      <c r="W72" s="15"/>
      <c r="X72" s="10" t="s">
        <v>37</v>
      </c>
      <c r="Y72" s="10" t="s">
        <v>0</v>
      </c>
    </row>
    <row r="73">
      <c r="A73" s="10" t="s">
        <v>3620</v>
      </c>
      <c r="B73" s="11">
        <v>44414.70967467593</v>
      </c>
      <c r="C73" s="10" t="s">
        <v>3585</v>
      </c>
      <c r="D73" s="10" t="s">
        <v>220</v>
      </c>
      <c r="E73" s="10" t="s">
        <v>3606</v>
      </c>
      <c r="F73" s="10" t="s">
        <v>3621</v>
      </c>
      <c r="G73" s="10" t="s">
        <v>3622</v>
      </c>
      <c r="H73" s="11">
        <v>44420.54166666667</v>
      </c>
      <c r="I73" s="11">
        <v>44420.99930555555</v>
      </c>
      <c r="J73" s="10" t="s">
        <v>172</v>
      </c>
      <c r="K73" s="10" t="s">
        <v>34</v>
      </c>
      <c r="N73" s="10" t="s">
        <v>35</v>
      </c>
      <c r="V73" s="14" t="s">
        <v>3589</v>
      </c>
      <c r="W73" s="15"/>
      <c r="X73" s="10" t="s">
        <v>37</v>
      </c>
      <c r="Y73" s="10" t="s">
        <v>0</v>
      </c>
    </row>
    <row r="74">
      <c r="A74" s="10" t="s">
        <v>3623</v>
      </c>
      <c r="B74" s="11">
        <v>44412.82546596065</v>
      </c>
      <c r="C74" s="10" t="s">
        <v>239</v>
      </c>
      <c r="D74" s="10" t="s">
        <v>240</v>
      </c>
      <c r="E74" s="10" t="s">
        <v>3506</v>
      </c>
      <c r="F74" s="10" t="s">
        <v>3624</v>
      </c>
      <c r="G74" s="10" t="s">
        <v>3625</v>
      </c>
      <c r="H74" s="11">
        <v>44420.60416666667</v>
      </c>
      <c r="I74" s="11">
        <v>44420.64583333333</v>
      </c>
      <c r="J74" s="10" t="s">
        <v>172</v>
      </c>
      <c r="K74" s="10" t="s">
        <v>34</v>
      </c>
      <c r="N74" s="10" t="s">
        <v>35</v>
      </c>
      <c r="V74" s="14" t="s">
        <v>3626</v>
      </c>
      <c r="W74" s="15"/>
      <c r="X74" s="10" t="s">
        <v>37</v>
      </c>
      <c r="Y74" s="10" t="s">
        <v>0</v>
      </c>
    </row>
    <row r="75">
      <c r="A75" s="10" t="s">
        <v>3627</v>
      </c>
      <c r="B75" s="11">
        <v>44415.65285663195</v>
      </c>
      <c r="C75" s="10" t="s">
        <v>160</v>
      </c>
      <c r="D75" s="10" t="s">
        <v>161</v>
      </c>
      <c r="E75" s="10" t="s">
        <v>947</v>
      </c>
      <c r="F75" s="10" t="s">
        <v>3628</v>
      </c>
      <c r="G75" s="10" t="s">
        <v>3629</v>
      </c>
      <c r="H75" s="11">
        <v>44414.60416666667</v>
      </c>
      <c r="I75" s="11">
        <v>44414.64583333333</v>
      </c>
      <c r="J75" s="10" t="s">
        <v>128</v>
      </c>
      <c r="K75" s="10" t="s">
        <v>34</v>
      </c>
      <c r="N75" s="10" t="s">
        <v>35</v>
      </c>
      <c r="V75" s="14" t="s">
        <v>3630</v>
      </c>
      <c r="W75" s="15"/>
      <c r="X75" s="10" t="s">
        <v>37</v>
      </c>
      <c r="Y75" s="10" t="s">
        <v>0</v>
      </c>
    </row>
    <row r="76">
      <c r="A76" s="10" t="s">
        <v>3631</v>
      </c>
      <c r="B76" s="11">
        <v>44414.71089929398</v>
      </c>
      <c r="C76" s="10" t="s">
        <v>3585</v>
      </c>
      <c r="D76" s="10" t="s">
        <v>220</v>
      </c>
      <c r="E76" s="10" t="s">
        <v>3606</v>
      </c>
      <c r="F76" s="10" t="s">
        <v>3632</v>
      </c>
      <c r="G76" s="10" t="s">
        <v>3633</v>
      </c>
      <c r="H76" s="11">
        <v>44420.625</v>
      </c>
      <c r="I76" s="11">
        <v>44420.99930555555</v>
      </c>
      <c r="J76" s="10" t="s">
        <v>172</v>
      </c>
      <c r="K76" s="10" t="s">
        <v>34</v>
      </c>
      <c r="N76" s="10" t="s">
        <v>35</v>
      </c>
      <c r="V76" s="14" t="s">
        <v>3589</v>
      </c>
      <c r="W76" s="15"/>
      <c r="X76" s="10" t="s">
        <v>37</v>
      </c>
      <c r="Y76" s="10" t="s">
        <v>0</v>
      </c>
    </row>
    <row r="77">
      <c r="A77" s="10" t="s">
        <v>3634</v>
      </c>
      <c r="B77" s="11">
        <v>44414.68023506945</v>
      </c>
      <c r="C77" s="10" t="s">
        <v>181</v>
      </c>
      <c r="D77" s="10" t="s">
        <v>69</v>
      </c>
      <c r="E77" s="10" t="s">
        <v>1229</v>
      </c>
      <c r="F77" s="10" t="s">
        <v>3635</v>
      </c>
      <c r="G77" s="10" t="s">
        <v>3636</v>
      </c>
      <c r="H77" s="11">
        <v>44421.60416666667</v>
      </c>
      <c r="I77" s="11">
        <v>44421.64583333333</v>
      </c>
      <c r="J77" s="10" t="s">
        <v>43</v>
      </c>
      <c r="K77" s="10" t="s">
        <v>34</v>
      </c>
      <c r="N77" s="10" t="s">
        <v>296</v>
      </c>
      <c r="O77" s="18" t="s">
        <v>3637</v>
      </c>
      <c r="P77" s="10" t="s">
        <v>35</v>
      </c>
      <c r="R77" s="10" t="s">
        <v>296</v>
      </c>
      <c r="S77" s="10">
        <v>1.0</v>
      </c>
      <c r="T77" s="10" t="s">
        <v>35</v>
      </c>
      <c r="V77" s="37" t="s">
        <v>3638</v>
      </c>
      <c r="W77" s="15"/>
      <c r="X77" s="10" t="s">
        <v>37</v>
      </c>
      <c r="Y77" s="10" t="s">
        <v>0</v>
      </c>
    </row>
    <row r="78">
      <c r="A78" s="10" t="s">
        <v>3639</v>
      </c>
      <c r="B78" s="11">
        <v>44414.78019810186</v>
      </c>
      <c r="C78" s="10" t="s">
        <v>694</v>
      </c>
      <c r="D78" s="10" t="s">
        <v>695</v>
      </c>
      <c r="E78" s="10" t="s">
        <v>3305</v>
      </c>
      <c r="F78" s="10" t="s">
        <v>3640</v>
      </c>
      <c r="G78" s="10" t="s">
        <v>3641</v>
      </c>
      <c r="H78" s="11">
        <v>44421.64583333333</v>
      </c>
      <c r="I78" s="11">
        <v>44421.6875</v>
      </c>
      <c r="J78" s="10" t="s">
        <v>43</v>
      </c>
      <c r="K78" s="10" t="s">
        <v>34</v>
      </c>
      <c r="N78" s="10" t="s">
        <v>296</v>
      </c>
      <c r="O78" s="18" t="s">
        <v>3642</v>
      </c>
      <c r="P78" s="10" t="s">
        <v>35</v>
      </c>
      <c r="R78" s="10" t="s">
        <v>35</v>
      </c>
      <c r="T78" s="10" t="s">
        <v>296</v>
      </c>
      <c r="U78" s="10">
        <v>1.0</v>
      </c>
      <c r="V78" s="14" t="s">
        <v>3643</v>
      </c>
      <c r="W78" s="15"/>
      <c r="X78" s="10" t="s">
        <v>37</v>
      </c>
      <c r="Y78" s="10" t="s">
        <v>0</v>
      </c>
    </row>
    <row r="79">
      <c r="A79" s="10" t="s">
        <v>3644</v>
      </c>
      <c r="B79" s="11">
        <v>44417.75942565972</v>
      </c>
      <c r="C79" s="10" t="s">
        <v>247</v>
      </c>
      <c r="D79" s="10" t="s">
        <v>248</v>
      </c>
      <c r="E79" s="10" t="s">
        <v>3645</v>
      </c>
      <c r="F79" s="10" t="s">
        <v>3646</v>
      </c>
      <c r="G79" s="10" t="s">
        <v>3647</v>
      </c>
      <c r="H79" s="11">
        <v>44421.64583333333</v>
      </c>
      <c r="I79" s="11">
        <v>44421.72916666667</v>
      </c>
      <c r="J79" s="10" t="s">
        <v>43</v>
      </c>
      <c r="K79" s="10" t="s">
        <v>34</v>
      </c>
      <c r="N79" s="10" t="s">
        <v>296</v>
      </c>
      <c r="O79" s="18" t="s">
        <v>3648</v>
      </c>
      <c r="P79" s="10" t="s">
        <v>296</v>
      </c>
      <c r="Q79" s="10">
        <v>1.0</v>
      </c>
      <c r="R79" s="10" t="s">
        <v>35</v>
      </c>
      <c r="T79" s="10" t="s">
        <v>35</v>
      </c>
      <c r="V79" s="14" t="s">
        <v>3649</v>
      </c>
      <c r="W79" s="15"/>
      <c r="X79" s="10" t="s">
        <v>37</v>
      </c>
      <c r="Y79" s="10" t="s">
        <v>0</v>
      </c>
    </row>
    <row r="80">
      <c r="A80" s="10" t="s">
        <v>3650</v>
      </c>
      <c r="B80" s="11">
        <v>44417.76139605324</v>
      </c>
      <c r="C80" s="10" t="s">
        <v>247</v>
      </c>
      <c r="D80" s="10" t="s">
        <v>248</v>
      </c>
      <c r="E80" s="10" t="s">
        <v>3645</v>
      </c>
      <c r="F80" s="10" t="s">
        <v>3651</v>
      </c>
      <c r="G80" s="10" t="s">
        <v>3652</v>
      </c>
      <c r="H80" s="11">
        <v>44421.64583333333</v>
      </c>
      <c r="I80" s="11">
        <v>44421.72916666667</v>
      </c>
      <c r="J80" s="10" t="s">
        <v>43</v>
      </c>
      <c r="K80" s="10" t="s">
        <v>34</v>
      </c>
      <c r="N80" s="10" t="s">
        <v>296</v>
      </c>
      <c r="O80" s="18" t="s">
        <v>3653</v>
      </c>
      <c r="P80" s="10" t="s">
        <v>296</v>
      </c>
      <c r="Q80" s="10">
        <v>1.0</v>
      </c>
      <c r="R80" s="10" t="s">
        <v>35</v>
      </c>
      <c r="T80" s="10" t="s">
        <v>35</v>
      </c>
      <c r="V80" s="14" t="s">
        <v>3649</v>
      </c>
      <c r="W80" s="15"/>
      <c r="X80" s="10" t="s">
        <v>37</v>
      </c>
      <c r="Y80" s="10" t="s">
        <v>0</v>
      </c>
    </row>
    <row r="81">
      <c r="A81" s="10" t="s">
        <v>3654</v>
      </c>
      <c r="B81" s="11">
        <v>44417.84906979167</v>
      </c>
      <c r="C81" s="10" t="s">
        <v>181</v>
      </c>
      <c r="D81" s="10" t="s">
        <v>69</v>
      </c>
      <c r="E81" s="10" t="s">
        <v>3655</v>
      </c>
      <c r="F81" s="10" t="s">
        <v>3656</v>
      </c>
      <c r="G81" s="10" t="s">
        <v>3657</v>
      </c>
      <c r="H81" s="11">
        <v>44424.47916666667</v>
      </c>
      <c r="I81" s="11">
        <v>44424.52083333333</v>
      </c>
      <c r="J81" s="10" t="s">
        <v>128</v>
      </c>
      <c r="K81" s="10" t="s">
        <v>34</v>
      </c>
      <c r="N81" s="10" t="s">
        <v>35</v>
      </c>
      <c r="V81" s="14" t="s">
        <v>3658</v>
      </c>
      <c r="W81" s="15"/>
      <c r="X81" s="10" t="s">
        <v>37</v>
      </c>
      <c r="Y81" s="10" t="s">
        <v>0</v>
      </c>
    </row>
    <row r="82">
      <c r="A82" s="10" t="s">
        <v>3659</v>
      </c>
      <c r="B82" s="11">
        <v>44425.31718991898</v>
      </c>
      <c r="C82" s="10" t="s">
        <v>975</v>
      </c>
      <c r="D82" s="10" t="s">
        <v>976</v>
      </c>
      <c r="E82" s="10" t="s">
        <v>3660</v>
      </c>
      <c r="F82" s="10" t="s">
        <v>3661</v>
      </c>
      <c r="G82" s="10" t="s">
        <v>3662</v>
      </c>
      <c r="H82" s="11">
        <v>44425.33333333333</v>
      </c>
      <c r="I82" s="11">
        <v>44428.75</v>
      </c>
      <c r="J82" s="10" t="s">
        <v>43</v>
      </c>
      <c r="K82" s="10" t="s">
        <v>34</v>
      </c>
      <c r="N82" s="10" t="s">
        <v>35</v>
      </c>
      <c r="V82" s="14" t="s">
        <v>3663</v>
      </c>
      <c r="W82" s="15"/>
      <c r="X82" s="10" t="s">
        <v>37</v>
      </c>
      <c r="Y82" s="10" t="s">
        <v>0</v>
      </c>
    </row>
    <row r="83">
      <c r="A83" s="10" t="s">
        <v>3664</v>
      </c>
      <c r="B83" s="11">
        <v>44425.31980755787</v>
      </c>
      <c r="C83" s="10" t="s">
        <v>975</v>
      </c>
      <c r="D83" s="10" t="s">
        <v>976</v>
      </c>
      <c r="E83" s="10" t="s">
        <v>3665</v>
      </c>
      <c r="F83" s="10" t="s">
        <v>3666</v>
      </c>
      <c r="G83" s="10" t="s">
        <v>3667</v>
      </c>
      <c r="H83" s="11">
        <v>44425.33333333333</v>
      </c>
      <c r="I83" s="11">
        <v>44428.75</v>
      </c>
      <c r="J83" s="10" t="s">
        <v>43</v>
      </c>
      <c r="K83" s="10" t="s">
        <v>34</v>
      </c>
      <c r="N83" s="10" t="s">
        <v>35</v>
      </c>
      <c r="V83" s="14" t="s">
        <v>3668</v>
      </c>
      <c r="W83" s="15"/>
      <c r="X83" s="10" t="s">
        <v>37</v>
      </c>
      <c r="Y83" s="10" t="s">
        <v>0</v>
      </c>
    </row>
    <row r="84">
      <c r="A84" s="10" t="s">
        <v>3669</v>
      </c>
      <c r="B84" s="11">
        <v>44419.429347557874</v>
      </c>
      <c r="C84" s="10" t="s">
        <v>181</v>
      </c>
      <c r="D84" s="10" t="s">
        <v>69</v>
      </c>
      <c r="E84" s="10" t="s">
        <v>1879</v>
      </c>
      <c r="F84" s="10" t="s">
        <v>3670</v>
      </c>
      <c r="G84" s="10" t="s">
        <v>3671</v>
      </c>
      <c r="H84" s="11">
        <v>44428.41666666667</v>
      </c>
      <c r="I84" s="11">
        <v>44428.41736111111</v>
      </c>
      <c r="J84" s="10" t="s">
        <v>73</v>
      </c>
      <c r="K84" s="10" t="s">
        <v>34</v>
      </c>
      <c r="N84" s="10" t="s">
        <v>35</v>
      </c>
      <c r="V84" s="14" t="s">
        <v>3672</v>
      </c>
      <c r="W84" s="15"/>
      <c r="X84" s="10" t="s">
        <v>37</v>
      </c>
      <c r="Y84" s="10" t="s">
        <v>0</v>
      </c>
    </row>
    <row r="85">
      <c r="A85" s="10" t="s">
        <v>3673</v>
      </c>
      <c r="B85" s="11">
        <v>44419.69950135417</v>
      </c>
      <c r="C85" s="10" t="s">
        <v>491</v>
      </c>
      <c r="D85" s="10" t="s">
        <v>492</v>
      </c>
      <c r="E85" s="10" t="s">
        <v>3674</v>
      </c>
      <c r="F85" s="10" t="s">
        <v>3675</v>
      </c>
      <c r="G85" s="10" t="s">
        <v>3676</v>
      </c>
      <c r="H85" s="11">
        <v>44418.66666666667</v>
      </c>
      <c r="I85" s="11">
        <v>44418.6875</v>
      </c>
      <c r="J85" s="10" t="s">
        <v>128</v>
      </c>
      <c r="K85" s="10" t="s">
        <v>34</v>
      </c>
      <c r="N85" s="10" t="s">
        <v>35</v>
      </c>
      <c r="V85" s="35" t="s">
        <v>3677</v>
      </c>
      <c r="W85" s="15"/>
      <c r="X85" s="10" t="s">
        <v>37</v>
      </c>
      <c r="Y85" s="10" t="s">
        <v>0</v>
      </c>
    </row>
    <row r="86">
      <c r="A86" s="10" t="s">
        <v>3678</v>
      </c>
      <c r="B86" s="11">
        <v>44425.32152543982</v>
      </c>
      <c r="C86" s="10" t="s">
        <v>975</v>
      </c>
      <c r="D86" s="10" t="s">
        <v>976</v>
      </c>
      <c r="E86" s="10" t="s">
        <v>3679</v>
      </c>
      <c r="F86" s="10" t="s">
        <v>3680</v>
      </c>
      <c r="G86" s="10" t="s">
        <v>3681</v>
      </c>
      <c r="H86" s="11">
        <v>44425.35416666667</v>
      </c>
      <c r="I86" s="11">
        <v>44425.4375</v>
      </c>
      <c r="J86" s="10" t="s">
        <v>43</v>
      </c>
      <c r="K86" s="10" t="s">
        <v>34</v>
      </c>
      <c r="N86" s="10" t="s">
        <v>35</v>
      </c>
      <c r="V86" s="14" t="s">
        <v>3682</v>
      </c>
      <c r="W86" s="15"/>
      <c r="X86" s="10" t="s">
        <v>37</v>
      </c>
      <c r="Y86" s="10" t="s">
        <v>0</v>
      </c>
    </row>
    <row r="87">
      <c r="A87" s="10" t="s">
        <v>3683</v>
      </c>
      <c r="B87" s="11">
        <v>44421.670301307866</v>
      </c>
      <c r="C87" s="10" t="s">
        <v>181</v>
      </c>
      <c r="D87" s="10" t="s">
        <v>69</v>
      </c>
      <c r="E87" s="10" t="s">
        <v>3684</v>
      </c>
      <c r="F87" s="10" t="s">
        <v>3685</v>
      </c>
      <c r="G87" s="10" t="s">
        <v>3686</v>
      </c>
      <c r="H87" s="11">
        <v>44425.6875</v>
      </c>
      <c r="I87" s="11">
        <v>44428.58333333333</v>
      </c>
      <c r="J87" s="10" t="s">
        <v>1333</v>
      </c>
      <c r="K87" s="10" t="s">
        <v>34</v>
      </c>
      <c r="N87" s="10" t="s">
        <v>35</v>
      </c>
      <c r="V87" s="14" t="s">
        <v>3687</v>
      </c>
      <c r="W87" s="15"/>
      <c r="X87" s="10" t="s">
        <v>37</v>
      </c>
      <c r="Y87" s="10" t="s">
        <v>0</v>
      </c>
    </row>
    <row r="88">
      <c r="A88" s="10" t="s">
        <v>3688</v>
      </c>
      <c r="B88" s="11">
        <v>44419.85083365741</v>
      </c>
      <c r="C88" s="10" t="s">
        <v>491</v>
      </c>
      <c r="D88" s="10" t="s">
        <v>492</v>
      </c>
      <c r="E88" s="10" t="s">
        <v>3689</v>
      </c>
      <c r="F88" s="10" t="s">
        <v>3690</v>
      </c>
      <c r="G88" s="10" t="s">
        <v>3691</v>
      </c>
      <c r="H88" s="11">
        <v>44420.79166666667</v>
      </c>
      <c r="I88" s="11">
        <v>44420.83333333333</v>
      </c>
      <c r="J88" s="10" t="s">
        <v>128</v>
      </c>
      <c r="K88" s="10" t="s">
        <v>34</v>
      </c>
      <c r="N88" s="10" t="s">
        <v>35</v>
      </c>
      <c r="V88" s="14" t="s">
        <v>3692</v>
      </c>
      <c r="W88" s="15"/>
      <c r="X88" s="10" t="s">
        <v>37</v>
      </c>
      <c r="Y88" s="10" t="s">
        <v>0</v>
      </c>
    </row>
    <row r="89">
      <c r="A89" s="10" t="s">
        <v>3693</v>
      </c>
      <c r="B89" s="11">
        <v>44420.354180995375</v>
      </c>
      <c r="C89" s="10" t="s">
        <v>610</v>
      </c>
      <c r="D89" s="10" t="s">
        <v>611</v>
      </c>
      <c r="E89" s="10" t="s">
        <v>3448</v>
      </c>
      <c r="F89" s="10" t="s">
        <v>3694</v>
      </c>
      <c r="G89" s="10" t="s">
        <v>3695</v>
      </c>
      <c r="H89" s="11">
        <v>44424.35416666667</v>
      </c>
      <c r="I89" s="11">
        <v>44428.6875</v>
      </c>
      <c r="J89" s="10" t="s">
        <v>128</v>
      </c>
      <c r="K89" s="10" t="s">
        <v>34</v>
      </c>
      <c r="N89" s="10" t="s">
        <v>35</v>
      </c>
      <c r="V89" s="14" t="s">
        <v>3696</v>
      </c>
      <c r="W89" s="15"/>
      <c r="X89" s="10" t="s">
        <v>37</v>
      </c>
      <c r="Y89" s="10" t="s">
        <v>0</v>
      </c>
    </row>
    <row r="90">
      <c r="A90" s="10" t="s">
        <v>3697</v>
      </c>
      <c r="B90" s="11">
        <v>44419.815636342595</v>
      </c>
      <c r="C90" s="10" t="s">
        <v>975</v>
      </c>
      <c r="D90" s="10" t="s">
        <v>976</v>
      </c>
      <c r="E90" s="10" t="s">
        <v>3665</v>
      </c>
      <c r="F90" s="10" t="s">
        <v>3698</v>
      </c>
      <c r="G90" s="10" t="s">
        <v>3699</v>
      </c>
      <c r="H90" s="11">
        <v>44426.35416666667</v>
      </c>
      <c r="I90" s="11">
        <v>44426.39583333333</v>
      </c>
      <c r="J90" s="10" t="s">
        <v>43</v>
      </c>
      <c r="K90" s="10" t="s">
        <v>34</v>
      </c>
      <c r="N90" s="10" t="s">
        <v>296</v>
      </c>
      <c r="O90" s="18" t="s">
        <v>3700</v>
      </c>
      <c r="P90" s="10" t="s">
        <v>296</v>
      </c>
      <c r="Q90" s="10">
        <v>1.0</v>
      </c>
      <c r="R90" s="10" t="s">
        <v>35</v>
      </c>
      <c r="T90" s="10" t="s">
        <v>35</v>
      </c>
      <c r="V90" s="14" t="s">
        <v>3701</v>
      </c>
      <c r="W90" s="15"/>
      <c r="X90" s="10" t="s">
        <v>37</v>
      </c>
      <c r="Y90" s="10" t="s">
        <v>0</v>
      </c>
    </row>
    <row r="91">
      <c r="A91" s="10" t="s">
        <v>3702</v>
      </c>
      <c r="B91" s="11">
        <v>44420.90909534722</v>
      </c>
      <c r="C91" s="10" t="s">
        <v>347</v>
      </c>
      <c r="D91" s="10" t="s">
        <v>348</v>
      </c>
      <c r="E91" s="10" t="s">
        <v>3429</v>
      </c>
      <c r="F91" s="10" t="s">
        <v>3703</v>
      </c>
      <c r="G91" s="10" t="s">
        <v>3704</v>
      </c>
      <c r="H91" s="11">
        <v>44421.60416666667</v>
      </c>
      <c r="I91" s="11">
        <v>44421.6875</v>
      </c>
      <c r="J91" s="10" t="s">
        <v>128</v>
      </c>
      <c r="K91" s="10" t="s">
        <v>34</v>
      </c>
      <c r="N91" s="10" t="s">
        <v>35</v>
      </c>
      <c r="V91" s="14" t="s">
        <v>3705</v>
      </c>
      <c r="W91" s="15"/>
      <c r="X91" s="10" t="s">
        <v>37</v>
      </c>
      <c r="Y91" s="10" t="s">
        <v>0</v>
      </c>
    </row>
    <row r="92">
      <c r="A92" s="10" t="s">
        <v>3706</v>
      </c>
      <c r="B92" s="11">
        <v>44420.970273240746</v>
      </c>
      <c r="C92" s="10" t="s">
        <v>137</v>
      </c>
      <c r="D92" s="10" t="s">
        <v>138</v>
      </c>
      <c r="E92" s="10" t="s">
        <v>3299</v>
      </c>
      <c r="F92" s="10" t="s">
        <v>3707</v>
      </c>
      <c r="G92" s="10" t="s">
        <v>3708</v>
      </c>
      <c r="H92" s="11">
        <v>44428.66666666667</v>
      </c>
      <c r="I92" s="11">
        <v>44428.6875</v>
      </c>
      <c r="J92" s="10" t="s">
        <v>60</v>
      </c>
      <c r="K92" s="10" t="s">
        <v>34</v>
      </c>
      <c r="N92" s="10" t="s">
        <v>35</v>
      </c>
      <c r="V92" s="35" t="s">
        <v>3709</v>
      </c>
      <c r="W92" s="15"/>
      <c r="X92" s="10" t="s">
        <v>3302</v>
      </c>
      <c r="Y92" s="10" t="s">
        <v>0</v>
      </c>
    </row>
    <row r="93">
      <c r="A93" s="10" t="s">
        <v>3710</v>
      </c>
      <c r="B93" s="11">
        <v>44421.48171450231</v>
      </c>
      <c r="C93" s="10" t="s">
        <v>209</v>
      </c>
      <c r="D93" s="10" t="s">
        <v>210</v>
      </c>
      <c r="E93" s="10" t="s">
        <v>211</v>
      </c>
      <c r="F93" s="10" t="s">
        <v>3711</v>
      </c>
      <c r="G93" s="10" t="s">
        <v>3712</v>
      </c>
      <c r="H93" s="11">
        <v>44429.64583333333</v>
      </c>
      <c r="I93" s="11">
        <v>44429.72916666667</v>
      </c>
      <c r="J93" s="10" t="s">
        <v>128</v>
      </c>
      <c r="K93" s="10" t="s">
        <v>34</v>
      </c>
      <c r="N93" s="10" t="s">
        <v>35</v>
      </c>
      <c r="V93" s="14" t="s">
        <v>3713</v>
      </c>
      <c r="W93" s="15"/>
      <c r="X93" s="10" t="s">
        <v>37</v>
      </c>
      <c r="Y93" s="10" t="s">
        <v>0</v>
      </c>
    </row>
    <row r="94">
      <c r="A94" s="10" t="s">
        <v>3714</v>
      </c>
      <c r="B94" s="11">
        <v>44421.618790057866</v>
      </c>
      <c r="C94" s="10" t="s">
        <v>516</v>
      </c>
      <c r="D94" s="10" t="s">
        <v>511</v>
      </c>
      <c r="E94" s="10" t="s">
        <v>518</v>
      </c>
      <c r="F94" s="10" t="s">
        <v>3715</v>
      </c>
      <c r="G94" s="10" t="s">
        <v>3716</v>
      </c>
      <c r="H94" s="11">
        <v>44429.4375</v>
      </c>
      <c r="I94" s="11">
        <v>44429.52083333333</v>
      </c>
      <c r="J94" s="10" t="s">
        <v>128</v>
      </c>
      <c r="K94" s="10" t="s">
        <v>34</v>
      </c>
      <c r="N94" s="10" t="s">
        <v>35</v>
      </c>
      <c r="V94" s="14" t="s">
        <v>3717</v>
      </c>
      <c r="W94" s="15"/>
      <c r="X94" s="10" t="s">
        <v>37</v>
      </c>
      <c r="Y94" s="10" t="s">
        <v>0</v>
      </c>
    </row>
    <row r="95">
      <c r="A95" s="10" t="s">
        <v>3718</v>
      </c>
      <c r="B95" s="11">
        <v>44421.63522065972</v>
      </c>
      <c r="C95" s="10" t="s">
        <v>28</v>
      </c>
      <c r="D95" s="10" t="s">
        <v>29</v>
      </c>
      <c r="E95" s="10" t="s">
        <v>63</v>
      </c>
      <c r="F95" s="10" t="s">
        <v>3719</v>
      </c>
      <c r="G95" s="10" t="s">
        <v>3720</v>
      </c>
      <c r="H95" s="11">
        <v>44429.4375</v>
      </c>
      <c r="I95" s="11">
        <v>44429.52083333333</v>
      </c>
      <c r="J95" s="10" t="s">
        <v>128</v>
      </c>
      <c r="K95" s="10" t="s">
        <v>34</v>
      </c>
      <c r="N95" s="10" t="s">
        <v>35</v>
      </c>
      <c r="V95" s="14" t="s">
        <v>3721</v>
      </c>
      <c r="W95" s="15"/>
      <c r="X95" s="10" t="s">
        <v>37</v>
      </c>
      <c r="Y95" s="10" t="s">
        <v>0</v>
      </c>
    </row>
    <row r="96">
      <c r="A96" s="10" t="s">
        <v>3722</v>
      </c>
      <c r="B96" s="11">
        <v>44421.63782364583</v>
      </c>
      <c r="C96" s="10" t="s">
        <v>491</v>
      </c>
      <c r="D96" s="10" t="s">
        <v>492</v>
      </c>
      <c r="E96" s="10" t="s">
        <v>3723</v>
      </c>
      <c r="F96" s="10" t="s">
        <v>3724</v>
      </c>
      <c r="G96" s="10" t="s">
        <v>3725</v>
      </c>
      <c r="H96" s="11">
        <v>44427.79166666667</v>
      </c>
      <c r="I96" s="11">
        <v>44427.79166666667</v>
      </c>
      <c r="J96" s="10" t="s">
        <v>128</v>
      </c>
      <c r="K96" s="10" t="s">
        <v>34</v>
      </c>
      <c r="N96" s="10" t="s">
        <v>35</v>
      </c>
      <c r="V96" s="14" t="s">
        <v>3726</v>
      </c>
      <c r="W96" s="15"/>
      <c r="X96" s="10" t="s">
        <v>37</v>
      </c>
      <c r="Y96" s="10" t="s">
        <v>0</v>
      </c>
    </row>
    <row r="97">
      <c r="A97" s="10" t="s">
        <v>3727</v>
      </c>
      <c r="B97" s="11">
        <v>44421.64522288194</v>
      </c>
      <c r="C97" s="10" t="s">
        <v>491</v>
      </c>
      <c r="D97" s="10" t="s">
        <v>492</v>
      </c>
      <c r="E97" s="10" t="s">
        <v>3728</v>
      </c>
      <c r="F97" s="10" t="s">
        <v>3729</v>
      </c>
      <c r="G97" s="10" t="s">
        <v>3730</v>
      </c>
      <c r="H97" s="11">
        <v>44426.75</v>
      </c>
      <c r="I97" s="11">
        <v>44426.83333333333</v>
      </c>
      <c r="J97" s="10" t="s">
        <v>128</v>
      </c>
      <c r="K97" s="10" t="s">
        <v>34</v>
      </c>
      <c r="N97" s="10" t="s">
        <v>35</v>
      </c>
      <c r="V97" s="14" t="s">
        <v>3731</v>
      </c>
      <c r="W97" s="15"/>
      <c r="X97" s="10" t="s">
        <v>37</v>
      </c>
      <c r="Y97" s="10" t="s">
        <v>0</v>
      </c>
    </row>
    <row r="98">
      <c r="A98" s="10" t="s">
        <v>3732</v>
      </c>
      <c r="B98" s="11">
        <v>44421.65893679398</v>
      </c>
      <c r="C98" s="10" t="s">
        <v>181</v>
      </c>
      <c r="D98" s="10" t="s">
        <v>69</v>
      </c>
      <c r="E98" s="10" t="s">
        <v>3733</v>
      </c>
      <c r="F98" s="10" t="s">
        <v>3734</v>
      </c>
      <c r="G98" s="10" t="s">
        <v>3735</v>
      </c>
      <c r="H98" s="11">
        <v>44429.60416666667</v>
      </c>
      <c r="I98" s="11">
        <v>44429.6875</v>
      </c>
      <c r="J98" s="10" t="s">
        <v>128</v>
      </c>
      <c r="K98" s="10" t="s">
        <v>34</v>
      </c>
      <c r="N98" s="10" t="s">
        <v>35</v>
      </c>
      <c r="V98" s="14" t="s">
        <v>3736</v>
      </c>
      <c r="W98" s="15"/>
      <c r="X98" s="10" t="s">
        <v>37</v>
      </c>
      <c r="Y98" s="10" t="s">
        <v>0</v>
      </c>
    </row>
    <row r="99">
      <c r="A99" s="10" t="s">
        <v>3737</v>
      </c>
      <c r="B99" s="11">
        <v>44421.65988393519</v>
      </c>
      <c r="C99" s="10" t="s">
        <v>181</v>
      </c>
      <c r="D99" s="10" t="s">
        <v>69</v>
      </c>
      <c r="E99" s="10" t="s">
        <v>1096</v>
      </c>
      <c r="F99" s="10" t="s">
        <v>3738</v>
      </c>
      <c r="G99" s="10" t="s">
        <v>3739</v>
      </c>
      <c r="H99" s="11">
        <v>44425.33333333333</v>
      </c>
      <c r="I99" s="11">
        <v>44425.33333333333</v>
      </c>
      <c r="J99" s="10" t="s">
        <v>73</v>
      </c>
      <c r="K99" s="10" t="s">
        <v>34</v>
      </c>
      <c r="N99" s="10" t="s">
        <v>35</v>
      </c>
      <c r="V99" s="35" t="s">
        <v>3740</v>
      </c>
      <c r="W99" s="15"/>
      <c r="X99" s="10" t="s">
        <v>37</v>
      </c>
      <c r="Y99" s="10" t="s">
        <v>0</v>
      </c>
    </row>
    <row r="100">
      <c r="A100" s="10" t="s">
        <v>3741</v>
      </c>
      <c r="B100" s="11">
        <v>44421.66131619213</v>
      </c>
      <c r="C100" s="10" t="s">
        <v>181</v>
      </c>
      <c r="D100" s="10" t="s">
        <v>69</v>
      </c>
      <c r="E100" s="10" t="s">
        <v>3684</v>
      </c>
      <c r="F100" s="10" t="s">
        <v>3742</v>
      </c>
      <c r="G100" s="10" t="s">
        <v>3743</v>
      </c>
      <c r="H100" s="11">
        <v>44424.33333333333</v>
      </c>
      <c r="I100" s="11">
        <v>44424.45833333333</v>
      </c>
      <c r="J100" s="10" t="s">
        <v>128</v>
      </c>
      <c r="K100" s="10" t="s">
        <v>34</v>
      </c>
      <c r="N100" s="10" t="s">
        <v>35</v>
      </c>
      <c r="V100" s="14" t="s">
        <v>3490</v>
      </c>
      <c r="W100" s="15"/>
      <c r="X100" s="10" t="s">
        <v>37</v>
      </c>
      <c r="Y100" s="10" t="s">
        <v>0</v>
      </c>
    </row>
    <row r="101">
      <c r="A101" s="10" t="s">
        <v>3744</v>
      </c>
      <c r="B101" s="11">
        <v>44421.666487152776</v>
      </c>
      <c r="C101" s="10" t="s">
        <v>671</v>
      </c>
      <c r="D101" s="10" t="s">
        <v>672</v>
      </c>
      <c r="E101" s="10" t="s">
        <v>3745</v>
      </c>
      <c r="F101" s="10" t="s">
        <v>3746</v>
      </c>
      <c r="G101" s="10" t="s">
        <v>3747</v>
      </c>
      <c r="H101" s="11">
        <v>44428.35416666667</v>
      </c>
      <c r="I101" s="11">
        <v>44428.77083333333</v>
      </c>
      <c r="J101" s="10" t="s">
        <v>128</v>
      </c>
      <c r="K101" s="10" t="s">
        <v>34</v>
      </c>
      <c r="N101" s="10" t="s">
        <v>35</v>
      </c>
      <c r="V101" s="14" t="s">
        <v>3748</v>
      </c>
      <c r="W101" s="15"/>
      <c r="X101" s="10" t="s">
        <v>37</v>
      </c>
      <c r="Y101" s="10" t="s">
        <v>0</v>
      </c>
    </row>
    <row r="102">
      <c r="A102" s="10" t="s">
        <v>3749</v>
      </c>
      <c r="B102" s="11">
        <v>44425.47802491898</v>
      </c>
      <c r="C102" s="10" t="s">
        <v>975</v>
      </c>
      <c r="D102" s="10" t="s">
        <v>976</v>
      </c>
      <c r="E102" s="10" t="s">
        <v>976</v>
      </c>
      <c r="F102" s="10" t="s">
        <v>3750</v>
      </c>
      <c r="G102" s="10" t="s">
        <v>3751</v>
      </c>
      <c r="H102" s="11">
        <v>44426.35416666667</v>
      </c>
      <c r="I102" s="11">
        <v>44426.39583333333</v>
      </c>
      <c r="J102" s="10" t="s">
        <v>43</v>
      </c>
      <c r="K102" s="10" t="s">
        <v>34</v>
      </c>
      <c r="N102" s="10" t="s">
        <v>296</v>
      </c>
      <c r="O102" s="18" t="s">
        <v>3752</v>
      </c>
      <c r="P102" s="10" t="s">
        <v>296</v>
      </c>
      <c r="Q102" s="10">
        <v>1.0</v>
      </c>
      <c r="R102" s="10" t="s">
        <v>35</v>
      </c>
      <c r="T102" s="10" t="s">
        <v>35</v>
      </c>
      <c r="V102" s="14" t="s">
        <v>3701</v>
      </c>
      <c r="W102" s="15"/>
      <c r="X102" s="10" t="s">
        <v>37</v>
      </c>
      <c r="Y102" s="10" t="s">
        <v>0</v>
      </c>
    </row>
    <row r="103">
      <c r="A103" s="10" t="s">
        <v>3753</v>
      </c>
      <c r="B103" s="11">
        <v>44421.66852371528</v>
      </c>
      <c r="C103" s="10" t="s">
        <v>181</v>
      </c>
      <c r="D103" s="10" t="s">
        <v>69</v>
      </c>
      <c r="E103" s="10" t="s">
        <v>1096</v>
      </c>
      <c r="F103" s="10" t="s">
        <v>3754</v>
      </c>
      <c r="G103" s="10" t="s">
        <v>3755</v>
      </c>
      <c r="H103" s="11">
        <v>44426.58333333333</v>
      </c>
      <c r="I103" s="11">
        <v>44426.66666666667</v>
      </c>
      <c r="J103" s="10" t="s">
        <v>1333</v>
      </c>
      <c r="K103" s="10" t="s">
        <v>34</v>
      </c>
      <c r="N103" s="10" t="s">
        <v>35</v>
      </c>
      <c r="V103" s="14" t="s">
        <v>3756</v>
      </c>
      <c r="W103" s="15"/>
      <c r="X103" s="10" t="s">
        <v>37</v>
      </c>
      <c r="Y103" s="10" t="s">
        <v>0</v>
      </c>
    </row>
    <row r="104">
      <c r="A104" s="10" t="s">
        <v>3757</v>
      </c>
      <c r="B104" s="11">
        <v>44421.67730631944</v>
      </c>
      <c r="C104" s="10" t="s">
        <v>671</v>
      </c>
      <c r="D104" s="10" t="s">
        <v>672</v>
      </c>
      <c r="E104" s="10" t="s">
        <v>3758</v>
      </c>
      <c r="F104" s="10" t="s">
        <v>762</v>
      </c>
      <c r="G104" s="10" t="s">
        <v>3759</v>
      </c>
      <c r="H104" s="11">
        <v>44429.33333333333</v>
      </c>
      <c r="I104" s="11">
        <v>44429.66666666667</v>
      </c>
      <c r="J104" s="10" t="s">
        <v>128</v>
      </c>
      <c r="K104" s="10" t="s">
        <v>34</v>
      </c>
      <c r="N104" s="10" t="s">
        <v>35</v>
      </c>
      <c r="V104" s="14" t="s">
        <v>3748</v>
      </c>
      <c r="W104" s="15"/>
      <c r="X104" s="10" t="s">
        <v>37</v>
      </c>
      <c r="Y104" s="10" t="s">
        <v>0</v>
      </c>
    </row>
    <row r="105">
      <c r="A105" s="10" t="s">
        <v>3760</v>
      </c>
      <c r="B105" s="11">
        <v>44421.68018012731</v>
      </c>
      <c r="C105" s="10" t="s">
        <v>671</v>
      </c>
      <c r="D105" s="10" t="s">
        <v>672</v>
      </c>
      <c r="E105" s="10" t="s">
        <v>3758</v>
      </c>
      <c r="F105" s="10" t="s">
        <v>3761</v>
      </c>
      <c r="G105" s="10" t="s">
        <v>3762</v>
      </c>
      <c r="H105" s="11">
        <v>44428.60416666667</v>
      </c>
      <c r="I105" s="11">
        <v>44428.6875</v>
      </c>
      <c r="J105" s="10" t="s">
        <v>128</v>
      </c>
      <c r="K105" s="10" t="s">
        <v>34</v>
      </c>
      <c r="N105" s="10" t="s">
        <v>35</v>
      </c>
      <c r="V105" s="14" t="s">
        <v>3748</v>
      </c>
      <c r="W105" s="15"/>
      <c r="X105" s="10" t="s">
        <v>37</v>
      </c>
      <c r="Y105" s="10" t="s">
        <v>0</v>
      </c>
    </row>
    <row r="106">
      <c r="A106" s="10" t="s">
        <v>3763</v>
      </c>
      <c r="B106" s="11">
        <v>44421.68345777778</v>
      </c>
      <c r="C106" s="10" t="s">
        <v>671</v>
      </c>
      <c r="D106" s="10" t="s">
        <v>672</v>
      </c>
      <c r="E106" s="10" t="s">
        <v>3764</v>
      </c>
      <c r="F106" s="10" t="s">
        <v>3765</v>
      </c>
      <c r="G106" s="10" t="s">
        <v>3766</v>
      </c>
      <c r="H106" s="11">
        <v>44427.60416666667</v>
      </c>
      <c r="I106" s="11">
        <v>44427.64583333333</v>
      </c>
      <c r="J106" s="10" t="s">
        <v>128</v>
      </c>
      <c r="K106" s="10" t="s">
        <v>34</v>
      </c>
      <c r="N106" s="10" t="s">
        <v>35</v>
      </c>
      <c r="V106" s="14" t="s">
        <v>3748</v>
      </c>
      <c r="W106" s="15"/>
      <c r="X106" s="10" t="s">
        <v>37</v>
      </c>
      <c r="Y106" s="10" t="s">
        <v>0</v>
      </c>
    </row>
    <row r="107">
      <c r="A107" s="10" t="s">
        <v>3767</v>
      </c>
      <c r="B107" s="11">
        <v>44421.71137309028</v>
      </c>
      <c r="C107" s="10" t="s">
        <v>381</v>
      </c>
      <c r="D107" s="10" t="s">
        <v>382</v>
      </c>
      <c r="E107" s="10" t="s">
        <v>1119</v>
      </c>
      <c r="F107" s="10" t="s">
        <v>3768</v>
      </c>
      <c r="G107" s="10" t="s">
        <v>3769</v>
      </c>
      <c r="H107" s="11">
        <v>44428.6875</v>
      </c>
      <c r="I107" s="11">
        <v>44428.72916666667</v>
      </c>
      <c r="J107" s="10" t="s">
        <v>128</v>
      </c>
      <c r="K107" s="10" t="s">
        <v>34</v>
      </c>
      <c r="N107" s="10" t="s">
        <v>35</v>
      </c>
      <c r="V107" s="14" t="s">
        <v>3770</v>
      </c>
      <c r="W107" s="15"/>
      <c r="X107" s="10" t="s">
        <v>37</v>
      </c>
      <c r="Y107" s="10" t="s">
        <v>0</v>
      </c>
    </row>
    <row r="108">
      <c r="A108" s="10" t="s">
        <v>3771</v>
      </c>
      <c r="B108" s="11">
        <v>44421.72968665509</v>
      </c>
      <c r="C108" s="10" t="s">
        <v>150</v>
      </c>
      <c r="D108" s="10" t="s">
        <v>151</v>
      </c>
      <c r="E108" s="10" t="s">
        <v>3772</v>
      </c>
      <c r="F108" s="10" t="s">
        <v>3773</v>
      </c>
      <c r="G108" s="10" t="s">
        <v>3774</v>
      </c>
      <c r="H108" s="11">
        <v>44422.41666666667</v>
      </c>
      <c r="I108" s="11">
        <v>44422.5</v>
      </c>
      <c r="J108" s="10" t="s">
        <v>128</v>
      </c>
      <c r="K108" s="10" t="s">
        <v>34</v>
      </c>
      <c r="N108" s="10" t="s">
        <v>35</v>
      </c>
      <c r="V108" s="35" t="s">
        <v>3775</v>
      </c>
      <c r="W108" s="15"/>
      <c r="X108" s="10" t="s">
        <v>37</v>
      </c>
      <c r="Y108" s="10" t="s">
        <v>0</v>
      </c>
    </row>
    <row r="109">
      <c r="A109" s="10" t="s">
        <v>3776</v>
      </c>
      <c r="B109" s="11">
        <v>44425.47646024305</v>
      </c>
      <c r="C109" s="10" t="s">
        <v>1271</v>
      </c>
      <c r="D109" s="10" t="s">
        <v>976</v>
      </c>
      <c r="E109" s="10" t="s">
        <v>3665</v>
      </c>
      <c r="F109" s="10" t="s">
        <v>3777</v>
      </c>
      <c r="G109" s="10" t="s">
        <v>3778</v>
      </c>
      <c r="H109" s="11">
        <v>44426.58333333333</v>
      </c>
      <c r="I109" s="11">
        <v>44426.625</v>
      </c>
      <c r="J109" s="10" t="s">
        <v>43</v>
      </c>
      <c r="K109" s="10" t="s">
        <v>34</v>
      </c>
      <c r="N109" s="10" t="s">
        <v>35</v>
      </c>
      <c r="V109" s="14" t="s">
        <v>3756</v>
      </c>
      <c r="W109" s="15"/>
      <c r="X109" s="10" t="s">
        <v>37</v>
      </c>
      <c r="Y109" s="10" t="s">
        <v>0</v>
      </c>
    </row>
    <row r="110">
      <c r="A110" s="10" t="s">
        <v>3779</v>
      </c>
      <c r="B110" s="11">
        <v>44417.87166962963</v>
      </c>
      <c r="C110" s="10" t="s">
        <v>3780</v>
      </c>
      <c r="D110" s="10" t="s">
        <v>348</v>
      </c>
      <c r="E110" s="10" t="s">
        <v>3429</v>
      </c>
      <c r="F110" s="10" t="s">
        <v>3781</v>
      </c>
      <c r="G110" s="10" t="s">
        <v>3782</v>
      </c>
      <c r="H110" s="11">
        <v>44427.4375</v>
      </c>
      <c r="I110" s="11">
        <v>44427.52083333333</v>
      </c>
      <c r="J110" s="10" t="s">
        <v>1333</v>
      </c>
      <c r="K110" s="10" t="s">
        <v>34</v>
      </c>
      <c r="N110" s="10" t="s">
        <v>296</v>
      </c>
      <c r="O110" s="18" t="s">
        <v>3783</v>
      </c>
      <c r="P110" s="10" t="s">
        <v>296</v>
      </c>
      <c r="Q110" s="10">
        <v>1.0</v>
      </c>
      <c r="R110" s="10" t="s">
        <v>296</v>
      </c>
      <c r="S110" s="10">
        <v>1.0</v>
      </c>
      <c r="T110" s="10" t="s">
        <v>35</v>
      </c>
      <c r="V110" s="14" t="s">
        <v>3784</v>
      </c>
      <c r="W110" s="15"/>
      <c r="X110" s="10" t="s">
        <v>37</v>
      </c>
      <c r="Y110" s="10" t="s">
        <v>0</v>
      </c>
    </row>
    <row r="111">
      <c r="A111" s="10" t="s">
        <v>3785</v>
      </c>
      <c r="B111" s="11">
        <v>44421.78897018518</v>
      </c>
      <c r="C111" s="10" t="s">
        <v>330</v>
      </c>
      <c r="D111" s="10" t="s">
        <v>331</v>
      </c>
      <c r="E111" s="10" t="s">
        <v>3786</v>
      </c>
      <c r="F111" s="10" t="s">
        <v>3787</v>
      </c>
      <c r="G111" s="10" t="s">
        <v>3788</v>
      </c>
      <c r="H111" s="11">
        <v>44426.72916666667</v>
      </c>
      <c r="I111" s="11">
        <v>44426.77083333333</v>
      </c>
      <c r="J111" s="10" t="s">
        <v>128</v>
      </c>
      <c r="K111" s="10" t="s">
        <v>34</v>
      </c>
      <c r="N111" s="10" t="s">
        <v>35</v>
      </c>
      <c r="V111" s="14" t="s">
        <v>3789</v>
      </c>
      <c r="W111" s="15"/>
      <c r="X111" s="10" t="s">
        <v>37</v>
      </c>
      <c r="Y111" s="10" t="s">
        <v>0</v>
      </c>
    </row>
    <row r="112">
      <c r="A112" s="10" t="s">
        <v>3790</v>
      </c>
      <c r="B112" s="11">
        <v>44422.46745111111</v>
      </c>
      <c r="C112" s="10" t="s">
        <v>347</v>
      </c>
      <c r="D112" s="10" t="s">
        <v>348</v>
      </c>
      <c r="E112" s="10" t="s">
        <v>3429</v>
      </c>
      <c r="F112" s="10" t="s">
        <v>3791</v>
      </c>
      <c r="G112" s="10" t="s">
        <v>962</v>
      </c>
      <c r="H112" s="11">
        <v>44429.4375</v>
      </c>
      <c r="I112" s="11">
        <v>44429.52083333333</v>
      </c>
      <c r="J112" s="10" t="s">
        <v>128</v>
      </c>
      <c r="K112" s="10" t="s">
        <v>34</v>
      </c>
      <c r="N112" s="10" t="s">
        <v>35</v>
      </c>
      <c r="V112" s="14" t="s">
        <v>3792</v>
      </c>
      <c r="W112" s="15"/>
      <c r="X112" s="10" t="s">
        <v>37</v>
      </c>
      <c r="Y112" s="10" t="s">
        <v>0</v>
      </c>
    </row>
    <row r="113">
      <c r="A113" s="10" t="s">
        <v>3793</v>
      </c>
      <c r="B113" s="11">
        <v>44423.72159064814</v>
      </c>
      <c r="C113" s="10" t="s">
        <v>1583</v>
      </c>
      <c r="D113" s="10" t="s">
        <v>505</v>
      </c>
      <c r="E113" s="10" t="s">
        <v>2105</v>
      </c>
      <c r="F113" s="10" t="s">
        <v>3794</v>
      </c>
      <c r="G113" s="10" t="s">
        <v>3795</v>
      </c>
      <c r="H113" s="11">
        <v>44428.5</v>
      </c>
      <c r="I113" s="11">
        <v>44429.5</v>
      </c>
      <c r="J113" s="10" t="s">
        <v>51</v>
      </c>
      <c r="K113" s="10" t="s">
        <v>34</v>
      </c>
      <c r="N113" s="10" t="s">
        <v>35</v>
      </c>
      <c r="V113" s="14" t="s">
        <v>3796</v>
      </c>
      <c r="W113" s="15"/>
      <c r="X113" s="10" t="s">
        <v>37</v>
      </c>
      <c r="Y113" s="10" t="s">
        <v>0</v>
      </c>
    </row>
    <row r="114">
      <c r="A114" s="10" t="s">
        <v>3797</v>
      </c>
      <c r="B114" s="11">
        <v>44423.72317373843</v>
      </c>
      <c r="C114" s="10" t="s">
        <v>1583</v>
      </c>
      <c r="D114" s="10" t="s">
        <v>505</v>
      </c>
      <c r="E114" s="10" t="s">
        <v>2105</v>
      </c>
      <c r="F114" s="10" t="s">
        <v>3798</v>
      </c>
      <c r="G114" s="10" t="s">
        <v>3799</v>
      </c>
      <c r="H114" s="11">
        <v>44429.5</v>
      </c>
      <c r="I114" s="11">
        <v>44430.5</v>
      </c>
      <c r="J114" s="10" t="s">
        <v>51</v>
      </c>
      <c r="K114" s="10" t="s">
        <v>34</v>
      </c>
      <c r="N114" s="10" t="s">
        <v>35</v>
      </c>
      <c r="V114" s="14" t="s">
        <v>3796</v>
      </c>
      <c r="W114" s="15"/>
      <c r="X114" s="10" t="s">
        <v>37</v>
      </c>
      <c r="Y114" s="10" t="s">
        <v>0</v>
      </c>
    </row>
    <row r="115">
      <c r="A115" s="10" t="s">
        <v>3800</v>
      </c>
      <c r="B115" s="11">
        <v>44424.760822337965</v>
      </c>
      <c r="C115" s="10" t="s">
        <v>160</v>
      </c>
      <c r="D115" s="10" t="s">
        <v>161</v>
      </c>
      <c r="E115" s="10" t="s">
        <v>3542</v>
      </c>
      <c r="F115" s="10" t="s">
        <v>800</v>
      </c>
      <c r="G115" s="10" t="s">
        <v>3801</v>
      </c>
      <c r="H115" s="11">
        <v>44428.60416666667</v>
      </c>
      <c r="I115" s="11">
        <v>44428.66666666667</v>
      </c>
      <c r="J115" s="10" t="s">
        <v>128</v>
      </c>
      <c r="K115" s="10" t="s">
        <v>34</v>
      </c>
      <c r="N115" s="10" t="s">
        <v>35</v>
      </c>
      <c r="V115" s="14" t="s">
        <v>3802</v>
      </c>
      <c r="W115" s="15"/>
      <c r="X115" s="10" t="s">
        <v>37</v>
      </c>
      <c r="Y115" s="10" t="s">
        <v>0</v>
      </c>
    </row>
    <row r="116">
      <c r="A116" s="10" t="s">
        <v>3803</v>
      </c>
      <c r="B116" s="11">
        <v>44424.764360914356</v>
      </c>
      <c r="C116" s="10" t="s">
        <v>160</v>
      </c>
      <c r="D116" s="10" t="s">
        <v>161</v>
      </c>
      <c r="E116" s="10" t="s">
        <v>3804</v>
      </c>
      <c r="F116" s="10" t="s">
        <v>1112</v>
      </c>
      <c r="G116" s="10" t="s">
        <v>3805</v>
      </c>
      <c r="H116" s="11">
        <v>44427.77083333333</v>
      </c>
      <c r="I116" s="11">
        <v>44427.83333333333</v>
      </c>
      <c r="J116" s="10" t="s">
        <v>128</v>
      </c>
      <c r="K116" s="10" t="s">
        <v>34</v>
      </c>
      <c r="N116" s="10" t="s">
        <v>35</v>
      </c>
      <c r="V116" s="14" t="s">
        <v>3806</v>
      </c>
      <c r="W116" s="15" t="s">
        <v>3807</v>
      </c>
      <c r="X116" s="10" t="s">
        <v>3302</v>
      </c>
      <c r="Y116" s="10" t="s">
        <v>0</v>
      </c>
    </row>
    <row r="117">
      <c r="A117" s="10" t="s">
        <v>3808</v>
      </c>
      <c r="B117" s="11">
        <v>44417.87417148148</v>
      </c>
      <c r="C117" s="10" t="s">
        <v>347</v>
      </c>
      <c r="D117" s="10" t="s">
        <v>348</v>
      </c>
      <c r="E117" s="10" t="s">
        <v>3809</v>
      </c>
      <c r="F117" s="10" t="s">
        <v>3781</v>
      </c>
      <c r="G117" s="10" t="s">
        <v>3782</v>
      </c>
      <c r="H117" s="11">
        <v>44427.4375</v>
      </c>
      <c r="I117" s="11">
        <v>44427.52083333333</v>
      </c>
      <c r="J117" s="10" t="s">
        <v>1333</v>
      </c>
      <c r="K117" s="10" t="s">
        <v>34</v>
      </c>
      <c r="N117" s="10" t="s">
        <v>296</v>
      </c>
      <c r="O117" s="18" t="s">
        <v>3810</v>
      </c>
      <c r="P117" s="10" t="s">
        <v>296</v>
      </c>
      <c r="Q117" s="10">
        <v>1.0</v>
      </c>
      <c r="R117" s="10" t="s">
        <v>35</v>
      </c>
      <c r="T117" s="10" t="s">
        <v>35</v>
      </c>
      <c r="V117" s="14" t="s">
        <v>3784</v>
      </c>
      <c r="W117" s="15"/>
      <c r="X117" s="10" t="s">
        <v>37</v>
      </c>
      <c r="Y117" s="10" t="s">
        <v>0</v>
      </c>
    </row>
    <row r="118">
      <c r="A118" s="10" t="s">
        <v>3811</v>
      </c>
      <c r="B118" s="11">
        <v>44420.90562710648</v>
      </c>
      <c r="C118" s="10" t="s">
        <v>347</v>
      </c>
      <c r="D118" s="10" t="s">
        <v>348</v>
      </c>
      <c r="E118" s="10" t="s">
        <v>3429</v>
      </c>
      <c r="F118" s="10" t="s">
        <v>3812</v>
      </c>
      <c r="G118" s="10" t="s">
        <v>3813</v>
      </c>
      <c r="H118" s="11">
        <v>44427.58333333333</v>
      </c>
      <c r="I118" s="11">
        <v>44427.66666666667</v>
      </c>
      <c r="J118" s="10" t="s">
        <v>1333</v>
      </c>
      <c r="K118" s="10" t="s">
        <v>34</v>
      </c>
      <c r="N118" s="10" t="s">
        <v>296</v>
      </c>
      <c r="O118" s="18" t="s">
        <v>3814</v>
      </c>
      <c r="P118" s="10" t="s">
        <v>296</v>
      </c>
      <c r="Q118" s="10">
        <v>2.0</v>
      </c>
      <c r="R118" s="10" t="s">
        <v>35</v>
      </c>
      <c r="T118" s="10" t="s">
        <v>296</v>
      </c>
      <c r="U118" s="10">
        <v>1.0</v>
      </c>
      <c r="V118" s="14" t="s">
        <v>3815</v>
      </c>
      <c r="W118" s="15"/>
      <c r="X118" s="10" t="s">
        <v>37</v>
      </c>
      <c r="Y118" s="10" t="s">
        <v>0</v>
      </c>
    </row>
    <row r="119">
      <c r="A119" s="10" t="s">
        <v>3816</v>
      </c>
      <c r="B119" s="11">
        <v>44419.82056018518</v>
      </c>
      <c r="C119" s="10" t="s">
        <v>975</v>
      </c>
      <c r="D119" s="10" t="s">
        <v>976</v>
      </c>
      <c r="E119" s="10" t="s">
        <v>976</v>
      </c>
      <c r="F119" s="10" t="s">
        <v>3817</v>
      </c>
      <c r="G119" s="10" t="s">
        <v>3818</v>
      </c>
      <c r="H119" s="11">
        <v>44428.35416666667</v>
      </c>
      <c r="I119" s="11">
        <v>44428.39583333333</v>
      </c>
      <c r="J119" s="10" t="s">
        <v>43</v>
      </c>
      <c r="K119" s="10" t="s">
        <v>34</v>
      </c>
      <c r="N119" s="10" t="s">
        <v>296</v>
      </c>
      <c r="O119" s="18" t="s">
        <v>3819</v>
      </c>
      <c r="P119" s="10" t="s">
        <v>35</v>
      </c>
      <c r="R119" s="10" t="s">
        <v>296</v>
      </c>
      <c r="S119" s="10">
        <v>1.0</v>
      </c>
      <c r="T119" s="10" t="s">
        <v>35</v>
      </c>
      <c r="V119" s="14" t="s">
        <v>3820</v>
      </c>
      <c r="W119" s="15" t="s">
        <v>3821</v>
      </c>
      <c r="X119" s="10" t="s">
        <v>37</v>
      </c>
      <c r="Y119" s="10" t="s">
        <v>0</v>
      </c>
    </row>
    <row r="120">
      <c r="A120" s="10" t="s">
        <v>3822</v>
      </c>
      <c r="B120" s="11">
        <v>44425.479248564814</v>
      </c>
      <c r="C120" s="10" t="s">
        <v>975</v>
      </c>
      <c r="D120" s="10" t="s">
        <v>976</v>
      </c>
      <c r="E120" s="10" t="s">
        <v>976</v>
      </c>
      <c r="F120" s="10" t="s">
        <v>3823</v>
      </c>
      <c r="G120" s="10" t="s">
        <v>3824</v>
      </c>
      <c r="H120" s="11">
        <v>44428.35416666667</v>
      </c>
      <c r="I120" s="11">
        <v>44428.39583333333</v>
      </c>
      <c r="J120" s="10" t="s">
        <v>43</v>
      </c>
      <c r="K120" s="10" t="s">
        <v>34</v>
      </c>
      <c r="N120" s="10" t="s">
        <v>296</v>
      </c>
      <c r="O120" s="18" t="s">
        <v>3825</v>
      </c>
      <c r="P120" s="10" t="s">
        <v>35</v>
      </c>
      <c r="R120" s="10" t="s">
        <v>296</v>
      </c>
      <c r="S120" s="10">
        <v>1.0</v>
      </c>
      <c r="T120" s="10" t="s">
        <v>35</v>
      </c>
      <c r="V120" s="14" t="s">
        <v>3820</v>
      </c>
      <c r="W120" s="15"/>
      <c r="X120" s="10" t="s">
        <v>37</v>
      </c>
      <c r="Y120" s="10" t="s">
        <v>0</v>
      </c>
    </row>
    <row r="121">
      <c r="A121" s="10" t="s">
        <v>3826</v>
      </c>
      <c r="B121" s="11">
        <v>44427.05610797454</v>
      </c>
      <c r="C121" s="10" t="s">
        <v>539</v>
      </c>
      <c r="D121" s="10" t="s">
        <v>540</v>
      </c>
      <c r="E121" s="10" t="s">
        <v>541</v>
      </c>
      <c r="F121" s="10" t="s">
        <v>3827</v>
      </c>
      <c r="G121" s="10" t="s">
        <v>3828</v>
      </c>
      <c r="H121" s="11">
        <v>44428.41666666667</v>
      </c>
      <c r="I121" s="11">
        <v>44428.45833333333</v>
      </c>
      <c r="J121" s="10" t="s">
        <v>43</v>
      </c>
      <c r="K121" s="10" t="s">
        <v>34</v>
      </c>
      <c r="N121" s="10" t="s">
        <v>296</v>
      </c>
      <c r="O121" s="18" t="s">
        <v>3829</v>
      </c>
      <c r="P121" s="10" t="s">
        <v>296</v>
      </c>
      <c r="Q121" s="10">
        <v>1.0</v>
      </c>
      <c r="R121" s="10" t="s">
        <v>296</v>
      </c>
      <c r="S121" s="10">
        <v>2.0</v>
      </c>
      <c r="T121" s="10" t="s">
        <v>35</v>
      </c>
      <c r="V121" s="14" t="s">
        <v>3830</v>
      </c>
      <c r="W121" s="15"/>
      <c r="X121" s="10" t="s">
        <v>37</v>
      </c>
      <c r="Y121" s="10" t="s">
        <v>0</v>
      </c>
    </row>
    <row r="122">
      <c r="A122" s="10" t="s">
        <v>3831</v>
      </c>
      <c r="B122" s="11">
        <v>44421.777764189814</v>
      </c>
      <c r="C122" s="10" t="s">
        <v>330</v>
      </c>
      <c r="D122" s="10" t="s">
        <v>331</v>
      </c>
      <c r="E122" s="10" t="s">
        <v>3832</v>
      </c>
      <c r="F122" s="10" t="s">
        <v>831</v>
      </c>
      <c r="G122" s="10" t="s">
        <v>3833</v>
      </c>
      <c r="H122" s="11">
        <v>44428.5625</v>
      </c>
      <c r="I122" s="11">
        <v>44428.6875</v>
      </c>
      <c r="J122" s="10" t="s">
        <v>43</v>
      </c>
      <c r="K122" s="10" t="s">
        <v>34</v>
      </c>
      <c r="N122" s="10" t="s">
        <v>35</v>
      </c>
      <c r="V122" s="14" t="s">
        <v>3834</v>
      </c>
      <c r="W122" s="15"/>
      <c r="X122" s="10" t="s">
        <v>37</v>
      </c>
      <c r="Y122" s="10" t="s">
        <v>0</v>
      </c>
    </row>
    <row r="123">
      <c r="A123" s="10" t="s">
        <v>3835</v>
      </c>
      <c r="B123" s="11">
        <v>44421.782253125</v>
      </c>
      <c r="C123" s="10" t="s">
        <v>330</v>
      </c>
      <c r="D123" s="10" t="s">
        <v>331</v>
      </c>
      <c r="E123" s="10" t="s">
        <v>3836</v>
      </c>
      <c r="F123" s="10" t="s">
        <v>831</v>
      </c>
      <c r="G123" s="10" t="s">
        <v>3837</v>
      </c>
      <c r="H123" s="11">
        <v>44428.5625</v>
      </c>
      <c r="I123" s="11">
        <v>44428.6875</v>
      </c>
      <c r="J123" s="10" t="s">
        <v>43</v>
      </c>
      <c r="K123" s="10" t="s">
        <v>34</v>
      </c>
      <c r="N123" s="10" t="s">
        <v>35</v>
      </c>
      <c r="V123" s="14" t="s">
        <v>3834</v>
      </c>
      <c r="W123" s="15"/>
      <c r="X123" s="10" t="s">
        <v>37</v>
      </c>
      <c r="Y123" s="10" t="s">
        <v>0</v>
      </c>
    </row>
    <row r="124">
      <c r="A124" s="10" t="s">
        <v>3838</v>
      </c>
      <c r="B124" s="11">
        <v>44425.32266476852</v>
      </c>
      <c r="C124" s="10" t="s">
        <v>975</v>
      </c>
      <c r="D124" s="10" t="s">
        <v>976</v>
      </c>
      <c r="E124" s="10" t="s">
        <v>3679</v>
      </c>
      <c r="F124" s="10" t="s">
        <v>3839</v>
      </c>
      <c r="G124" s="10" t="s">
        <v>3840</v>
      </c>
      <c r="H124" s="11">
        <v>44428.6875</v>
      </c>
      <c r="I124" s="11">
        <v>44428.72916666667</v>
      </c>
      <c r="J124" s="10" t="s">
        <v>43</v>
      </c>
      <c r="K124" s="10" t="s">
        <v>34</v>
      </c>
      <c r="N124" s="10" t="s">
        <v>35</v>
      </c>
      <c r="V124" s="35" t="s">
        <v>3740</v>
      </c>
      <c r="W124" s="15"/>
      <c r="X124" s="10" t="s">
        <v>37</v>
      </c>
      <c r="Y124" s="10" t="s">
        <v>0</v>
      </c>
    </row>
    <row r="125">
      <c r="A125" s="10" t="s">
        <v>3841</v>
      </c>
      <c r="B125" s="11">
        <v>44425.75749369213</v>
      </c>
      <c r="C125" s="10" t="s">
        <v>671</v>
      </c>
      <c r="D125" s="10" t="s">
        <v>672</v>
      </c>
      <c r="E125" s="10" t="s">
        <v>3842</v>
      </c>
      <c r="F125" s="10" t="s">
        <v>3843</v>
      </c>
      <c r="G125" s="10" t="s">
        <v>3844</v>
      </c>
      <c r="H125" s="11">
        <v>44427.60416666667</v>
      </c>
      <c r="I125" s="11">
        <v>44427.64583333333</v>
      </c>
      <c r="J125" s="10" t="s">
        <v>128</v>
      </c>
      <c r="K125" s="10" t="s">
        <v>34</v>
      </c>
      <c r="N125" s="10" t="s">
        <v>35</v>
      </c>
      <c r="V125" s="14" t="s">
        <v>3748</v>
      </c>
      <c r="W125" s="15"/>
      <c r="X125" s="10" t="s">
        <v>37</v>
      </c>
      <c r="Y125" s="10" t="s">
        <v>0</v>
      </c>
    </row>
    <row r="126">
      <c r="A126" s="10" t="s">
        <v>3845</v>
      </c>
      <c r="B126" s="11">
        <v>44426.41607245371</v>
      </c>
      <c r="C126" s="10" t="s">
        <v>418</v>
      </c>
      <c r="D126" s="10" t="s">
        <v>419</v>
      </c>
      <c r="E126" s="10" t="s">
        <v>3846</v>
      </c>
      <c r="F126" s="10" t="s">
        <v>3847</v>
      </c>
      <c r="G126" s="10" t="s">
        <v>3848</v>
      </c>
      <c r="H126" s="11">
        <v>44429.41666666667</v>
      </c>
      <c r="I126" s="11">
        <v>44429.45833333333</v>
      </c>
      <c r="J126" s="10" t="s">
        <v>128</v>
      </c>
      <c r="K126" s="10" t="s">
        <v>34</v>
      </c>
      <c r="N126" s="10" t="s">
        <v>296</v>
      </c>
      <c r="O126" s="18" t="s">
        <v>3849</v>
      </c>
      <c r="P126" s="10" t="s">
        <v>296</v>
      </c>
      <c r="Q126" s="10">
        <v>2.0</v>
      </c>
      <c r="R126" s="10" t="s">
        <v>35</v>
      </c>
      <c r="T126" s="10" t="s">
        <v>35</v>
      </c>
      <c r="V126" s="14" t="s">
        <v>3850</v>
      </c>
      <c r="W126" s="15"/>
      <c r="X126" s="10" t="s">
        <v>37</v>
      </c>
      <c r="Y126" s="10" t="s">
        <v>0</v>
      </c>
    </row>
    <row r="127">
      <c r="A127" s="10" t="s">
        <v>3851</v>
      </c>
      <c r="B127" s="11">
        <v>44426.680851377314</v>
      </c>
      <c r="C127" s="10" t="s">
        <v>160</v>
      </c>
      <c r="D127" s="10" t="s">
        <v>161</v>
      </c>
      <c r="E127" s="10" t="s">
        <v>3542</v>
      </c>
      <c r="F127" s="10" t="s">
        <v>1112</v>
      </c>
      <c r="G127" s="10" t="s">
        <v>3852</v>
      </c>
      <c r="H127" s="11">
        <v>44427.77083333333</v>
      </c>
      <c r="I127" s="11">
        <v>44427.8125</v>
      </c>
      <c r="J127" s="10" t="s">
        <v>128</v>
      </c>
      <c r="K127" s="10" t="s">
        <v>34</v>
      </c>
      <c r="N127" s="10" t="s">
        <v>35</v>
      </c>
      <c r="V127" s="14" t="s">
        <v>3806</v>
      </c>
      <c r="W127" s="15"/>
      <c r="X127" s="10" t="s">
        <v>37</v>
      </c>
      <c r="Y127" s="10" t="s">
        <v>0</v>
      </c>
    </row>
    <row r="128">
      <c r="A128" s="10" t="s">
        <v>3853</v>
      </c>
      <c r="B128" s="11">
        <v>44426.705869756945</v>
      </c>
      <c r="C128" s="10" t="s">
        <v>150</v>
      </c>
      <c r="D128" s="10" t="s">
        <v>151</v>
      </c>
      <c r="E128" s="10" t="s">
        <v>3772</v>
      </c>
      <c r="F128" s="10" t="s">
        <v>1380</v>
      </c>
      <c r="G128" s="10" t="s">
        <v>3854</v>
      </c>
      <c r="H128" s="11">
        <v>44429.66666666667</v>
      </c>
      <c r="I128" s="11">
        <v>44429.72916666667</v>
      </c>
      <c r="J128" s="10" t="s">
        <v>43</v>
      </c>
      <c r="K128" s="10" t="s">
        <v>34</v>
      </c>
      <c r="N128" s="10" t="s">
        <v>35</v>
      </c>
      <c r="V128" s="14" t="s">
        <v>3855</v>
      </c>
      <c r="W128" s="15"/>
      <c r="X128" s="10" t="s">
        <v>37</v>
      </c>
      <c r="Y128" s="10" t="s">
        <v>0</v>
      </c>
    </row>
    <row r="129">
      <c r="A129" s="10" t="s">
        <v>3856</v>
      </c>
      <c r="B129" s="11">
        <v>44406.840668206016</v>
      </c>
      <c r="C129" s="10" t="s">
        <v>28</v>
      </c>
      <c r="D129" s="10" t="s">
        <v>29</v>
      </c>
      <c r="E129" s="10" t="s">
        <v>63</v>
      </c>
      <c r="F129" s="10" t="s">
        <v>3857</v>
      </c>
      <c r="G129" s="10" t="s">
        <v>3858</v>
      </c>
      <c r="H129" s="11">
        <v>44431.0</v>
      </c>
      <c r="I129" s="11">
        <v>44435.99930555555</v>
      </c>
      <c r="J129" s="10" t="s">
        <v>43</v>
      </c>
      <c r="K129" s="10" t="s">
        <v>34</v>
      </c>
      <c r="N129" s="10" t="s">
        <v>35</v>
      </c>
      <c r="V129" s="9"/>
      <c r="W129" s="13"/>
      <c r="X129" s="10" t="s">
        <v>3302</v>
      </c>
    </row>
    <row r="130">
      <c r="A130" s="10" t="s">
        <v>3859</v>
      </c>
      <c r="B130" s="11">
        <v>44427.51601131944</v>
      </c>
      <c r="C130" s="10" t="s">
        <v>209</v>
      </c>
      <c r="D130" s="10" t="s">
        <v>210</v>
      </c>
      <c r="E130" s="10" t="s">
        <v>261</v>
      </c>
      <c r="F130" s="10" t="s">
        <v>3860</v>
      </c>
      <c r="G130" s="10" t="s">
        <v>3861</v>
      </c>
      <c r="H130" s="11">
        <v>44435.4375</v>
      </c>
      <c r="I130" s="11">
        <v>44435.52083333333</v>
      </c>
      <c r="J130" s="10" t="s">
        <v>128</v>
      </c>
      <c r="K130" s="10" t="s">
        <v>34</v>
      </c>
      <c r="N130" s="10" t="s">
        <v>35</v>
      </c>
      <c r="V130" s="35" t="s">
        <v>3862</v>
      </c>
      <c r="W130" s="15"/>
      <c r="X130" s="10" t="s">
        <v>37</v>
      </c>
      <c r="Y130" s="10" t="s">
        <v>0</v>
      </c>
    </row>
    <row r="131">
      <c r="A131" s="10" t="s">
        <v>3863</v>
      </c>
      <c r="B131" s="11">
        <v>44435.383201296296</v>
      </c>
      <c r="C131" s="10" t="s">
        <v>181</v>
      </c>
      <c r="D131" s="10" t="s">
        <v>69</v>
      </c>
      <c r="E131" s="10" t="s">
        <v>3864</v>
      </c>
      <c r="F131" s="10" t="s">
        <v>3865</v>
      </c>
      <c r="G131" s="10" t="s">
        <v>3866</v>
      </c>
      <c r="H131" s="36">
        <v>44438.72916666667</v>
      </c>
      <c r="I131" s="11">
        <v>44438.77083333333</v>
      </c>
      <c r="J131" s="10" t="s">
        <v>128</v>
      </c>
      <c r="K131" s="10" t="s">
        <v>34</v>
      </c>
      <c r="N131" s="10" t="s">
        <v>35</v>
      </c>
      <c r="V131" s="14" t="s">
        <v>3554</v>
      </c>
      <c r="W131" s="15"/>
      <c r="X131" s="10" t="s">
        <v>37</v>
      </c>
      <c r="Y131" s="10" t="s">
        <v>0</v>
      </c>
    </row>
    <row r="132">
      <c r="A132" s="10" t="s">
        <v>3867</v>
      </c>
      <c r="B132" s="11">
        <v>44434.61606019676</v>
      </c>
      <c r="C132" s="10" t="s">
        <v>3304</v>
      </c>
      <c r="D132" s="10" t="s">
        <v>695</v>
      </c>
      <c r="E132" s="10" t="s">
        <v>3461</v>
      </c>
      <c r="F132" s="10" t="s">
        <v>3868</v>
      </c>
      <c r="G132" s="10" t="s">
        <v>3869</v>
      </c>
      <c r="H132" s="36">
        <v>44439.5625</v>
      </c>
      <c r="I132" s="11">
        <v>44439.99930555555</v>
      </c>
      <c r="J132" s="10" t="s">
        <v>73</v>
      </c>
      <c r="K132" s="10" t="s">
        <v>34</v>
      </c>
      <c r="N132" s="10" t="s">
        <v>35</v>
      </c>
      <c r="V132" s="14" t="s">
        <v>3464</v>
      </c>
      <c r="W132" s="15"/>
      <c r="X132" s="10" t="s">
        <v>37</v>
      </c>
      <c r="Y132" s="10" t="s">
        <v>0</v>
      </c>
    </row>
    <row r="133">
      <c r="A133" s="10" t="s">
        <v>3870</v>
      </c>
      <c r="B133" s="11">
        <v>44428.6511219213</v>
      </c>
      <c r="C133" s="10" t="s">
        <v>347</v>
      </c>
      <c r="D133" s="10" t="s">
        <v>348</v>
      </c>
      <c r="E133" s="10" t="s">
        <v>3429</v>
      </c>
      <c r="F133" s="10" t="s">
        <v>3871</v>
      </c>
      <c r="G133" s="10" t="s">
        <v>3872</v>
      </c>
      <c r="H133" s="11">
        <v>44431.29166666667</v>
      </c>
      <c r="I133" s="11">
        <v>44431.33333333333</v>
      </c>
      <c r="J133" s="10" t="s">
        <v>43</v>
      </c>
      <c r="K133" s="10" t="s">
        <v>34</v>
      </c>
      <c r="N133" s="10" t="s">
        <v>35</v>
      </c>
      <c r="V133" s="14" t="s">
        <v>3873</v>
      </c>
      <c r="W133" s="15" t="s">
        <v>3874</v>
      </c>
      <c r="X133" s="10" t="s">
        <v>37</v>
      </c>
      <c r="Y133" s="10" t="s">
        <v>0</v>
      </c>
    </row>
    <row r="134">
      <c r="A134" s="10" t="s">
        <v>3875</v>
      </c>
      <c r="B134" s="11">
        <v>44434.60263599537</v>
      </c>
      <c r="C134" s="10" t="s">
        <v>3304</v>
      </c>
      <c r="D134" s="10" t="s">
        <v>695</v>
      </c>
      <c r="E134" s="10" t="s">
        <v>3461</v>
      </c>
      <c r="F134" s="10" t="s">
        <v>3876</v>
      </c>
      <c r="G134" s="10" t="s">
        <v>3877</v>
      </c>
      <c r="H134" s="11">
        <v>44435.6875</v>
      </c>
      <c r="I134" s="11">
        <v>44435.72916666667</v>
      </c>
      <c r="J134" s="10" t="s">
        <v>43</v>
      </c>
      <c r="K134" s="10" t="s">
        <v>34</v>
      </c>
      <c r="N134" s="10" t="s">
        <v>296</v>
      </c>
      <c r="O134" s="18" t="s">
        <v>3878</v>
      </c>
      <c r="P134" s="10" t="s">
        <v>296</v>
      </c>
      <c r="Q134" s="10">
        <v>1.0</v>
      </c>
      <c r="R134" s="10" t="s">
        <v>35</v>
      </c>
      <c r="T134" s="10" t="s">
        <v>35</v>
      </c>
      <c r="V134" s="14" t="s">
        <v>3879</v>
      </c>
      <c r="W134" s="15"/>
      <c r="X134" s="10" t="s">
        <v>37</v>
      </c>
      <c r="Y134" s="10" t="s">
        <v>0</v>
      </c>
    </row>
    <row r="135">
      <c r="A135" s="10" t="s">
        <v>3880</v>
      </c>
      <c r="B135" s="11">
        <v>44436.388769375</v>
      </c>
      <c r="C135" s="10" t="s">
        <v>96</v>
      </c>
      <c r="D135" s="10" t="s">
        <v>97</v>
      </c>
      <c r="E135" s="10" t="s">
        <v>3526</v>
      </c>
      <c r="F135" s="10" t="s">
        <v>3881</v>
      </c>
      <c r="G135" s="10" t="s">
        <v>3882</v>
      </c>
      <c r="H135" s="11">
        <v>44435.77083333333</v>
      </c>
      <c r="I135" s="11">
        <v>44435.85416666667</v>
      </c>
      <c r="J135" s="10" t="s">
        <v>43</v>
      </c>
      <c r="K135" s="10" t="s">
        <v>34</v>
      </c>
      <c r="N135" s="10" t="s">
        <v>35</v>
      </c>
      <c r="V135" s="14" t="s">
        <v>3883</v>
      </c>
      <c r="W135" s="15"/>
      <c r="Y135" s="10" t="s">
        <v>0</v>
      </c>
    </row>
    <row r="136">
      <c r="A136" s="10" t="s">
        <v>3884</v>
      </c>
      <c r="B136" s="11">
        <v>44427.56574868056</v>
      </c>
      <c r="C136" s="10" t="s">
        <v>181</v>
      </c>
      <c r="D136" s="10" t="s">
        <v>69</v>
      </c>
      <c r="E136" s="10" t="s">
        <v>1284</v>
      </c>
      <c r="F136" s="10" t="s">
        <v>3885</v>
      </c>
      <c r="G136" s="10" t="s">
        <v>3886</v>
      </c>
      <c r="H136" s="11">
        <v>44431.5</v>
      </c>
      <c r="I136" s="11">
        <v>44431.58333333333</v>
      </c>
      <c r="J136" s="10" t="s">
        <v>128</v>
      </c>
      <c r="K136" s="10" t="s">
        <v>34</v>
      </c>
      <c r="N136" s="10" t="s">
        <v>35</v>
      </c>
      <c r="V136" s="14" t="s">
        <v>3479</v>
      </c>
      <c r="W136" s="15"/>
      <c r="X136" s="10" t="s">
        <v>37</v>
      </c>
      <c r="Y136" s="10" t="s">
        <v>0</v>
      </c>
    </row>
    <row r="137">
      <c r="A137" s="10" t="s">
        <v>3887</v>
      </c>
      <c r="B137" s="11">
        <v>44427.5714453125</v>
      </c>
      <c r="C137" s="10" t="s">
        <v>181</v>
      </c>
      <c r="D137" s="10" t="s">
        <v>69</v>
      </c>
      <c r="E137" s="10" t="s">
        <v>3864</v>
      </c>
      <c r="F137" s="10" t="s">
        <v>3888</v>
      </c>
      <c r="G137" s="10" t="s">
        <v>3889</v>
      </c>
      <c r="H137" s="11">
        <v>44431.6875</v>
      </c>
      <c r="I137" s="11">
        <v>44431.77083333333</v>
      </c>
      <c r="J137" s="10" t="s">
        <v>128</v>
      </c>
      <c r="K137" s="10" t="s">
        <v>34</v>
      </c>
      <c r="N137" s="10" t="s">
        <v>35</v>
      </c>
      <c r="V137" s="14" t="s">
        <v>3890</v>
      </c>
      <c r="W137" s="15"/>
      <c r="X137" s="10" t="s">
        <v>37</v>
      </c>
      <c r="Y137" s="10" t="s">
        <v>0</v>
      </c>
    </row>
    <row r="138">
      <c r="A138" s="10" t="s">
        <v>3891</v>
      </c>
      <c r="B138" s="11">
        <v>44427.57462127315</v>
      </c>
      <c r="C138" s="10" t="s">
        <v>181</v>
      </c>
      <c r="D138" s="10" t="s">
        <v>69</v>
      </c>
      <c r="E138" s="10" t="s">
        <v>1879</v>
      </c>
      <c r="F138" s="10" t="s">
        <v>3892</v>
      </c>
      <c r="G138" s="10" t="s">
        <v>3893</v>
      </c>
      <c r="H138" s="11">
        <v>44431.41666666667</v>
      </c>
      <c r="I138" s="11">
        <v>44431.5</v>
      </c>
      <c r="J138" s="10" t="s">
        <v>128</v>
      </c>
      <c r="K138" s="10" t="s">
        <v>34</v>
      </c>
      <c r="N138" s="10" t="s">
        <v>35</v>
      </c>
      <c r="V138" s="14" t="s">
        <v>3894</v>
      </c>
      <c r="W138" s="15"/>
      <c r="X138" s="10" t="s">
        <v>37</v>
      </c>
      <c r="Y138" s="10" t="s">
        <v>0</v>
      </c>
    </row>
    <row r="139">
      <c r="A139" s="10" t="s">
        <v>3895</v>
      </c>
      <c r="B139" s="11">
        <v>44427.61876747685</v>
      </c>
      <c r="C139" s="10" t="s">
        <v>374</v>
      </c>
      <c r="D139" s="10" t="s">
        <v>375</v>
      </c>
      <c r="E139" s="10" t="s">
        <v>3452</v>
      </c>
      <c r="F139" s="10" t="s">
        <v>3896</v>
      </c>
      <c r="G139" s="10" t="s">
        <v>3897</v>
      </c>
      <c r="H139" s="11">
        <v>44434.5625</v>
      </c>
      <c r="I139" s="11">
        <v>44434.60416666667</v>
      </c>
      <c r="J139" s="10" t="s">
        <v>128</v>
      </c>
      <c r="K139" s="10" t="s">
        <v>34</v>
      </c>
      <c r="N139" s="10" t="s">
        <v>35</v>
      </c>
      <c r="V139" s="14" t="s">
        <v>3898</v>
      </c>
      <c r="W139" s="15"/>
      <c r="X139" s="10" t="s">
        <v>37</v>
      </c>
      <c r="Y139" s="10" t="s">
        <v>0</v>
      </c>
    </row>
    <row r="140">
      <c r="A140" s="10" t="s">
        <v>3899</v>
      </c>
      <c r="B140" s="11">
        <v>44427.62351619213</v>
      </c>
      <c r="C140" s="10" t="s">
        <v>374</v>
      </c>
      <c r="D140" s="10" t="s">
        <v>375</v>
      </c>
      <c r="E140" s="10" t="s">
        <v>3452</v>
      </c>
      <c r="F140" s="10" t="s">
        <v>2183</v>
      </c>
      <c r="G140" s="10" t="s">
        <v>3900</v>
      </c>
      <c r="H140" s="11">
        <v>44435.77083333333</v>
      </c>
      <c r="I140" s="11">
        <v>44435.83333333333</v>
      </c>
      <c r="J140" s="10" t="s">
        <v>33</v>
      </c>
      <c r="K140" s="10" t="s">
        <v>34</v>
      </c>
      <c r="N140" s="10" t="s">
        <v>35</v>
      </c>
      <c r="V140" s="14" t="s">
        <v>3901</v>
      </c>
      <c r="W140" s="15"/>
      <c r="X140" s="10" t="s">
        <v>37</v>
      </c>
      <c r="Y140" s="10" t="s">
        <v>0</v>
      </c>
    </row>
    <row r="141">
      <c r="A141" s="10" t="s">
        <v>3902</v>
      </c>
      <c r="B141" s="11">
        <v>44434.70262752315</v>
      </c>
      <c r="C141" s="10" t="s">
        <v>671</v>
      </c>
      <c r="D141" s="10" t="s">
        <v>672</v>
      </c>
      <c r="E141" s="10" t="s">
        <v>3903</v>
      </c>
      <c r="F141" s="10" t="s">
        <v>3904</v>
      </c>
      <c r="G141" s="10" t="s">
        <v>3905</v>
      </c>
      <c r="H141" s="36">
        <v>44441.52083333333</v>
      </c>
      <c r="I141" s="11">
        <v>44441.60416666667</v>
      </c>
      <c r="J141" s="10" t="s">
        <v>128</v>
      </c>
      <c r="K141" s="10" t="s">
        <v>34</v>
      </c>
      <c r="N141" s="10" t="s">
        <v>35</v>
      </c>
      <c r="V141" s="14" t="s">
        <v>3906</v>
      </c>
      <c r="W141" s="15"/>
      <c r="X141" s="10" t="s">
        <v>37</v>
      </c>
      <c r="Y141" s="10" t="s">
        <v>0</v>
      </c>
    </row>
    <row r="142">
      <c r="A142" s="10" t="s">
        <v>3907</v>
      </c>
      <c r="B142" s="11">
        <v>44435.76456056713</v>
      </c>
      <c r="C142" s="10" t="s">
        <v>160</v>
      </c>
      <c r="D142" s="10" t="s">
        <v>161</v>
      </c>
      <c r="E142" s="10" t="s">
        <v>3804</v>
      </c>
      <c r="F142" s="10" t="s">
        <v>3908</v>
      </c>
      <c r="G142" s="10" t="s">
        <v>3909</v>
      </c>
      <c r="H142" s="36">
        <v>44441.77083333333</v>
      </c>
      <c r="I142" s="11">
        <v>44441.8125</v>
      </c>
      <c r="J142" s="10" t="s">
        <v>128</v>
      </c>
      <c r="K142" s="10" t="s">
        <v>34</v>
      </c>
      <c r="N142" s="10" t="s">
        <v>35</v>
      </c>
      <c r="V142" s="14" t="s">
        <v>3910</v>
      </c>
      <c r="W142" s="15"/>
      <c r="Y142" s="10" t="s">
        <v>0</v>
      </c>
    </row>
    <row r="143">
      <c r="A143" s="10" t="s">
        <v>3911</v>
      </c>
      <c r="B143" s="11">
        <v>44434.69809657407</v>
      </c>
      <c r="C143" s="10" t="s">
        <v>181</v>
      </c>
      <c r="D143" s="10" t="s">
        <v>69</v>
      </c>
      <c r="E143" s="10" t="s">
        <v>3912</v>
      </c>
      <c r="F143" s="10" t="s">
        <v>3913</v>
      </c>
      <c r="G143" s="10" t="s">
        <v>3914</v>
      </c>
      <c r="H143" s="11">
        <v>44442.3125</v>
      </c>
      <c r="I143" s="11">
        <v>44442.4375</v>
      </c>
      <c r="J143" s="10" t="s">
        <v>128</v>
      </c>
      <c r="K143" s="10" t="s">
        <v>61</v>
      </c>
      <c r="L143" s="10" t="s">
        <v>1334</v>
      </c>
      <c r="N143" s="10" t="s">
        <v>35</v>
      </c>
      <c r="V143" s="9"/>
      <c r="W143" s="13"/>
      <c r="Y143" s="10" t="s">
        <v>0</v>
      </c>
    </row>
    <row r="144">
      <c r="A144" s="10" t="s">
        <v>3915</v>
      </c>
      <c r="B144" s="11">
        <v>44427.97592354167</v>
      </c>
      <c r="C144" s="10" t="s">
        <v>3916</v>
      </c>
      <c r="D144" s="10" t="s">
        <v>3917</v>
      </c>
      <c r="E144" s="10" t="s">
        <v>3918</v>
      </c>
      <c r="F144" s="10" t="s">
        <v>3919</v>
      </c>
      <c r="G144" s="10" t="s">
        <v>3920</v>
      </c>
      <c r="H144" s="11">
        <v>44435.77083333333</v>
      </c>
      <c r="I144" s="11">
        <v>44435.85416666667</v>
      </c>
      <c r="J144" s="10" t="s">
        <v>128</v>
      </c>
      <c r="K144" s="10" t="s">
        <v>34</v>
      </c>
      <c r="N144" s="10" t="s">
        <v>35</v>
      </c>
      <c r="V144" s="14" t="s">
        <v>3921</v>
      </c>
      <c r="W144" s="15"/>
      <c r="X144" s="10" t="s">
        <v>37</v>
      </c>
      <c r="Y144" s="10" t="s">
        <v>0</v>
      </c>
    </row>
    <row r="145">
      <c r="A145" s="10" t="s">
        <v>3922</v>
      </c>
      <c r="B145" s="11">
        <v>44428.620263460645</v>
      </c>
      <c r="C145" s="10" t="s">
        <v>381</v>
      </c>
      <c r="D145" s="10" t="s">
        <v>382</v>
      </c>
      <c r="E145" s="10" t="s">
        <v>1487</v>
      </c>
      <c r="F145" s="10" t="s">
        <v>3923</v>
      </c>
      <c r="G145" s="10" t="s">
        <v>3924</v>
      </c>
      <c r="H145" s="11">
        <v>44435.66875</v>
      </c>
      <c r="I145" s="11">
        <v>44463.72916666667</v>
      </c>
      <c r="J145" s="10" t="s">
        <v>128</v>
      </c>
      <c r="K145" s="10" t="s">
        <v>34</v>
      </c>
      <c r="N145" s="10" t="s">
        <v>35</v>
      </c>
      <c r="V145" s="14" t="s">
        <v>3770</v>
      </c>
      <c r="W145" s="15"/>
      <c r="X145" s="10" t="s">
        <v>37</v>
      </c>
      <c r="Y145" s="10" t="s">
        <v>0</v>
      </c>
    </row>
    <row r="146">
      <c r="A146" s="10" t="s">
        <v>3925</v>
      </c>
      <c r="B146" s="11">
        <v>44428.62211793981</v>
      </c>
      <c r="C146" s="10" t="s">
        <v>381</v>
      </c>
      <c r="D146" s="10" t="s">
        <v>382</v>
      </c>
      <c r="E146" s="10" t="s">
        <v>1487</v>
      </c>
      <c r="F146" s="10" t="s">
        <v>3926</v>
      </c>
      <c r="G146" s="10" t="s">
        <v>3927</v>
      </c>
      <c r="H146" s="11">
        <v>44435.6875</v>
      </c>
      <c r="I146" s="11">
        <v>44435.72916666667</v>
      </c>
      <c r="J146" s="10" t="s">
        <v>128</v>
      </c>
      <c r="K146" s="10" t="s">
        <v>34</v>
      </c>
      <c r="N146" s="10" t="s">
        <v>35</v>
      </c>
      <c r="V146" s="14" t="s">
        <v>3770</v>
      </c>
      <c r="W146" s="15"/>
      <c r="X146" s="10" t="s">
        <v>37</v>
      </c>
      <c r="Y146" s="10" t="s">
        <v>0</v>
      </c>
    </row>
    <row r="147">
      <c r="A147" s="10" t="s">
        <v>3928</v>
      </c>
      <c r="B147" s="11">
        <v>44428.64124953704</v>
      </c>
      <c r="C147" s="10" t="s">
        <v>181</v>
      </c>
      <c r="D147" s="10" t="s">
        <v>69</v>
      </c>
      <c r="E147" s="10" t="s">
        <v>1179</v>
      </c>
      <c r="F147" s="10" t="s">
        <v>3929</v>
      </c>
      <c r="G147" s="10" t="s">
        <v>3930</v>
      </c>
      <c r="H147" s="11">
        <v>44431.60416666667</v>
      </c>
      <c r="I147" s="11">
        <v>44431.6875</v>
      </c>
      <c r="J147" s="10" t="s">
        <v>128</v>
      </c>
      <c r="K147" s="10" t="s">
        <v>34</v>
      </c>
      <c r="N147" s="10" t="s">
        <v>35</v>
      </c>
      <c r="V147" s="14" t="s">
        <v>3490</v>
      </c>
      <c r="W147" s="15"/>
      <c r="X147" s="10" t="s">
        <v>37</v>
      </c>
      <c r="Y147" s="10" t="s">
        <v>0</v>
      </c>
    </row>
    <row r="148">
      <c r="A148" s="10" t="s">
        <v>3931</v>
      </c>
      <c r="B148" s="11">
        <v>44435.38212239584</v>
      </c>
      <c r="C148" s="10" t="s">
        <v>181</v>
      </c>
      <c r="D148" s="10" t="s">
        <v>69</v>
      </c>
      <c r="E148" s="10" t="s">
        <v>1179</v>
      </c>
      <c r="F148" s="10" t="s">
        <v>3932</v>
      </c>
      <c r="G148" s="10" t="s">
        <v>3933</v>
      </c>
      <c r="H148" s="36">
        <v>44438.6875</v>
      </c>
      <c r="I148" s="11">
        <v>44438.77083333333</v>
      </c>
      <c r="J148" s="10" t="s">
        <v>172</v>
      </c>
      <c r="K148" s="10" t="s">
        <v>34</v>
      </c>
      <c r="N148" s="10" t="s">
        <v>296</v>
      </c>
      <c r="O148" s="18" t="s">
        <v>3934</v>
      </c>
      <c r="P148" s="10" t="s">
        <v>296</v>
      </c>
      <c r="Q148" s="10">
        <v>1.0</v>
      </c>
      <c r="R148" s="10" t="s">
        <v>35</v>
      </c>
      <c r="T148" s="10" t="s">
        <v>35</v>
      </c>
      <c r="V148" s="14" t="s">
        <v>3935</v>
      </c>
      <c r="W148" s="15"/>
      <c r="X148" s="10" t="s">
        <v>37</v>
      </c>
      <c r="Y148" s="10" t="s">
        <v>0</v>
      </c>
    </row>
    <row r="149">
      <c r="A149" s="10" t="s">
        <v>3936</v>
      </c>
      <c r="B149" s="11">
        <v>44428.6546940625</v>
      </c>
      <c r="C149" s="10" t="s">
        <v>347</v>
      </c>
      <c r="D149" s="10" t="s">
        <v>348</v>
      </c>
      <c r="E149" s="10" t="s">
        <v>3429</v>
      </c>
      <c r="F149" s="10" t="s">
        <v>3937</v>
      </c>
      <c r="G149" s="10" t="s">
        <v>3938</v>
      </c>
      <c r="H149" s="11">
        <v>44435.60416666667</v>
      </c>
      <c r="I149" s="11">
        <v>44435.6875</v>
      </c>
      <c r="J149" s="10" t="s">
        <v>128</v>
      </c>
      <c r="K149" s="10" t="s">
        <v>34</v>
      </c>
      <c r="N149" s="10" t="s">
        <v>35</v>
      </c>
      <c r="V149" s="14" t="s">
        <v>3939</v>
      </c>
      <c r="W149" s="15"/>
      <c r="X149" s="10" t="s">
        <v>37</v>
      </c>
      <c r="Y149" s="10" t="s">
        <v>0</v>
      </c>
    </row>
    <row r="150">
      <c r="A150" s="10" t="s">
        <v>3940</v>
      </c>
      <c r="B150" s="11">
        <v>44427.51693875</v>
      </c>
      <c r="C150" s="10" t="s">
        <v>209</v>
      </c>
      <c r="D150" s="10" t="s">
        <v>210</v>
      </c>
      <c r="E150" s="10" t="s">
        <v>261</v>
      </c>
      <c r="F150" s="10" t="s">
        <v>3860</v>
      </c>
      <c r="G150" s="10" t="s">
        <v>3941</v>
      </c>
      <c r="H150" s="36">
        <v>44442.4375</v>
      </c>
      <c r="I150" s="11">
        <v>44442.52083333333</v>
      </c>
      <c r="J150" s="10" t="s">
        <v>128</v>
      </c>
      <c r="K150" s="10" t="s">
        <v>34</v>
      </c>
      <c r="N150" s="10" t="s">
        <v>35</v>
      </c>
      <c r="V150" s="35" t="s">
        <v>3942</v>
      </c>
      <c r="W150" s="15"/>
      <c r="X150" s="10" t="s">
        <v>37</v>
      </c>
      <c r="Y150" s="10" t="s">
        <v>0</v>
      </c>
    </row>
    <row r="151">
      <c r="A151" s="10" t="s">
        <v>3943</v>
      </c>
      <c r="B151" s="11">
        <v>44428.72862695601</v>
      </c>
      <c r="C151" s="10" t="s">
        <v>80</v>
      </c>
      <c r="D151" s="10" t="s">
        <v>81</v>
      </c>
      <c r="E151" s="10" t="s">
        <v>81</v>
      </c>
      <c r="F151" s="10" t="s">
        <v>3944</v>
      </c>
      <c r="G151" s="10" t="s">
        <v>3945</v>
      </c>
      <c r="H151" s="11">
        <v>44429.60416666667</v>
      </c>
      <c r="I151" s="11">
        <v>44429.6875</v>
      </c>
      <c r="J151" s="10" t="s">
        <v>128</v>
      </c>
      <c r="K151" s="10" t="s">
        <v>34</v>
      </c>
      <c r="N151" s="10" t="s">
        <v>35</v>
      </c>
      <c r="V151" s="14" t="s">
        <v>3946</v>
      </c>
      <c r="W151" s="15"/>
      <c r="X151" s="10" t="s">
        <v>37</v>
      </c>
      <c r="Y151" s="10" t="s">
        <v>0</v>
      </c>
    </row>
    <row r="152">
      <c r="A152" s="10" t="s">
        <v>3947</v>
      </c>
      <c r="B152" s="11">
        <v>44427.51705061343</v>
      </c>
      <c r="C152" s="10" t="s">
        <v>209</v>
      </c>
      <c r="D152" s="10" t="s">
        <v>210</v>
      </c>
      <c r="E152" s="10" t="s">
        <v>261</v>
      </c>
      <c r="F152" s="10" t="s">
        <v>3860</v>
      </c>
      <c r="G152" s="10" t="s">
        <v>3941</v>
      </c>
      <c r="H152" s="36">
        <v>44442.4375</v>
      </c>
      <c r="I152" s="11">
        <v>44442.52083333333</v>
      </c>
      <c r="J152" s="10" t="s">
        <v>128</v>
      </c>
      <c r="K152" s="10" t="s">
        <v>34</v>
      </c>
      <c r="N152" s="10" t="s">
        <v>35</v>
      </c>
      <c r="V152" s="35" t="s">
        <v>3942</v>
      </c>
      <c r="W152" s="15"/>
      <c r="X152" s="10" t="s">
        <v>37</v>
      </c>
      <c r="Y152" s="10" t="s">
        <v>0</v>
      </c>
    </row>
    <row r="153">
      <c r="A153" s="10" t="s">
        <v>3948</v>
      </c>
      <c r="B153" s="11">
        <v>44434.66139471065</v>
      </c>
      <c r="C153" s="10" t="s">
        <v>181</v>
      </c>
      <c r="D153" s="10" t="s">
        <v>69</v>
      </c>
      <c r="E153" s="10" t="s">
        <v>1879</v>
      </c>
      <c r="F153" s="10" t="s">
        <v>3949</v>
      </c>
      <c r="G153" s="10" t="s">
        <v>3950</v>
      </c>
      <c r="H153" s="36">
        <v>44442.4375</v>
      </c>
      <c r="I153" s="11">
        <v>44442.4375</v>
      </c>
      <c r="J153" s="10" t="s">
        <v>73</v>
      </c>
      <c r="K153" s="10" t="s">
        <v>34</v>
      </c>
      <c r="N153" s="10" t="s">
        <v>35</v>
      </c>
      <c r="V153" s="14" t="s">
        <v>3951</v>
      </c>
      <c r="W153" s="15"/>
      <c r="X153" s="10" t="s">
        <v>37</v>
      </c>
      <c r="Y153" s="10" t="s">
        <v>0</v>
      </c>
    </row>
    <row r="154">
      <c r="A154" s="10" t="s">
        <v>3952</v>
      </c>
      <c r="B154" s="11">
        <v>44432.56879559028</v>
      </c>
      <c r="C154" s="10" t="s">
        <v>160</v>
      </c>
      <c r="D154" s="10" t="s">
        <v>161</v>
      </c>
      <c r="E154" s="10" t="s">
        <v>3953</v>
      </c>
      <c r="F154" s="10" t="s">
        <v>3954</v>
      </c>
      <c r="G154" s="10" t="s">
        <v>3955</v>
      </c>
      <c r="H154" s="11">
        <v>44432.52083333333</v>
      </c>
      <c r="I154" s="11">
        <v>44432.54166666667</v>
      </c>
      <c r="J154" s="10" t="s">
        <v>73</v>
      </c>
      <c r="K154" s="10" t="s">
        <v>34</v>
      </c>
      <c r="N154" s="10" t="s">
        <v>35</v>
      </c>
      <c r="V154" s="14" t="s">
        <v>3956</v>
      </c>
      <c r="W154" s="15"/>
      <c r="X154" s="10" t="s">
        <v>37</v>
      </c>
      <c r="Y154" s="10" t="s">
        <v>0</v>
      </c>
    </row>
    <row r="155">
      <c r="A155" s="10" t="s">
        <v>3957</v>
      </c>
      <c r="B155" s="11">
        <v>44432.60736922454</v>
      </c>
      <c r="C155" s="10" t="s">
        <v>160</v>
      </c>
      <c r="D155" s="10" t="s">
        <v>161</v>
      </c>
      <c r="E155" s="10" t="s">
        <v>3958</v>
      </c>
      <c r="F155" s="10" t="s">
        <v>3959</v>
      </c>
      <c r="G155" s="10" t="s">
        <v>3960</v>
      </c>
      <c r="H155" s="11">
        <v>44435.60416666667</v>
      </c>
      <c r="I155" s="11">
        <v>44435.625</v>
      </c>
      <c r="J155" s="10" t="s">
        <v>33</v>
      </c>
      <c r="K155" s="10" t="s">
        <v>34</v>
      </c>
      <c r="N155" s="10" t="s">
        <v>296</v>
      </c>
      <c r="O155" s="18" t="s">
        <v>3961</v>
      </c>
      <c r="P155" s="10" t="s">
        <v>296</v>
      </c>
      <c r="Q155" s="10">
        <v>1.0</v>
      </c>
      <c r="R155" s="10" t="s">
        <v>35</v>
      </c>
      <c r="T155" s="10" t="s">
        <v>35</v>
      </c>
      <c r="V155" s="14" t="s">
        <v>3962</v>
      </c>
      <c r="W155" s="15"/>
      <c r="X155" s="10" t="s">
        <v>37</v>
      </c>
      <c r="Y155" s="10" t="s">
        <v>0</v>
      </c>
    </row>
    <row r="156">
      <c r="A156" s="10" t="s">
        <v>3963</v>
      </c>
      <c r="B156" s="11">
        <v>44432.62356260417</v>
      </c>
      <c r="C156" s="10" t="s">
        <v>96</v>
      </c>
      <c r="D156" s="10" t="s">
        <v>97</v>
      </c>
      <c r="E156" s="10" t="s">
        <v>98</v>
      </c>
      <c r="F156" s="10" t="s">
        <v>3964</v>
      </c>
      <c r="G156" s="10" t="s">
        <v>3965</v>
      </c>
      <c r="H156" s="11">
        <v>44428.72916666667</v>
      </c>
      <c r="I156" s="11">
        <v>44428.79166666667</v>
      </c>
      <c r="J156" s="10" t="s">
        <v>128</v>
      </c>
      <c r="K156" s="10" t="s">
        <v>34</v>
      </c>
      <c r="N156" s="10" t="s">
        <v>35</v>
      </c>
      <c r="V156" s="14" t="s">
        <v>3966</v>
      </c>
      <c r="W156" s="15"/>
      <c r="X156" s="10" t="s">
        <v>37</v>
      </c>
      <c r="Y156" s="10" t="s">
        <v>0</v>
      </c>
    </row>
    <row r="157">
      <c r="A157" s="10" t="s">
        <v>3967</v>
      </c>
      <c r="B157" s="11">
        <v>44408.905249375</v>
      </c>
      <c r="C157" s="10" t="s">
        <v>137</v>
      </c>
      <c r="D157" s="10" t="s">
        <v>138</v>
      </c>
      <c r="E157" s="10" t="s">
        <v>3299</v>
      </c>
      <c r="F157" s="10" t="s">
        <v>921</v>
      </c>
      <c r="G157" s="10" t="s">
        <v>3968</v>
      </c>
      <c r="H157" s="36">
        <v>44442.58333333333</v>
      </c>
      <c r="I157" s="11">
        <v>44442.66666666667</v>
      </c>
      <c r="J157" s="10" t="s">
        <v>128</v>
      </c>
      <c r="K157" s="10" t="s">
        <v>34</v>
      </c>
      <c r="N157" s="10" t="s">
        <v>35</v>
      </c>
      <c r="V157" s="9"/>
      <c r="W157" s="13"/>
      <c r="X157" s="10" t="s">
        <v>37</v>
      </c>
      <c r="Y157" s="10" t="s">
        <v>0</v>
      </c>
    </row>
    <row r="158">
      <c r="A158" s="10" t="s">
        <v>3969</v>
      </c>
      <c r="B158" s="11">
        <v>44433.50583623843</v>
      </c>
      <c r="C158" s="10" t="s">
        <v>1740</v>
      </c>
      <c r="D158" s="10" t="s">
        <v>419</v>
      </c>
      <c r="E158" s="10" t="s">
        <v>3846</v>
      </c>
      <c r="F158" s="10" t="s">
        <v>3970</v>
      </c>
      <c r="G158" s="10" t="s">
        <v>3971</v>
      </c>
      <c r="H158" s="36">
        <v>44442.60416666667</v>
      </c>
      <c r="I158" s="11">
        <v>44442.64583333333</v>
      </c>
      <c r="J158" s="10" t="s">
        <v>128</v>
      </c>
      <c r="K158" s="10" t="s">
        <v>34</v>
      </c>
      <c r="N158" s="10" t="s">
        <v>296</v>
      </c>
      <c r="O158" s="18" t="s">
        <v>3972</v>
      </c>
      <c r="P158" s="10" t="s">
        <v>296</v>
      </c>
      <c r="Q158" s="10">
        <v>1.0</v>
      </c>
      <c r="R158" s="10" t="s">
        <v>35</v>
      </c>
      <c r="T158" s="10" t="s">
        <v>35</v>
      </c>
      <c r="V158" s="14" t="s">
        <v>3973</v>
      </c>
      <c r="W158" s="15"/>
      <c r="X158" s="10" t="s">
        <v>37</v>
      </c>
      <c r="Y158" s="10" t="s">
        <v>0</v>
      </c>
    </row>
    <row r="159">
      <c r="A159" s="10" t="s">
        <v>3974</v>
      </c>
      <c r="B159" s="11">
        <v>44433.46607487269</v>
      </c>
      <c r="C159" s="10" t="s">
        <v>3585</v>
      </c>
      <c r="D159" s="10" t="s">
        <v>220</v>
      </c>
      <c r="E159" s="10" t="s">
        <v>3975</v>
      </c>
      <c r="F159" s="10" t="s">
        <v>3591</v>
      </c>
      <c r="G159" s="10" t="s">
        <v>3976</v>
      </c>
      <c r="H159" s="11">
        <v>44434.85416666667</v>
      </c>
      <c r="I159" s="11">
        <v>44434.89583333333</v>
      </c>
      <c r="J159" s="10" t="s">
        <v>128</v>
      </c>
      <c r="K159" s="10" t="s">
        <v>34</v>
      </c>
      <c r="N159" s="10" t="s">
        <v>35</v>
      </c>
      <c r="V159" s="14" t="s">
        <v>3977</v>
      </c>
      <c r="W159" s="15"/>
      <c r="X159" s="10" t="s">
        <v>37</v>
      </c>
      <c r="Y159" s="10" t="s">
        <v>0</v>
      </c>
    </row>
    <row r="160">
      <c r="A160" s="10" t="s">
        <v>3978</v>
      </c>
      <c r="B160" s="11">
        <v>44435.746942337966</v>
      </c>
      <c r="C160" s="10" t="s">
        <v>160</v>
      </c>
      <c r="D160" s="10" t="s">
        <v>161</v>
      </c>
      <c r="E160" s="10" t="s">
        <v>3542</v>
      </c>
      <c r="F160" s="10" t="s">
        <v>3979</v>
      </c>
      <c r="G160" s="10" t="s">
        <v>3980</v>
      </c>
      <c r="H160" s="36">
        <v>44442.60416666667</v>
      </c>
      <c r="I160" s="11">
        <v>44442.694444444445</v>
      </c>
      <c r="J160" s="10" t="s">
        <v>33</v>
      </c>
      <c r="K160" s="10" t="s">
        <v>34</v>
      </c>
      <c r="N160" s="10" t="s">
        <v>296</v>
      </c>
      <c r="O160" s="18" t="s">
        <v>3981</v>
      </c>
      <c r="P160" s="10" t="s">
        <v>296</v>
      </c>
      <c r="Q160" s="10">
        <v>1.0</v>
      </c>
      <c r="R160" s="10" t="s">
        <v>35</v>
      </c>
      <c r="T160" s="10" t="s">
        <v>35</v>
      </c>
      <c r="V160" s="14" t="s">
        <v>3982</v>
      </c>
      <c r="W160" s="15"/>
      <c r="Y160" s="10" t="s">
        <v>0</v>
      </c>
    </row>
    <row r="161">
      <c r="A161" s="10" t="s">
        <v>3983</v>
      </c>
      <c r="B161" s="11">
        <v>44434.46364148148</v>
      </c>
      <c r="C161" s="10" t="s">
        <v>1035</v>
      </c>
      <c r="D161" s="10" t="s">
        <v>1036</v>
      </c>
      <c r="E161" s="10" t="s">
        <v>3984</v>
      </c>
      <c r="F161" s="10" t="s">
        <v>3985</v>
      </c>
      <c r="G161" s="10" t="s">
        <v>3986</v>
      </c>
      <c r="H161" s="36">
        <v>44442.6875</v>
      </c>
      <c r="I161" s="11">
        <v>44442.72916666667</v>
      </c>
      <c r="J161" s="10" t="s">
        <v>128</v>
      </c>
      <c r="K161" s="10" t="s">
        <v>34</v>
      </c>
      <c r="N161" s="10" t="s">
        <v>35</v>
      </c>
      <c r="V161" s="14" t="s">
        <v>3469</v>
      </c>
      <c r="W161" s="15"/>
      <c r="X161" s="10" t="s">
        <v>37</v>
      </c>
      <c r="Y161" s="10" t="s">
        <v>0</v>
      </c>
    </row>
    <row r="162">
      <c r="A162" s="10" t="s">
        <v>3987</v>
      </c>
      <c r="B162" s="11">
        <v>44435.487285613424</v>
      </c>
      <c r="C162" s="10" t="s">
        <v>381</v>
      </c>
      <c r="D162" s="10" t="s">
        <v>382</v>
      </c>
      <c r="E162" s="10" t="s">
        <v>1487</v>
      </c>
      <c r="F162" s="10" t="s">
        <v>3988</v>
      </c>
      <c r="G162" s="10" t="s">
        <v>3989</v>
      </c>
      <c r="H162" s="36">
        <v>44442.6875</v>
      </c>
      <c r="I162" s="11">
        <v>44442.72916666667</v>
      </c>
      <c r="J162" s="10" t="s">
        <v>128</v>
      </c>
      <c r="K162" s="10" t="s">
        <v>34</v>
      </c>
      <c r="N162" s="10" t="s">
        <v>35</v>
      </c>
      <c r="V162" s="14" t="s">
        <v>3990</v>
      </c>
      <c r="W162" s="15"/>
      <c r="X162" s="10" t="s">
        <v>37</v>
      </c>
      <c r="Y162" s="10" t="s">
        <v>0</v>
      </c>
    </row>
    <row r="163">
      <c r="A163" s="10" t="s">
        <v>3991</v>
      </c>
      <c r="B163" s="11">
        <v>44434.66867193287</v>
      </c>
      <c r="C163" s="10" t="s">
        <v>181</v>
      </c>
      <c r="D163" s="10" t="s">
        <v>69</v>
      </c>
      <c r="E163" s="10" t="s">
        <v>1229</v>
      </c>
      <c r="F163" s="10" t="s">
        <v>3992</v>
      </c>
      <c r="G163" s="10" t="s">
        <v>3993</v>
      </c>
      <c r="H163" s="36">
        <v>44440.4375</v>
      </c>
      <c r="I163" s="11">
        <v>44441.47916666667</v>
      </c>
      <c r="J163" s="10" t="s">
        <v>43</v>
      </c>
      <c r="K163" s="10" t="s">
        <v>34</v>
      </c>
      <c r="N163" s="10" t="s">
        <v>296</v>
      </c>
      <c r="O163" s="18" t="s">
        <v>3994</v>
      </c>
      <c r="P163" s="10" t="s">
        <v>35</v>
      </c>
      <c r="R163" s="10" t="s">
        <v>296</v>
      </c>
      <c r="S163" s="10">
        <v>1.0</v>
      </c>
      <c r="T163" s="10" t="s">
        <v>35</v>
      </c>
      <c r="V163" s="14" t="s">
        <v>3995</v>
      </c>
      <c r="W163" s="15"/>
      <c r="X163" s="10" t="s">
        <v>3996</v>
      </c>
      <c r="Y163" s="10" t="s">
        <v>0</v>
      </c>
    </row>
    <row r="164">
      <c r="A164" s="10" t="s">
        <v>3997</v>
      </c>
      <c r="B164" s="11">
        <v>44437.80766548611</v>
      </c>
      <c r="C164" s="10" t="s">
        <v>239</v>
      </c>
      <c r="D164" s="10" t="s">
        <v>240</v>
      </c>
      <c r="E164" s="10" t="s">
        <v>3998</v>
      </c>
      <c r="F164" s="10" t="s">
        <v>3999</v>
      </c>
      <c r="G164" s="10" t="s">
        <v>4000</v>
      </c>
      <c r="H164" s="11">
        <v>44440.60416666667</v>
      </c>
      <c r="I164" s="11">
        <v>44440.64583333333</v>
      </c>
      <c r="J164" s="10" t="s">
        <v>43</v>
      </c>
      <c r="K164" s="10" t="s">
        <v>34</v>
      </c>
      <c r="N164" s="10" t="s">
        <v>35</v>
      </c>
      <c r="V164" s="14" t="s">
        <v>4001</v>
      </c>
      <c r="W164" s="15"/>
      <c r="X164" s="10" t="s">
        <v>37</v>
      </c>
      <c r="Y164" s="10" t="s">
        <v>0</v>
      </c>
    </row>
    <row r="165">
      <c r="A165" s="10" t="s">
        <v>4002</v>
      </c>
      <c r="B165" s="11">
        <v>44433.46547916667</v>
      </c>
      <c r="C165" s="10" t="s">
        <v>330</v>
      </c>
      <c r="D165" s="10" t="s">
        <v>331</v>
      </c>
      <c r="E165" s="10" t="s">
        <v>4003</v>
      </c>
      <c r="F165" s="10" t="s">
        <v>4004</v>
      </c>
      <c r="G165" s="10" t="s">
        <v>4005</v>
      </c>
      <c r="H165" s="36">
        <v>44440.72916666667</v>
      </c>
      <c r="I165" s="11">
        <v>44440.77083333333</v>
      </c>
      <c r="J165" s="10" t="s">
        <v>172</v>
      </c>
      <c r="K165" s="10" t="s">
        <v>34</v>
      </c>
      <c r="N165" s="10" t="s">
        <v>35</v>
      </c>
      <c r="V165" s="14" t="s">
        <v>4006</v>
      </c>
      <c r="W165" s="15"/>
      <c r="X165" s="10" t="s">
        <v>37</v>
      </c>
      <c r="Y165" s="10" t="s">
        <v>0</v>
      </c>
    </row>
    <row r="166">
      <c r="A166" s="10" t="s">
        <v>4007</v>
      </c>
      <c r="B166" s="11">
        <v>44435.65341105324</v>
      </c>
      <c r="C166" s="10" t="s">
        <v>516</v>
      </c>
      <c r="D166" s="10" t="s">
        <v>511</v>
      </c>
      <c r="E166" s="10" t="s">
        <v>2164</v>
      </c>
      <c r="F166" s="10" t="s">
        <v>4008</v>
      </c>
      <c r="G166" s="10" t="s">
        <v>4009</v>
      </c>
      <c r="H166" s="36">
        <v>44443.4375</v>
      </c>
      <c r="I166" s="11">
        <v>44443.52083333333</v>
      </c>
      <c r="J166" s="10" t="s">
        <v>128</v>
      </c>
      <c r="K166" s="10" t="s">
        <v>34</v>
      </c>
      <c r="N166" s="10" t="s">
        <v>35</v>
      </c>
      <c r="V166" s="14" t="s">
        <v>3717</v>
      </c>
      <c r="W166" s="15"/>
      <c r="X166" s="10" t="s">
        <v>37</v>
      </c>
      <c r="Y166" s="10" t="s">
        <v>0</v>
      </c>
    </row>
    <row r="167">
      <c r="A167" s="10" t="s">
        <v>4010</v>
      </c>
      <c r="B167" s="11">
        <v>44441.510915810184</v>
      </c>
      <c r="C167" s="10" t="s">
        <v>80</v>
      </c>
      <c r="D167" s="10" t="s">
        <v>81</v>
      </c>
      <c r="E167" s="10" t="s">
        <v>2119</v>
      </c>
      <c r="F167" s="38" t="s">
        <v>4011</v>
      </c>
      <c r="G167" s="39" t="s">
        <v>4012</v>
      </c>
      <c r="H167" s="36">
        <v>44445.33333333333</v>
      </c>
      <c r="I167" s="11">
        <v>44445.375</v>
      </c>
      <c r="J167" s="10" t="s">
        <v>73</v>
      </c>
      <c r="K167" s="10" t="s">
        <v>34</v>
      </c>
      <c r="N167" s="10" t="s">
        <v>35</v>
      </c>
      <c r="V167" s="40" t="s">
        <v>4013</v>
      </c>
      <c r="W167" s="15"/>
      <c r="X167" s="10" t="s">
        <v>37</v>
      </c>
      <c r="Y167" s="10" t="s">
        <v>0</v>
      </c>
    </row>
    <row r="168">
      <c r="A168" s="10" t="s">
        <v>4014</v>
      </c>
      <c r="B168" s="11">
        <v>44442.49509326389</v>
      </c>
      <c r="C168" s="10" t="s">
        <v>181</v>
      </c>
      <c r="D168" s="10" t="s">
        <v>69</v>
      </c>
      <c r="E168" s="10" t="s">
        <v>4015</v>
      </c>
      <c r="F168" s="10" t="s">
        <v>4016</v>
      </c>
      <c r="G168" s="39" t="s">
        <v>4017</v>
      </c>
      <c r="H168" s="36">
        <v>44445.39583333333</v>
      </c>
      <c r="I168" s="11">
        <v>44445.4375</v>
      </c>
      <c r="J168" s="10" t="s">
        <v>128</v>
      </c>
      <c r="K168" s="10" t="s">
        <v>34</v>
      </c>
      <c r="N168" s="10" t="s">
        <v>35</v>
      </c>
      <c r="V168" s="14" t="s">
        <v>4018</v>
      </c>
      <c r="W168" s="15"/>
      <c r="Y168" s="10" t="s">
        <v>0</v>
      </c>
    </row>
    <row r="169">
      <c r="A169" s="10" t="s">
        <v>4019</v>
      </c>
      <c r="B169" s="11">
        <v>44435.69213240741</v>
      </c>
      <c r="C169" s="10" t="s">
        <v>181</v>
      </c>
      <c r="D169" s="10" t="s">
        <v>69</v>
      </c>
      <c r="E169" s="10" t="s">
        <v>2100</v>
      </c>
      <c r="F169" s="10" t="s">
        <v>4020</v>
      </c>
      <c r="G169" s="10" t="s">
        <v>4021</v>
      </c>
      <c r="H169" s="36">
        <v>44441.4375</v>
      </c>
      <c r="I169" s="11">
        <v>44441.47916666667</v>
      </c>
      <c r="J169" s="10" t="s">
        <v>43</v>
      </c>
      <c r="K169" s="10" t="s">
        <v>34</v>
      </c>
      <c r="N169" s="10" t="s">
        <v>296</v>
      </c>
      <c r="O169" s="18" t="s">
        <v>4022</v>
      </c>
      <c r="P169" s="10" t="s">
        <v>35</v>
      </c>
      <c r="R169" s="10" t="s">
        <v>296</v>
      </c>
      <c r="S169" s="10">
        <v>1.0</v>
      </c>
      <c r="T169" s="10" t="s">
        <v>35</v>
      </c>
      <c r="V169" s="14" t="s">
        <v>3995</v>
      </c>
      <c r="W169" s="15"/>
      <c r="Y169" s="10" t="s">
        <v>0</v>
      </c>
    </row>
    <row r="170">
      <c r="A170" s="10" t="s">
        <v>4023</v>
      </c>
      <c r="B170" s="11">
        <v>44440.86724894676</v>
      </c>
      <c r="C170" s="10" t="s">
        <v>181</v>
      </c>
      <c r="D170" s="10" t="s">
        <v>69</v>
      </c>
      <c r="E170" s="10" t="s">
        <v>1284</v>
      </c>
      <c r="F170" s="10" t="s">
        <v>4024</v>
      </c>
      <c r="G170" s="35" t="s">
        <v>4025</v>
      </c>
      <c r="H170" s="36">
        <v>44445.54166666667</v>
      </c>
      <c r="I170" s="11">
        <v>44445.58333333333</v>
      </c>
      <c r="J170" s="10" t="s">
        <v>128</v>
      </c>
      <c r="K170" s="10" t="s">
        <v>34</v>
      </c>
      <c r="N170" s="10" t="s">
        <v>35</v>
      </c>
      <c r="V170" s="14" t="s">
        <v>4026</v>
      </c>
      <c r="W170" s="15"/>
      <c r="X170" s="10" t="s">
        <v>37</v>
      </c>
      <c r="Y170" s="10" t="s">
        <v>0</v>
      </c>
    </row>
    <row r="171">
      <c r="A171" s="10" t="s">
        <v>4027</v>
      </c>
      <c r="B171" s="11">
        <v>44442.58803917824</v>
      </c>
      <c r="C171" s="10" t="s">
        <v>181</v>
      </c>
      <c r="D171" s="10" t="s">
        <v>69</v>
      </c>
      <c r="E171" s="10" t="s">
        <v>1913</v>
      </c>
      <c r="F171" s="10" t="s">
        <v>4028</v>
      </c>
      <c r="G171" s="35" t="s">
        <v>4029</v>
      </c>
      <c r="H171" s="36">
        <v>44445.60416666667</v>
      </c>
      <c r="I171" s="11">
        <v>44445.6875</v>
      </c>
      <c r="J171" s="10" t="s">
        <v>128</v>
      </c>
      <c r="K171" s="10" t="s">
        <v>34</v>
      </c>
      <c r="N171" s="10" t="s">
        <v>35</v>
      </c>
      <c r="V171" s="14" t="s">
        <v>3490</v>
      </c>
      <c r="W171" s="15"/>
      <c r="Y171" s="10" t="s">
        <v>0</v>
      </c>
    </row>
    <row r="172">
      <c r="A172" s="10" t="s">
        <v>4030</v>
      </c>
      <c r="B172" s="11">
        <v>44437.809813368054</v>
      </c>
      <c r="C172" s="10" t="s">
        <v>239</v>
      </c>
      <c r="D172" s="10" t="s">
        <v>240</v>
      </c>
      <c r="E172" s="10" t="s">
        <v>4031</v>
      </c>
      <c r="F172" s="10" t="s">
        <v>4032</v>
      </c>
      <c r="G172" s="10" t="s">
        <v>4033</v>
      </c>
      <c r="H172" s="11">
        <v>44441.66666666667</v>
      </c>
      <c r="I172" s="11">
        <v>44441.70833333333</v>
      </c>
      <c r="J172" s="10" t="s">
        <v>43</v>
      </c>
      <c r="K172" s="10" t="s">
        <v>34</v>
      </c>
      <c r="N172" s="10" t="s">
        <v>35</v>
      </c>
      <c r="V172" s="14" t="s">
        <v>4001</v>
      </c>
      <c r="W172" s="15"/>
      <c r="X172" s="10" t="s">
        <v>37</v>
      </c>
      <c r="Y172" s="10" t="s">
        <v>0</v>
      </c>
    </row>
    <row r="173">
      <c r="A173" s="10" t="s">
        <v>4034</v>
      </c>
      <c r="B173" s="11">
        <v>44449.59349033565</v>
      </c>
      <c r="C173" s="10" t="s">
        <v>181</v>
      </c>
      <c r="D173" s="10" t="s">
        <v>69</v>
      </c>
      <c r="E173" s="10" t="s">
        <v>3733</v>
      </c>
      <c r="F173" s="10" t="s">
        <v>3472</v>
      </c>
      <c r="G173" s="10" t="s">
        <v>4035</v>
      </c>
      <c r="H173" s="36">
        <v>44452.47916666667</v>
      </c>
      <c r="I173" s="11">
        <v>44452.52083333333</v>
      </c>
      <c r="J173" s="10" t="s">
        <v>128</v>
      </c>
      <c r="K173" s="10" t="s">
        <v>34</v>
      </c>
      <c r="N173" s="10" t="s">
        <v>35</v>
      </c>
      <c r="V173" s="14" t="s">
        <v>3658</v>
      </c>
      <c r="W173" s="15"/>
    </row>
    <row r="174">
      <c r="A174" s="10" t="s">
        <v>4036</v>
      </c>
      <c r="B174" s="11">
        <v>44445.78387991898</v>
      </c>
      <c r="C174" s="10" t="s">
        <v>181</v>
      </c>
      <c r="D174" s="10" t="s">
        <v>69</v>
      </c>
      <c r="E174" s="10" t="s">
        <v>1284</v>
      </c>
      <c r="F174" s="10" t="s">
        <v>3885</v>
      </c>
      <c r="G174" s="10" t="s">
        <v>4037</v>
      </c>
      <c r="H174" s="36">
        <v>44452.54166666667</v>
      </c>
      <c r="I174" s="11">
        <v>44452.58333333333</v>
      </c>
      <c r="J174" s="10" t="s">
        <v>128</v>
      </c>
      <c r="K174" s="10" t="s">
        <v>34</v>
      </c>
      <c r="N174" s="10" t="s">
        <v>35</v>
      </c>
      <c r="V174" s="14" t="s">
        <v>3577</v>
      </c>
      <c r="W174" s="15"/>
      <c r="X174" s="10" t="s">
        <v>37</v>
      </c>
      <c r="Y174" s="10" t="s">
        <v>0</v>
      </c>
    </row>
    <row r="175">
      <c r="A175" s="10" t="s">
        <v>4038</v>
      </c>
      <c r="B175" s="11">
        <v>44455.33919384259</v>
      </c>
      <c r="C175" s="10" t="s">
        <v>80</v>
      </c>
      <c r="D175" s="10" t="s">
        <v>81</v>
      </c>
      <c r="E175" s="10" t="s">
        <v>2119</v>
      </c>
      <c r="F175" s="10" t="s">
        <v>4039</v>
      </c>
      <c r="G175" s="10" t="s">
        <v>4040</v>
      </c>
      <c r="H175" s="36">
        <v>44459.33333333333</v>
      </c>
      <c r="I175" s="11">
        <v>44459.375</v>
      </c>
      <c r="J175" s="10" t="s">
        <v>73</v>
      </c>
      <c r="K175" s="10" t="s">
        <v>34</v>
      </c>
      <c r="N175" s="10" t="s">
        <v>35</v>
      </c>
      <c r="V175" s="14" t="s">
        <v>4041</v>
      </c>
      <c r="W175" s="15"/>
      <c r="X175" s="10" t="s">
        <v>37</v>
      </c>
      <c r="Y175" s="10" t="s">
        <v>0</v>
      </c>
    </row>
    <row r="176">
      <c r="A176" s="10" t="s">
        <v>4042</v>
      </c>
      <c r="B176" s="11">
        <v>44456.58167238426</v>
      </c>
      <c r="C176" s="10" t="s">
        <v>181</v>
      </c>
      <c r="D176" s="10" t="s">
        <v>69</v>
      </c>
      <c r="E176" s="10" t="s">
        <v>4043</v>
      </c>
      <c r="F176" s="10" t="s">
        <v>4044</v>
      </c>
      <c r="G176" s="10" t="s">
        <v>4045</v>
      </c>
      <c r="H176" s="36">
        <v>44459.35416666667</v>
      </c>
      <c r="I176" s="11">
        <v>44459.35486111111</v>
      </c>
      <c r="J176" s="10" t="s">
        <v>73</v>
      </c>
      <c r="K176" s="10" t="s">
        <v>34</v>
      </c>
      <c r="N176" s="10" t="s">
        <v>35</v>
      </c>
      <c r="V176" s="14" t="s">
        <v>4046</v>
      </c>
      <c r="W176" s="15"/>
    </row>
    <row r="177">
      <c r="A177" s="10" t="s">
        <v>4047</v>
      </c>
      <c r="B177" s="11">
        <v>44463.57166703704</v>
      </c>
      <c r="C177" s="10" t="s">
        <v>181</v>
      </c>
      <c r="D177" s="10" t="s">
        <v>69</v>
      </c>
      <c r="E177" s="10" t="s">
        <v>4048</v>
      </c>
      <c r="F177" s="10" t="s">
        <v>4049</v>
      </c>
      <c r="G177" s="10" t="s">
        <v>4050</v>
      </c>
      <c r="H177" s="41">
        <v>44466.47916666667</v>
      </c>
      <c r="I177" s="41">
        <v>44466.52083333333</v>
      </c>
      <c r="J177" s="10" t="s">
        <v>128</v>
      </c>
      <c r="K177" s="10" t="s">
        <v>34</v>
      </c>
      <c r="N177" s="10" t="s">
        <v>35</v>
      </c>
      <c r="V177" s="14" t="s">
        <v>3658</v>
      </c>
      <c r="W177" s="15"/>
      <c r="X177" s="10" t="s">
        <v>37</v>
      </c>
      <c r="Y177" s="10" t="s">
        <v>0</v>
      </c>
    </row>
    <row r="178">
      <c r="A178" s="10" t="s">
        <v>4051</v>
      </c>
      <c r="B178" s="11">
        <v>44463.57076540509</v>
      </c>
      <c r="C178" s="10" t="s">
        <v>181</v>
      </c>
      <c r="D178" s="10" t="s">
        <v>69</v>
      </c>
      <c r="E178" s="10" t="s">
        <v>1284</v>
      </c>
      <c r="F178" s="10" t="s">
        <v>4052</v>
      </c>
      <c r="G178" s="10" t="s">
        <v>4053</v>
      </c>
      <c r="H178" s="41">
        <v>44466.54166666667</v>
      </c>
      <c r="I178" s="41">
        <v>44466.58333333333</v>
      </c>
      <c r="J178" s="10" t="s">
        <v>128</v>
      </c>
      <c r="K178" s="10" t="s">
        <v>34</v>
      </c>
      <c r="N178" s="10" t="s">
        <v>35</v>
      </c>
      <c r="V178" s="35" t="s">
        <v>3740</v>
      </c>
      <c r="W178" s="15"/>
      <c r="X178" s="10" t="s">
        <v>37</v>
      </c>
      <c r="Y178" s="10" t="s">
        <v>0</v>
      </c>
    </row>
    <row r="179">
      <c r="A179" s="10" t="s">
        <v>4054</v>
      </c>
      <c r="B179" s="11">
        <v>44466.69582020833</v>
      </c>
      <c r="C179" s="10" t="s">
        <v>80</v>
      </c>
      <c r="D179" s="10" t="s">
        <v>81</v>
      </c>
      <c r="E179" s="10" t="s">
        <v>2119</v>
      </c>
      <c r="F179" s="10" t="s">
        <v>4055</v>
      </c>
      <c r="G179" s="10" t="s">
        <v>4056</v>
      </c>
      <c r="H179" s="42">
        <v>44473.33333333333</v>
      </c>
      <c r="I179" s="11">
        <v>44473.375</v>
      </c>
      <c r="J179" s="10" t="s">
        <v>73</v>
      </c>
      <c r="K179" s="10" t="s">
        <v>34</v>
      </c>
      <c r="N179" s="10" t="s">
        <v>35</v>
      </c>
      <c r="V179" s="14" t="s">
        <v>4013</v>
      </c>
      <c r="W179" s="15"/>
      <c r="X179" s="10" t="s">
        <v>37</v>
      </c>
      <c r="Y179" s="10" t="s">
        <v>0</v>
      </c>
    </row>
    <row r="180">
      <c r="A180" s="10" t="s">
        <v>4057</v>
      </c>
      <c r="B180" s="11">
        <v>44408.91188924768</v>
      </c>
      <c r="C180" s="10" t="s">
        <v>137</v>
      </c>
      <c r="D180" s="10" t="s">
        <v>138</v>
      </c>
      <c r="E180" s="10" t="s">
        <v>3299</v>
      </c>
      <c r="F180" s="10" t="s">
        <v>921</v>
      </c>
      <c r="G180" s="10" t="s">
        <v>3436</v>
      </c>
      <c r="H180" s="11">
        <v>44491.58333333333</v>
      </c>
      <c r="I180" s="11">
        <v>44491.66666666667</v>
      </c>
      <c r="J180" s="10" t="s">
        <v>128</v>
      </c>
      <c r="K180" s="10" t="s">
        <v>34</v>
      </c>
      <c r="N180" s="10" t="s">
        <v>35</v>
      </c>
      <c r="V180" s="9"/>
      <c r="W180" s="13"/>
      <c r="X180" s="10" t="s">
        <v>37</v>
      </c>
      <c r="Y180" s="10" t="s">
        <v>0</v>
      </c>
    </row>
    <row r="181">
      <c r="A181" s="10" t="s">
        <v>4058</v>
      </c>
      <c r="B181" s="11">
        <v>44484.51037993055</v>
      </c>
      <c r="C181" s="10" t="s">
        <v>181</v>
      </c>
      <c r="D181" s="10" t="s">
        <v>69</v>
      </c>
      <c r="E181" s="10" t="s">
        <v>1879</v>
      </c>
      <c r="F181" s="10" t="s">
        <v>4059</v>
      </c>
      <c r="G181" s="10" t="s">
        <v>4060</v>
      </c>
      <c r="H181" s="11">
        <v>44494.41666666667</v>
      </c>
      <c r="I181" s="11">
        <v>44494.41736111111</v>
      </c>
      <c r="J181" s="10" t="s">
        <v>73</v>
      </c>
      <c r="K181" s="10" t="s">
        <v>34</v>
      </c>
      <c r="N181" s="10" t="s">
        <v>35</v>
      </c>
      <c r="V181" s="35" t="s">
        <v>4061</v>
      </c>
      <c r="W181" s="15"/>
      <c r="X181" s="10" t="s">
        <v>37</v>
      </c>
      <c r="Y181" s="10" t="s">
        <v>0</v>
      </c>
    </row>
    <row r="182">
      <c r="A182" s="10" t="s">
        <v>4062</v>
      </c>
      <c r="B182" s="11">
        <v>44491.469822280094</v>
      </c>
      <c r="C182" s="10" t="s">
        <v>181</v>
      </c>
      <c r="D182" s="10" t="s">
        <v>69</v>
      </c>
      <c r="E182" s="10" t="s">
        <v>3733</v>
      </c>
      <c r="F182" s="10" t="s">
        <v>4063</v>
      </c>
      <c r="G182" s="10" t="s">
        <v>4064</v>
      </c>
      <c r="H182" s="11">
        <v>44501.375</v>
      </c>
      <c r="I182" s="11">
        <v>44501.70833333333</v>
      </c>
      <c r="J182" s="10" t="s">
        <v>43</v>
      </c>
      <c r="K182" s="10" t="s">
        <v>34</v>
      </c>
      <c r="N182" s="10" t="s">
        <v>35</v>
      </c>
      <c r="V182" s="14" t="s">
        <v>4065</v>
      </c>
      <c r="W182" s="15"/>
      <c r="X182" s="10" t="s">
        <v>37</v>
      </c>
      <c r="Y182" s="10" t="s">
        <v>0</v>
      </c>
    </row>
    <row r="183">
      <c r="A183" s="10" t="s">
        <v>4066</v>
      </c>
      <c r="B183" s="11">
        <v>44408.916146655094</v>
      </c>
      <c r="C183" s="10" t="s">
        <v>137</v>
      </c>
      <c r="D183" s="10" t="s">
        <v>138</v>
      </c>
      <c r="E183" s="10" t="s">
        <v>3299</v>
      </c>
      <c r="F183" s="10" t="s">
        <v>921</v>
      </c>
      <c r="G183" s="10" t="s">
        <v>3442</v>
      </c>
      <c r="H183" s="11">
        <v>44512.58333333333</v>
      </c>
      <c r="I183" s="11">
        <v>44512.66666666667</v>
      </c>
      <c r="J183" s="10" t="s">
        <v>128</v>
      </c>
      <c r="K183" s="10" t="s">
        <v>34</v>
      </c>
      <c r="N183" s="10" t="s">
        <v>35</v>
      </c>
      <c r="V183" s="9"/>
      <c r="W183" s="13"/>
      <c r="X183" s="10" t="s">
        <v>37</v>
      </c>
      <c r="Y183" s="10" t="s">
        <v>0</v>
      </c>
    </row>
    <row r="184">
      <c r="A184" s="10" t="s">
        <v>4067</v>
      </c>
      <c r="B184" s="11">
        <v>44408.91666482639</v>
      </c>
      <c r="C184" s="10" t="s">
        <v>137</v>
      </c>
      <c r="D184" s="10" t="s">
        <v>138</v>
      </c>
      <c r="E184" s="10" t="s">
        <v>3299</v>
      </c>
      <c r="F184" s="10" t="s">
        <v>921</v>
      </c>
      <c r="G184" s="10" t="s">
        <v>3968</v>
      </c>
      <c r="H184" s="11">
        <v>44519.58333333333</v>
      </c>
      <c r="I184" s="11">
        <v>44519.66666666667</v>
      </c>
      <c r="J184" s="10" t="s">
        <v>128</v>
      </c>
      <c r="K184" s="10" t="s">
        <v>34</v>
      </c>
      <c r="N184" s="10" t="s">
        <v>35</v>
      </c>
      <c r="V184" s="9"/>
      <c r="W184" s="13"/>
      <c r="X184" s="10" t="s">
        <v>37</v>
      </c>
      <c r="Y184" s="10" t="s">
        <v>0</v>
      </c>
    </row>
    <row r="185">
      <c r="A185" s="10" t="s">
        <v>4068</v>
      </c>
      <c r="B185" s="11">
        <v>44519.57741395834</v>
      </c>
      <c r="C185" s="10" t="s">
        <v>181</v>
      </c>
      <c r="D185" s="10" t="s">
        <v>69</v>
      </c>
      <c r="E185" s="10" t="s">
        <v>1179</v>
      </c>
      <c r="F185" s="10" t="s">
        <v>4028</v>
      </c>
      <c r="G185" s="10" t="s">
        <v>4069</v>
      </c>
      <c r="H185" s="11">
        <v>44522.60416666667</v>
      </c>
      <c r="I185" s="11">
        <v>44522.6875</v>
      </c>
      <c r="J185" s="10" t="s">
        <v>128</v>
      </c>
      <c r="K185" s="10" t="s">
        <v>34</v>
      </c>
      <c r="N185" s="10" t="s">
        <v>35</v>
      </c>
      <c r="V185" s="14" t="s">
        <v>3490</v>
      </c>
      <c r="W185" s="15"/>
    </row>
    <row r="186">
      <c r="A186" s="10" t="s">
        <v>4070</v>
      </c>
      <c r="B186" s="11">
        <v>44435.919032129634</v>
      </c>
      <c r="C186" s="10" t="s">
        <v>671</v>
      </c>
      <c r="D186" s="10" t="s">
        <v>672</v>
      </c>
      <c r="E186" s="10" t="s">
        <v>4071</v>
      </c>
      <c r="F186" s="10" t="s">
        <v>4072</v>
      </c>
      <c r="G186" s="10" t="s">
        <v>4073</v>
      </c>
      <c r="H186" s="11">
        <v>44442.60416666667</v>
      </c>
      <c r="I186" s="11">
        <v>44442.66666666667</v>
      </c>
      <c r="J186" s="10" t="s">
        <v>128</v>
      </c>
      <c r="K186" s="10" t="s">
        <v>34</v>
      </c>
      <c r="N186" s="10" t="s">
        <v>35</v>
      </c>
      <c r="V186" s="14" t="s">
        <v>3906</v>
      </c>
      <c r="W186" s="15"/>
      <c r="X186" s="10" t="s">
        <v>37</v>
      </c>
      <c r="Y186" s="10" t="s">
        <v>0</v>
      </c>
    </row>
    <row r="187">
      <c r="A187" s="10" t="s">
        <v>4074</v>
      </c>
      <c r="B187" s="11">
        <v>44440.30456541666</v>
      </c>
      <c r="C187" s="10" t="s">
        <v>137</v>
      </c>
      <c r="D187" s="10" t="s">
        <v>138</v>
      </c>
      <c r="E187" s="10" t="s">
        <v>3299</v>
      </c>
      <c r="F187" s="10" t="s">
        <v>4075</v>
      </c>
      <c r="G187" s="10" t="s">
        <v>4076</v>
      </c>
      <c r="H187" s="11">
        <v>44441.6875</v>
      </c>
      <c r="I187" s="11">
        <v>44441.72916666667</v>
      </c>
      <c r="J187" s="10" t="s">
        <v>172</v>
      </c>
      <c r="K187" s="10" t="s">
        <v>34</v>
      </c>
      <c r="N187" s="10" t="s">
        <v>35</v>
      </c>
      <c r="V187" s="35" t="s">
        <v>4077</v>
      </c>
      <c r="W187" s="15"/>
      <c r="X187" s="10" t="s">
        <v>37</v>
      </c>
      <c r="Y187" s="10" t="s">
        <v>0</v>
      </c>
    </row>
    <row r="188">
      <c r="A188" s="10" t="s">
        <v>4078</v>
      </c>
      <c r="B188" s="11">
        <v>44436.28982716435</v>
      </c>
      <c r="C188" s="10" t="s">
        <v>150</v>
      </c>
      <c r="D188" s="10" t="s">
        <v>151</v>
      </c>
      <c r="E188" s="10" t="s">
        <v>3772</v>
      </c>
      <c r="F188" s="10" t="s">
        <v>1662</v>
      </c>
      <c r="G188" s="10" t="s">
        <v>4079</v>
      </c>
      <c r="H188" s="11">
        <v>44436.41666666667</v>
      </c>
      <c r="I188" s="11">
        <v>44436.5</v>
      </c>
      <c r="J188" s="10" t="s">
        <v>128</v>
      </c>
      <c r="K188" s="10" t="s">
        <v>34</v>
      </c>
      <c r="N188" s="10" t="s">
        <v>35</v>
      </c>
      <c r="V188" s="35" t="s">
        <v>3775</v>
      </c>
      <c r="W188" s="15" t="s">
        <v>4080</v>
      </c>
      <c r="X188" s="10" t="s">
        <v>3302</v>
      </c>
      <c r="Y188" s="10" t="s">
        <v>0</v>
      </c>
    </row>
    <row r="189">
      <c r="A189" s="10" t="s">
        <v>4081</v>
      </c>
      <c r="B189" s="11">
        <v>44435.924432534724</v>
      </c>
      <c r="C189" s="10" t="s">
        <v>330</v>
      </c>
      <c r="D189" s="10" t="s">
        <v>331</v>
      </c>
      <c r="E189" s="10" t="s">
        <v>4082</v>
      </c>
      <c r="F189" s="10" t="s">
        <v>4083</v>
      </c>
      <c r="G189" s="10" t="s">
        <v>4084</v>
      </c>
      <c r="H189" s="11">
        <v>44442.60416666667</v>
      </c>
      <c r="I189" s="11">
        <v>44442.6875</v>
      </c>
      <c r="J189" s="10" t="s">
        <v>43</v>
      </c>
      <c r="K189" s="10" t="s">
        <v>34</v>
      </c>
      <c r="N189" s="10" t="s">
        <v>296</v>
      </c>
      <c r="O189" s="18" t="s">
        <v>4085</v>
      </c>
      <c r="P189" s="10" t="s">
        <v>296</v>
      </c>
      <c r="Q189" s="10">
        <v>1.0</v>
      </c>
      <c r="R189" s="10" t="s">
        <v>296</v>
      </c>
      <c r="S189" s="10">
        <v>1.0</v>
      </c>
      <c r="T189" s="10" t="s">
        <v>35</v>
      </c>
      <c r="V189" s="14" t="s">
        <v>4086</v>
      </c>
      <c r="W189" s="15"/>
      <c r="X189" s="10" t="s">
        <v>37</v>
      </c>
      <c r="Y189" s="10" t="s">
        <v>0</v>
      </c>
    </row>
    <row r="190">
      <c r="A190" s="10" t="s">
        <v>4087</v>
      </c>
      <c r="B190" s="11">
        <v>44436.45933282407</v>
      </c>
      <c r="C190" s="10" t="s">
        <v>671</v>
      </c>
      <c r="D190" s="10" t="s">
        <v>672</v>
      </c>
      <c r="E190" s="10" t="s">
        <v>3745</v>
      </c>
      <c r="F190" s="10" t="s">
        <v>4088</v>
      </c>
      <c r="G190" s="10" t="s">
        <v>4089</v>
      </c>
      <c r="H190" s="11">
        <v>44442.60416666667</v>
      </c>
      <c r="I190" s="11">
        <v>44442.6875</v>
      </c>
      <c r="J190" s="10" t="s">
        <v>43</v>
      </c>
      <c r="K190" s="10" t="s">
        <v>34</v>
      </c>
      <c r="N190" s="10" t="s">
        <v>296</v>
      </c>
      <c r="O190" s="18" t="s">
        <v>4090</v>
      </c>
      <c r="P190" s="10" t="s">
        <v>35</v>
      </c>
      <c r="R190" s="10" t="s">
        <v>296</v>
      </c>
      <c r="S190" s="10">
        <v>1.0</v>
      </c>
      <c r="T190" s="10" t="s">
        <v>35</v>
      </c>
      <c r="V190" s="14" t="s">
        <v>3906</v>
      </c>
      <c r="W190" s="15"/>
      <c r="X190" s="10" t="s">
        <v>37</v>
      </c>
      <c r="Y190" s="10" t="s">
        <v>0</v>
      </c>
    </row>
    <row r="191">
      <c r="A191" s="10" t="s">
        <v>4091</v>
      </c>
      <c r="B191" s="11">
        <v>44436.46061976852</v>
      </c>
      <c r="C191" s="10" t="s">
        <v>671</v>
      </c>
      <c r="D191" s="10" t="s">
        <v>672</v>
      </c>
      <c r="E191" s="10" t="s">
        <v>4092</v>
      </c>
      <c r="F191" s="10" t="s">
        <v>4093</v>
      </c>
      <c r="G191" s="10" t="s">
        <v>4094</v>
      </c>
      <c r="H191" s="11">
        <v>44442.6875</v>
      </c>
      <c r="I191" s="11">
        <v>44442.64583333333</v>
      </c>
      <c r="J191" s="10" t="s">
        <v>128</v>
      </c>
      <c r="K191" s="10" t="s">
        <v>34</v>
      </c>
      <c r="N191" s="10" t="s">
        <v>35</v>
      </c>
      <c r="V191" s="14" t="s">
        <v>3906</v>
      </c>
      <c r="W191" s="15"/>
      <c r="X191" s="10" t="s">
        <v>37</v>
      </c>
      <c r="Y191" s="10" t="s">
        <v>0</v>
      </c>
    </row>
    <row r="192">
      <c r="A192" s="10" t="s">
        <v>4095</v>
      </c>
      <c r="B192" s="11">
        <v>44436.46314525463</v>
      </c>
      <c r="C192" s="10" t="s">
        <v>671</v>
      </c>
      <c r="D192" s="10" t="s">
        <v>672</v>
      </c>
      <c r="E192" s="10" t="s">
        <v>3842</v>
      </c>
      <c r="F192" s="10" t="s">
        <v>4096</v>
      </c>
      <c r="G192" s="10" t="s">
        <v>4097</v>
      </c>
      <c r="H192" s="11">
        <v>44441.60416666667</v>
      </c>
      <c r="I192" s="11">
        <v>44441.64583333333</v>
      </c>
      <c r="J192" s="10" t="s">
        <v>128</v>
      </c>
      <c r="K192" s="10" t="s">
        <v>34</v>
      </c>
      <c r="N192" s="10" t="s">
        <v>35</v>
      </c>
      <c r="V192" s="14" t="s">
        <v>3906</v>
      </c>
      <c r="W192" s="15"/>
      <c r="X192" s="10" t="s">
        <v>37</v>
      </c>
      <c r="Y192" s="10" t="s">
        <v>0</v>
      </c>
    </row>
    <row r="193">
      <c r="A193" s="10" t="s">
        <v>4098</v>
      </c>
      <c r="B193" s="11">
        <v>44436.472620625005</v>
      </c>
      <c r="C193" s="10" t="s">
        <v>671</v>
      </c>
      <c r="D193" s="10" t="s">
        <v>672</v>
      </c>
      <c r="E193" s="10" t="s">
        <v>1115</v>
      </c>
      <c r="F193" s="10" t="s">
        <v>4099</v>
      </c>
      <c r="G193" s="10" t="s">
        <v>4100</v>
      </c>
      <c r="H193" s="11">
        <v>44442.6875</v>
      </c>
      <c r="I193" s="11">
        <v>44442.64583333333</v>
      </c>
      <c r="J193" s="10" t="s">
        <v>128</v>
      </c>
      <c r="K193" s="10" t="s">
        <v>34</v>
      </c>
      <c r="N193" s="10" t="s">
        <v>35</v>
      </c>
      <c r="V193" s="14" t="s">
        <v>3906</v>
      </c>
      <c r="W193" s="15"/>
      <c r="X193" s="10" t="s">
        <v>37</v>
      </c>
      <c r="Y193" s="10" t="s">
        <v>0</v>
      </c>
    </row>
    <row r="194">
      <c r="A194" s="10" t="s">
        <v>4101</v>
      </c>
      <c r="B194" s="11">
        <v>44436.4736328125</v>
      </c>
      <c r="C194" s="10" t="s">
        <v>671</v>
      </c>
      <c r="D194" s="10" t="s">
        <v>672</v>
      </c>
      <c r="E194" s="10" t="s">
        <v>1115</v>
      </c>
      <c r="F194" s="10" t="s">
        <v>4102</v>
      </c>
      <c r="G194" s="10" t="s">
        <v>4103</v>
      </c>
      <c r="H194" s="11">
        <v>44443.58333333333</v>
      </c>
      <c r="I194" s="11">
        <v>44443.66666666667</v>
      </c>
      <c r="J194" s="10" t="s">
        <v>128</v>
      </c>
      <c r="K194" s="10" t="s">
        <v>34</v>
      </c>
      <c r="N194" s="10" t="s">
        <v>35</v>
      </c>
      <c r="V194" s="14" t="s">
        <v>3906</v>
      </c>
      <c r="W194" s="15"/>
      <c r="X194" s="10" t="s">
        <v>37</v>
      </c>
      <c r="Y194" s="10" t="s">
        <v>0</v>
      </c>
    </row>
    <row r="195">
      <c r="A195" s="10" t="s">
        <v>4104</v>
      </c>
      <c r="B195" s="11">
        <v>44436.55752396991</v>
      </c>
      <c r="C195" s="10" t="s">
        <v>418</v>
      </c>
      <c r="D195" s="10" t="s">
        <v>419</v>
      </c>
      <c r="E195" s="10" t="s">
        <v>4105</v>
      </c>
      <c r="F195" s="10" t="s">
        <v>4106</v>
      </c>
      <c r="G195" s="10" t="s">
        <v>4107</v>
      </c>
      <c r="H195" s="11">
        <v>44436.625</v>
      </c>
      <c r="I195" s="11">
        <v>44436.70833333333</v>
      </c>
      <c r="J195" s="10" t="s">
        <v>128</v>
      </c>
      <c r="K195" s="10" t="s">
        <v>34</v>
      </c>
      <c r="N195" s="10" t="s">
        <v>35</v>
      </c>
      <c r="V195" s="35" t="s">
        <v>4108</v>
      </c>
      <c r="W195" s="15"/>
      <c r="X195" s="10" t="s">
        <v>37</v>
      </c>
      <c r="Y195" s="10" t="s">
        <v>0</v>
      </c>
    </row>
    <row r="196">
      <c r="A196" s="10" t="s">
        <v>4109</v>
      </c>
      <c r="B196" s="11">
        <v>44437.794938067134</v>
      </c>
      <c r="C196" s="10" t="s">
        <v>239</v>
      </c>
      <c r="D196" s="10" t="s">
        <v>240</v>
      </c>
      <c r="E196" s="10" t="s">
        <v>3998</v>
      </c>
      <c r="F196" s="10" t="s">
        <v>4110</v>
      </c>
      <c r="G196" s="10" t="s">
        <v>4111</v>
      </c>
      <c r="H196" s="11">
        <v>44442.66666666667</v>
      </c>
      <c r="I196" s="11">
        <v>44442.70833333333</v>
      </c>
      <c r="J196" s="10" t="s">
        <v>73</v>
      </c>
      <c r="K196" s="10" t="s">
        <v>34</v>
      </c>
      <c r="N196" s="10" t="s">
        <v>35</v>
      </c>
      <c r="V196" s="14" t="s">
        <v>4112</v>
      </c>
      <c r="W196" s="15"/>
      <c r="X196" s="10" t="s">
        <v>37</v>
      </c>
      <c r="Y196" s="10" t="s">
        <v>0</v>
      </c>
    </row>
    <row r="197">
      <c r="A197" s="10" t="s">
        <v>4113</v>
      </c>
      <c r="B197" s="11">
        <v>44437.80412042824</v>
      </c>
      <c r="C197" s="10" t="s">
        <v>160</v>
      </c>
      <c r="D197" s="10" t="s">
        <v>161</v>
      </c>
      <c r="E197" s="10" t="s">
        <v>3953</v>
      </c>
      <c r="F197" s="10" t="s">
        <v>4114</v>
      </c>
      <c r="G197" s="10" t="s">
        <v>4115</v>
      </c>
      <c r="H197" s="11">
        <v>44437.79166666667</v>
      </c>
      <c r="I197" s="11">
        <v>44437.8125</v>
      </c>
      <c r="J197" s="10" t="s">
        <v>73</v>
      </c>
      <c r="K197" s="10" t="s">
        <v>34</v>
      </c>
      <c r="N197" s="10" t="s">
        <v>35</v>
      </c>
      <c r="V197" s="14" t="s">
        <v>4116</v>
      </c>
      <c r="W197" s="15"/>
      <c r="X197" s="10" t="s">
        <v>37</v>
      </c>
      <c r="Y197" s="10" t="s">
        <v>0</v>
      </c>
    </row>
    <row r="198">
      <c r="A198" s="10" t="s">
        <v>4117</v>
      </c>
      <c r="B198" s="11">
        <v>44441.98392917824</v>
      </c>
      <c r="C198" s="10" t="s">
        <v>102</v>
      </c>
      <c r="D198" s="10" t="s">
        <v>103</v>
      </c>
      <c r="E198" s="10" t="s">
        <v>4118</v>
      </c>
      <c r="F198" s="10" t="s">
        <v>4119</v>
      </c>
      <c r="G198" s="10" t="s">
        <v>4120</v>
      </c>
      <c r="H198" s="11">
        <v>44442.60416666667</v>
      </c>
      <c r="I198" s="11">
        <v>44442.6875</v>
      </c>
      <c r="J198" s="10" t="s">
        <v>43</v>
      </c>
      <c r="K198" s="10" t="s">
        <v>34</v>
      </c>
      <c r="N198" s="10" t="s">
        <v>296</v>
      </c>
      <c r="O198" s="18" t="s">
        <v>4121</v>
      </c>
      <c r="P198" s="10" t="s">
        <v>296</v>
      </c>
      <c r="Q198" s="10">
        <v>1.0</v>
      </c>
      <c r="R198" s="10" t="s">
        <v>35</v>
      </c>
      <c r="T198" s="10" t="s">
        <v>35</v>
      </c>
      <c r="V198" s="14" t="s">
        <v>3982</v>
      </c>
      <c r="W198" s="15"/>
      <c r="X198" s="10" t="s">
        <v>37</v>
      </c>
      <c r="Y198" s="10" t="s">
        <v>0</v>
      </c>
    </row>
    <row r="199">
      <c r="A199" s="10" t="s">
        <v>4122</v>
      </c>
      <c r="B199" s="11">
        <v>44437.8214031713</v>
      </c>
      <c r="C199" s="10" t="s">
        <v>96</v>
      </c>
      <c r="D199" s="10" t="s">
        <v>97</v>
      </c>
      <c r="E199" s="10" t="s">
        <v>98</v>
      </c>
      <c r="F199" s="10" t="s">
        <v>4123</v>
      </c>
      <c r="G199" s="10" t="s">
        <v>4124</v>
      </c>
      <c r="H199" s="11">
        <v>44442.64583333333</v>
      </c>
      <c r="I199" s="11">
        <v>44442.70833333333</v>
      </c>
      <c r="J199" s="10" t="s">
        <v>43</v>
      </c>
      <c r="K199" s="10" t="s">
        <v>34</v>
      </c>
      <c r="N199" s="10" t="s">
        <v>296</v>
      </c>
      <c r="O199" s="18" t="s">
        <v>4125</v>
      </c>
      <c r="P199" s="10" t="s">
        <v>35</v>
      </c>
      <c r="R199" s="10" t="s">
        <v>296</v>
      </c>
      <c r="S199" s="10">
        <v>1.0</v>
      </c>
      <c r="T199" s="10" t="s">
        <v>35</v>
      </c>
      <c r="V199" s="14" t="s">
        <v>4126</v>
      </c>
      <c r="W199" s="15"/>
      <c r="X199" s="10" t="s">
        <v>37</v>
      </c>
      <c r="Y199" s="10" t="s">
        <v>0</v>
      </c>
    </row>
    <row r="200">
      <c r="A200" s="10" t="s">
        <v>4127</v>
      </c>
      <c r="B200" s="11">
        <v>44437.81455185185</v>
      </c>
      <c r="C200" s="10" t="s">
        <v>239</v>
      </c>
      <c r="D200" s="10" t="s">
        <v>240</v>
      </c>
      <c r="E200" s="10" t="s">
        <v>3998</v>
      </c>
      <c r="F200" s="10" t="s">
        <v>4128</v>
      </c>
      <c r="G200" s="10" t="s">
        <v>4129</v>
      </c>
      <c r="H200" s="11">
        <v>44418.08333333333</v>
      </c>
      <c r="I200" s="11">
        <v>44438.5</v>
      </c>
      <c r="J200" s="10" t="s">
        <v>51</v>
      </c>
      <c r="K200" s="10" t="s">
        <v>34</v>
      </c>
      <c r="N200" s="10" t="s">
        <v>35</v>
      </c>
      <c r="V200" s="14" t="s">
        <v>4130</v>
      </c>
      <c r="W200" s="15" t="s">
        <v>4131</v>
      </c>
      <c r="X200" s="10" t="s">
        <v>37</v>
      </c>
      <c r="Y200" s="10" t="s">
        <v>0</v>
      </c>
    </row>
    <row r="201">
      <c r="A201" s="10" t="s">
        <v>4132</v>
      </c>
      <c r="B201" s="11">
        <v>44437.816610208334</v>
      </c>
      <c r="C201" s="10" t="s">
        <v>239</v>
      </c>
      <c r="D201" s="10" t="s">
        <v>240</v>
      </c>
      <c r="E201" s="10" t="s">
        <v>3998</v>
      </c>
      <c r="F201" s="10" t="s">
        <v>4133</v>
      </c>
      <c r="G201" s="10" t="s">
        <v>4134</v>
      </c>
      <c r="H201" s="11">
        <v>44428.5</v>
      </c>
      <c r="I201" s="11">
        <v>44444.5</v>
      </c>
      <c r="J201" s="10" t="s">
        <v>51</v>
      </c>
      <c r="K201" s="10" t="s">
        <v>34</v>
      </c>
      <c r="N201" s="10" t="s">
        <v>35</v>
      </c>
      <c r="V201" s="14" t="s">
        <v>4130</v>
      </c>
      <c r="W201" s="15"/>
      <c r="X201" s="10" t="s">
        <v>37</v>
      </c>
      <c r="Y201" s="10" t="s">
        <v>0</v>
      </c>
    </row>
    <row r="202">
      <c r="A202" s="10" t="s">
        <v>4135</v>
      </c>
      <c r="B202" s="11">
        <v>44427.63551710648</v>
      </c>
      <c r="C202" s="10" t="s">
        <v>374</v>
      </c>
      <c r="D202" s="10" t="s">
        <v>375</v>
      </c>
      <c r="E202" s="10" t="s">
        <v>3452</v>
      </c>
      <c r="F202" s="10" t="s">
        <v>4136</v>
      </c>
      <c r="G202" s="10" t="s">
        <v>4137</v>
      </c>
      <c r="H202" s="36">
        <v>44442.75</v>
      </c>
      <c r="I202" s="11">
        <v>44442.8125</v>
      </c>
      <c r="J202" s="10" t="s">
        <v>43</v>
      </c>
      <c r="K202" s="10" t="s">
        <v>34</v>
      </c>
      <c r="N202" s="10" t="s">
        <v>296</v>
      </c>
      <c r="O202" s="18" t="s">
        <v>4138</v>
      </c>
      <c r="P202" s="10" t="s">
        <v>296</v>
      </c>
      <c r="Q202" s="10">
        <v>1.0</v>
      </c>
      <c r="R202" s="10" t="s">
        <v>35</v>
      </c>
      <c r="T202" s="10" t="s">
        <v>35</v>
      </c>
      <c r="V202" s="35" t="s">
        <v>4139</v>
      </c>
      <c r="W202" s="15"/>
      <c r="X202" s="10" t="s">
        <v>37</v>
      </c>
      <c r="Y202" s="10" t="s">
        <v>0</v>
      </c>
    </row>
    <row r="203">
      <c r="A203" s="10" t="s">
        <v>4140</v>
      </c>
      <c r="B203" s="11">
        <v>44442.495967407405</v>
      </c>
      <c r="C203" s="10" t="s">
        <v>181</v>
      </c>
      <c r="D203" s="10" t="s">
        <v>69</v>
      </c>
      <c r="E203" s="10" t="s">
        <v>4141</v>
      </c>
      <c r="F203" s="10" t="s">
        <v>921</v>
      </c>
      <c r="G203" s="35" t="s">
        <v>4142</v>
      </c>
      <c r="H203" s="36">
        <v>44445.72916666667</v>
      </c>
      <c r="I203" s="11">
        <v>44445.77083333333</v>
      </c>
      <c r="J203" s="10" t="s">
        <v>128</v>
      </c>
      <c r="K203" s="10" t="s">
        <v>34</v>
      </c>
      <c r="N203" s="10" t="s">
        <v>35</v>
      </c>
      <c r="V203" s="14" t="s">
        <v>3554</v>
      </c>
      <c r="W203" s="15"/>
      <c r="Y203" s="10" t="s">
        <v>0</v>
      </c>
    </row>
    <row r="204">
      <c r="A204" s="10" t="s">
        <v>4143</v>
      </c>
      <c r="B204" s="11">
        <v>44438.37989858796</v>
      </c>
      <c r="C204" s="10" t="s">
        <v>209</v>
      </c>
      <c r="D204" s="10" t="s">
        <v>210</v>
      </c>
      <c r="E204" s="10" t="s">
        <v>261</v>
      </c>
      <c r="F204" s="10" t="s">
        <v>4144</v>
      </c>
      <c r="G204" s="10" t="s">
        <v>4145</v>
      </c>
      <c r="H204" s="11">
        <v>44439.5625</v>
      </c>
      <c r="I204" s="11">
        <v>44444.569444444445</v>
      </c>
      <c r="J204" s="10" t="s">
        <v>51</v>
      </c>
      <c r="K204" s="10" t="s">
        <v>34</v>
      </c>
      <c r="N204" s="10" t="s">
        <v>35</v>
      </c>
      <c r="V204" s="14" t="s">
        <v>4146</v>
      </c>
      <c r="W204" s="15"/>
      <c r="X204" s="10" t="s">
        <v>37</v>
      </c>
      <c r="Y204" s="10" t="s">
        <v>0</v>
      </c>
    </row>
    <row r="205">
      <c r="A205" s="10" t="s">
        <v>4147</v>
      </c>
      <c r="B205" s="11">
        <v>44438.37998100695</v>
      </c>
      <c r="C205" s="10" t="s">
        <v>209</v>
      </c>
      <c r="D205" s="10" t="s">
        <v>210</v>
      </c>
      <c r="E205" s="10" t="s">
        <v>261</v>
      </c>
      <c r="F205" s="10" t="s">
        <v>4148</v>
      </c>
      <c r="G205" s="10" t="s">
        <v>4149</v>
      </c>
      <c r="H205" s="11">
        <v>44439.64583333333</v>
      </c>
      <c r="I205" s="11">
        <v>44439.65277777778</v>
      </c>
      <c r="J205" s="10" t="s">
        <v>51</v>
      </c>
      <c r="K205" s="10" t="s">
        <v>34</v>
      </c>
      <c r="N205" s="10" t="s">
        <v>35</v>
      </c>
      <c r="V205" s="14" t="s">
        <v>4146</v>
      </c>
      <c r="W205" s="15"/>
      <c r="X205" s="10" t="s">
        <v>37</v>
      </c>
      <c r="Y205" s="10" t="s">
        <v>0</v>
      </c>
    </row>
    <row r="206">
      <c r="A206" s="10" t="s">
        <v>4150</v>
      </c>
      <c r="B206" s="11">
        <v>44438.38005832176</v>
      </c>
      <c r="C206" s="10" t="s">
        <v>209</v>
      </c>
      <c r="D206" s="10" t="s">
        <v>210</v>
      </c>
      <c r="E206" s="10" t="s">
        <v>261</v>
      </c>
      <c r="F206" s="10" t="s">
        <v>4148</v>
      </c>
      <c r="G206" s="10" t="s">
        <v>4151</v>
      </c>
      <c r="H206" s="11">
        <v>44441.64583333333</v>
      </c>
      <c r="I206" s="11">
        <v>44441.65277777778</v>
      </c>
      <c r="J206" s="10" t="s">
        <v>51</v>
      </c>
      <c r="K206" s="10" t="s">
        <v>34</v>
      </c>
      <c r="N206" s="10" t="s">
        <v>35</v>
      </c>
      <c r="V206" s="14" t="s">
        <v>4146</v>
      </c>
      <c r="W206" s="15"/>
      <c r="X206" s="10" t="s">
        <v>37</v>
      </c>
      <c r="Y206" s="10" t="s">
        <v>0</v>
      </c>
    </row>
    <row r="207">
      <c r="A207" s="10" t="s">
        <v>4152</v>
      </c>
      <c r="B207" s="11">
        <v>44438.38017481481</v>
      </c>
      <c r="C207" s="10" t="s">
        <v>209</v>
      </c>
      <c r="D207" s="10" t="s">
        <v>210</v>
      </c>
      <c r="E207" s="10" t="s">
        <v>261</v>
      </c>
      <c r="F207" s="10" t="s">
        <v>4148</v>
      </c>
      <c r="G207" s="10" t="s">
        <v>4153</v>
      </c>
      <c r="H207" s="11">
        <v>44441.65277777778</v>
      </c>
      <c r="I207" s="11">
        <v>44441.65972222222</v>
      </c>
      <c r="J207" s="10" t="s">
        <v>51</v>
      </c>
      <c r="K207" s="10" t="s">
        <v>34</v>
      </c>
      <c r="N207" s="10" t="s">
        <v>35</v>
      </c>
      <c r="V207" s="14" t="s">
        <v>4146</v>
      </c>
      <c r="W207" s="15"/>
      <c r="X207" s="10" t="s">
        <v>37</v>
      </c>
      <c r="Y207" s="10" t="s">
        <v>0</v>
      </c>
    </row>
    <row r="208">
      <c r="A208" s="10" t="s">
        <v>4154</v>
      </c>
      <c r="B208" s="11">
        <v>44438.380261053244</v>
      </c>
      <c r="C208" s="10" t="s">
        <v>209</v>
      </c>
      <c r="D208" s="10" t="s">
        <v>210</v>
      </c>
      <c r="E208" s="10" t="s">
        <v>261</v>
      </c>
      <c r="F208" s="10" t="s">
        <v>4148</v>
      </c>
      <c r="G208" s="10" t="s">
        <v>4155</v>
      </c>
      <c r="H208" s="11">
        <v>44442.64583333333</v>
      </c>
      <c r="I208" s="11">
        <v>44442.65277777778</v>
      </c>
      <c r="J208" s="10" t="s">
        <v>51</v>
      </c>
      <c r="K208" s="10" t="s">
        <v>34</v>
      </c>
      <c r="N208" s="10" t="s">
        <v>35</v>
      </c>
      <c r="V208" s="14" t="s">
        <v>4146</v>
      </c>
      <c r="W208" s="15"/>
      <c r="X208" s="10" t="s">
        <v>37</v>
      </c>
      <c r="Y208" s="10" t="s">
        <v>0</v>
      </c>
    </row>
    <row r="209">
      <c r="A209" s="10" t="s">
        <v>4156</v>
      </c>
      <c r="B209" s="11">
        <v>44438.3846299537</v>
      </c>
      <c r="C209" s="10" t="s">
        <v>209</v>
      </c>
      <c r="D209" s="10" t="s">
        <v>210</v>
      </c>
      <c r="E209" s="10" t="s">
        <v>261</v>
      </c>
      <c r="F209" s="10" t="s">
        <v>4157</v>
      </c>
      <c r="G209" s="10" t="s">
        <v>4158</v>
      </c>
      <c r="H209" s="11">
        <v>44443.64583333333</v>
      </c>
      <c r="I209" s="11">
        <v>44443.65277777778</v>
      </c>
      <c r="J209" s="10" t="s">
        <v>51</v>
      </c>
      <c r="K209" s="10" t="s">
        <v>34</v>
      </c>
      <c r="N209" s="10" t="s">
        <v>35</v>
      </c>
      <c r="V209" s="14" t="s">
        <v>4146</v>
      </c>
      <c r="W209" s="15"/>
      <c r="X209" s="10" t="s">
        <v>37</v>
      </c>
      <c r="Y209" s="10" t="s">
        <v>0</v>
      </c>
    </row>
    <row r="210">
      <c r="A210" s="10" t="s">
        <v>4159</v>
      </c>
      <c r="B210" s="11">
        <v>44438.38472223379</v>
      </c>
      <c r="C210" s="10" t="s">
        <v>209</v>
      </c>
      <c r="D210" s="10" t="s">
        <v>210</v>
      </c>
      <c r="E210" s="10" t="s">
        <v>261</v>
      </c>
      <c r="F210" s="10" t="s">
        <v>4157</v>
      </c>
      <c r="G210" s="10" t="s">
        <v>4160</v>
      </c>
      <c r="H210" s="11">
        <v>44444.64583333333</v>
      </c>
      <c r="I210" s="11">
        <v>44444.64583333333</v>
      </c>
      <c r="J210" s="10" t="s">
        <v>51</v>
      </c>
      <c r="K210" s="10" t="s">
        <v>34</v>
      </c>
      <c r="N210" s="10" t="s">
        <v>35</v>
      </c>
      <c r="V210" s="14" t="s">
        <v>4146</v>
      </c>
      <c r="W210" s="15"/>
      <c r="X210" s="10" t="s">
        <v>37</v>
      </c>
      <c r="Y210" s="10" t="s">
        <v>0</v>
      </c>
    </row>
    <row r="211">
      <c r="A211" s="10" t="s">
        <v>4161</v>
      </c>
      <c r="B211" s="11">
        <v>44434.85720540509</v>
      </c>
      <c r="C211" s="10" t="s">
        <v>1583</v>
      </c>
      <c r="D211" s="10" t="s">
        <v>505</v>
      </c>
      <c r="E211" s="10" t="s">
        <v>2059</v>
      </c>
      <c r="F211" s="10" t="s">
        <v>4162</v>
      </c>
      <c r="G211" s="10" t="s">
        <v>4163</v>
      </c>
      <c r="H211" s="36">
        <v>44442.79166666667</v>
      </c>
      <c r="I211" s="11">
        <v>44442.875</v>
      </c>
      <c r="J211" s="10" t="s">
        <v>43</v>
      </c>
      <c r="K211" s="10" t="s">
        <v>34</v>
      </c>
      <c r="N211" s="10" t="s">
        <v>296</v>
      </c>
      <c r="O211" s="18" t="s">
        <v>4164</v>
      </c>
      <c r="P211" s="10" t="s">
        <v>296</v>
      </c>
      <c r="Q211" s="10">
        <v>1.0</v>
      </c>
      <c r="R211" s="10" t="s">
        <v>35</v>
      </c>
      <c r="T211" s="10" t="s">
        <v>35</v>
      </c>
      <c r="V211" s="14" t="s">
        <v>3427</v>
      </c>
      <c r="W211" s="15"/>
      <c r="X211" s="10" t="s">
        <v>37</v>
      </c>
      <c r="Y211" s="10" t="s">
        <v>0</v>
      </c>
    </row>
    <row r="212">
      <c r="A212" s="10" t="s">
        <v>4165</v>
      </c>
      <c r="B212" s="11">
        <v>44438.389507326385</v>
      </c>
      <c r="C212" s="10" t="s">
        <v>1583</v>
      </c>
      <c r="D212" s="10" t="s">
        <v>505</v>
      </c>
      <c r="E212" s="10" t="s">
        <v>4166</v>
      </c>
      <c r="F212" s="10" t="s">
        <v>4167</v>
      </c>
      <c r="G212" s="10" t="s">
        <v>4168</v>
      </c>
      <c r="H212" s="11">
        <v>44442.79166666667</v>
      </c>
      <c r="I212" s="11">
        <v>44442.875</v>
      </c>
      <c r="J212" s="10" t="s">
        <v>43</v>
      </c>
      <c r="K212" s="10" t="s">
        <v>34</v>
      </c>
      <c r="N212" s="10" t="s">
        <v>35</v>
      </c>
      <c r="V212" s="14" t="s">
        <v>3427</v>
      </c>
      <c r="W212" s="15"/>
      <c r="X212" s="10" t="s">
        <v>37</v>
      </c>
      <c r="Y212" s="10" t="s">
        <v>0</v>
      </c>
    </row>
    <row r="213">
      <c r="A213" s="10" t="s">
        <v>4169</v>
      </c>
      <c r="B213" s="11">
        <v>44442.04150811343</v>
      </c>
      <c r="C213" s="10" t="s">
        <v>347</v>
      </c>
      <c r="D213" s="10" t="s">
        <v>348</v>
      </c>
      <c r="E213" s="10" t="s">
        <v>3429</v>
      </c>
      <c r="F213" s="10" t="s">
        <v>4170</v>
      </c>
      <c r="G213" s="35" t="s">
        <v>4171</v>
      </c>
      <c r="H213" s="36">
        <v>44445.4375</v>
      </c>
      <c r="I213" s="11">
        <v>44445.52083333333</v>
      </c>
      <c r="J213" s="10" t="s">
        <v>43</v>
      </c>
      <c r="K213" s="10" t="s">
        <v>34</v>
      </c>
      <c r="N213" s="10" t="s">
        <v>296</v>
      </c>
      <c r="O213" s="18" t="s">
        <v>4172</v>
      </c>
      <c r="P213" s="10" t="s">
        <v>296</v>
      </c>
      <c r="Q213" s="10">
        <v>4.0</v>
      </c>
      <c r="R213" s="10" t="s">
        <v>35</v>
      </c>
      <c r="T213" s="10" t="s">
        <v>35</v>
      </c>
      <c r="V213" s="40" t="s">
        <v>4173</v>
      </c>
      <c r="W213" s="15"/>
      <c r="X213" s="10" t="s">
        <v>37</v>
      </c>
      <c r="Y213" s="10" t="s">
        <v>0</v>
      </c>
    </row>
    <row r="214">
      <c r="A214" s="10" t="s">
        <v>4174</v>
      </c>
      <c r="B214" s="11">
        <v>44440.86812032407</v>
      </c>
      <c r="C214" s="10" t="s">
        <v>181</v>
      </c>
      <c r="D214" s="10" t="s">
        <v>69</v>
      </c>
      <c r="E214" s="10" t="s">
        <v>4175</v>
      </c>
      <c r="F214" s="10" t="s">
        <v>4176</v>
      </c>
      <c r="G214" s="10" t="s">
        <v>4177</v>
      </c>
      <c r="H214" s="11">
        <v>44450.4375</v>
      </c>
      <c r="I214" s="11">
        <v>44450.52083333333</v>
      </c>
      <c r="J214" s="10" t="s">
        <v>128</v>
      </c>
      <c r="K214" s="10" t="s">
        <v>34</v>
      </c>
      <c r="N214" s="10" t="s">
        <v>35</v>
      </c>
      <c r="V214" s="14" t="s">
        <v>4178</v>
      </c>
      <c r="W214" s="15"/>
      <c r="X214" s="10" t="s">
        <v>37</v>
      </c>
      <c r="Y214" s="10" t="s">
        <v>0</v>
      </c>
    </row>
    <row r="215">
      <c r="A215" s="10" t="s">
        <v>4179</v>
      </c>
      <c r="B215" s="11">
        <v>44432.38172518519</v>
      </c>
      <c r="C215" s="10" t="s">
        <v>209</v>
      </c>
      <c r="D215" s="10" t="s">
        <v>210</v>
      </c>
      <c r="E215" s="10" t="s">
        <v>261</v>
      </c>
      <c r="F215" s="10" t="s">
        <v>2975</v>
      </c>
      <c r="G215" s="35" t="s">
        <v>4180</v>
      </c>
      <c r="H215" s="36">
        <v>44446.60416666667</v>
      </c>
      <c r="I215" s="11">
        <v>44415.66666666667</v>
      </c>
      <c r="J215" s="10" t="s">
        <v>43</v>
      </c>
      <c r="K215" s="10" t="s">
        <v>34</v>
      </c>
      <c r="N215" s="10" t="s">
        <v>296</v>
      </c>
      <c r="O215" s="18" t="s">
        <v>4181</v>
      </c>
      <c r="P215" s="10" t="s">
        <v>35</v>
      </c>
      <c r="R215" s="10" t="s">
        <v>35</v>
      </c>
      <c r="T215" s="10" t="s">
        <v>296</v>
      </c>
      <c r="U215" s="10">
        <v>1.0</v>
      </c>
      <c r="V215" s="14" t="s">
        <v>4182</v>
      </c>
      <c r="W215" s="15"/>
      <c r="X215" s="10" t="s">
        <v>37</v>
      </c>
      <c r="Y215" s="10" t="s">
        <v>0</v>
      </c>
    </row>
    <row r="216">
      <c r="A216" s="10" t="s">
        <v>4183</v>
      </c>
      <c r="B216" s="11">
        <v>44446.423861944444</v>
      </c>
      <c r="C216" s="10" t="s">
        <v>453</v>
      </c>
      <c r="D216" s="10" t="s">
        <v>393</v>
      </c>
      <c r="E216" s="10" t="s">
        <v>4184</v>
      </c>
      <c r="F216" s="10" t="s">
        <v>4185</v>
      </c>
      <c r="G216" s="10" t="s">
        <v>4186</v>
      </c>
      <c r="H216" s="11">
        <v>44447.58333333333</v>
      </c>
      <c r="I216" s="11">
        <v>44447.66666666667</v>
      </c>
      <c r="J216" s="10" t="s">
        <v>1333</v>
      </c>
      <c r="K216" s="10" t="s">
        <v>34</v>
      </c>
      <c r="N216" s="10" t="s">
        <v>35</v>
      </c>
      <c r="V216" s="35" t="s">
        <v>4187</v>
      </c>
      <c r="W216" s="15"/>
      <c r="X216" s="10" t="s">
        <v>37</v>
      </c>
      <c r="Y216" s="10" t="s">
        <v>0</v>
      </c>
    </row>
    <row r="217">
      <c r="A217" s="10" t="s">
        <v>4188</v>
      </c>
      <c r="B217" s="11">
        <v>44432.3981774537</v>
      </c>
      <c r="C217" s="10" t="s">
        <v>209</v>
      </c>
      <c r="D217" s="10" t="s">
        <v>210</v>
      </c>
      <c r="E217" s="10" t="s">
        <v>261</v>
      </c>
      <c r="F217" s="10" t="s">
        <v>4189</v>
      </c>
      <c r="G217" s="35" t="s">
        <v>4190</v>
      </c>
      <c r="H217" s="36">
        <v>44447.60416666667</v>
      </c>
      <c r="I217" s="11">
        <v>44447.66666666667</v>
      </c>
      <c r="J217" s="10" t="s">
        <v>43</v>
      </c>
      <c r="K217" s="10" t="s">
        <v>34</v>
      </c>
      <c r="N217" s="10" t="s">
        <v>296</v>
      </c>
      <c r="O217" s="18" t="s">
        <v>4191</v>
      </c>
      <c r="P217" s="10" t="s">
        <v>35</v>
      </c>
      <c r="R217" s="10" t="s">
        <v>296</v>
      </c>
      <c r="S217" s="10">
        <v>1.0</v>
      </c>
      <c r="T217" s="10" t="s">
        <v>296</v>
      </c>
      <c r="U217" s="10">
        <v>2.0</v>
      </c>
      <c r="V217" s="14" t="s">
        <v>4192</v>
      </c>
      <c r="W217" s="15"/>
      <c r="X217" s="10" t="s">
        <v>37</v>
      </c>
      <c r="Y217" s="10" t="s">
        <v>0</v>
      </c>
    </row>
    <row r="218">
      <c r="A218" s="10" t="s">
        <v>4193</v>
      </c>
      <c r="B218" s="11">
        <v>44446.902108449074</v>
      </c>
      <c r="C218" s="10" t="s">
        <v>80</v>
      </c>
      <c r="D218" s="10" t="s">
        <v>81</v>
      </c>
      <c r="E218" s="10" t="s">
        <v>4194</v>
      </c>
      <c r="F218" s="10" t="s">
        <v>4195</v>
      </c>
      <c r="G218" s="10" t="s">
        <v>4196</v>
      </c>
      <c r="H218" s="11">
        <v>44447.70833333333</v>
      </c>
      <c r="I218" s="11">
        <v>44447.75</v>
      </c>
      <c r="J218" s="10" t="s">
        <v>43</v>
      </c>
      <c r="K218" s="10" t="s">
        <v>34</v>
      </c>
      <c r="N218" s="10" t="s">
        <v>296</v>
      </c>
      <c r="O218" s="18" t="s">
        <v>4197</v>
      </c>
      <c r="P218" s="10" t="s">
        <v>35</v>
      </c>
      <c r="R218" s="10" t="s">
        <v>296</v>
      </c>
      <c r="S218" s="10">
        <v>1.0</v>
      </c>
      <c r="T218" s="10" t="s">
        <v>35</v>
      </c>
      <c r="V218" s="14" t="s">
        <v>4198</v>
      </c>
      <c r="W218" s="15"/>
      <c r="X218" s="10" t="s">
        <v>37</v>
      </c>
      <c r="Y218" s="10" t="s">
        <v>0</v>
      </c>
    </row>
    <row r="219">
      <c r="A219" s="10" t="s">
        <v>4199</v>
      </c>
      <c r="B219" s="11">
        <v>44440.938463541665</v>
      </c>
      <c r="C219" s="10" t="s">
        <v>4200</v>
      </c>
      <c r="D219" s="10" t="s">
        <v>161</v>
      </c>
      <c r="E219" s="10" t="s">
        <v>4201</v>
      </c>
      <c r="F219" s="10" t="s">
        <v>4202</v>
      </c>
      <c r="G219" s="35" t="s">
        <v>4203</v>
      </c>
      <c r="H219" s="36">
        <v>44447.77083333333</v>
      </c>
      <c r="I219" s="11">
        <v>44447.8125</v>
      </c>
      <c r="J219" s="10" t="s">
        <v>43</v>
      </c>
      <c r="K219" s="10" t="s">
        <v>34</v>
      </c>
      <c r="N219" s="10" t="s">
        <v>35</v>
      </c>
      <c r="V219" s="40" t="s">
        <v>4204</v>
      </c>
      <c r="W219" s="15"/>
      <c r="X219" s="10" t="s">
        <v>37</v>
      </c>
      <c r="Y219" s="10" t="s">
        <v>0</v>
      </c>
    </row>
    <row r="220">
      <c r="A220" s="10" t="s">
        <v>4205</v>
      </c>
      <c r="B220" s="11">
        <v>44441.546192291666</v>
      </c>
      <c r="C220" s="10" t="s">
        <v>80</v>
      </c>
      <c r="D220" s="10" t="s">
        <v>81</v>
      </c>
      <c r="E220" s="10" t="s">
        <v>4206</v>
      </c>
      <c r="F220" s="10" t="s">
        <v>3979</v>
      </c>
      <c r="G220" s="10" t="s">
        <v>4207</v>
      </c>
      <c r="H220" s="11">
        <v>44442.60416666667</v>
      </c>
      <c r="I220" s="11">
        <v>44442.6875</v>
      </c>
      <c r="J220" s="10" t="s">
        <v>33</v>
      </c>
      <c r="K220" s="10" t="s">
        <v>34</v>
      </c>
      <c r="N220" s="10" t="s">
        <v>296</v>
      </c>
      <c r="O220" s="18" t="s">
        <v>4208</v>
      </c>
      <c r="P220" s="10" t="s">
        <v>296</v>
      </c>
      <c r="Q220" s="10">
        <v>1.0</v>
      </c>
      <c r="R220" s="10" t="s">
        <v>35</v>
      </c>
      <c r="T220" s="10" t="s">
        <v>35</v>
      </c>
      <c r="V220" s="14" t="s">
        <v>3982</v>
      </c>
      <c r="W220" s="15"/>
      <c r="X220" s="10" t="s">
        <v>37</v>
      </c>
      <c r="Y220" s="10" t="s">
        <v>0</v>
      </c>
    </row>
    <row r="221">
      <c r="A221" s="10" t="s">
        <v>4209</v>
      </c>
      <c r="B221" s="11">
        <v>44441.56610135417</v>
      </c>
      <c r="C221" s="10" t="s">
        <v>4210</v>
      </c>
      <c r="D221" s="10" t="s">
        <v>4211</v>
      </c>
      <c r="E221" s="10" t="s">
        <v>4212</v>
      </c>
      <c r="F221" s="10" t="s">
        <v>4213</v>
      </c>
      <c r="G221" s="10" t="s">
        <v>4214</v>
      </c>
      <c r="H221" s="11">
        <v>44442.75</v>
      </c>
      <c r="I221" s="11">
        <v>44442.79166666667</v>
      </c>
      <c r="J221" s="10" t="s">
        <v>128</v>
      </c>
      <c r="K221" s="10" t="s">
        <v>34</v>
      </c>
      <c r="N221" s="10" t="s">
        <v>35</v>
      </c>
      <c r="V221" s="35" t="s">
        <v>4215</v>
      </c>
      <c r="W221" s="15"/>
      <c r="X221" s="10" t="s">
        <v>37</v>
      </c>
      <c r="Y221" s="10" t="s">
        <v>0</v>
      </c>
    </row>
    <row r="222">
      <c r="A222" s="10" t="s">
        <v>4216</v>
      </c>
      <c r="B222" s="11">
        <v>44441.56840773148</v>
      </c>
      <c r="C222" s="10" t="s">
        <v>4217</v>
      </c>
      <c r="D222" s="10" t="s">
        <v>4211</v>
      </c>
      <c r="E222" s="10" t="s">
        <v>4212</v>
      </c>
      <c r="F222" s="10" t="s">
        <v>4213</v>
      </c>
      <c r="G222" s="10" t="s">
        <v>4218</v>
      </c>
      <c r="H222" s="11">
        <v>44442.75</v>
      </c>
      <c r="I222" s="11">
        <v>44442.79166666667</v>
      </c>
      <c r="J222" s="10" t="s">
        <v>128</v>
      </c>
      <c r="K222" s="10" t="s">
        <v>34</v>
      </c>
      <c r="N222" s="10" t="s">
        <v>35</v>
      </c>
      <c r="V222" s="35" t="s">
        <v>4215</v>
      </c>
      <c r="W222" s="15"/>
      <c r="X222" s="10" t="s">
        <v>37</v>
      </c>
      <c r="Y222" s="10" t="s">
        <v>0</v>
      </c>
    </row>
    <row r="223">
      <c r="A223" s="10" t="s">
        <v>4219</v>
      </c>
      <c r="B223" s="11">
        <v>44440.940970868054</v>
      </c>
      <c r="C223" s="10" t="s">
        <v>330</v>
      </c>
      <c r="D223" s="10" t="s">
        <v>331</v>
      </c>
      <c r="E223" s="10" t="s">
        <v>4220</v>
      </c>
      <c r="F223" s="10" t="s">
        <v>4221</v>
      </c>
      <c r="G223" s="35" t="s">
        <v>4203</v>
      </c>
      <c r="H223" s="36">
        <v>44447.77083333333</v>
      </c>
      <c r="I223" s="11">
        <v>44447.72916666667</v>
      </c>
      <c r="J223" s="10" t="s">
        <v>43</v>
      </c>
      <c r="K223" s="10" t="s">
        <v>34</v>
      </c>
      <c r="N223" s="10" t="s">
        <v>35</v>
      </c>
      <c r="V223" s="14" t="s">
        <v>4204</v>
      </c>
      <c r="W223" s="15"/>
      <c r="X223" s="10" t="s">
        <v>37</v>
      </c>
      <c r="Y223" s="10" t="s">
        <v>0</v>
      </c>
    </row>
    <row r="224">
      <c r="A224" s="10" t="s">
        <v>4222</v>
      </c>
      <c r="B224" s="11">
        <v>44440.94240494213</v>
      </c>
      <c r="C224" s="10" t="s">
        <v>160</v>
      </c>
      <c r="D224" s="10" t="s">
        <v>161</v>
      </c>
      <c r="E224" s="10" t="s">
        <v>4223</v>
      </c>
      <c r="F224" s="10" t="s">
        <v>4202</v>
      </c>
      <c r="G224" s="35" t="s">
        <v>4203</v>
      </c>
      <c r="H224" s="36">
        <v>44447.77083333333</v>
      </c>
      <c r="I224" s="11">
        <v>44447.8125</v>
      </c>
      <c r="J224" s="10" t="s">
        <v>43</v>
      </c>
      <c r="K224" s="10" t="s">
        <v>34</v>
      </c>
      <c r="N224" s="10" t="s">
        <v>35</v>
      </c>
      <c r="V224" s="14" t="s">
        <v>4204</v>
      </c>
      <c r="W224" s="15"/>
      <c r="X224" s="10" t="s">
        <v>37</v>
      </c>
      <c r="Y224" s="10" t="s">
        <v>0</v>
      </c>
    </row>
    <row r="225">
      <c r="A225" s="10" t="s">
        <v>4224</v>
      </c>
      <c r="B225" s="11">
        <v>44438.36761681713</v>
      </c>
      <c r="C225" s="10" t="s">
        <v>209</v>
      </c>
      <c r="D225" s="10" t="s">
        <v>210</v>
      </c>
      <c r="E225" s="10" t="s">
        <v>261</v>
      </c>
      <c r="F225" s="10" t="s">
        <v>3075</v>
      </c>
      <c r="G225" s="35" t="s">
        <v>4225</v>
      </c>
      <c r="H225" s="36">
        <v>44448.4375</v>
      </c>
      <c r="I225" s="11">
        <v>44448.52083333333</v>
      </c>
      <c r="J225" s="10" t="s">
        <v>43</v>
      </c>
      <c r="K225" s="10" t="s">
        <v>34</v>
      </c>
      <c r="N225" s="10" t="s">
        <v>296</v>
      </c>
      <c r="O225" s="18" t="s">
        <v>4226</v>
      </c>
      <c r="P225" s="10" t="s">
        <v>35</v>
      </c>
      <c r="R225" s="10" t="s">
        <v>296</v>
      </c>
      <c r="S225" s="10">
        <v>3.0</v>
      </c>
      <c r="T225" s="10" t="s">
        <v>35</v>
      </c>
      <c r="V225" s="14" t="s">
        <v>4227</v>
      </c>
      <c r="W225" s="15"/>
      <c r="X225" s="10" t="s">
        <v>37</v>
      </c>
      <c r="Y225" s="10" t="s">
        <v>0</v>
      </c>
    </row>
    <row r="226">
      <c r="A226" s="10" t="s">
        <v>4228</v>
      </c>
      <c r="B226" s="11">
        <v>44434.69899958333</v>
      </c>
      <c r="C226" s="10" t="s">
        <v>181</v>
      </c>
      <c r="D226" s="10" t="s">
        <v>69</v>
      </c>
      <c r="E226" s="10" t="s">
        <v>4229</v>
      </c>
      <c r="F226" s="10" t="s">
        <v>4230</v>
      </c>
      <c r="G226" s="35" t="s">
        <v>3914</v>
      </c>
      <c r="H226" s="11">
        <v>44449.3125</v>
      </c>
      <c r="I226" s="11">
        <v>44449.4375</v>
      </c>
      <c r="J226" s="10" t="s">
        <v>128</v>
      </c>
      <c r="K226" s="10" t="s">
        <v>61</v>
      </c>
      <c r="L226" s="10" t="s">
        <v>1334</v>
      </c>
      <c r="N226" s="10" t="s">
        <v>35</v>
      </c>
      <c r="V226" s="9"/>
      <c r="W226" s="13"/>
      <c r="Y226" s="10" t="s">
        <v>0</v>
      </c>
    </row>
    <row r="227">
      <c r="A227" s="10" t="s">
        <v>4231</v>
      </c>
      <c r="B227" s="11">
        <v>44427.5188942824</v>
      </c>
      <c r="C227" s="10" t="s">
        <v>209</v>
      </c>
      <c r="D227" s="10" t="s">
        <v>210</v>
      </c>
      <c r="E227" s="10" t="s">
        <v>261</v>
      </c>
      <c r="F227" s="10" t="s">
        <v>3860</v>
      </c>
      <c r="G227" s="35" t="s">
        <v>4232</v>
      </c>
      <c r="H227" s="11">
        <v>44449.4375</v>
      </c>
      <c r="I227" s="11">
        <v>44449.52083333333</v>
      </c>
      <c r="J227" s="10" t="s">
        <v>128</v>
      </c>
      <c r="K227" s="10" t="s">
        <v>34</v>
      </c>
      <c r="N227" s="10" t="s">
        <v>35</v>
      </c>
      <c r="V227" s="35" t="s">
        <v>3942</v>
      </c>
      <c r="W227" s="15"/>
      <c r="X227" s="10" t="s">
        <v>37</v>
      </c>
      <c r="Y227" s="10" t="s">
        <v>0</v>
      </c>
    </row>
    <row r="228">
      <c r="A228" s="10" t="s">
        <v>4233</v>
      </c>
      <c r="B228" s="11">
        <v>44408.906771643524</v>
      </c>
      <c r="C228" s="10" t="s">
        <v>137</v>
      </c>
      <c r="D228" s="10" t="s">
        <v>138</v>
      </c>
      <c r="E228" s="10" t="s">
        <v>3299</v>
      </c>
      <c r="F228" s="10" t="s">
        <v>921</v>
      </c>
      <c r="G228" s="35" t="s">
        <v>3436</v>
      </c>
      <c r="H228" s="11">
        <v>44449.58333333333</v>
      </c>
      <c r="I228" s="11">
        <v>44449.66666666667</v>
      </c>
      <c r="J228" s="10" t="s">
        <v>128</v>
      </c>
      <c r="K228" s="10" t="s">
        <v>34</v>
      </c>
      <c r="N228" s="10" t="s">
        <v>35</v>
      </c>
      <c r="V228" s="9"/>
      <c r="W228" s="13"/>
      <c r="X228" s="10" t="s">
        <v>37</v>
      </c>
      <c r="Y228" s="10" t="s">
        <v>0</v>
      </c>
    </row>
    <row r="229">
      <c r="A229" s="10" t="s">
        <v>4234</v>
      </c>
      <c r="B229" s="11">
        <v>44442.59014971065</v>
      </c>
      <c r="C229" s="10" t="s">
        <v>181</v>
      </c>
      <c r="D229" s="10" t="s">
        <v>69</v>
      </c>
      <c r="E229" s="10" t="s">
        <v>1229</v>
      </c>
      <c r="F229" s="10" t="s">
        <v>4235</v>
      </c>
      <c r="G229" s="35" t="s">
        <v>4236</v>
      </c>
      <c r="H229" s="36">
        <v>44448.4375</v>
      </c>
      <c r="I229" s="11">
        <v>44448.47916666667</v>
      </c>
      <c r="J229" s="10" t="s">
        <v>43</v>
      </c>
      <c r="K229" s="10" t="s">
        <v>34</v>
      </c>
      <c r="N229" s="10" t="s">
        <v>296</v>
      </c>
      <c r="O229" s="18" t="s">
        <v>4237</v>
      </c>
      <c r="P229" s="10" t="s">
        <v>35</v>
      </c>
      <c r="R229" s="10" t="s">
        <v>296</v>
      </c>
      <c r="S229" s="10">
        <v>1.0</v>
      </c>
      <c r="T229" s="10" t="s">
        <v>35</v>
      </c>
      <c r="V229" s="14" t="s">
        <v>4238</v>
      </c>
      <c r="W229" s="15"/>
      <c r="Y229" s="10" t="s">
        <v>0</v>
      </c>
    </row>
    <row r="230">
      <c r="A230" s="10" t="s">
        <v>4239</v>
      </c>
      <c r="B230" s="11">
        <v>44448.41142645833</v>
      </c>
      <c r="C230" s="10" t="s">
        <v>3304</v>
      </c>
      <c r="D230" s="10" t="s">
        <v>695</v>
      </c>
      <c r="E230" s="10" t="s">
        <v>4240</v>
      </c>
      <c r="F230" s="10" t="s">
        <v>4241</v>
      </c>
      <c r="G230" s="10" t="s">
        <v>4242</v>
      </c>
      <c r="H230" s="11">
        <v>44448.47916666667</v>
      </c>
      <c r="I230" s="11">
        <v>44448.52083333333</v>
      </c>
      <c r="J230" s="10" t="s">
        <v>43</v>
      </c>
      <c r="K230" s="10" t="s">
        <v>34</v>
      </c>
      <c r="N230" s="10" t="s">
        <v>296</v>
      </c>
      <c r="O230" s="18" t="s">
        <v>4243</v>
      </c>
      <c r="P230" s="10" t="s">
        <v>296</v>
      </c>
      <c r="Q230" s="10">
        <v>3.0</v>
      </c>
      <c r="R230" s="10" t="s">
        <v>35</v>
      </c>
      <c r="T230" s="10" t="s">
        <v>35</v>
      </c>
      <c r="V230" s="14" t="s">
        <v>4244</v>
      </c>
      <c r="W230" s="15"/>
      <c r="X230" s="10" t="s">
        <v>37</v>
      </c>
      <c r="Y230" s="10" t="s">
        <v>0</v>
      </c>
    </row>
    <row r="231">
      <c r="A231" s="10" t="s">
        <v>4245</v>
      </c>
      <c r="B231" s="11">
        <v>44442.63835230324</v>
      </c>
      <c r="C231" s="10" t="s">
        <v>4246</v>
      </c>
      <c r="D231" s="10" t="s">
        <v>321</v>
      </c>
      <c r="E231" s="10" t="s">
        <v>4247</v>
      </c>
      <c r="F231" s="10" t="s">
        <v>4248</v>
      </c>
      <c r="G231" s="10" t="s">
        <v>4249</v>
      </c>
      <c r="H231" s="11">
        <v>44442.58333333333</v>
      </c>
      <c r="I231" s="11">
        <v>44455.75</v>
      </c>
      <c r="J231" s="10" t="s">
        <v>73</v>
      </c>
      <c r="K231" s="10" t="s">
        <v>34</v>
      </c>
      <c r="N231" s="10" t="s">
        <v>35</v>
      </c>
      <c r="V231" s="14" t="s">
        <v>4250</v>
      </c>
      <c r="W231" s="15"/>
      <c r="Y231" s="10" t="s">
        <v>0</v>
      </c>
    </row>
    <row r="232">
      <c r="A232" s="10" t="s">
        <v>4251</v>
      </c>
      <c r="B232" s="11">
        <v>44442.803209317135</v>
      </c>
      <c r="C232" s="10" t="s">
        <v>160</v>
      </c>
      <c r="D232" s="10" t="s">
        <v>161</v>
      </c>
      <c r="E232" s="10" t="s">
        <v>3804</v>
      </c>
      <c r="F232" s="10" t="s">
        <v>4252</v>
      </c>
      <c r="G232" s="35" t="s">
        <v>4253</v>
      </c>
      <c r="H232" s="11">
        <v>44449.60416666667</v>
      </c>
      <c r="I232" s="11">
        <v>44449.64583333333</v>
      </c>
      <c r="J232" s="10" t="s">
        <v>33</v>
      </c>
      <c r="K232" s="10" t="s">
        <v>34</v>
      </c>
      <c r="N232" s="10" t="s">
        <v>296</v>
      </c>
      <c r="O232" s="18" t="s">
        <v>4254</v>
      </c>
      <c r="P232" s="10" t="s">
        <v>296</v>
      </c>
      <c r="Q232" s="10">
        <v>1.0</v>
      </c>
      <c r="R232" s="10" t="s">
        <v>35</v>
      </c>
      <c r="T232" s="10" t="s">
        <v>35</v>
      </c>
      <c r="V232" s="14" t="s">
        <v>4255</v>
      </c>
      <c r="W232" s="15"/>
      <c r="X232" s="10" t="s">
        <v>37</v>
      </c>
      <c r="Y232" s="10" t="s">
        <v>0</v>
      </c>
    </row>
    <row r="233">
      <c r="A233" s="10" t="s">
        <v>4256</v>
      </c>
      <c r="B233" s="11">
        <v>44443.32673134259</v>
      </c>
      <c r="C233" s="10" t="s">
        <v>150</v>
      </c>
      <c r="D233" s="10" t="s">
        <v>151</v>
      </c>
      <c r="E233" s="10" t="s">
        <v>4257</v>
      </c>
      <c r="F233" s="10" t="s">
        <v>4258</v>
      </c>
      <c r="G233" s="10" t="s">
        <v>4259</v>
      </c>
      <c r="H233" s="11">
        <v>44443.41666666667</v>
      </c>
      <c r="I233" s="11">
        <v>44443.5</v>
      </c>
      <c r="J233" s="10" t="s">
        <v>128</v>
      </c>
      <c r="K233" s="10" t="s">
        <v>34</v>
      </c>
      <c r="N233" s="10" t="s">
        <v>35</v>
      </c>
      <c r="V233" s="35" t="s">
        <v>3775</v>
      </c>
      <c r="W233" s="15"/>
      <c r="X233" s="10" t="s">
        <v>37</v>
      </c>
      <c r="Y233" s="10" t="s">
        <v>0</v>
      </c>
    </row>
    <row r="234">
      <c r="A234" s="10" t="s">
        <v>4260</v>
      </c>
      <c r="B234" s="11">
        <v>44443.566542430555</v>
      </c>
      <c r="C234" s="10" t="s">
        <v>374</v>
      </c>
      <c r="D234" s="10" t="s">
        <v>375</v>
      </c>
      <c r="E234" s="10" t="s">
        <v>261</v>
      </c>
      <c r="F234" s="10" t="s">
        <v>4261</v>
      </c>
      <c r="G234" s="10" t="s">
        <v>4262</v>
      </c>
      <c r="H234" s="11">
        <v>44451.8125</v>
      </c>
      <c r="I234" s="11">
        <v>44451.85416666667</v>
      </c>
      <c r="J234" s="10" t="s">
        <v>33</v>
      </c>
      <c r="K234" s="10" t="s">
        <v>34</v>
      </c>
      <c r="N234" s="10" t="s">
        <v>35</v>
      </c>
      <c r="V234" s="14" t="s">
        <v>4263</v>
      </c>
      <c r="W234" s="15"/>
      <c r="X234" s="10" t="s">
        <v>37</v>
      </c>
      <c r="Y234" s="10" t="s">
        <v>0</v>
      </c>
    </row>
    <row r="235">
      <c r="A235" s="10" t="s">
        <v>4264</v>
      </c>
      <c r="B235" s="11">
        <v>44449.599581875</v>
      </c>
      <c r="C235" s="10" t="s">
        <v>181</v>
      </c>
      <c r="D235" s="10" t="s">
        <v>69</v>
      </c>
      <c r="E235" s="10" t="s">
        <v>1096</v>
      </c>
      <c r="F235" s="10" t="s">
        <v>4265</v>
      </c>
      <c r="G235" s="10" t="s">
        <v>4266</v>
      </c>
      <c r="H235" s="36">
        <v>44452.60416666667</v>
      </c>
      <c r="I235" s="11">
        <v>44452.6875</v>
      </c>
      <c r="J235" s="10" t="s">
        <v>128</v>
      </c>
      <c r="K235" s="10" t="s">
        <v>34</v>
      </c>
      <c r="N235" s="10" t="s">
        <v>35</v>
      </c>
      <c r="V235" s="14" t="s">
        <v>3490</v>
      </c>
      <c r="W235" s="15"/>
      <c r="X235" s="10" t="s">
        <v>37</v>
      </c>
      <c r="Y235" s="10" t="s">
        <v>0</v>
      </c>
    </row>
    <row r="236">
      <c r="A236" s="10" t="s">
        <v>4267</v>
      </c>
      <c r="B236" s="11">
        <v>44444.567736400466</v>
      </c>
      <c r="C236" s="10" t="s">
        <v>4268</v>
      </c>
      <c r="D236" s="10" t="s">
        <v>4269</v>
      </c>
      <c r="E236" s="10" t="s">
        <v>4270</v>
      </c>
      <c r="F236" s="10" t="s">
        <v>797</v>
      </c>
      <c r="G236" s="10" t="s">
        <v>4271</v>
      </c>
      <c r="H236" s="11">
        <v>44436.60416666667</v>
      </c>
      <c r="I236" s="11">
        <v>44436.64583333333</v>
      </c>
      <c r="J236" s="10" t="s">
        <v>128</v>
      </c>
      <c r="K236" s="10" t="s">
        <v>34</v>
      </c>
      <c r="N236" s="10" t="s">
        <v>35</v>
      </c>
      <c r="V236" s="14" t="s">
        <v>4272</v>
      </c>
      <c r="W236" s="15"/>
      <c r="X236" s="10" t="s">
        <v>37</v>
      </c>
      <c r="Y236" s="10" t="s">
        <v>0</v>
      </c>
    </row>
    <row r="237">
      <c r="A237" s="10" t="s">
        <v>4273</v>
      </c>
      <c r="B237" s="11">
        <v>44444.58256751158</v>
      </c>
      <c r="C237" s="10" t="s">
        <v>4268</v>
      </c>
      <c r="D237" s="10" t="s">
        <v>4269</v>
      </c>
      <c r="E237" s="10" t="s">
        <v>4274</v>
      </c>
      <c r="F237" s="10" t="s">
        <v>4275</v>
      </c>
      <c r="G237" s="10" t="s">
        <v>4276</v>
      </c>
      <c r="H237" s="11">
        <v>44442.6875</v>
      </c>
      <c r="I237" s="11">
        <v>44442.72916666667</v>
      </c>
      <c r="J237" s="10" t="s">
        <v>33</v>
      </c>
      <c r="K237" s="10" t="s">
        <v>34</v>
      </c>
      <c r="N237" s="10" t="s">
        <v>296</v>
      </c>
      <c r="O237" s="18" t="s">
        <v>4277</v>
      </c>
      <c r="P237" s="10" t="s">
        <v>296</v>
      </c>
      <c r="Q237" s="10">
        <v>1.0</v>
      </c>
      <c r="R237" s="10" t="s">
        <v>296</v>
      </c>
      <c r="S237" s="10">
        <v>1.0</v>
      </c>
      <c r="T237" s="10" t="s">
        <v>35</v>
      </c>
      <c r="V237" s="14" t="s">
        <v>4278</v>
      </c>
      <c r="W237" s="15"/>
      <c r="X237" s="10" t="s">
        <v>37</v>
      </c>
      <c r="Y237" s="10" t="s">
        <v>0</v>
      </c>
    </row>
    <row r="238">
      <c r="A238" s="10" t="s">
        <v>4279</v>
      </c>
      <c r="B238" s="11">
        <v>44444.73637758102</v>
      </c>
      <c r="C238" s="10" t="s">
        <v>3304</v>
      </c>
      <c r="D238" s="10" t="s">
        <v>695</v>
      </c>
      <c r="E238" s="10" t="s">
        <v>4240</v>
      </c>
      <c r="F238" s="10" t="s">
        <v>4280</v>
      </c>
      <c r="G238" s="10" t="s">
        <v>4281</v>
      </c>
      <c r="H238" s="11">
        <v>44445.54166666667</v>
      </c>
      <c r="I238" s="11">
        <v>44445.99930555555</v>
      </c>
      <c r="J238" s="10" t="s">
        <v>73</v>
      </c>
      <c r="K238" s="10" t="s">
        <v>34</v>
      </c>
      <c r="N238" s="10" t="s">
        <v>35</v>
      </c>
      <c r="V238" s="14" t="s">
        <v>3464</v>
      </c>
      <c r="W238" s="15"/>
      <c r="X238" s="10" t="s">
        <v>37</v>
      </c>
      <c r="Y238" s="10" t="s">
        <v>0</v>
      </c>
    </row>
    <row r="239">
      <c r="A239" s="10" t="s">
        <v>4282</v>
      </c>
      <c r="B239" s="11">
        <v>44444.74146871528</v>
      </c>
      <c r="C239" s="10" t="s">
        <v>3304</v>
      </c>
      <c r="D239" s="10" t="s">
        <v>695</v>
      </c>
      <c r="E239" s="10" t="s">
        <v>4240</v>
      </c>
      <c r="F239" s="10" t="s">
        <v>4283</v>
      </c>
      <c r="G239" s="10" t="s">
        <v>4284</v>
      </c>
      <c r="H239" s="11">
        <v>44447.54166666667</v>
      </c>
      <c r="I239" s="11">
        <v>44447.99930555555</v>
      </c>
      <c r="J239" s="10" t="s">
        <v>73</v>
      </c>
      <c r="K239" s="10" t="s">
        <v>34</v>
      </c>
      <c r="N239" s="10" t="s">
        <v>35</v>
      </c>
      <c r="V239" s="14" t="s">
        <v>3464</v>
      </c>
      <c r="W239" s="15"/>
      <c r="X239" s="10" t="s">
        <v>37</v>
      </c>
      <c r="Y239" s="10" t="s">
        <v>0</v>
      </c>
    </row>
    <row r="240">
      <c r="A240" s="10" t="s">
        <v>4285</v>
      </c>
      <c r="B240" s="11">
        <v>44445.04696983796</v>
      </c>
      <c r="C240" s="10" t="s">
        <v>342</v>
      </c>
      <c r="D240" s="10" t="s">
        <v>187</v>
      </c>
      <c r="E240" s="10" t="s">
        <v>188</v>
      </c>
      <c r="F240" s="10" t="s">
        <v>497</v>
      </c>
      <c r="G240" s="10" t="s">
        <v>4286</v>
      </c>
      <c r="H240" s="11">
        <v>44435.60416666667</v>
      </c>
      <c r="I240" s="11">
        <v>44435.6875</v>
      </c>
      <c r="J240" s="10" t="s">
        <v>128</v>
      </c>
      <c r="K240" s="10" t="s">
        <v>34</v>
      </c>
      <c r="N240" s="10" t="s">
        <v>296</v>
      </c>
      <c r="O240" s="18" t="s">
        <v>4287</v>
      </c>
      <c r="P240" s="10" t="s">
        <v>35</v>
      </c>
      <c r="R240" s="10" t="s">
        <v>35</v>
      </c>
      <c r="T240" s="10" t="s">
        <v>35</v>
      </c>
      <c r="V240" s="14" t="s">
        <v>4288</v>
      </c>
      <c r="W240" s="15"/>
      <c r="X240" s="10" t="s">
        <v>37</v>
      </c>
      <c r="Y240" s="10" t="s">
        <v>0</v>
      </c>
    </row>
    <row r="241">
      <c r="A241" s="10" t="s">
        <v>4289</v>
      </c>
      <c r="B241" s="11">
        <v>44445.049063287035</v>
      </c>
      <c r="C241" s="10" t="s">
        <v>186</v>
      </c>
      <c r="D241" s="10" t="s">
        <v>187</v>
      </c>
      <c r="E241" s="10" t="s">
        <v>188</v>
      </c>
      <c r="F241" s="10" t="s">
        <v>497</v>
      </c>
      <c r="G241" s="10" t="s">
        <v>4290</v>
      </c>
      <c r="H241" s="11">
        <v>44435.60416666667</v>
      </c>
      <c r="I241" s="11">
        <v>44435.6875</v>
      </c>
      <c r="J241" s="10" t="s">
        <v>128</v>
      </c>
      <c r="K241" s="10" t="s">
        <v>34</v>
      </c>
      <c r="N241" s="10" t="s">
        <v>296</v>
      </c>
      <c r="O241" s="18" t="s">
        <v>4291</v>
      </c>
      <c r="P241" s="10" t="s">
        <v>35</v>
      </c>
      <c r="R241" s="10" t="s">
        <v>35</v>
      </c>
      <c r="T241" s="10" t="s">
        <v>35</v>
      </c>
      <c r="V241" s="14" t="s">
        <v>4288</v>
      </c>
      <c r="W241" s="15"/>
      <c r="X241" s="10" t="s">
        <v>37</v>
      </c>
      <c r="Y241" s="10" t="s">
        <v>0</v>
      </c>
    </row>
    <row r="242">
      <c r="A242" s="10" t="s">
        <v>4292</v>
      </c>
      <c r="B242" s="11">
        <v>44445.05175829861</v>
      </c>
      <c r="C242" s="10" t="s">
        <v>186</v>
      </c>
      <c r="D242" s="10" t="s">
        <v>187</v>
      </c>
      <c r="E242" s="10" t="s">
        <v>188</v>
      </c>
      <c r="F242" s="10" t="s">
        <v>4293</v>
      </c>
      <c r="G242" s="10" t="s">
        <v>4294</v>
      </c>
      <c r="H242" s="11">
        <v>44433.72916666667</v>
      </c>
      <c r="I242" s="11">
        <v>44433.8125</v>
      </c>
      <c r="J242" s="10" t="s">
        <v>128</v>
      </c>
      <c r="K242" s="10" t="s">
        <v>34</v>
      </c>
      <c r="N242" s="10" t="s">
        <v>35</v>
      </c>
      <c r="V242" s="14" t="s">
        <v>4295</v>
      </c>
      <c r="W242" s="15"/>
      <c r="X242" s="10" t="s">
        <v>37</v>
      </c>
      <c r="Y242" s="10" t="s">
        <v>0</v>
      </c>
    </row>
    <row r="243">
      <c r="A243" s="10" t="s">
        <v>4296</v>
      </c>
      <c r="B243" s="11">
        <v>44445.675014016204</v>
      </c>
      <c r="C243" s="10" t="s">
        <v>330</v>
      </c>
      <c r="D243" s="10" t="s">
        <v>331</v>
      </c>
      <c r="E243" s="10" t="s">
        <v>4297</v>
      </c>
      <c r="F243" s="10" t="s">
        <v>4298</v>
      </c>
      <c r="G243" s="10" t="s">
        <v>4299</v>
      </c>
      <c r="H243" s="11">
        <v>44449.60416666667</v>
      </c>
      <c r="I243" s="11">
        <v>44449.64583333333</v>
      </c>
      <c r="J243" s="10" t="s">
        <v>128</v>
      </c>
      <c r="K243" s="10" t="s">
        <v>34</v>
      </c>
      <c r="N243" s="10" t="s">
        <v>35</v>
      </c>
      <c r="V243" s="14" t="s">
        <v>4300</v>
      </c>
      <c r="W243" s="15"/>
      <c r="X243" s="10" t="s">
        <v>37</v>
      </c>
      <c r="Y243" s="10" t="s">
        <v>0</v>
      </c>
    </row>
    <row r="244">
      <c r="A244" s="10" t="s">
        <v>4301</v>
      </c>
      <c r="B244" s="11">
        <v>44445.680229722224</v>
      </c>
      <c r="C244" s="10" t="s">
        <v>330</v>
      </c>
      <c r="D244" s="10" t="s">
        <v>331</v>
      </c>
      <c r="E244" s="10" t="s">
        <v>4302</v>
      </c>
      <c r="F244" s="10" t="s">
        <v>4303</v>
      </c>
      <c r="G244" s="10" t="s">
        <v>4304</v>
      </c>
      <c r="H244" s="11">
        <v>44445.52083333333</v>
      </c>
      <c r="I244" s="11">
        <v>44445.5625</v>
      </c>
      <c r="J244" s="10" t="s">
        <v>73</v>
      </c>
      <c r="K244" s="10" t="s">
        <v>34</v>
      </c>
      <c r="N244" s="10" t="s">
        <v>35</v>
      </c>
      <c r="V244" s="14" t="s">
        <v>4305</v>
      </c>
      <c r="W244" s="15"/>
      <c r="X244" s="10" t="s">
        <v>37</v>
      </c>
      <c r="Y244" s="10" t="s">
        <v>0</v>
      </c>
    </row>
    <row r="245">
      <c r="A245" s="10" t="s">
        <v>4306</v>
      </c>
      <c r="B245" s="11">
        <v>44445.68977444444</v>
      </c>
      <c r="C245" s="10" t="s">
        <v>610</v>
      </c>
      <c r="D245" s="10" t="s">
        <v>611</v>
      </c>
      <c r="E245" s="10" t="s">
        <v>3448</v>
      </c>
      <c r="F245" s="10" t="s">
        <v>4307</v>
      </c>
      <c r="G245" s="10" t="s">
        <v>4308</v>
      </c>
      <c r="H245" s="11">
        <v>44450.41666666667</v>
      </c>
      <c r="I245" s="11">
        <v>44450.5</v>
      </c>
      <c r="J245" s="10" t="s">
        <v>128</v>
      </c>
      <c r="K245" s="10" t="s">
        <v>34</v>
      </c>
      <c r="N245" s="10" t="s">
        <v>35</v>
      </c>
      <c r="V245" s="14" t="s">
        <v>4309</v>
      </c>
      <c r="W245" s="15"/>
      <c r="X245" s="10" t="s">
        <v>37</v>
      </c>
      <c r="Y245" s="10" t="s">
        <v>0</v>
      </c>
    </row>
    <row r="246">
      <c r="A246" s="10" t="s">
        <v>4310</v>
      </c>
      <c r="B246" s="11">
        <v>44445.809502731485</v>
      </c>
      <c r="C246" s="10" t="s">
        <v>96</v>
      </c>
      <c r="D246" s="10" t="s">
        <v>97</v>
      </c>
      <c r="E246" s="10" t="s">
        <v>98</v>
      </c>
      <c r="F246" s="10" t="s">
        <v>4311</v>
      </c>
      <c r="G246" s="10" t="s">
        <v>4312</v>
      </c>
      <c r="H246" s="11">
        <v>44448.6875</v>
      </c>
      <c r="I246" s="11">
        <v>44448.75</v>
      </c>
      <c r="J246" s="10" t="s">
        <v>43</v>
      </c>
      <c r="K246" s="10" t="s">
        <v>34</v>
      </c>
      <c r="N246" s="10" t="s">
        <v>296</v>
      </c>
      <c r="O246" s="18" t="s">
        <v>4313</v>
      </c>
      <c r="P246" s="10" t="s">
        <v>296</v>
      </c>
      <c r="Q246" s="10">
        <v>1.0</v>
      </c>
      <c r="R246" s="10" t="s">
        <v>35</v>
      </c>
      <c r="T246" s="10" t="s">
        <v>35</v>
      </c>
      <c r="V246" s="14" t="s">
        <v>4314</v>
      </c>
      <c r="W246" s="15"/>
      <c r="X246" s="10" t="s">
        <v>37</v>
      </c>
      <c r="Y246" s="10" t="s">
        <v>0</v>
      </c>
    </row>
    <row r="247">
      <c r="A247" s="10" t="s">
        <v>4315</v>
      </c>
      <c r="B247" s="11">
        <v>44462.600079745374</v>
      </c>
      <c r="C247" s="10" t="s">
        <v>3304</v>
      </c>
      <c r="D247" s="10" t="s">
        <v>695</v>
      </c>
      <c r="E247" s="10" t="s">
        <v>4316</v>
      </c>
      <c r="F247" s="10" t="s">
        <v>4317</v>
      </c>
      <c r="G247" s="10" t="s">
        <v>4318</v>
      </c>
      <c r="H247" s="41">
        <v>44466.5625</v>
      </c>
      <c r="I247" s="41">
        <v>44466.99930555555</v>
      </c>
      <c r="J247" s="10" t="s">
        <v>73</v>
      </c>
      <c r="K247" s="10" t="s">
        <v>34</v>
      </c>
      <c r="N247" s="10" t="s">
        <v>35</v>
      </c>
      <c r="V247" s="14" t="s">
        <v>3464</v>
      </c>
      <c r="W247" s="15"/>
      <c r="X247" s="10" t="s">
        <v>37</v>
      </c>
      <c r="Y247" s="10" t="s">
        <v>0</v>
      </c>
    </row>
    <row r="248">
      <c r="A248" s="10" t="s">
        <v>4319</v>
      </c>
      <c r="B248" s="11">
        <v>44468.60171575232</v>
      </c>
      <c r="C248" s="10" t="s">
        <v>610</v>
      </c>
      <c r="D248" s="10" t="s">
        <v>611</v>
      </c>
      <c r="E248" s="10" t="s">
        <v>3531</v>
      </c>
      <c r="F248" s="10" t="s">
        <v>4320</v>
      </c>
      <c r="G248" s="10" t="s">
        <v>4321</v>
      </c>
      <c r="H248" s="42">
        <v>44473.35416666667</v>
      </c>
      <c r="I248" s="11">
        <v>44473.39583333333</v>
      </c>
      <c r="J248" s="10" t="s">
        <v>128</v>
      </c>
      <c r="K248" s="10" t="s">
        <v>34</v>
      </c>
      <c r="N248" s="10" t="s">
        <v>35</v>
      </c>
      <c r="V248" s="14" t="s">
        <v>44</v>
      </c>
      <c r="W248" s="15"/>
      <c r="X248" s="10" t="s">
        <v>37</v>
      </c>
      <c r="Y248" s="10" t="s">
        <v>0</v>
      </c>
    </row>
    <row r="249">
      <c r="A249" s="10" t="s">
        <v>4322</v>
      </c>
      <c r="B249" s="11">
        <v>44445.77858997685</v>
      </c>
      <c r="C249" s="10" t="s">
        <v>181</v>
      </c>
      <c r="D249" s="10" t="s">
        <v>69</v>
      </c>
      <c r="E249" s="10" t="s">
        <v>1879</v>
      </c>
      <c r="F249" s="10" t="s">
        <v>4323</v>
      </c>
      <c r="G249" s="10" t="s">
        <v>4324</v>
      </c>
      <c r="H249" s="11">
        <v>44485.41666666667</v>
      </c>
      <c r="I249" s="11">
        <v>44455.41736111111</v>
      </c>
      <c r="J249" s="10" t="s">
        <v>73</v>
      </c>
      <c r="K249" s="10" t="s">
        <v>34</v>
      </c>
      <c r="N249" s="10" t="s">
        <v>35</v>
      </c>
      <c r="V249" s="14" t="s">
        <v>4046</v>
      </c>
      <c r="W249" s="15"/>
      <c r="X249" s="10" t="s">
        <v>37</v>
      </c>
      <c r="Y249" s="10" t="s">
        <v>0</v>
      </c>
    </row>
    <row r="250">
      <c r="A250" s="10" t="s">
        <v>4325</v>
      </c>
      <c r="B250" s="11">
        <v>44445.779778993056</v>
      </c>
      <c r="C250" s="10" t="s">
        <v>181</v>
      </c>
      <c r="D250" s="10" t="s">
        <v>69</v>
      </c>
      <c r="E250" s="10" t="s">
        <v>1879</v>
      </c>
      <c r="F250" s="10" t="s">
        <v>4326</v>
      </c>
      <c r="G250" s="10" t="s">
        <v>4327</v>
      </c>
      <c r="H250" s="11">
        <v>44492.41666666667</v>
      </c>
      <c r="I250" s="11">
        <v>44492.41736111111</v>
      </c>
      <c r="J250" s="10" t="s">
        <v>73</v>
      </c>
      <c r="K250" s="10" t="s">
        <v>34</v>
      </c>
      <c r="N250" s="10" t="s">
        <v>35</v>
      </c>
      <c r="V250" s="14" t="s">
        <v>4328</v>
      </c>
      <c r="W250" s="15"/>
      <c r="X250" s="10" t="s">
        <v>37</v>
      </c>
      <c r="Y250" s="10" t="s">
        <v>0</v>
      </c>
    </row>
    <row r="251">
      <c r="A251" s="10" t="s">
        <v>4329</v>
      </c>
      <c r="B251" s="11">
        <v>44491.46776850695</v>
      </c>
      <c r="C251" s="10" t="s">
        <v>181</v>
      </c>
      <c r="D251" s="10" t="s">
        <v>69</v>
      </c>
      <c r="E251" s="10" t="s">
        <v>3733</v>
      </c>
      <c r="F251" s="10" t="s">
        <v>4330</v>
      </c>
      <c r="G251" s="10" t="s">
        <v>4331</v>
      </c>
      <c r="H251" s="11">
        <v>44494.47916666667</v>
      </c>
      <c r="I251" s="11">
        <v>44494.52083333333</v>
      </c>
      <c r="J251" s="10" t="s">
        <v>128</v>
      </c>
      <c r="K251" s="10" t="s">
        <v>34</v>
      </c>
      <c r="N251" s="10" t="s">
        <v>35</v>
      </c>
      <c r="V251" s="14" t="s">
        <v>3474</v>
      </c>
      <c r="W251" s="15"/>
      <c r="X251" s="10" t="s">
        <v>37</v>
      </c>
      <c r="Y251" s="10" t="s">
        <v>0</v>
      </c>
    </row>
    <row r="252">
      <c r="A252" s="10" t="s">
        <v>4332</v>
      </c>
      <c r="B252" s="11">
        <v>44498.576800208335</v>
      </c>
      <c r="C252" s="10" t="s">
        <v>181</v>
      </c>
      <c r="D252" s="10" t="s">
        <v>69</v>
      </c>
      <c r="E252" s="10" t="s">
        <v>4333</v>
      </c>
      <c r="F252" s="10" t="s">
        <v>4028</v>
      </c>
      <c r="G252" s="10" t="s">
        <v>4334</v>
      </c>
      <c r="H252" s="11">
        <v>44501.375</v>
      </c>
      <c r="I252" s="11">
        <v>44501.45833333333</v>
      </c>
      <c r="J252" s="10" t="s">
        <v>128</v>
      </c>
      <c r="K252" s="10" t="s">
        <v>34</v>
      </c>
      <c r="N252" s="10" t="s">
        <v>35</v>
      </c>
      <c r="V252" s="14" t="s">
        <v>3490</v>
      </c>
      <c r="W252" s="15"/>
      <c r="X252" s="10" t="s">
        <v>37</v>
      </c>
      <c r="Y252" s="10" t="s">
        <v>0</v>
      </c>
    </row>
    <row r="253">
      <c r="A253" s="10" t="s">
        <v>4335</v>
      </c>
      <c r="B253" s="11">
        <v>44443.585451921295</v>
      </c>
      <c r="C253" s="10" t="s">
        <v>374</v>
      </c>
      <c r="D253" s="10" t="s">
        <v>375</v>
      </c>
      <c r="E253" s="10" t="s">
        <v>261</v>
      </c>
      <c r="F253" s="10" t="s">
        <v>4336</v>
      </c>
      <c r="G253" s="10" t="s">
        <v>4337</v>
      </c>
      <c r="H253" s="36">
        <v>44452.72916666667</v>
      </c>
      <c r="I253" s="11">
        <v>44452.77083333333</v>
      </c>
      <c r="J253" s="10" t="s">
        <v>33</v>
      </c>
      <c r="K253" s="10" t="s">
        <v>34</v>
      </c>
      <c r="N253" s="10" t="s">
        <v>35</v>
      </c>
      <c r="V253" s="14" t="s">
        <v>4338</v>
      </c>
      <c r="W253" s="15"/>
      <c r="X253" s="10" t="s">
        <v>37</v>
      </c>
      <c r="Y253" s="10" t="s">
        <v>0</v>
      </c>
    </row>
    <row r="254">
      <c r="A254" s="10" t="s">
        <v>4339</v>
      </c>
      <c r="B254" s="11">
        <v>44446.92155550926</v>
      </c>
      <c r="C254" s="10" t="s">
        <v>80</v>
      </c>
      <c r="D254" s="10" t="s">
        <v>81</v>
      </c>
      <c r="E254" s="10" t="s">
        <v>4340</v>
      </c>
      <c r="F254" s="10" t="s">
        <v>4341</v>
      </c>
      <c r="G254" s="10" t="s">
        <v>4342</v>
      </c>
      <c r="H254" s="11">
        <v>44449.375</v>
      </c>
      <c r="I254" s="11">
        <v>44449.4375</v>
      </c>
      <c r="J254" s="10" t="s">
        <v>43</v>
      </c>
      <c r="K254" s="10" t="s">
        <v>34</v>
      </c>
      <c r="N254" s="10" t="s">
        <v>296</v>
      </c>
      <c r="O254" s="18" t="s">
        <v>4343</v>
      </c>
      <c r="P254" s="10" t="s">
        <v>296</v>
      </c>
      <c r="Q254" s="10">
        <v>2.0</v>
      </c>
      <c r="R254" s="10" t="s">
        <v>35</v>
      </c>
      <c r="T254" s="10" t="s">
        <v>35</v>
      </c>
      <c r="V254" s="14" t="s">
        <v>4344</v>
      </c>
      <c r="W254" s="15"/>
      <c r="X254" s="10" t="s">
        <v>37</v>
      </c>
      <c r="Y254" s="10" t="s">
        <v>0</v>
      </c>
    </row>
    <row r="255">
      <c r="A255" s="10" t="s">
        <v>4345</v>
      </c>
      <c r="B255" s="11">
        <v>44445.99160550926</v>
      </c>
      <c r="C255" s="10" t="s">
        <v>1035</v>
      </c>
      <c r="D255" s="10" t="s">
        <v>1036</v>
      </c>
      <c r="E255" s="10" t="s">
        <v>2626</v>
      </c>
      <c r="F255" s="10" t="s">
        <v>4346</v>
      </c>
      <c r="G255" s="10" t="s">
        <v>4347</v>
      </c>
      <c r="H255" s="11">
        <v>44442.6875</v>
      </c>
      <c r="I255" s="11">
        <v>44442.6875</v>
      </c>
      <c r="J255" s="10" t="s">
        <v>128</v>
      </c>
      <c r="K255" s="10" t="s">
        <v>34</v>
      </c>
      <c r="N255" s="10" t="s">
        <v>35</v>
      </c>
      <c r="V255" s="14" t="s">
        <v>4348</v>
      </c>
      <c r="W255" s="15"/>
      <c r="X255" s="10" t="s">
        <v>37</v>
      </c>
      <c r="Y255" s="10" t="s">
        <v>0</v>
      </c>
    </row>
    <row r="256">
      <c r="A256" s="10" t="s">
        <v>4349</v>
      </c>
      <c r="B256" s="11">
        <v>44445.99291021991</v>
      </c>
      <c r="C256" s="10" t="s">
        <v>1035</v>
      </c>
      <c r="D256" s="10" t="s">
        <v>1036</v>
      </c>
      <c r="E256" s="10" t="s">
        <v>2626</v>
      </c>
      <c r="F256" s="10" t="s">
        <v>4350</v>
      </c>
      <c r="G256" s="10" t="s">
        <v>4351</v>
      </c>
      <c r="H256" s="11">
        <v>44450.6875</v>
      </c>
      <c r="I256" s="11">
        <v>44450.72916666667</v>
      </c>
      <c r="J256" s="10" t="s">
        <v>128</v>
      </c>
      <c r="K256" s="10" t="s">
        <v>34</v>
      </c>
      <c r="N256" s="10" t="s">
        <v>35</v>
      </c>
      <c r="V256" s="14" t="s">
        <v>4348</v>
      </c>
      <c r="W256" s="15"/>
      <c r="X256" s="10" t="s">
        <v>37</v>
      </c>
      <c r="Y256" s="10" t="s">
        <v>0</v>
      </c>
    </row>
    <row r="257">
      <c r="A257" s="10" t="s">
        <v>4352</v>
      </c>
      <c r="B257" s="11">
        <v>44442.568155925925</v>
      </c>
      <c r="C257" s="10" t="s">
        <v>181</v>
      </c>
      <c r="D257" s="10" t="s">
        <v>69</v>
      </c>
      <c r="E257" s="10" t="s">
        <v>4353</v>
      </c>
      <c r="F257" s="10" t="s">
        <v>4354</v>
      </c>
      <c r="G257" s="35" t="s">
        <v>4355</v>
      </c>
      <c r="H257" s="11">
        <v>44449.58333333333</v>
      </c>
      <c r="I257" s="11">
        <v>44450.54166666667</v>
      </c>
      <c r="J257" s="10" t="s">
        <v>236</v>
      </c>
      <c r="K257" s="10" t="s">
        <v>34</v>
      </c>
      <c r="N257" s="10" t="s">
        <v>296</v>
      </c>
      <c r="O257" s="18" t="s">
        <v>4356</v>
      </c>
      <c r="P257" s="10" t="s">
        <v>296</v>
      </c>
      <c r="Q257" s="10">
        <v>2.0</v>
      </c>
      <c r="R257" s="10" t="s">
        <v>296</v>
      </c>
      <c r="S257" s="10">
        <v>6.0</v>
      </c>
      <c r="T257" s="10" t="s">
        <v>296</v>
      </c>
      <c r="U257" s="10">
        <v>4.0</v>
      </c>
      <c r="V257" s="14" t="s">
        <v>4357</v>
      </c>
      <c r="W257" s="15"/>
      <c r="X257" s="10" t="s">
        <v>37</v>
      </c>
      <c r="Y257" s="10" t="s">
        <v>0</v>
      </c>
    </row>
    <row r="258">
      <c r="A258" s="10" t="s">
        <v>4358</v>
      </c>
      <c r="B258" s="11">
        <v>44449.592780520834</v>
      </c>
      <c r="C258" s="10" t="s">
        <v>181</v>
      </c>
      <c r="D258" s="10" t="s">
        <v>69</v>
      </c>
      <c r="E258" s="10" t="s">
        <v>1229</v>
      </c>
      <c r="F258" s="10" t="s">
        <v>4359</v>
      </c>
      <c r="G258" s="10" t="s">
        <v>4360</v>
      </c>
      <c r="H258" s="36">
        <v>44452.72916666667</v>
      </c>
      <c r="I258" s="11">
        <v>44452.77083333333</v>
      </c>
      <c r="J258" s="10" t="s">
        <v>128</v>
      </c>
      <c r="K258" s="10" t="s">
        <v>34</v>
      </c>
      <c r="N258" s="10" t="s">
        <v>35</v>
      </c>
      <c r="V258" s="14" t="s">
        <v>4361</v>
      </c>
      <c r="W258" s="15"/>
      <c r="X258" s="10" t="s">
        <v>37</v>
      </c>
      <c r="Y258" s="10" t="s">
        <v>0</v>
      </c>
    </row>
    <row r="259">
      <c r="A259" s="10" t="s">
        <v>4362</v>
      </c>
      <c r="B259" s="11">
        <v>44458.86668083334</v>
      </c>
      <c r="C259" s="10" t="s">
        <v>581</v>
      </c>
      <c r="D259" s="10" t="s">
        <v>220</v>
      </c>
      <c r="E259" s="10" t="s">
        <v>4363</v>
      </c>
      <c r="F259" s="10" t="s">
        <v>4364</v>
      </c>
      <c r="G259" s="10" t="s">
        <v>4365</v>
      </c>
      <c r="H259" s="11">
        <v>44459.4375</v>
      </c>
      <c r="I259" s="11">
        <v>44459.47916666667</v>
      </c>
      <c r="J259" s="10" t="s">
        <v>128</v>
      </c>
      <c r="K259" s="10" t="s">
        <v>34</v>
      </c>
      <c r="N259" s="10" t="s">
        <v>35</v>
      </c>
      <c r="V259" s="14" t="s">
        <v>4366</v>
      </c>
      <c r="W259" s="15"/>
      <c r="X259" s="10" t="s">
        <v>37</v>
      </c>
      <c r="Y259" s="10" t="s">
        <v>0</v>
      </c>
    </row>
    <row r="260">
      <c r="A260" s="10" t="s">
        <v>4367</v>
      </c>
      <c r="B260" s="11">
        <v>44463.57489447917</v>
      </c>
      <c r="C260" s="10" t="s">
        <v>181</v>
      </c>
      <c r="D260" s="10" t="s">
        <v>69</v>
      </c>
      <c r="E260" s="10" t="s">
        <v>1096</v>
      </c>
      <c r="F260" s="10" t="s">
        <v>4265</v>
      </c>
      <c r="G260" s="10" t="s">
        <v>4368</v>
      </c>
      <c r="H260" s="41">
        <v>44466.60416666667</v>
      </c>
      <c r="I260" s="41">
        <v>44466.6875</v>
      </c>
      <c r="J260" s="10" t="s">
        <v>128</v>
      </c>
      <c r="K260" s="10" t="s">
        <v>34</v>
      </c>
      <c r="N260" s="10" t="s">
        <v>35</v>
      </c>
      <c r="V260" s="14" t="s">
        <v>3490</v>
      </c>
      <c r="W260" s="15"/>
      <c r="X260" s="10" t="s">
        <v>37</v>
      </c>
      <c r="Y260" s="10" t="s">
        <v>0</v>
      </c>
    </row>
    <row r="261">
      <c r="A261" s="10" t="s">
        <v>4369</v>
      </c>
      <c r="B261" s="11">
        <v>44442.51405266204</v>
      </c>
      <c r="C261" s="10" t="s">
        <v>671</v>
      </c>
      <c r="D261" s="10" t="s">
        <v>672</v>
      </c>
      <c r="E261" s="10" t="s">
        <v>3745</v>
      </c>
      <c r="F261" s="10" t="s">
        <v>4370</v>
      </c>
      <c r="G261" s="35" t="s">
        <v>4371</v>
      </c>
      <c r="H261" s="11">
        <v>44449.60416666667</v>
      </c>
      <c r="I261" s="11">
        <v>44449.6875</v>
      </c>
      <c r="J261" s="10" t="s">
        <v>43</v>
      </c>
      <c r="K261" s="10" t="s">
        <v>34</v>
      </c>
      <c r="N261" s="10" t="s">
        <v>296</v>
      </c>
      <c r="O261" s="18" t="s">
        <v>4372</v>
      </c>
      <c r="P261" s="10" t="s">
        <v>35</v>
      </c>
      <c r="R261" s="10" t="s">
        <v>35</v>
      </c>
      <c r="T261" s="10" t="s">
        <v>296</v>
      </c>
      <c r="U261" s="10">
        <v>1.0</v>
      </c>
      <c r="V261" s="14" t="s">
        <v>3906</v>
      </c>
      <c r="W261" s="15"/>
      <c r="X261" s="10" t="s">
        <v>37</v>
      </c>
      <c r="Y261" s="10" t="s">
        <v>0</v>
      </c>
    </row>
    <row r="262">
      <c r="A262" s="10" t="s">
        <v>4373</v>
      </c>
      <c r="B262" s="11">
        <v>44446.43759199074</v>
      </c>
      <c r="C262" s="10" t="s">
        <v>209</v>
      </c>
      <c r="D262" s="10" t="s">
        <v>210</v>
      </c>
      <c r="E262" s="10" t="s">
        <v>261</v>
      </c>
      <c r="F262" s="10" t="s">
        <v>4374</v>
      </c>
      <c r="G262" s="10" t="s">
        <v>4375</v>
      </c>
      <c r="H262" s="11">
        <v>44485.47916666667</v>
      </c>
      <c r="I262" s="11">
        <v>44485.52083333333</v>
      </c>
      <c r="J262" s="10" t="s">
        <v>33</v>
      </c>
      <c r="K262" s="10" t="s">
        <v>34</v>
      </c>
      <c r="N262" s="10" t="s">
        <v>35</v>
      </c>
      <c r="V262" s="14" t="s">
        <v>4376</v>
      </c>
      <c r="W262" s="15"/>
      <c r="X262" s="10" t="s">
        <v>37</v>
      </c>
      <c r="Y262" s="10" t="s">
        <v>0</v>
      </c>
    </row>
    <row r="263">
      <c r="A263" s="10" t="s">
        <v>4377</v>
      </c>
      <c r="B263" s="11">
        <v>44449.5953157176</v>
      </c>
      <c r="C263" s="10" t="s">
        <v>181</v>
      </c>
      <c r="D263" s="10" t="s">
        <v>69</v>
      </c>
      <c r="E263" s="10" t="s">
        <v>3864</v>
      </c>
      <c r="F263" s="10" t="s">
        <v>4378</v>
      </c>
      <c r="G263" s="10" t="s">
        <v>4379</v>
      </c>
      <c r="H263" s="36">
        <v>44452.72916666667</v>
      </c>
      <c r="I263" s="11">
        <v>44452.77083333333</v>
      </c>
      <c r="J263" s="10" t="s">
        <v>128</v>
      </c>
      <c r="K263" s="10" t="s">
        <v>34</v>
      </c>
      <c r="N263" s="10" t="s">
        <v>35</v>
      </c>
      <c r="V263" s="14" t="s">
        <v>4380</v>
      </c>
      <c r="W263" s="15"/>
      <c r="X263" s="10" t="s">
        <v>37</v>
      </c>
      <c r="Y263" s="10" t="s">
        <v>0</v>
      </c>
    </row>
    <row r="264">
      <c r="A264" s="10" t="s">
        <v>4381</v>
      </c>
      <c r="B264" s="11">
        <v>44456.56784927083</v>
      </c>
      <c r="C264" s="10" t="s">
        <v>181</v>
      </c>
      <c r="D264" s="10" t="s">
        <v>69</v>
      </c>
      <c r="E264" s="10" t="s">
        <v>3733</v>
      </c>
      <c r="F264" s="10" t="s">
        <v>4382</v>
      </c>
      <c r="G264" s="10" t="s">
        <v>4383</v>
      </c>
      <c r="H264" s="36">
        <v>44459.47916666667</v>
      </c>
      <c r="I264" s="11">
        <v>44459.52083333333</v>
      </c>
      <c r="J264" s="10" t="s">
        <v>128</v>
      </c>
      <c r="K264" s="10" t="s">
        <v>34</v>
      </c>
      <c r="N264" s="10" t="s">
        <v>35</v>
      </c>
      <c r="V264" s="14" t="s">
        <v>3658</v>
      </c>
      <c r="W264" s="15"/>
      <c r="X264" s="10" t="s">
        <v>37</v>
      </c>
      <c r="Y264" s="10" t="s">
        <v>0</v>
      </c>
    </row>
    <row r="265">
      <c r="A265" s="10" t="s">
        <v>4384</v>
      </c>
      <c r="B265" s="11">
        <v>44463.56880666666</v>
      </c>
      <c r="C265" s="10" t="s">
        <v>181</v>
      </c>
      <c r="D265" s="10" t="s">
        <v>69</v>
      </c>
      <c r="E265" s="10" t="s">
        <v>4385</v>
      </c>
      <c r="F265" s="10" t="s">
        <v>4386</v>
      </c>
      <c r="G265" s="10" t="s">
        <v>4387</v>
      </c>
      <c r="H265" s="41">
        <v>44466.72916666667</v>
      </c>
      <c r="I265" s="41">
        <v>44466.77083333333</v>
      </c>
      <c r="J265" s="10" t="s">
        <v>128</v>
      </c>
      <c r="K265" s="10" t="s">
        <v>34</v>
      </c>
      <c r="N265" s="10" t="s">
        <v>35</v>
      </c>
      <c r="V265" s="14" t="s">
        <v>3554</v>
      </c>
      <c r="W265" s="15"/>
      <c r="X265" s="10" t="s">
        <v>37</v>
      </c>
      <c r="Y265" s="10" t="s">
        <v>0</v>
      </c>
    </row>
    <row r="266">
      <c r="A266" s="10" t="s">
        <v>4388</v>
      </c>
      <c r="B266" s="11">
        <v>44468.622741851854</v>
      </c>
      <c r="C266" s="10" t="s">
        <v>610</v>
      </c>
      <c r="D266" s="10" t="s">
        <v>611</v>
      </c>
      <c r="E266" s="10" t="s">
        <v>3448</v>
      </c>
      <c r="F266" s="10" t="s">
        <v>4389</v>
      </c>
      <c r="G266" s="10" t="s">
        <v>4390</v>
      </c>
      <c r="H266" s="42">
        <v>44473.39583333333</v>
      </c>
      <c r="I266" s="11">
        <v>44473.4375</v>
      </c>
      <c r="J266" s="10" t="s">
        <v>128</v>
      </c>
      <c r="K266" s="10" t="s">
        <v>34</v>
      </c>
      <c r="N266" s="10" t="s">
        <v>35</v>
      </c>
      <c r="V266" s="14" t="s">
        <v>44</v>
      </c>
      <c r="W266" s="15"/>
      <c r="X266" s="10" t="s">
        <v>37</v>
      </c>
      <c r="Y266" s="10" t="s">
        <v>0</v>
      </c>
    </row>
    <row r="267">
      <c r="A267" s="10" t="s">
        <v>4391</v>
      </c>
      <c r="B267" s="11">
        <v>44446.45974770833</v>
      </c>
      <c r="C267" s="10" t="s">
        <v>209</v>
      </c>
      <c r="D267" s="10" t="s">
        <v>210</v>
      </c>
      <c r="E267" s="10" t="s">
        <v>261</v>
      </c>
      <c r="F267" s="10" t="s">
        <v>4392</v>
      </c>
      <c r="G267" s="10" t="s">
        <v>4393</v>
      </c>
      <c r="H267" s="11">
        <v>44485.64583333333</v>
      </c>
      <c r="I267" s="11">
        <v>44485.6875</v>
      </c>
      <c r="J267" s="10" t="s">
        <v>128</v>
      </c>
      <c r="K267" s="10" t="s">
        <v>34</v>
      </c>
      <c r="N267" s="10" t="s">
        <v>35</v>
      </c>
      <c r="V267" s="14" t="s">
        <v>4394</v>
      </c>
      <c r="W267" s="15"/>
      <c r="X267" s="10" t="s">
        <v>37</v>
      </c>
      <c r="Y267" s="10" t="s">
        <v>0</v>
      </c>
    </row>
    <row r="268">
      <c r="A268" s="10" t="s">
        <v>4395</v>
      </c>
      <c r="B268" s="11">
        <v>44449.59191152778</v>
      </c>
      <c r="C268" s="10" t="s">
        <v>181</v>
      </c>
      <c r="D268" s="10" t="s">
        <v>69</v>
      </c>
      <c r="E268" s="10" t="s">
        <v>4396</v>
      </c>
      <c r="F268" s="10" t="s">
        <v>4052</v>
      </c>
      <c r="G268" s="10" t="s">
        <v>4397</v>
      </c>
      <c r="H268" s="36">
        <v>44452.77083333333</v>
      </c>
      <c r="I268" s="11">
        <v>44452.85416666667</v>
      </c>
      <c r="J268" s="10" t="s">
        <v>128</v>
      </c>
      <c r="K268" s="10" t="s">
        <v>34</v>
      </c>
      <c r="N268" s="10" t="s">
        <v>35</v>
      </c>
      <c r="V268" s="14" t="s">
        <v>4398</v>
      </c>
      <c r="W268" s="15"/>
      <c r="X268" s="10" t="s">
        <v>37</v>
      </c>
      <c r="Y268" s="10" t="s">
        <v>0</v>
      </c>
    </row>
    <row r="269">
      <c r="A269" s="10" t="s">
        <v>4399</v>
      </c>
      <c r="B269" s="11">
        <v>44449.626587465274</v>
      </c>
      <c r="C269" s="10" t="s">
        <v>239</v>
      </c>
      <c r="D269" s="10" t="s">
        <v>240</v>
      </c>
      <c r="E269" s="10" t="s">
        <v>4400</v>
      </c>
      <c r="F269" s="10" t="s">
        <v>4401</v>
      </c>
      <c r="G269" s="10" t="s">
        <v>4402</v>
      </c>
      <c r="H269" s="11">
        <v>44449.625</v>
      </c>
      <c r="I269" s="11">
        <v>44459.85416666667</v>
      </c>
      <c r="J269" s="10" t="s">
        <v>43</v>
      </c>
      <c r="K269" s="10" t="s">
        <v>34</v>
      </c>
      <c r="N269" s="10" t="s">
        <v>35</v>
      </c>
      <c r="V269" s="35" t="s">
        <v>4403</v>
      </c>
      <c r="W269" s="15"/>
    </row>
    <row r="270">
      <c r="A270" s="10" t="s">
        <v>4404</v>
      </c>
      <c r="B270" s="11">
        <v>44446.833706157406</v>
      </c>
      <c r="C270" s="10" t="s">
        <v>671</v>
      </c>
      <c r="D270" s="10" t="s">
        <v>672</v>
      </c>
      <c r="E270" s="10" t="s">
        <v>4405</v>
      </c>
      <c r="F270" s="10" t="s">
        <v>4406</v>
      </c>
      <c r="G270" s="10" t="s">
        <v>4407</v>
      </c>
      <c r="H270" s="11">
        <v>44448.52083333333</v>
      </c>
      <c r="I270" s="11">
        <v>44448.5625</v>
      </c>
      <c r="J270" s="10" t="s">
        <v>128</v>
      </c>
      <c r="K270" s="10" t="s">
        <v>34</v>
      </c>
      <c r="N270" s="10" t="s">
        <v>35</v>
      </c>
      <c r="V270" s="14" t="s">
        <v>3906</v>
      </c>
      <c r="W270" s="15"/>
      <c r="X270" s="10" t="s">
        <v>37</v>
      </c>
      <c r="Y270" s="10" t="s">
        <v>0</v>
      </c>
    </row>
    <row r="271">
      <c r="A271" s="10" t="s">
        <v>4408</v>
      </c>
      <c r="B271" s="11">
        <v>44447.83849896991</v>
      </c>
      <c r="C271" s="10" t="s">
        <v>3304</v>
      </c>
      <c r="D271" s="10" t="s">
        <v>695</v>
      </c>
      <c r="E271" s="10" t="s">
        <v>4240</v>
      </c>
      <c r="F271" s="10" t="s">
        <v>4409</v>
      </c>
      <c r="G271" s="10" t="s">
        <v>4410</v>
      </c>
      <c r="H271" s="11">
        <v>44449.6875</v>
      </c>
      <c r="I271" s="11">
        <v>44449.77083333333</v>
      </c>
      <c r="J271" s="10" t="s">
        <v>43</v>
      </c>
      <c r="K271" s="10" t="s">
        <v>34</v>
      </c>
      <c r="N271" s="10" t="s">
        <v>296</v>
      </c>
      <c r="O271" s="18" t="s">
        <v>4411</v>
      </c>
      <c r="P271" s="10" t="s">
        <v>296</v>
      </c>
      <c r="Q271" s="10">
        <v>1.0</v>
      </c>
      <c r="R271" s="10" t="s">
        <v>35</v>
      </c>
      <c r="T271" s="10" t="s">
        <v>296</v>
      </c>
      <c r="U271" s="10">
        <v>1.0</v>
      </c>
      <c r="V271" s="14" t="s">
        <v>4412</v>
      </c>
      <c r="W271" s="15"/>
      <c r="X271" s="10" t="s">
        <v>37</v>
      </c>
      <c r="Y271" s="10" t="s">
        <v>0</v>
      </c>
    </row>
    <row r="272">
      <c r="A272" s="10" t="s">
        <v>4413</v>
      </c>
      <c r="B272" s="11">
        <v>44447.81135638889</v>
      </c>
      <c r="C272" s="10" t="s">
        <v>581</v>
      </c>
      <c r="D272" s="10" t="s">
        <v>220</v>
      </c>
      <c r="E272" s="10" t="s">
        <v>3606</v>
      </c>
      <c r="F272" s="10" t="s">
        <v>4414</v>
      </c>
      <c r="G272" s="10" t="s">
        <v>4415</v>
      </c>
      <c r="H272" s="11">
        <v>44450.39583333333</v>
      </c>
      <c r="I272" s="11">
        <v>44450.4375</v>
      </c>
      <c r="J272" s="10" t="s">
        <v>43</v>
      </c>
      <c r="K272" s="10" t="s">
        <v>34</v>
      </c>
      <c r="N272" s="10" t="s">
        <v>35</v>
      </c>
      <c r="V272" s="14" t="s">
        <v>4416</v>
      </c>
      <c r="W272" s="15"/>
      <c r="X272" s="10" t="s">
        <v>37</v>
      </c>
      <c r="Y272" s="10" t="s">
        <v>0</v>
      </c>
    </row>
    <row r="273">
      <c r="A273" s="10" t="s">
        <v>4417</v>
      </c>
      <c r="B273" s="11">
        <v>44447.4269477662</v>
      </c>
      <c r="C273" s="10" t="s">
        <v>4268</v>
      </c>
      <c r="D273" s="10" t="s">
        <v>4269</v>
      </c>
      <c r="E273" s="10" t="s">
        <v>4274</v>
      </c>
      <c r="F273" s="10" t="s">
        <v>4418</v>
      </c>
      <c r="G273" s="10" t="s">
        <v>4419</v>
      </c>
      <c r="H273" s="11">
        <v>44450.4375</v>
      </c>
      <c r="I273" s="11">
        <v>44450.47916666667</v>
      </c>
      <c r="J273" s="10" t="s">
        <v>33</v>
      </c>
      <c r="K273" s="10" t="s">
        <v>34</v>
      </c>
      <c r="N273" s="10" t="s">
        <v>296</v>
      </c>
      <c r="O273" s="18" t="s">
        <v>4420</v>
      </c>
      <c r="P273" s="10" t="s">
        <v>296</v>
      </c>
      <c r="Q273" s="10">
        <v>1.0</v>
      </c>
      <c r="R273" s="10" t="s">
        <v>35</v>
      </c>
      <c r="T273" s="10" t="s">
        <v>35</v>
      </c>
      <c r="V273" s="14" t="s">
        <v>4421</v>
      </c>
      <c r="W273" s="15"/>
      <c r="X273" s="10" t="s">
        <v>37</v>
      </c>
      <c r="Y273" s="10" t="s">
        <v>0</v>
      </c>
    </row>
    <row r="274">
      <c r="A274" s="10" t="s">
        <v>4422</v>
      </c>
      <c r="B274" s="11">
        <v>44447.42994638889</v>
      </c>
      <c r="C274" s="10" t="s">
        <v>4268</v>
      </c>
      <c r="D274" s="10" t="s">
        <v>4269</v>
      </c>
      <c r="E274" s="10" t="s">
        <v>4274</v>
      </c>
      <c r="F274" s="10" t="s">
        <v>4423</v>
      </c>
      <c r="G274" s="10" t="s">
        <v>4424</v>
      </c>
      <c r="H274" s="11">
        <v>44449.6875</v>
      </c>
      <c r="I274" s="11">
        <v>44449.72916666667</v>
      </c>
      <c r="J274" s="10" t="s">
        <v>128</v>
      </c>
      <c r="K274" s="10" t="s">
        <v>34</v>
      </c>
      <c r="N274" s="10" t="s">
        <v>35</v>
      </c>
      <c r="V274" s="14" t="s">
        <v>4425</v>
      </c>
      <c r="W274" s="15"/>
      <c r="X274" s="10" t="s">
        <v>37</v>
      </c>
      <c r="Y274" s="10" t="s">
        <v>0</v>
      </c>
    </row>
    <row r="275">
      <c r="A275" s="10" t="s">
        <v>4426</v>
      </c>
      <c r="B275" s="11">
        <v>44447.7343196875</v>
      </c>
      <c r="C275" s="10" t="s">
        <v>581</v>
      </c>
      <c r="D275" s="10" t="s">
        <v>220</v>
      </c>
      <c r="E275" s="10" t="s">
        <v>4363</v>
      </c>
      <c r="F275" s="10" t="s">
        <v>4427</v>
      </c>
      <c r="G275" s="10" t="s">
        <v>4428</v>
      </c>
      <c r="H275" s="11">
        <v>44445.5625</v>
      </c>
      <c r="I275" s="11">
        <v>44445.60416666667</v>
      </c>
      <c r="J275" s="10" t="s">
        <v>128</v>
      </c>
      <c r="K275" s="10" t="s">
        <v>34</v>
      </c>
      <c r="N275" s="10" t="s">
        <v>35</v>
      </c>
      <c r="V275" s="14" t="s">
        <v>4366</v>
      </c>
      <c r="W275" s="15"/>
      <c r="X275" s="10" t="s">
        <v>37</v>
      </c>
      <c r="Y275" s="10" t="s">
        <v>0</v>
      </c>
    </row>
    <row r="276">
      <c r="A276" s="10" t="s">
        <v>4429</v>
      </c>
      <c r="B276" s="11">
        <v>44447.73638512731</v>
      </c>
      <c r="C276" s="10" t="s">
        <v>581</v>
      </c>
      <c r="D276" s="10" t="s">
        <v>220</v>
      </c>
      <c r="E276" s="10" t="s">
        <v>4363</v>
      </c>
      <c r="F276" s="10" t="s">
        <v>4430</v>
      </c>
      <c r="G276" s="10" t="s">
        <v>4431</v>
      </c>
      <c r="H276" s="11">
        <v>44446.35416666667</v>
      </c>
      <c r="I276" s="11">
        <v>44446.39583333333</v>
      </c>
      <c r="J276" s="10" t="s">
        <v>128</v>
      </c>
      <c r="K276" s="10" t="s">
        <v>34</v>
      </c>
      <c r="N276" s="10" t="s">
        <v>35</v>
      </c>
      <c r="V276" s="14" t="s">
        <v>4366</v>
      </c>
      <c r="W276" s="15"/>
      <c r="X276" s="10" t="s">
        <v>37</v>
      </c>
      <c r="Y276" s="10" t="s">
        <v>0</v>
      </c>
    </row>
    <row r="277">
      <c r="A277" s="10" t="s">
        <v>4432</v>
      </c>
      <c r="B277" s="11">
        <v>44447.73982184028</v>
      </c>
      <c r="C277" s="10" t="s">
        <v>581</v>
      </c>
      <c r="D277" s="10" t="s">
        <v>220</v>
      </c>
      <c r="E277" s="10" t="s">
        <v>3586</v>
      </c>
      <c r="F277" s="10" t="s">
        <v>4433</v>
      </c>
      <c r="G277" s="10" t="s">
        <v>4434</v>
      </c>
      <c r="H277" s="11">
        <v>44447.72916666667</v>
      </c>
      <c r="I277" s="11">
        <v>44447.77083333333</v>
      </c>
      <c r="J277" s="10" t="s">
        <v>73</v>
      </c>
      <c r="K277" s="10" t="s">
        <v>34</v>
      </c>
      <c r="N277" s="10" t="s">
        <v>35</v>
      </c>
      <c r="V277" s="14" t="s">
        <v>3589</v>
      </c>
      <c r="W277" s="15"/>
      <c r="X277" s="10" t="s">
        <v>37</v>
      </c>
      <c r="Y277" s="10" t="s">
        <v>0</v>
      </c>
    </row>
    <row r="278">
      <c r="A278" s="10" t="s">
        <v>4435</v>
      </c>
      <c r="B278" s="11">
        <v>44447.74315329861</v>
      </c>
      <c r="C278" s="10" t="s">
        <v>581</v>
      </c>
      <c r="D278" s="10" t="s">
        <v>220</v>
      </c>
      <c r="E278" s="10" t="s">
        <v>3606</v>
      </c>
      <c r="F278" s="10" t="s">
        <v>4436</v>
      </c>
      <c r="G278" s="10" t="s">
        <v>4437</v>
      </c>
      <c r="H278" s="11">
        <v>44447.85416666667</v>
      </c>
      <c r="I278" s="11">
        <v>44447.89583333333</v>
      </c>
      <c r="J278" s="10" t="s">
        <v>128</v>
      </c>
      <c r="K278" s="10" t="s">
        <v>34</v>
      </c>
      <c r="N278" s="10" t="s">
        <v>35</v>
      </c>
      <c r="V278" s="14" t="s">
        <v>4438</v>
      </c>
      <c r="W278" s="15"/>
      <c r="X278" s="10" t="s">
        <v>37</v>
      </c>
      <c r="Y278" s="10" t="s">
        <v>0</v>
      </c>
    </row>
    <row r="279">
      <c r="A279" s="10" t="s">
        <v>4439</v>
      </c>
      <c r="B279" s="11">
        <v>44447.76606491898</v>
      </c>
      <c r="C279" s="10" t="s">
        <v>581</v>
      </c>
      <c r="D279" s="10" t="s">
        <v>220</v>
      </c>
      <c r="E279" s="10" t="s">
        <v>4440</v>
      </c>
      <c r="F279" s="10" t="s">
        <v>4441</v>
      </c>
      <c r="G279" s="10" t="s">
        <v>4442</v>
      </c>
      <c r="H279" s="11">
        <v>44448.85416666667</v>
      </c>
      <c r="I279" s="11">
        <v>44448.89583333333</v>
      </c>
      <c r="J279" s="10" t="s">
        <v>128</v>
      </c>
      <c r="K279" s="10" t="s">
        <v>34</v>
      </c>
      <c r="N279" s="10" t="s">
        <v>35</v>
      </c>
      <c r="V279" s="14" t="s">
        <v>4443</v>
      </c>
      <c r="W279" s="15"/>
      <c r="X279" s="10" t="s">
        <v>37</v>
      </c>
      <c r="Y279" s="10" t="s">
        <v>0</v>
      </c>
    </row>
    <row r="280">
      <c r="A280" s="10" t="s">
        <v>4444</v>
      </c>
      <c r="B280" s="11">
        <v>44447.8058153125</v>
      </c>
      <c r="C280" s="10" t="s">
        <v>581</v>
      </c>
      <c r="D280" s="10" t="s">
        <v>220</v>
      </c>
      <c r="E280" s="10" t="s">
        <v>4445</v>
      </c>
      <c r="F280" s="10" t="s">
        <v>4446</v>
      </c>
      <c r="G280" s="10" t="s">
        <v>4447</v>
      </c>
      <c r="H280" s="11">
        <v>44450.60416666667</v>
      </c>
      <c r="I280" s="11">
        <v>44450.64583333333</v>
      </c>
      <c r="J280" s="10" t="s">
        <v>128</v>
      </c>
      <c r="K280" s="10" t="s">
        <v>34</v>
      </c>
      <c r="N280" s="10" t="s">
        <v>35</v>
      </c>
      <c r="V280" s="14" t="s">
        <v>4448</v>
      </c>
      <c r="W280" s="15"/>
      <c r="X280" s="10" t="s">
        <v>37</v>
      </c>
      <c r="Y280" s="10" t="s">
        <v>0</v>
      </c>
    </row>
    <row r="281">
      <c r="A281" s="10" t="s">
        <v>4449</v>
      </c>
      <c r="B281" s="11">
        <v>44446.6439622801</v>
      </c>
      <c r="C281" s="10" t="s">
        <v>28</v>
      </c>
      <c r="D281" s="10" t="s">
        <v>29</v>
      </c>
      <c r="E281" s="10" t="s">
        <v>39</v>
      </c>
      <c r="F281" s="10" t="s">
        <v>4450</v>
      </c>
      <c r="G281" s="10" t="s">
        <v>4451</v>
      </c>
      <c r="H281" s="11">
        <v>44450.41666666667</v>
      </c>
      <c r="I281" s="11">
        <v>44450.5</v>
      </c>
      <c r="J281" s="10" t="s">
        <v>43</v>
      </c>
      <c r="K281" s="10" t="s">
        <v>34</v>
      </c>
      <c r="N281" s="10" t="s">
        <v>35</v>
      </c>
      <c r="V281" s="14" t="s">
        <v>4452</v>
      </c>
      <c r="W281" s="15"/>
      <c r="X281" s="10" t="s">
        <v>37</v>
      </c>
      <c r="Y281" s="10" t="s">
        <v>0</v>
      </c>
    </row>
    <row r="282">
      <c r="A282" s="10" t="s">
        <v>4453</v>
      </c>
      <c r="B282" s="11">
        <v>44441.538452395835</v>
      </c>
      <c r="C282" s="10" t="s">
        <v>209</v>
      </c>
      <c r="D282" s="10" t="s">
        <v>210</v>
      </c>
      <c r="E282" s="10" t="s">
        <v>261</v>
      </c>
      <c r="F282" s="10" t="s">
        <v>3197</v>
      </c>
      <c r="G282" s="10" t="s">
        <v>4454</v>
      </c>
      <c r="H282" s="11">
        <v>44450.4375</v>
      </c>
      <c r="I282" s="11">
        <v>44450.52083333333</v>
      </c>
      <c r="J282" s="10" t="s">
        <v>43</v>
      </c>
      <c r="K282" s="10" t="s">
        <v>34</v>
      </c>
      <c r="N282" s="10" t="s">
        <v>296</v>
      </c>
      <c r="O282" s="18" t="s">
        <v>4455</v>
      </c>
      <c r="P282" s="10" t="s">
        <v>35</v>
      </c>
      <c r="R282" s="10" t="s">
        <v>296</v>
      </c>
      <c r="S282" s="10">
        <v>1.0</v>
      </c>
      <c r="T282" s="10" t="s">
        <v>35</v>
      </c>
      <c r="V282" s="14" t="s">
        <v>4456</v>
      </c>
      <c r="W282" s="15"/>
      <c r="X282" s="10" t="s">
        <v>37</v>
      </c>
      <c r="Y282" s="10" t="s">
        <v>0</v>
      </c>
    </row>
    <row r="283">
      <c r="A283" s="10" t="s">
        <v>4457</v>
      </c>
      <c r="B283" s="11">
        <v>44447.9670521875</v>
      </c>
      <c r="C283" s="10" t="s">
        <v>4217</v>
      </c>
      <c r="D283" s="10" t="s">
        <v>4211</v>
      </c>
      <c r="E283" s="10" t="s">
        <v>4458</v>
      </c>
      <c r="F283" s="10" t="s">
        <v>4459</v>
      </c>
      <c r="G283" s="10" t="s">
        <v>4460</v>
      </c>
      <c r="H283" s="36">
        <v>44452.6875</v>
      </c>
      <c r="I283" s="11">
        <v>44452.72916666667</v>
      </c>
      <c r="J283" s="10" t="s">
        <v>43</v>
      </c>
      <c r="K283" s="10" t="s">
        <v>34</v>
      </c>
      <c r="N283" s="10" t="s">
        <v>35</v>
      </c>
      <c r="V283" s="14" t="s">
        <v>4461</v>
      </c>
      <c r="W283" s="15"/>
      <c r="X283" s="10" t="s">
        <v>37</v>
      </c>
      <c r="Y283" s="10" t="s">
        <v>0</v>
      </c>
    </row>
    <row r="284">
      <c r="A284" s="10" t="s">
        <v>4462</v>
      </c>
      <c r="B284" s="11">
        <v>44447.87656179398</v>
      </c>
      <c r="C284" s="10" t="s">
        <v>330</v>
      </c>
      <c r="D284" s="10" t="s">
        <v>331</v>
      </c>
      <c r="E284" s="10" t="s">
        <v>4463</v>
      </c>
      <c r="F284" s="10" t="s">
        <v>4464</v>
      </c>
      <c r="G284" s="10" t="s">
        <v>4465</v>
      </c>
      <c r="H284" s="36">
        <v>44454.77083333333</v>
      </c>
      <c r="I284" s="11">
        <v>44454.8125</v>
      </c>
      <c r="J284" s="10" t="s">
        <v>43</v>
      </c>
      <c r="K284" s="10" t="s">
        <v>34</v>
      </c>
      <c r="N284" s="10" t="s">
        <v>35</v>
      </c>
      <c r="V284" s="14" t="s">
        <v>4466</v>
      </c>
      <c r="W284" s="15"/>
      <c r="X284" s="10" t="s">
        <v>37</v>
      </c>
      <c r="Y284" s="10" t="s">
        <v>0</v>
      </c>
    </row>
    <row r="285">
      <c r="A285" s="10" t="s">
        <v>4467</v>
      </c>
      <c r="B285" s="11">
        <v>44447.87842407408</v>
      </c>
      <c r="C285" s="10" t="s">
        <v>4468</v>
      </c>
      <c r="D285" s="10" t="s">
        <v>4211</v>
      </c>
      <c r="E285" s="10" t="s">
        <v>4469</v>
      </c>
      <c r="F285" s="10" t="s">
        <v>4470</v>
      </c>
      <c r="G285" s="10" t="s">
        <v>4471</v>
      </c>
      <c r="H285" s="36">
        <v>44454.77083333333</v>
      </c>
      <c r="I285" s="11">
        <v>44454.8125</v>
      </c>
      <c r="J285" s="10" t="s">
        <v>43</v>
      </c>
      <c r="K285" s="10" t="s">
        <v>34</v>
      </c>
      <c r="N285" s="10" t="s">
        <v>35</v>
      </c>
      <c r="V285" s="14" t="s">
        <v>4466</v>
      </c>
      <c r="W285" s="15"/>
      <c r="X285" s="10" t="s">
        <v>37</v>
      </c>
      <c r="Y285" s="10" t="s">
        <v>0</v>
      </c>
    </row>
    <row r="286">
      <c r="A286" s="10" t="s">
        <v>4472</v>
      </c>
      <c r="B286" s="11">
        <v>44449.60656763889</v>
      </c>
      <c r="C286" s="10" t="s">
        <v>491</v>
      </c>
      <c r="D286" s="10" t="s">
        <v>492</v>
      </c>
      <c r="E286" s="10" t="s">
        <v>4473</v>
      </c>
      <c r="F286" s="10" t="s">
        <v>4474</v>
      </c>
      <c r="G286" s="10" t="s">
        <v>4475</v>
      </c>
      <c r="H286" s="36">
        <v>44454.79166666667</v>
      </c>
      <c r="I286" s="11">
        <v>44454.83333333333</v>
      </c>
      <c r="J286" s="10" t="s">
        <v>128</v>
      </c>
      <c r="K286" s="10" t="s">
        <v>34</v>
      </c>
      <c r="N286" s="10" t="s">
        <v>35</v>
      </c>
      <c r="V286" s="14" t="s">
        <v>4476</v>
      </c>
      <c r="W286" s="15"/>
      <c r="X286" s="10" t="s">
        <v>37</v>
      </c>
      <c r="Y286" s="10" t="s">
        <v>0</v>
      </c>
    </row>
    <row r="287">
      <c r="A287" s="10" t="s">
        <v>4477</v>
      </c>
      <c r="B287" s="11">
        <v>44447.96268023148</v>
      </c>
      <c r="C287" s="10" t="s">
        <v>4217</v>
      </c>
      <c r="D287" s="10" t="s">
        <v>4211</v>
      </c>
      <c r="E287" s="10" t="s">
        <v>4478</v>
      </c>
      <c r="F287" s="10" t="s">
        <v>4479</v>
      </c>
      <c r="G287" s="10" t="s">
        <v>4480</v>
      </c>
      <c r="H287" s="11">
        <v>44448.58333333333</v>
      </c>
      <c r="I287" s="11">
        <v>44448.60416666667</v>
      </c>
      <c r="J287" s="10" t="s">
        <v>128</v>
      </c>
      <c r="K287" s="10" t="s">
        <v>34</v>
      </c>
      <c r="N287" s="10" t="s">
        <v>35</v>
      </c>
      <c r="V287" s="14" t="s">
        <v>4481</v>
      </c>
      <c r="W287" s="15"/>
      <c r="X287" s="10" t="s">
        <v>37</v>
      </c>
      <c r="Y287" s="10" t="s">
        <v>0</v>
      </c>
    </row>
    <row r="288">
      <c r="A288" s="10" t="s">
        <v>4482</v>
      </c>
      <c r="B288" s="11">
        <v>44427.51797108796</v>
      </c>
      <c r="C288" s="10" t="s">
        <v>209</v>
      </c>
      <c r="D288" s="10" t="s">
        <v>210</v>
      </c>
      <c r="E288" s="10" t="s">
        <v>261</v>
      </c>
      <c r="F288" s="10" t="s">
        <v>3860</v>
      </c>
      <c r="G288" s="10" t="s">
        <v>4483</v>
      </c>
      <c r="H288" s="36">
        <v>44456.4375</v>
      </c>
      <c r="I288" s="11">
        <v>44394.52083333333</v>
      </c>
      <c r="J288" s="10" t="s">
        <v>128</v>
      </c>
      <c r="K288" s="10" t="s">
        <v>34</v>
      </c>
      <c r="N288" s="10" t="s">
        <v>35</v>
      </c>
      <c r="V288" s="35" t="s">
        <v>3942</v>
      </c>
      <c r="W288" s="15"/>
      <c r="X288" s="10" t="s">
        <v>37</v>
      </c>
      <c r="Y288" s="10" t="s">
        <v>0</v>
      </c>
    </row>
    <row r="289">
      <c r="A289" s="10" t="s">
        <v>4484</v>
      </c>
      <c r="B289" s="11">
        <v>44447.96972527778</v>
      </c>
      <c r="C289" s="10" t="s">
        <v>4217</v>
      </c>
      <c r="D289" s="10" t="s">
        <v>4211</v>
      </c>
      <c r="E289" s="10" t="s">
        <v>4458</v>
      </c>
      <c r="F289" s="10" t="s">
        <v>4485</v>
      </c>
      <c r="G289" s="10" t="s">
        <v>4486</v>
      </c>
      <c r="H289" s="11">
        <v>44449.60416666667</v>
      </c>
      <c r="I289" s="11">
        <v>44449.64583333333</v>
      </c>
      <c r="J289" s="10" t="s">
        <v>33</v>
      </c>
      <c r="K289" s="10" t="s">
        <v>34</v>
      </c>
      <c r="N289" s="10" t="s">
        <v>35</v>
      </c>
      <c r="V289" s="14" t="s">
        <v>4487</v>
      </c>
      <c r="W289" s="15"/>
      <c r="X289" s="10" t="s">
        <v>37</v>
      </c>
      <c r="Y289" s="10" t="s">
        <v>0</v>
      </c>
    </row>
    <row r="290">
      <c r="A290" s="10" t="s">
        <v>4488</v>
      </c>
      <c r="B290" s="11">
        <v>44447.926293032404</v>
      </c>
      <c r="C290" s="10" t="s">
        <v>4217</v>
      </c>
      <c r="D290" s="10" t="s">
        <v>4211</v>
      </c>
      <c r="E290" s="10" t="s">
        <v>4469</v>
      </c>
      <c r="F290" s="10" t="s">
        <v>4470</v>
      </c>
      <c r="G290" s="10" t="s">
        <v>4471</v>
      </c>
      <c r="H290" s="36">
        <v>44454.77083333333</v>
      </c>
      <c r="I290" s="11">
        <v>44454.8125</v>
      </c>
      <c r="J290" s="10" t="s">
        <v>43</v>
      </c>
      <c r="K290" s="10" t="s">
        <v>34</v>
      </c>
      <c r="N290" s="10" t="s">
        <v>35</v>
      </c>
      <c r="V290" s="14" t="s">
        <v>4466</v>
      </c>
      <c r="W290" s="15"/>
      <c r="X290" s="10" t="s">
        <v>37</v>
      </c>
      <c r="Y290" s="10" t="s">
        <v>0</v>
      </c>
    </row>
    <row r="291">
      <c r="A291" s="10" t="s">
        <v>4489</v>
      </c>
      <c r="B291" s="11">
        <v>44434.66254754629</v>
      </c>
      <c r="C291" s="10" t="s">
        <v>181</v>
      </c>
      <c r="D291" s="10" t="s">
        <v>69</v>
      </c>
      <c r="E291" s="10" t="s">
        <v>1879</v>
      </c>
      <c r="F291" s="10" t="s">
        <v>4490</v>
      </c>
      <c r="G291" s="10" t="s">
        <v>4491</v>
      </c>
      <c r="H291" s="36">
        <v>44456.4375</v>
      </c>
      <c r="I291" s="11">
        <v>44456.4375</v>
      </c>
      <c r="J291" s="10" t="s">
        <v>73</v>
      </c>
      <c r="K291" s="10" t="s">
        <v>34</v>
      </c>
      <c r="N291" s="10" t="s">
        <v>35</v>
      </c>
      <c r="V291" s="14" t="s">
        <v>4492</v>
      </c>
      <c r="W291" s="15"/>
      <c r="X291" s="10" t="s">
        <v>37</v>
      </c>
      <c r="Y291" s="10" t="s">
        <v>0</v>
      </c>
    </row>
    <row r="292">
      <c r="A292" s="10" t="s">
        <v>4493</v>
      </c>
      <c r="B292" s="11">
        <v>44498.56334846065</v>
      </c>
      <c r="C292" s="10" t="s">
        <v>181</v>
      </c>
      <c r="D292" s="10" t="s">
        <v>69</v>
      </c>
      <c r="E292" s="10" t="s">
        <v>3733</v>
      </c>
      <c r="F292" s="10" t="s">
        <v>4494</v>
      </c>
      <c r="G292" s="10" t="s">
        <v>4495</v>
      </c>
      <c r="H292" s="11">
        <v>44501.47916666667</v>
      </c>
      <c r="I292" s="11">
        <v>44501.52083333333</v>
      </c>
      <c r="J292" s="10" t="s">
        <v>128</v>
      </c>
      <c r="K292" s="10" t="s">
        <v>34</v>
      </c>
      <c r="N292" s="10" t="s">
        <v>35</v>
      </c>
      <c r="V292" s="14" t="s">
        <v>3658</v>
      </c>
      <c r="W292" s="15"/>
      <c r="X292" s="10" t="s">
        <v>37</v>
      </c>
      <c r="Y292" s="10" t="s">
        <v>0</v>
      </c>
    </row>
    <row r="293">
      <c r="A293" s="10" t="s">
        <v>4496</v>
      </c>
      <c r="B293" s="11">
        <v>44454.69033321759</v>
      </c>
      <c r="C293" s="10" t="s">
        <v>539</v>
      </c>
      <c r="D293" s="10" t="s">
        <v>540</v>
      </c>
      <c r="E293" s="10" t="s">
        <v>541</v>
      </c>
      <c r="F293" s="10" t="s">
        <v>4497</v>
      </c>
      <c r="G293" s="10" t="s">
        <v>4498</v>
      </c>
      <c r="H293" s="11">
        <v>44456.29166666667</v>
      </c>
      <c r="I293" s="11">
        <v>44458.95833333333</v>
      </c>
      <c r="J293" s="10" t="s">
        <v>43</v>
      </c>
      <c r="K293" s="10" t="s">
        <v>34</v>
      </c>
      <c r="N293" s="10" t="s">
        <v>35</v>
      </c>
      <c r="V293" s="14" t="s">
        <v>4499</v>
      </c>
      <c r="W293" s="15"/>
      <c r="X293" s="10" t="s">
        <v>37</v>
      </c>
      <c r="Y293" s="10" t="s">
        <v>0</v>
      </c>
    </row>
    <row r="294">
      <c r="A294" s="10" t="s">
        <v>4500</v>
      </c>
      <c r="B294" s="11">
        <v>44446.42848782407</v>
      </c>
      <c r="C294" s="10" t="s">
        <v>209</v>
      </c>
      <c r="D294" s="10" t="s">
        <v>210</v>
      </c>
      <c r="E294" s="10" t="s">
        <v>261</v>
      </c>
      <c r="F294" s="10" t="s">
        <v>4374</v>
      </c>
      <c r="G294" s="10" t="s">
        <v>4375</v>
      </c>
      <c r="H294" s="36">
        <v>44456.47916666667</v>
      </c>
      <c r="I294" s="11">
        <v>44456.52083333333</v>
      </c>
      <c r="J294" s="10" t="s">
        <v>33</v>
      </c>
      <c r="K294" s="10" t="s">
        <v>34</v>
      </c>
      <c r="N294" s="10" t="s">
        <v>35</v>
      </c>
      <c r="V294" s="14" t="s">
        <v>4376</v>
      </c>
      <c r="W294" s="15"/>
      <c r="X294" s="10" t="s">
        <v>37</v>
      </c>
      <c r="Y294" s="10" t="s">
        <v>0</v>
      </c>
    </row>
    <row r="295">
      <c r="A295" s="10" t="s">
        <v>4501</v>
      </c>
      <c r="B295" s="11">
        <v>44408.907377696756</v>
      </c>
      <c r="C295" s="10" t="s">
        <v>137</v>
      </c>
      <c r="D295" s="10" t="s">
        <v>138</v>
      </c>
      <c r="E295" s="10" t="s">
        <v>3299</v>
      </c>
      <c r="F295" s="10" t="s">
        <v>921</v>
      </c>
      <c r="G295" s="10" t="s">
        <v>3440</v>
      </c>
      <c r="H295" s="36">
        <v>44456.58333333333</v>
      </c>
      <c r="I295" s="11">
        <v>44456.66666666667</v>
      </c>
      <c r="J295" s="10" t="s">
        <v>128</v>
      </c>
      <c r="K295" s="10" t="s">
        <v>34</v>
      </c>
      <c r="N295" s="10" t="s">
        <v>35</v>
      </c>
      <c r="V295" s="9"/>
      <c r="W295" s="13"/>
      <c r="X295" s="10" t="s">
        <v>37</v>
      </c>
      <c r="Y295" s="10" t="s">
        <v>0</v>
      </c>
    </row>
    <row r="296">
      <c r="A296" s="10" t="s">
        <v>4502</v>
      </c>
      <c r="B296" s="11">
        <v>44447.92219445602</v>
      </c>
      <c r="C296" s="10" t="s">
        <v>330</v>
      </c>
      <c r="D296" s="10" t="s">
        <v>331</v>
      </c>
      <c r="E296" s="10" t="s">
        <v>4302</v>
      </c>
      <c r="F296" s="10" t="s">
        <v>4503</v>
      </c>
      <c r="G296" s="10" t="s">
        <v>4504</v>
      </c>
      <c r="H296" s="36">
        <v>44456.60416666667</v>
      </c>
      <c r="I296" s="11">
        <v>44456.6875</v>
      </c>
      <c r="J296" s="10" t="s">
        <v>43</v>
      </c>
      <c r="K296" s="10" t="s">
        <v>34</v>
      </c>
      <c r="N296" s="10" t="s">
        <v>35</v>
      </c>
      <c r="V296" s="14" t="s">
        <v>4505</v>
      </c>
      <c r="W296" s="15"/>
      <c r="X296" s="10" t="s">
        <v>37</v>
      </c>
      <c r="Y296" s="10" t="s">
        <v>0</v>
      </c>
    </row>
    <row r="297">
      <c r="A297" s="10" t="s">
        <v>4506</v>
      </c>
      <c r="B297" s="11">
        <v>44453.38263876157</v>
      </c>
      <c r="C297" s="10" t="s">
        <v>671</v>
      </c>
      <c r="D297" s="10" t="s">
        <v>672</v>
      </c>
      <c r="E297" s="10" t="s">
        <v>4507</v>
      </c>
      <c r="F297" s="10" t="s">
        <v>4508</v>
      </c>
      <c r="G297" s="10" t="s">
        <v>4509</v>
      </c>
      <c r="H297" s="11">
        <v>44456.60416666667</v>
      </c>
      <c r="I297" s="11">
        <v>44456.6875</v>
      </c>
      <c r="J297" s="10" t="s">
        <v>43</v>
      </c>
      <c r="K297" s="10" t="s">
        <v>34</v>
      </c>
      <c r="N297" s="10" t="s">
        <v>296</v>
      </c>
      <c r="O297" s="18" t="s">
        <v>4510</v>
      </c>
      <c r="P297" s="10" t="s">
        <v>296</v>
      </c>
      <c r="Q297" s="10">
        <v>1.0</v>
      </c>
      <c r="R297" s="10" t="s">
        <v>35</v>
      </c>
      <c r="T297" s="10" t="s">
        <v>35</v>
      </c>
      <c r="V297" s="14" t="s">
        <v>3906</v>
      </c>
      <c r="W297" s="15"/>
      <c r="X297" s="10" t="s">
        <v>37</v>
      </c>
      <c r="Y297" s="10" t="s">
        <v>0</v>
      </c>
    </row>
    <row r="298">
      <c r="A298" s="10" t="s">
        <v>4511</v>
      </c>
      <c r="B298" s="11">
        <v>44446.488966689816</v>
      </c>
      <c r="C298" s="10" t="s">
        <v>209</v>
      </c>
      <c r="D298" s="10" t="s">
        <v>210</v>
      </c>
      <c r="E298" s="10" t="s">
        <v>261</v>
      </c>
      <c r="F298" s="10" t="s">
        <v>4512</v>
      </c>
      <c r="G298" s="10" t="s">
        <v>4513</v>
      </c>
      <c r="H298" s="36">
        <v>44456.82291666667</v>
      </c>
      <c r="I298" s="11">
        <v>44456.86458333333</v>
      </c>
      <c r="J298" s="10" t="s">
        <v>33</v>
      </c>
      <c r="K298" s="10" t="s">
        <v>34</v>
      </c>
      <c r="N298" s="10" t="s">
        <v>35</v>
      </c>
      <c r="V298" s="14" t="s">
        <v>4514</v>
      </c>
      <c r="W298" s="15"/>
      <c r="X298" s="10" t="s">
        <v>37</v>
      </c>
      <c r="Y298" s="10" t="s">
        <v>0</v>
      </c>
    </row>
    <row r="299">
      <c r="A299" s="10" t="s">
        <v>4515</v>
      </c>
      <c r="B299" s="11">
        <v>44445.77026802083</v>
      </c>
      <c r="C299" s="10" t="s">
        <v>181</v>
      </c>
      <c r="D299" s="10" t="s">
        <v>69</v>
      </c>
      <c r="E299" s="10" t="s">
        <v>1879</v>
      </c>
      <c r="F299" s="10" t="s">
        <v>4516</v>
      </c>
      <c r="G299" s="10" t="s">
        <v>4517</v>
      </c>
      <c r="H299" s="36">
        <v>44457.41666666667</v>
      </c>
      <c r="I299" s="11">
        <v>44457.41736111111</v>
      </c>
      <c r="J299" s="10" t="s">
        <v>73</v>
      </c>
      <c r="K299" s="10" t="s">
        <v>34</v>
      </c>
      <c r="N299" s="10" t="s">
        <v>35</v>
      </c>
      <c r="V299" s="14" t="s">
        <v>4046</v>
      </c>
      <c r="W299" s="15"/>
      <c r="X299" s="10" t="s">
        <v>37</v>
      </c>
      <c r="Y299" s="10" t="s">
        <v>0</v>
      </c>
    </row>
    <row r="300">
      <c r="A300" s="10" t="s">
        <v>4518</v>
      </c>
      <c r="B300" s="11">
        <v>44446.44957064815</v>
      </c>
      <c r="C300" s="10" t="s">
        <v>209</v>
      </c>
      <c r="D300" s="10" t="s">
        <v>210</v>
      </c>
      <c r="E300" s="10" t="s">
        <v>261</v>
      </c>
      <c r="F300" s="10" t="s">
        <v>4519</v>
      </c>
      <c r="G300" s="10" t="s">
        <v>4393</v>
      </c>
      <c r="H300" s="36">
        <v>44457.64583333333</v>
      </c>
      <c r="I300" s="11">
        <v>44457.6875</v>
      </c>
      <c r="J300" s="10" t="s">
        <v>128</v>
      </c>
      <c r="K300" s="10" t="s">
        <v>34</v>
      </c>
      <c r="N300" s="10" t="s">
        <v>35</v>
      </c>
      <c r="V300" s="14" t="s">
        <v>4394</v>
      </c>
      <c r="W300" s="15"/>
      <c r="X300" s="10" t="s">
        <v>37</v>
      </c>
      <c r="Y300" s="10" t="s">
        <v>0</v>
      </c>
    </row>
    <row r="301">
      <c r="A301" s="10" t="s">
        <v>4520</v>
      </c>
      <c r="B301" s="11">
        <v>44448.90311457176</v>
      </c>
      <c r="C301" s="10" t="s">
        <v>336</v>
      </c>
      <c r="D301" s="10" t="s">
        <v>337</v>
      </c>
      <c r="E301" s="10" t="s">
        <v>981</v>
      </c>
      <c r="F301" s="10" t="s">
        <v>4521</v>
      </c>
      <c r="G301" s="10" t="s">
        <v>4522</v>
      </c>
      <c r="H301" s="36">
        <v>44457.6875</v>
      </c>
      <c r="I301" s="11">
        <v>44457.72916666667</v>
      </c>
      <c r="J301" s="10" t="s">
        <v>128</v>
      </c>
      <c r="K301" s="10" t="s">
        <v>34</v>
      </c>
      <c r="N301" s="10" t="s">
        <v>35</v>
      </c>
      <c r="V301" s="14" t="s">
        <v>4523</v>
      </c>
      <c r="W301" s="15"/>
      <c r="X301" s="10" t="s">
        <v>37</v>
      </c>
      <c r="Y301" s="10" t="s">
        <v>0</v>
      </c>
    </row>
    <row r="302">
      <c r="A302" s="10" t="s">
        <v>4524</v>
      </c>
      <c r="B302" s="11">
        <v>44449.66235986111</v>
      </c>
      <c r="C302" s="10" t="s">
        <v>160</v>
      </c>
      <c r="D302" s="10" t="s">
        <v>161</v>
      </c>
      <c r="E302" s="10" t="s">
        <v>3953</v>
      </c>
      <c r="F302" s="10" t="s">
        <v>4525</v>
      </c>
      <c r="G302" s="10" t="s">
        <v>4526</v>
      </c>
      <c r="H302" s="11">
        <v>44449.625</v>
      </c>
      <c r="I302" s="11">
        <v>44449.66666666667</v>
      </c>
      <c r="J302" s="10" t="s">
        <v>73</v>
      </c>
      <c r="K302" s="10" t="s">
        <v>34</v>
      </c>
      <c r="N302" s="10" t="s">
        <v>35</v>
      </c>
      <c r="V302" s="14" t="s">
        <v>4527</v>
      </c>
      <c r="W302" s="15"/>
      <c r="X302" s="10" t="s">
        <v>37</v>
      </c>
      <c r="Y302" s="10" t="s">
        <v>0</v>
      </c>
    </row>
    <row r="303">
      <c r="A303" s="10" t="s">
        <v>4528</v>
      </c>
      <c r="B303" s="11">
        <v>44449.68335064815</v>
      </c>
      <c r="C303" s="10" t="s">
        <v>160</v>
      </c>
      <c r="D303" s="10" t="s">
        <v>161</v>
      </c>
      <c r="E303" s="10" t="s">
        <v>3804</v>
      </c>
      <c r="F303" s="10" t="s">
        <v>4529</v>
      </c>
      <c r="G303" s="10" t="s">
        <v>4530</v>
      </c>
      <c r="H303" s="36">
        <v>44456.64583333333</v>
      </c>
      <c r="I303" s="11">
        <v>44456.72916666667</v>
      </c>
      <c r="J303" s="10" t="s">
        <v>128</v>
      </c>
      <c r="K303" s="10" t="s">
        <v>34</v>
      </c>
      <c r="N303" s="10" t="s">
        <v>35</v>
      </c>
      <c r="V303" s="14" t="s">
        <v>4531</v>
      </c>
      <c r="W303" s="15"/>
      <c r="X303" s="10" t="s">
        <v>37</v>
      </c>
      <c r="Y303" s="10" t="s">
        <v>0</v>
      </c>
    </row>
    <row r="304">
      <c r="A304" s="10" t="s">
        <v>4532</v>
      </c>
      <c r="B304" s="11">
        <v>44450.43653717593</v>
      </c>
      <c r="C304" s="10" t="s">
        <v>418</v>
      </c>
      <c r="D304" s="10" t="s">
        <v>419</v>
      </c>
      <c r="E304" s="10" t="s">
        <v>4533</v>
      </c>
      <c r="F304" s="10" t="s">
        <v>4534</v>
      </c>
      <c r="G304" s="10" t="s">
        <v>4535</v>
      </c>
      <c r="H304" s="11">
        <v>44443.33333333333</v>
      </c>
      <c r="I304" s="11">
        <v>44443.5</v>
      </c>
      <c r="J304" s="10" t="s">
        <v>128</v>
      </c>
      <c r="K304" s="10" t="s">
        <v>34</v>
      </c>
      <c r="N304" s="10" t="s">
        <v>296</v>
      </c>
      <c r="O304" s="18" t="s">
        <v>4536</v>
      </c>
      <c r="P304" s="10" t="s">
        <v>296</v>
      </c>
      <c r="Q304" s="10">
        <v>1.0</v>
      </c>
      <c r="R304" s="10" t="s">
        <v>35</v>
      </c>
      <c r="T304" s="10" t="s">
        <v>35</v>
      </c>
      <c r="V304" s="35" t="s">
        <v>4537</v>
      </c>
      <c r="W304" s="15"/>
      <c r="X304" s="10" t="s">
        <v>37</v>
      </c>
      <c r="Y304" s="10" t="s">
        <v>0</v>
      </c>
    </row>
    <row r="305">
      <c r="A305" s="10" t="s">
        <v>4538</v>
      </c>
      <c r="B305" s="11">
        <v>44450.44714703703</v>
      </c>
      <c r="C305" s="10" t="s">
        <v>418</v>
      </c>
      <c r="D305" s="10" t="s">
        <v>419</v>
      </c>
      <c r="E305" s="10" t="s">
        <v>4539</v>
      </c>
      <c r="F305" s="10" t="s">
        <v>4540</v>
      </c>
      <c r="G305" s="10" t="s">
        <v>4541</v>
      </c>
      <c r="H305" s="11">
        <v>44450.33333333333</v>
      </c>
      <c r="I305" s="11">
        <v>44450.5</v>
      </c>
      <c r="J305" s="10" t="s">
        <v>128</v>
      </c>
      <c r="K305" s="10" t="s">
        <v>34</v>
      </c>
      <c r="N305" s="10" t="s">
        <v>296</v>
      </c>
      <c r="O305" s="18" t="s">
        <v>4542</v>
      </c>
      <c r="P305" s="10" t="s">
        <v>296</v>
      </c>
      <c r="Q305" s="10">
        <v>1.0</v>
      </c>
      <c r="R305" s="10" t="s">
        <v>35</v>
      </c>
      <c r="T305" s="10" t="s">
        <v>35</v>
      </c>
      <c r="V305" s="35" t="s">
        <v>4537</v>
      </c>
      <c r="W305" s="15"/>
      <c r="X305" s="10" t="s">
        <v>37</v>
      </c>
      <c r="Y305" s="10" t="s">
        <v>0</v>
      </c>
    </row>
    <row r="306">
      <c r="A306" s="10" t="s">
        <v>4543</v>
      </c>
      <c r="B306" s="11">
        <v>44450.45260329861</v>
      </c>
      <c r="C306" s="10" t="s">
        <v>418</v>
      </c>
      <c r="D306" s="10" t="s">
        <v>419</v>
      </c>
      <c r="E306" s="10" t="s">
        <v>4539</v>
      </c>
      <c r="F306" s="10" t="s">
        <v>4544</v>
      </c>
      <c r="G306" s="10" t="s">
        <v>4545</v>
      </c>
      <c r="H306" s="11">
        <v>44457.33333333333</v>
      </c>
      <c r="I306" s="11">
        <v>44457.5</v>
      </c>
      <c r="J306" s="10" t="s">
        <v>128</v>
      </c>
      <c r="K306" s="10" t="s">
        <v>34</v>
      </c>
      <c r="N306" s="10" t="s">
        <v>296</v>
      </c>
      <c r="O306" s="18" t="s">
        <v>4546</v>
      </c>
      <c r="P306" s="10" t="s">
        <v>296</v>
      </c>
      <c r="Q306" s="10">
        <v>1.0</v>
      </c>
      <c r="R306" s="10" t="s">
        <v>35</v>
      </c>
      <c r="T306" s="10" t="s">
        <v>35</v>
      </c>
      <c r="V306" s="35" t="s">
        <v>4537</v>
      </c>
      <c r="W306" s="15"/>
      <c r="X306" s="10" t="s">
        <v>37</v>
      </c>
      <c r="Y306" s="10" t="s">
        <v>0</v>
      </c>
    </row>
    <row r="307">
      <c r="A307" s="10" t="s">
        <v>4547</v>
      </c>
      <c r="B307" s="11">
        <v>44456.622584745375</v>
      </c>
      <c r="C307" s="10" t="s">
        <v>239</v>
      </c>
      <c r="D307" s="10" t="s">
        <v>240</v>
      </c>
      <c r="E307" s="10" t="s">
        <v>4548</v>
      </c>
      <c r="F307" s="10" t="s">
        <v>4549</v>
      </c>
      <c r="G307" s="10" t="s">
        <v>4550</v>
      </c>
      <c r="H307" s="36">
        <v>44459.52083333333</v>
      </c>
      <c r="I307" s="11">
        <v>44459.10416666667</v>
      </c>
      <c r="J307" s="10" t="s">
        <v>128</v>
      </c>
      <c r="K307" s="10" t="s">
        <v>34</v>
      </c>
      <c r="N307" s="10" t="s">
        <v>35</v>
      </c>
      <c r="V307" s="35" t="s">
        <v>4551</v>
      </c>
      <c r="W307" s="15"/>
    </row>
    <row r="308">
      <c r="A308" s="10" t="s">
        <v>4552</v>
      </c>
      <c r="B308" s="11">
        <v>44451.65134600694</v>
      </c>
      <c r="C308" s="10" t="s">
        <v>239</v>
      </c>
      <c r="D308" s="10" t="s">
        <v>240</v>
      </c>
      <c r="E308" s="10" t="s">
        <v>3998</v>
      </c>
      <c r="F308" s="10" t="s">
        <v>4553</v>
      </c>
      <c r="G308" s="10" t="s">
        <v>4554</v>
      </c>
      <c r="H308" s="11">
        <v>44441.35416666667</v>
      </c>
      <c r="I308" s="11">
        <v>44441.39583333333</v>
      </c>
      <c r="J308" s="10" t="s">
        <v>33</v>
      </c>
      <c r="K308" s="10" t="s">
        <v>34</v>
      </c>
      <c r="N308" s="10" t="s">
        <v>35</v>
      </c>
      <c r="V308" s="14" t="s">
        <v>4555</v>
      </c>
      <c r="W308" s="15"/>
      <c r="X308" s="10" t="s">
        <v>37</v>
      </c>
      <c r="Y308" s="10" t="s">
        <v>0</v>
      </c>
    </row>
    <row r="309">
      <c r="A309" s="10" t="s">
        <v>4556</v>
      </c>
      <c r="B309" s="11">
        <v>44451.6542371875</v>
      </c>
      <c r="C309" s="10" t="s">
        <v>239</v>
      </c>
      <c r="D309" s="10" t="s">
        <v>240</v>
      </c>
      <c r="E309" s="10" t="s">
        <v>4557</v>
      </c>
      <c r="F309" s="10" t="s">
        <v>4558</v>
      </c>
      <c r="G309" s="10" t="s">
        <v>4559</v>
      </c>
      <c r="H309" s="11">
        <v>44448.4375</v>
      </c>
      <c r="I309" s="11">
        <v>44448.5</v>
      </c>
      <c r="J309" s="10" t="s">
        <v>128</v>
      </c>
      <c r="K309" s="10" t="s">
        <v>34</v>
      </c>
      <c r="N309" s="10" t="s">
        <v>35</v>
      </c>
      <c r="V309" s="35" t="s">
        <v>4551</v>
      </c>
      <c r="W309" s="15"/>
      <c r="X309" s="10" t="s">
        <v>37</v>
      </c>
      <c r="Y309" s="10" t="s">
        <v>0</v>
      </c>
    </row>
    <row r="310">
      <c r="A310" s="10" t="s">
        <v>4560</v>
      </c>
      <c r="B310" s="11">
        <v>44451.655957152776</v>
      </c>
      <c r="C310" s="10" t="s">
        <v>239</v>
      </c>
      <c r="D310" s="10" t="s">
        <v>240</v>
      </c>
      <c r="E310" s="10" t="s">
        <v>4561</v>
      </c>
      <c r="F310" s="10" t="s">
        <v>4562</v>
      </c>
      <c r="G310" s="10" t="s">
        <v>4563</v>
      </c>
      <c r="H310" s="11">
        <v>44442.64583333333</v>
      </c>
      <c r="I310" s="11">
        <v>44442.72916666667</v>
      </c>
      <c r="J310" s="10" t="s">
        <v>33</v>
      </c>
      <c r="K310" s="10" t="s">
        <v>34</v>
      </c>
      <c r="N310" s="10" t="s">
        <v>35</v>
      </c>
      <c r="V310" s="14" t="s">
        <v>4564</v>
      </c>
      <c r="W310" s="15"/>
      <c r="X310" s="10" t="s">
        <v>37</v>
      </c>
      <c r="Y310" s="10" t="s">
        <v>0</v>
      </c>
    </row>
    <row r="311">
      <c r="A311" s="10" t="s">
        <v>4565</v>
      </c>
      <c r="B311" s="11">
        <v>44451.65869034722</v>
      </c>
      <c r="C311" s="10" t="s">
        <v>239</v>
      </c>
      <c r="D311" s="10" t="s">
        <v>240</v>
      </c>
      <c r="E311" s="10" t="s">
        <v>4561</v>
      </c>
      <c r="F311" s="10" t="s">
        <v>4566</v>
      </c>
      <c r="G311" s="10" t="s">
        <v>4567</v>
      </c>
      <c r="H311" s="11">
        <v>44443.60416666667</v>
      </c>
      <c r="I311" s="11">
        <v>44443.6875</v>
      </c>
      <c r="J311" s="10" t="s">
        <v>33</v>
      </c>
      <c r="K311" s="10" t="s">
        <v>34</v>
      </c>
      <c r="N311" s="10" t="s">
        <v>35</v>
      </c>
      <c r="V311" s="14" t="s">
        <v>4568</v>
      </c>
      <c r="W311" s="15"/>
      <c r="X311" s="10" t="s">
        <v>37</v>
      </c>
      <c r="Y311" s="10" t="s">
        <v>0</v>
      </c>
    </row>
    <row r="312">
      <c r="A312" s="10" t="s">
        <v>4569</v>
      </c>
      <c r="B312" s="11">
        <v>44451.66118362268</v>
      </c>
      <c r="C312" s="10" t="s">
        <v>239</v>
      </c>
      <c r="D312" s="10" t="s">
        <v>240</v>
      </c>
      <c r="E312" s="10" t="s">
        <v>4561</v>
      </c>
      <c r="F312" s="10" t="s">
        <v>4570</v>
      </c>
      <c r="G312" s="10" t="s">
        <v>4571</v>
      </c>
      <c r="H312" s="11">
        <v>44440.0</v>
      </c>
      <c r="I312" s="11">
        <v>44469.5</v>
      </c>
      <c r="J312" s="10" t="s">
        <v>51</v>
      </c>
      <c r="K312" s="10" t="s">
        <v>34</v>
      </c>
      <c r="N312" s="10" t="s">
        <v>35</v>
      </c>
      <c r="V312" s="35" t="s">
        <v>4551</v>
      </c>
      <c r="W312" s="15"/>
      <c r="X312" s="10" t="s">
        <v>37</v>
      </c>
      <c r="Y312" s="10" t="s">
        <v>0</v>
      </c>
    </row>
    <row r="313">
      <c r="A313" s="10" t="s">
        <v>4572</v>
      </c>
      <c r="B313" s="11">
        <v>44451.76036804398</v>
      </c>
      <c r="C313" s="10" t="s">
        <v>3304</v>
      </c>
      <c r="D313" s="10" t="s">
        <v>695</v>
      </c>
      <c r="E313" s="10" t="s">
        <v>4240</v>
      </c>
      <c r="F313" s="10" t="s">
        <v>4573</v>
      </c>
      <c r="G313" s="10" t="s">
        <v>4574</v>
      </c>
      <c r="H313" s="11">
        <v>44452.54166666667</v>
      </c>
      <c r="I313" s="11">
        <v>44452.99930555555</v>
      </c>
      <c r="J313" s="10" t="s">
        <v>73</v>
      </c>
      <c r="K313" s="10" t="s">
        <v>34</v>
      </c>
      <c r="N313" s="10" t="s">
        <v>296</v>
      </c>
      <c r="O313" s="18" t="s">
        <v>4575</v>
      </c>
      <c r="P313" s="10" t="s">
        <v>296</v>
      </c>
      <c r="Q313" s="10">
        <v>1.0</v>
      </c>
      <c r="R313" s="10" t="s">
        <v>35</v>
      </c>
      <c r="T313" s="10" t="s">
        <v>35</v>
      </c>
      <c r="V313" s="14" t="s">
        <v>4576</v>
      </c>
      <c r="W313" s="15"/>
      <c r="X313" s="10" t="s">
        <v>37</v>
      </c>
      <c r="Y313" s="10" t="s">
        <v>0</v>
      </c>
    </row>
    <row r="314">
      <c r="A314" s="10" t="s">
        <v>4577</v>
      </c>
      <c r="B314" s="11">
        <v>44451.765645775464</v>
      </c>
      <c r="C314" s="10" t="s">
        <v>3304</v>
      </c>
      <c r="D314" s="10" t="s">
        <v>695</v>
      </c>
      <c r="E314" s="10" t="s">
        <v>4240</v>
      </c>
      <c r="F314" s="10" t="s">
        <v>4578</v>
      </c>
      <c r="G314" s="10" t="s">
        <v>4579</v>
      </c>
      <c r="H314" s="11">
        <v>44456.6875</v>
      </c>
      <c r="I314" s="11">
        <v>44456.72916666667</v>
      </c>
      <c r="J314" s="10" t="s">
        <v>128</v>
      </c>
      <c r="K314" s="10" t="s">
        <v>34</v>
      </c>
      <c r="N314" s="10" t="s">
        <v>35</v>
      </c>
      <c r="V314" s="14" t="s">
        <v>4580</v>
      </c>
      <c r="W314" s="15"/>
      <c r="X314" s="10" t="s">
        <v>37</v>
      </c>
      <c r="Y314" s="10" t="s">
        <v>0</v>
      </c>
    </row>
    <row r="315">
      <c r="A315" s="10" t="s">
        <v>4581</v>
      </c>
      <c r="B315" s="11">
        <v>44452.44472760417</v>
      </c>
      <c r="C315" s="10" t="s">
        <v>186</v>
      </c>
      <c r="D315" s="10" t="s">
        <v>187</v>
      </c>
      <c r="E315" s="10" t="s">
        <v>1427</v>
      </c>
      <c r="F315" s="10" t="s">
        <v>4582</v>
      </c>
      <c r="G315" s="10" t="s">
        <v>4583</v>
      </c>
      <c r="H315" s="11">
        <v>44445.4375</v>
      </c>
      <c r="I315" s="11">
        <v>44445.52083333333</v>
      </c>
      <c r="J315" s="10" t="s">
        <v>128</v>
      </c>
      <c r="K315" s="10" t="s">
        <v>34</v>
      </c>
      <c r="N315" s="10" t="s">
        <v>35</v>
      </c>
      <c r="V315" s="14" t="s">
        <v>4173</v>
      </c>
      <c r="W315" s="15"/>
      <c r="X315" s="10" t="s">
        <v>37</v>
      </c>
      <c r="Y315" s="10" t="s">
        <v>0</v>
      </c>
    </row>
    <row r="316">
      <c r="A316" s="10" t="s">
        <v>4584</v>
      </c>
      <c r="B316" s="11">
        <v>44452.468240312504</v>
      </c>
      <c r="C316" s="10" t="s">
        <v>186</v>
      </c>
      <c r="D316" s="10" t="s">
        <v>187</v>
      </c>
      <c r="E316" s="10" t="s">
        <v>188</v>
      </c>
      <c r="F316" s="10" t="s">
        <v>4585</v>
      </c>
      <c r="G316" s="10" t="s">
        <v>4586</v>
      </c>
      <c r="H316" s="11">
        <v>44441.77083333333</v>
      </c>
      <c r="I316" s="11">
        <v>44441.85416666667</v>
      </c>
      <c r="J316" s="10" t="s">
        <v>128</v>
      </c>
      <c r="K316" s="10" t="s">
        <v>34</v>
      </c>
      <c r="N316" s="10" t="s">
        <v>35</v>
      </c>
      <c r="V316" s="14" t="s">
        <v>4587</v>
      </c>
      <c r="W316" s="15"/>
      <c r="X316" s="10" t="s">
        <v>37</v>
      </c>
      <c r="Y316" s="10" t="s">
        <v>0</v>
      </c>
    </row>
    <row r="317">
      <c r="A317" s="10" t="s">
        <v>4588</v>
      </c>
      <c r="B317" s="11">
        <v>44456.62522914352</v>
      </c>
      <c r="C317" s="10" t="s">
        <v>239</v>
      </c>
      <c r="D317" s="10" t="s">
        <v>240</v>
      </c>
      <c r="E317" s="10" t="s">
        <v>4548</v>
      </c>
      <c r="F317" s="10" t="s">
        <v>4589</v>
      </c>
      <c r="G317" s="10" t="s">
        <v>4590</v>
      </c>
      <c r="H317" s="36">
        <v>44459.52083333333</v>
      </c>
      <c r="I317" s="11">
        <v>44459.60416666667</v>
      </c>
      <c r="J317" s="10" t="s">
        <v>128</v>
      </c>
      <c r="K317" s="10" t="s">
        <v>34</v>
      </c>
      <c r="N317" s="10" t="s">
        <v>35</v>
      </c>
      <c r="V317" s="35" t="s">
        <v>4551</v>
      </c>
      <c r="W317" s="15"/>
    </row>
    <row r="318">
      <c r="A318" s="10" t="s">
        <v>4591</v>
      </c>
      <c r="B318" s="11">
        <v>44463.56662442129</v>
      </c>
      <c r="C318" s="10" t="s">
        <v>181</v>
      </c>
      <c r="D318" s="10" t="s">
        <v>69</v>
      </c>
      <c r="E318" s="10" t="s">
        <v>2979</v>
      </c>
      <c r="F318" s="10" t="s">
        <v>4592</v>
      </c>
      <c r="G318" s="10" t="s">
        <v>4593</v>
      </c>
      <c r="H318" s="41">
        <v>44466.79166666667</v>
      </c>
      <c r="I318" s="41">
        <v>44466.875</v>
      </c>
      <c r="J318" s="10" t="s">
        <v>128</v>
      </c>
      <c r="K318" s="10" t="s">
        <v>34</v>
      </c>
      <c r="N318" s="10" t="s">
        <v>35</v>
      </c>
      <c r="V318" s="35" t="s">
        <v>3740</v>
      </c>
      <c r="W318" s="15"/>
      <c r="X318" s="10" t="s">
        <v>37</v>
      </c>
      <c r="Y318" s="10" t="s">
        <v>0</v>
      </c>
    </row>
    <row r="319">
      <c r="A319" s="10" t="s">
        <v>4594</v>
      </c>
      <c r="B319" s="11">
        <v>44452.494662916666</v>
      </c>
      <c r="C319" s="10" t="s">
        <v>610</v>
      </c>
      <c r="D319" s="10" t="s">
        <v>611</v>
      </c>
      <c r="E319" s="10" t="s">
        <v>3448</v>
      </c>
      <c r="F319" s="10" t="s">
        <v>4595</v>
      </c>
      <c r="G319" s="10" t="s">
        <v>4596</v>
      </c>
      <c r="H319" s="11">
        <v>44455.70833333333</v>
      </c>
      <c r="I319" s="11">
        <v>44455.79166666667</v>
      </c>
      <c r="J319" s="10" t="s">
        <v>128</v>
      </c>
      <c r="K319" s="10" t="s">
        <v>34</v>
      </c>
      <c r="N319" s="10" t="s">
        <v>35</v>
      </c>
      <c r="V319" s="14" t="s">
        <v>4597</v>
      </c>
      <c r="W319" s="15"/>
      <c r="X319" s="10" t="s">
        <v>37</v>
      </c>
      <c r="Y319" s="10" t="s">
        <v>0</v>
      </c>
    </row>
    <row r="320">
      <c r="A320" s="10" t="s">
        <v>4598</v>
      </c>
      <c r="B320" s="11">
        <v>44456.568747199075</v>
      </c>
      <c r="C320" s="10" t="s">
        <v>181</v>
      </c>
      <c r="D320" s="10" t="s">
        <v>69</v>
      </c>
      <c r="E320" s="10" t="s">
        <v>1284</v>
      </c>
      <c r="F320" s="10" t="s">
        <v>3575</v>
      </c>
      <c r="G320" s="10" t="s">
        <v>4599</v>
      </c>
      <c r="H320" s="36">
        <v>44459.54166666667</v>
      </c>
      <c r="I320" s="11">
        <v>44459.60416666667</v>
      </c>
      <c r="J320" s="10" t="s">
        <v>128</v>
      </c>
      <c r="K320" s="10" t="s">
        <v>34</v>
      </c>
      <c r="N320" s="10" t="s">
        <v>35</v>
      </c>
      <c r="V320" s="14" t="s">
        <v>4026</v>
      </c>
      <c r="W320" s="15"/>
    </row>
    <row r="321">
      <c r="A321" s="10" t="s">
        <v>4600</v>
      </c>
      <c r="B321" s="11">
        <v>44453.37811849537</v>
      </c>
      <c r="C321" s="10" t="s">
        <v>671</v>
      </c>
      <c r="D321" s="10" t="s">
        <v>672</v>
      </c>
      <c r="E321" s="10" t="s">
        <v>4601</v>
      </c>
      <c r="F321" s="10" t="s">
        <v>4008</v>
      </c>
      <c r="G321" s="10" t="s">
        <v>4602</v>
      </c>
      <c r="H321" s="11">
        <v>44457.60416666667</v>
      </c>
      <c r="I321" s="11">
        <v>44457.6875</v>
      </c>
      <c r="J321" s="10" t="s">
        <v>128</v>
      </c>
      <c r="K321" s="10" t="s">
        <v>61</v>
      </c>
      <c r="L321" s="10" t="s">
        <v>1334</v>
      </c>
      <c r="N321" s="10" t="s">
        <v>35</v>
      </c>
      <c r="V321" s="9"/>
      <c r="W321" s="13" t="s">
        <v>4603</v>
      </c>
      <c r="X321" s="10" t="s">
        <v>2360</v>
      </c>
      <c r="Y321" s="10" t="s">
        <v>0</v>
      </c>
    </row>
    <row r="322">
      <c r="A322" s="10" t="s">
        <v>4604</v>
      </c>
      <c r="B322" s="11">
        <v>44453.379880381945</v>
      </c>
      <c r="C322" s="10" t="s">
        <v>671</v>
      </c>
      <c r="D322" s="10" t="s">
        <v>672</v>
      </c>
      <c r="E322" s="10" t="s">
        <v>4605</v>
      </c>
      <c r="F322" s="10" t="s">
        <v>4606</v>
      </c>
      <c r="G322" s="10" t="s">
        <v>4407</v>
      </c>
      <c r="H322" s="11">
        <v>44455.52083333333</v>
      </c>
      <c r="I322" s="11">
        <v>44455.5625</v>
      </c>
      <c r="J322" s="10" t="s">
        <v>128</v>
      </c>
      <c r="K322" s="10" t="s">
        <v>34</v>
      </c>
      <c r="N322" s="10" t="s">
        <v>35</v>
      </c>
      <c r="V322" s="14" t="s">
        <v>3906</v>
      </c>
      <c r="W322" s="15"/>
      <c r="X322" s="10" t="s">
        <v>37</v>
      </c>
      <c r="Y322" s="10" t="s">
        <v>0</v>
      </c>
    </row>
    <row r="323">
      <c r="A323" s="10" t="s">
        <v>4607</v>
      </c>
      <c r="B323" s="11">
        <v>44449.5975328125</v>
      </c>
      <c r="C323" s="10" t="s">
        <v>181</v>
      </c>
      <c r="D323" s="10" t="s">
        <v>69</v>
      </c>
      <c r="E323" s="10" t="s">
        <v>3551</v>
      </c>
      <c r="F323" s="10" t="s">
        <v>4608</v>
      </c>
      <c r="G323" s="10" t="s">
        <v>4609</v>
      </c>
      <c r="H323" s="36">
        <v>44456.64583333333</v>
      </c>
      <c r="I323" s="11">
        <v>44456.6875</v>
      </c>
      <c r="J323" s="10" t="s">
        <v>43</v>
      </c>
      <c r="K323" s="10" t="s">
        <v>34</v>
      </c>
      <c r="N323" s="10" t="s">
        <v>296</v>
      </c>
      <c r="O323" s="18" t="s">
        <v>4610</v>
      </c>
      <c r="P323" s="10" t="s">
        <v>35</v>
      </c>
      <c r="R323" s="10" t="s">
        <v>35</v>
      </c>
      <c r="T323" s="10" t="s">
        <v>296</v>
      </c>
      <c r="U323" s="10">
        <v>3.0</v>
      </c>
      <c r="V323" s="37" t="s">
        <v>4611</v>
      </c>
      <c r="W323" s="15"/>
      <c r="X323" s="10" t="s">
        <v>37</v>
      </c>
      <c r="Y323" s="10" t="s">
        <v>0</v>
      </c>
    </row>
    <row r="324">
      <c r="A324" s="10" t="s">
        <v>4612</v>
      </c>
      <c r="B324" s="11">
        <v>44453.4325434375</v>
      </c>
      <c r="C324" s="10" t="s">
        <v>150</v>
      </c>
      <c r="D324" s="10" t="s">
        <v>151</v>
      </c>
      <c r="E324" s="10" t="s">
        <v>4257</v>
      </c>
      <c r="F324" s="10" t="s">
        <v>4613</v>
      </c>
      <c r="G324" s="10" t="s">
        <v>4614</v>
      </c>
      <c r="H324" s="11">
        <v>44457.41666666667</v>
      </c>
      <c r="I324" s="11">
        <v>44457.5</v>
      </c>
      <c r="J324" s="10" t="s">
        <v>128</v>
      </c>
      <c r="K324" s="10" t="s">
        <v>34</v>
      </c>
      <c r="N324" s="10" t="s">
        <v>35</v>
      </c>
      <c r="V324" s="35" t="s">
        <v>3775</v>
      </c>
      <c r="W324" s="15"/>
      <c r="X324" s="10" t="s">
        <v>37</v>
      </c>
      <c r="Y324" s="10" t="s">
        <v>0</v>
      </c>
    </row>
    <row r="325">
      <c r="A325" s="10" t="s">
        <v>4615</v>
      </c>
      <c r="B325" s="11">
        <v>44463.67098872685</v>
      </c>
      <c r="C325" s="10" t="s">
        <v>160</v>
      </c>
      <c r="D325" s="10" t="s">
        <v>161</v>
      </c>
      <c r="E325" s="10" t="s">
        <v>3804</v>
      </c>
      <c r="F325" s="10" t="s">
        <v>4616</v>
      </c>
      <c r="G325" s="10" t="s">
        <v>4617</v>
      </c>
      <c r="H325" s="41">
        <v>44467.77083333333</v>
      </c>
      <c r="I325" s="41">
        <v>44467.8125</v>
      </c>
      <c r="J325" s="10" t="s">
        <v>128</v>
      </c>
      <c r="K325" s="10" t="s">
        <v>34</v>
      </c>
      <c r="N325" s="10" t="s">
        <v>35</v>
      </c>
      <c r="V325" s="14" t="s">
        <v>4618</v>
      </c>
      <c r="W325" s="15"/>
      <c r="X325" s="10" t="s">
        <v>37</v>
      </c>
      <c r="Y325" s="10" t="s">
        <v>0</v>
      </c>
    </row>
    <row r="326">
      <c r="A326" s="10" t="s">
        <v>4619</v>
      </c>
      <c r="B326" s="11">
        <v>44455.74467303241</v>
      </c>
      <c r="C326" s="10" t="s">
        <v>96</v>
      </c>
      <c r="D326" s="10" t="s">
        <v>97</v>
      </c>
      <c r="E326" s="10" t="s">
        <v>98</v>
      </c>
      <c r="F326" s="10" t="s">
        <v>4620</v>
      </c>
      <c r="G326" s="10" t="s">
        <v>4621</v>
      </c>
      <c r="H326" s="11">
        <v>44456.6875</v>
      </c>
      <c r="I326" s="11">
        <v>44456.75</v>
      </c>
      <c r="J326" s="10" t="s">
        <v>43</v>
      </c>
      <c r="K326" s="10" t="s">
        <v>34</v>
      </c>
      <c r="N326" s="10" t="s">
        <v>296</v>
      </c>
      <c r="O326" s="18" t="s">
        <v>4622</v>
      </c>
      <c r="P326" s="10" t="s">
        <v>296</v>
      </c>
      <c r="Q326" s="10">
        <v>1.0</v>
      </c>
      <c r="R326" s="10" t="s">
        <v>35</v>
      </c>
      <c r="T326" s="10" t="s">
        <v>35</v>
      </c>
      <c r="V326" s="14" t="s">
        <v>4623</v>
      </c>
      <c r="W326" s="15"/>
      <c r="X326" s="10" t="s">
        <v>37</v>
      </c>
      <c r="Y326" s="10" t="s">
        <v>0</v>
      </c>
    </row>
    <row r="327">
      <c r="A327" s="10" t="s">
        <v>4624</v>
      </c>
      <c r="B327" s="11">
        <v>44455.016946180556</v>
      </c>
      <c r="C327" s="10" t="s">
        <v>381</v>
      </c>
      <c r="D327" s="10" t="s">
        <v>382</v>
      </c>
      <c r="E327" s="10" t="s">
        <v>1487</v>
      </c>
      <c r="F327" s="10" t="s">
        <v>4625</v>
      </c>
      <c r="G327" s="10" t="s">
        <v>4626</v>
      </c>
      <c r="H327" s="11">
        <v>44456.6875</v>
      </c>
      <c r="I327" s="11">
        <v>44456.72916666667</v>
      </c>
      <c r="J327" s="10" t="s">
        <v>128</v>
      </c>
      <c r="K327" s="10" t="s">
        <v>34</v>
      </c>
      <c r="N327" s="10" t="s">
        <v>35</v>
      </c>
      <c r="V327" s="14" t="s">
        <v>3990</v>
      </c>
      <c r="W327" s="15"/>
      <c r="X327" s="10" t="s">
        <v>37</v>
      </c>
      <c r="Y327" s="10" t="s">
        <v>0</v>
      </c>
    </row>
    <row r="328">
      <c r="A328" s="10" t="s">
        <v>4627</v>
      </c>
      <c r="B328" s="11">
        <v>44456.947474409724</v>
      </c>
      <c r="C328" s="10" t="s">
        <v>347</v>
      </c>
      <c r="D328" s="10" t="s">
        <v>348</v>
      </c>
      <c r="E328" s="10" t="s">
        <v>3429</v>
      </c>
      <c r="F328" s="10" t="s">
        <v>4628</v>
      </c>
      <c r="G328" s="10" t="s">
        <v>4629</v>
      </c>
      <c r="H328" s="11">
        <v>44459.6875</v>
      </c>
      <c r="I328" s="11">
        <v>44459.72916666667</v>
      </c>
      <c r="J328" s="10" t="s">
        <v>51</v>
      </c>
      <c r="K328" s="10" t="s">
        <v>34</v>
      </c>
      <c r="N328" s="10" t="s">
        <v>35</v>
      </c>
      <c r="V328" s="14" t="s">
        <v>4630</v>
      </c>
      <c r="W328" s="15"/>
      <c r="X328" s="10" t="s">
        <v>37</v>
      </c>
      <c r="Y328" s="10" t="s">
        <v>0</v>
      </c>
    </row>
    <row r="329">
      <c r="A329" s="10" t="s">
        <v>4631</v>
      </c>
      <c r="B329" s="11">
        <v>44456.56965868056</v>
      </c>
      <c r="C329" s="10" t="s">
        <v>181</v>
      </c>
      <c r="D329" s="10" t="s">
        <v>69</v>
      </c>
      <c r="E329" s="10" t="s">
        <v>1229</v>
      </c>
      <c r="F329" s="10" t="s">
        <v>4632</v>
      </c>
      <c r="G329" s="10" t="s">
        <v>4633</v>
      </c>
      <c r="H329" s="36">
        <v>44459.72916666667</v>
      </c>
      <c r="I329" s="11">
        <v>44459.77083333333</v>
      </c>
      <c r="J329" s="10" t="s">
        <v>128</v>
      </c>
      <c r="K329" s="10" t="s">
        <v>34</v>
      </c>
      <c r="N329" s="10" t="s">
        <v>35</v>
      </c>
      <c r="V329" s="14" t="s">
        <v>4361</v>
      </c>
      <c r="W329" s="15"/>
      <c r="X329" s="10" t="s">
        <v>37</v>
      </c>
      <c r="Y329" s="10" t="s">
        <v>0</v>
      </c>
    </row>
    <row r="330">
      <c r="A330" s="10" t="s">
        <v>4634</v>
      </c>
      <c r="B330" s="11">
        <v>44455.622732812495</v>
      </c>
      <c r="C330" s="10" t="s">
        <v>239</v>
      </c>
      <c r="D330" s="10" t="s">
        <v>240</v>
      </c>
      <c r="E330" s="10" t="s">
        <v>4635</v>
      </c>
      <c r="F330" s="10" t="s">
        <v>4636</v>
      </c>
      <c r="G330" s="10" t="s">
        <v>4637</v>
      </c>
      <c r="H330" s="11">
        <v>44456.77083333333</v>
      </c>
      <c r="I330" s="11">
        <v>44456.8125</v>
      </c>
      <c r="J330" s="10" t="s">
        <v>33</v>
      </c>
      <c r="K330" s="10" t="s">
        <v>34</v>
      </c>
      <c r="N330" s="10" t="s">
        <v>35</v>
      </c>
      <c r="V330" s="35" t="s">
        <v>4638</v>
      </c>
      <c r="W330" s="15"/>
      <c r="X330" s="10" t="s">
        <v>37</v>
      </c>
      <c r="Y330" s="10" t="s">
        <v>0</v>
      </c>
    </row>
    <row r="331">
      <c r="A331" s="10" t="s">
        <v>4639</v>
      </c>
      <c r="B331" s="11">
        <v>44455.6244877662</v>
      </c>
      <c r="C331" s="10" t="s">
        <v>239</v>
      </c>
      <c r="D331" s="10" t="s">
        <v>240</v>
      </c>
      <c r="E331" s="10" t="s">
        <v>4561</v>
      </c>
      <c r="F331" s="10" t="s">
        <v>4640</v>
      </c>
      <c r="G331" s="10" t="s">
        <v>4641</v>
      </c>
      <c r="H331" s="11">
        <v>44456.6875</v>
      </c>
      <c r="I331" s="11">
        <v>44456.77083333333</v>
      </c>
      <c r="J331" s="10" t="s">
        <v>128</v>
      </c>
      <c r="K331" s="10" t="s">
        <v>34</v>
      </c>
      <c r="N331" s="10" t="s">
        <v>35</v>
      </c>
      <c r="V331" s="14" t="s">
        <v>4642</v>
      </c>
      <c r="W331" s="15"/>
      <c r="X331" s="10" t="s">
        <v>37</v>
      </c>
      <c r="Y331" s="10" t="s">
        <v>0</v>
      </c>
    </row>
    <row r="332">
      <c r="A332" s="10" t="s">
        <v>4643</v>
      </c>
      <c r="B332" s="11">
        <v>44459.87846840278</v>
      </c>
      <c r="C332" s="10" t="s">
        <v>80</v>
      </c>
      <c r="D332" s="10" t="s">
        <v>81</v>
      </c>
      <c r="E332" s="10" t="s">
        <v>4644</v>
      </c>
      <c r="F332" s="10" t="s">
        <v>4645</v>
      </c>
      <c r="G332" s="10" t="s">
        <v>4646</v>
      </c>
      <c r="H332" s="11">
        <v>44461.72916666667</v>
      </c>
      <c r="I332" s="11">
        <v>44461.6875</v>
      </c>
      <c r="J332" s="10" t="s">
        <v>43</v>
      </c>
      <c r="K332" s="10" t="s">
        <v>34</v>
      </c>
      <c r="N332" s="10" t="s">
        <v>296</v>
      </c>
      <c r="O332" s="18" t="s">
        <v>4647</v>
      </c>
      <c r="P332" s="10" t="s">
        <v>296</v>
      </c>
      <c r="Q332" s="10">
        <v>1.0</v>
      </c>
      <c r="R332" s="10" t="s">
        <v>35</v>
      </c>
      <c r="T332" s="10" t="s">
        <v>35</v>
      </c>
      <c r="V332" s="14" t="s">
        <v>4648</v>
      </c>
      <c r="W332" s="15"/>
      <c r="X332" s="10" t="s">
        <v>37</v>
      </c>
      <c r="Y332" s="10" t="s">
        <v>0</v>
      </c>
    </row>
    <row r="333">
      <c r="A333" s="10" t="s">
        <v>4649</v>
      </c>
      <c r="B333" s="11">
        <v>44456.570494375</v>
      </c>
      <c r="C333" s="10" t="s">
        <v>181</v>
      </c>
      <c r="D333" s="10" t="s">
        <v>69</v>
      </c>
      <c r="E333" s="10" t="s">
        <v>4650</v>
      </c>
      <c r="F333" s="10" t="s">
        <v>4386</v>
      </c>
      <c r="G333" s="10" t="s">
        <v>4651</v>
      </c>
      <c r="H333" s="36">
        <v>44459.72916666667</v>
      </c>
      <c r="I333" s="11">
        <v>44459.77083333333</v>
      </c>
      <c r="J333" s="10" t="s">
        <v>128</v>
      </c>
      <c r="K333" s="10" t="s">
        <v>34</v>
      </c>
      <c r="N333" s="10" t="s">
        <v>35</v>
      </c>
      <c r="V333" s="35" t="s">
        <v>4652</v>
      </c>
      <c r="W333" s="15"/>
      <c r="X333" s="10" t="s">
        <v>37</v>
      </c>
      <c r="Y333" s="10" t="s">
        <v>0</v>
      </c>
    </row>
    <row r="334">
      <c r="A334" s="10" t="s">
        <v>4653</v>
      </c>
      <c r="B334" s="11">
        <v>44456.58283681713</v>
      </c>
      <c r="C334" s="10" t="s">
        <v>181</v>
      </c>
      <c r="D334" s="10" t="s">
        <v>69</v>
      </c>
      <c r="E334" s="10" t="s">
        <v>4654</v>
      </c>
      <c r="F334" s="10" t="s">
        <v>4655</v>
      </c>
      <c r="G334" s="10" t="s">
        <v>4656</v>
      </c>
      <c r="H334" s="36">
        <v>44461.52083333333</v>
      </c>
      <c r="I334" s="11">
        <v>44461.521527777775</v>
      </c>
      <c r="J334" s="10" t="s">
        <v>73</v>
      </c>
      <c r="K334" s="10" t="s">
        <v>34</v>
      </c>
      <c r="N334" s="10" t="s">
        <v>35</v>
      </c>
      <c r="V334" s="14" t="s">
        <v>4328</v>
      </c>
      <c r="W334" s="15"/>
      <c r="X334" s="10" t="s">
        <v>37</v>
      </c>
      <c r="Y334" s="10" t="s">
        <v>0</v>
      </c>
    </row>
    <row r="335">
      <c r="A335" s="10" t="s">
        <v>4657</v>
      </c>
      <c r="B335" s="11">
        <v>44458.879491678235</v>
      </c>
      <c r="C335" s="10" t="s">
        <v>581</v>
      </c>
      <c r="D335" s="10" t="s">
        <v>220</v>
      </c>
      <c r="E335" s="10" t="s">
        <v>3586</v>
      </c>
      <c r="F335" s="10" t="s">
        <v>4658</v>
      </c>
      <c r="G335" s="10" t="s">
        <v>4659</v>
      </c>
      <c r="H335" s="11">
        <v>44461.52083333333</v>
      </c>
      <c r="I335" s="11">
        <v>44461.5625</v>
      </c>
      <c r="J335" s="10" t="s">
        <v>73</v>
      </c>
      <c r="K335" s="10" t="s">
        <v>34</v>
      </c>
      <c r="N335" s="10" t="s">
        <v>35</v>
      </c>
      <c r="V335" s="14" t="s">
        <v>4660</v>
      </c>
      <c r="W335" s="15"/>
      <c r="X335" s="10" t="s">
        <v>37</v>
      </c>
      <c r="Y335" s="10" t="s">
        <v>0</v>
      </c>
    </row>
    <row r="336">
      <c r="A336" s="10" t="s">
        <v>4661</v>
      </c>
      <c r="B336" s="11">
        <v>44455.80771033565</v>
      </c>
      <c r="C336" s="10" t="s">
        <v>4268</v>
      </c>
      <c r="D336" s="10" t="s">
        <v>4269</v>
      </c>
      <c r="E336" s="10" t="s">
        <v>4662</v>
      </c>
      <c r="F336" s="10" t="s">
        <v>4663</v>
      </c>
      <c r="G336" s="10" t="s">
        <v>4664</v>
      </c>
      <c r="H336" s="11">
        <v>44457.47916666667</v>
      </c>
      <c r="I336" s="11">
        <v>44457.52083333333</v>
      </c>
      <c r="J336" s="10" t="s">
        <v>33</v>
      </c>
      <c r="K336" s="10" t="s">
        <v>34</v>
      </c>
      <c r="N336" s="10" t="s">
        <v>296</v>
      </c>
      <c r="O336" s="18" t="s">
        <v>4665</v>
      </c>
      <c r="P336" s="10" t="s">
        <v>296</v>
      </c>
      <c r="Q336" s="10">
        <v>1.0</v>
      </c>
      <c r="R336" s="10" t="s">
        <v>35</v>
      </c>
      <c r="T336" s="10" t="s">
        <v>35</v>
      </c>
      <c r="V336" s="14" t="s">
        <v>4666</v>
      </c>
      <c r="W336" s="15"/>
      <c r="X336" s="10" t="s">
        <v>37</v>
      </c>
      <c r="Y336" s="10" t="s">
        <v>0</v>
      </c>
    </row>
    <row r="337">
      <c r="A337" s="10" t="s">
        <v>4667</v>
      </c>
      <c r="B337" s="11">
        <v>44456.49150741898</v>
      </c>
      <c r="C337" s="10" t="s">
        <v>4468</v>
      </c>
      <c r="D337" s="10" t="s">
        <v>4211</v>
      </c>
      <c r="E337" s="10" t="s">
        <v>4668</v>
      </c>
      <c r="F337" s="10" t="s">
        <v>4669</v>
      </c>
      <c r="G337" s="10" t="s">
        <v>4670</v>
      </c>
      <c r="H337" s="11">
        <v>44456.47916666667</v>
      </c>
      <c r="I337" s="11">
        <v>44456.52083333333</v>
      </c>
      <c r="J337" s="10" t="s">
        <v>128</v>
      </c>
      <c r="K337" s="10" t="s">
        <v>34</v>
      </c>
      <c r="N337" s="10" t="s">
        <v>35</v>
      </c>
      <c r="V337" s="14" t="s">
        <v>4671</v>
      </c>
      <c r="W337" s="15"/>
      <c r="X337" s="10" t="s">
        <v>37</v>
      </c>
      <c r="Y337" s="10" t="s">
        <v>0</v>
      </c>
    </row>
    <row r="338">
      <c r="A338" s="10" t="s">
        <v>4672</v>
      </c>
      <c r="B338" s="11">
        <v>44456.93987944444</v>
      </c>
      <c r="C338" s="10" t="s">
        <v>347</v>
      </c>
      <c r="D338" s="10" t="s">
        <v>348</v>
      </c>
      <c r="E338" s="10" t="s">
        <v>3429</v>
      </c>
      <c r="F338" s="10" t="s">
        <v>3560</v>
      </c>
      <c r="G338" s="10" t="s">
        <v>4673</v>
      </c>
      <c r="H338" s="11">
        <v>44461.8125</v>
      </c>
      <c r="I338" s="11">
        <v>44461.85416666667</v>
      </c>
      <c r="J338" s="10" t="s">
        <v>128</v>
      </c>
      <c r="K338" s="10" t="s">
        <v>34</v>
      </c>
      <c r="N338" s="10" t="s">
        <v>35</v>
      </c>
      <c r="V338" s="14" t="s">
        <v>3562</v>
      </c>
      <c r="W338" s="15"/>
      <c r="X338" s="10" t="s">
        <v>37</v>
      </c>
      <c r="Y338" s="10" t="s">
        <v>0</v>
      </c>
    </row>
    <row r="339">
      <c r="A339" s="10" t="s">
        <v>4674</v>
      </c>
      <c r="B339" s="11">
        <v>44452.47400472222</v>
      </c>
      <c r="C339" s="10" t="s">
        <v>186</v>
      </c>
      <c r="D339" s="10" t="s">
        <v>187</v>
      </c>
      <c r="E339" s="10" t="s">
        <v>188</v>
      </c>
      <c r="F339" s="10" t="s">
        <v>4675</v>
      </c>
      <c r="G339" s="10" t="s">
        <v>4676</v>
      </c>
      <c r="H339" s="36">
        <v>44461.83333333333</v>
      </c>
      <c r="I339" s="11">
        <v>44461.875</v>
      </c>
      <c r="J339" s="10" t="s">
        <v>128</v>
      </c>
      <c r="K339" s="10" t="s">
        <v>34</v>
      </c>
      <c r="N339" s="10" t="s">
        <v>35</v>
      </c>
      <c r="V339" s="14" t="s">
        <v>4677</v>
      </c>
      <c r="W339" s="15"/>
      <c r="X339" s="10" t="s">
        <v>37</v>
      </c>
      <c r="Y339" s="10" t="s">
        <v>0</v>
      </c>
    </row>
    <row r="340">
      <c r="A340" s="10" t="s">
        <v>4678</v>
      </c>
      <c r="B340" s="11">
        <v>44455.79306409722</v>
      </c>
      <c r="C340" s="10" t="s">
        <v>516</v>
      </c>
      <c r="D340" s="10" t="s">
        <v>511</v>
      </c>
      <c r="E340" s="10" t="s">
        <v>4679</v>
      </c>
      <c r="F340" s="10" t="s">
        <v>4680</v>
      </c>
      <c r="G340" s="10" t="s">
        <v>4681</v>
      </c>
      <c r="H340" s="36">
        <v>44462.0</v>
      </c>
      <c r="I340" s="11">
        <v>44475.0</v>
      </c>
      <c r="J340" s="10" t="s">
        <v>51</v>
      </c>
      <c r="K340" s="10" t="s">
        <v>34</v>
      </c>
      <c r="N340" s="10" t="s">
        <v>35</v>
      </c>
      <c r="V340" s="14" t="s">
        <v>4682</v>
      </c>
      <c r="W340" s="15"/>
      <c r="X340" s="10" t="s">
        <v>37</v>
      </c>
      <c r="Y340" s="10" t="s">
        <v>0</v>
      </c>
    </row>
    <row r="341">
      <c r="A341" s="10" t="s">
        <v>4683</v>
      </c>
      <c r="B341" s="11">
        <v>44456.59881913195</v>
      </c>
      <c r="C341" s="10" t="s">
        <v>4217</v>
      </c>
      <c r="D341" s="10" t="s">
        <v>4211</v>
      </c>
      <c r="E341" s="10" t="s">
        <v>4684</v>
      </c>
      <c r="F341" s="10" t="s">
        <v>4685</v>
      </c>
      <c r="G341" s="10" t="s">
        <v>4686</v>
      </c>
      <c r="H341" s="36">
        <v>44462.1875</v>
      </c>
      <c r="I341" s="11">
        <v>44462.22916666667</v>
      </c>
      <c r="J341" s="10" t="s">
        <v>43</v>
      </c>
      <c r="K341" s="10" t="s">
        <v>34</v>
      </c>
      <c r="N341" s="10" t="s">
        <v>296</v>
      </c>
      <c r="O341" s="18" t="s">
        <v>4687</v>
      </c>
      <c r="P341" s="10" t="s">
        <v>35</v>
      </c>
      <c r="R341" s="10" t="s">
        <v>296</v>
      </c>
      <c r="S341" s="10">
        <v>1.0</v>
      </c>
      <c r="T341" s="10" t="s">
        <v>35</v>
      </c>
      <c r="V341" s="14" t="s">
        <v>4688</v>
      </c>
      <c r="W341" s="15"/>
      <c r="X341" s="10" t="s">
        <v>37</v>
      </c>
      <c r="Y341" s="10" t="s">
        <v>0</v>
      </c>
    </row>
    <row r="342">
      <c r="A342" s="10" t="s">
        <v>4689</v>
      </c>
      <c r="B342" s="11">
        <v>44457.52469482639</v>
      </c>
      <c r="C342" s="10" t="s">
        <v>4246</v>
      </c>
      <c r="D342" s="10" t="s">
        <v>321</v>
      </c>
      <c r="E342" s="10" t="s">
        <v>4690</v>
      </c>
      <c r="F342" s="10" t="s">
        <v>4691</v>
      </c>
      <c r="G342" s="10" t="s">
        <v>4692</v>
      </c>
      <c r="H342" s="11">
        <v>44462.66666666667</v>
      </c>
      <c r="I342" s="11">
        <v>44462.75</v>
      </c>
      <c r="J342" s="10" t="s">
        <v>33</v>
      </c>
      <c r="K342" s="10" t="s">
        <v>61</v>
      </c>
      <c r="L342" s="10" t="s">
        <v>1334</v>
      </c>
      <c r="N342" s="10" t="s">
        <v>35</v>
      </c>
      <c r="V342" s="9"/>
      <c r="W342" s="13"/>
    </row>
    <row r="343">
      <c r="A343" s="10" t="s">
        <v>4693</v>
      </c>
      <c r="B343" s="11">
        <v>44456.57323203704</v>
      </c>
      <c r="C343" s="10" t="s">
        <v>4217</v>
      </c>
      <c r="D343" s="10" t="s">
        <v>4211</v>
      </c>
      <c r="E343" s="10" t="s">
        <v>4694</v>
      </c>
      <c r="F343" s="10" t="s">
        <v>4669</v>
      </c>
      <c r="G343" s="10" t="s">
        <v>4695</v>
      </c>
      <c r="H343" s="11">
        <v>44456.47916666667</v>
      </c>
      <c r="I343" s="11">
        <v>44456.52083333333</v>
      </c>
      <c r="J343" s="10" t="s">
        <v>128</v>
      </c>
      <c r="K343" s="10" t="s">
        <v>34</v>
      </c>
      <c r="N343" s="10" t="s">
        <v>35</v>
      </c>
      <c r="V343" s="14" t="s">
        <v>4671</v>
      </c>
      <c r="W343" s="15"/>
      <c r="X343" s="10" t="s">
        <v>37</v>
      </c>
      <c r="Y343" s="10" t="s">
        <v>0</v>
      </c>
    </row>
    <row r="344">
      <c r="A344" s="10" t="s">
        <v>4696</v>
      </c>
      <c r="B344" s="11">
        <v>44457.52497990741</v>
      </c>
      <c r="C344" s="10" t="s">
        <v>320</v>
      </c>
      <c r="D344" s="10" t="s">
        <v>321</v>
      </c>
      <c r="E344" s="10" t="s">
        <v>4697</v>
      </c>
      <c r="F344" s="10" t="s">
        <v>4691</v>
      </c>
      <c r="G344" s="10" t="s">
        <v>4698</v>
      </c>
      <c r="H344" s="11">
        <v>44462.66666666667</v>
      </c>
      <c r="I344" s="11">
        <v>44462.75</v>
      </c>
      <c r="J344" s="10" t="s">
        <v>33</v>
      </c>
      <c r="K344" s="10" t="s">
        <v>61</v>
      </c>
      <c r="L344" s="10" t="s">
        <v>1334</v>
      </c>
      <c r="N344" s="10" t="s">
        <v>35</v>
      </c>
      <c r="V344" s="9"/>
      <c r="W344" s="13"/>
    </row>
    <row r="345">
      <c r="A345" s="10" t="s">
        <v>4699</v>
      </c>
      <c r="B345" s="11">
        <v>44455.79477787037</v>
      </c>
      <c r="C345" s="10" t="s">
        <v>160</v>
      </c>
      <c r="D345" s="10" t="s">
        <v>161</v>
      </c>
      <c r="E345" s="10" t="s">
        <v>3804</v>
      </c>
      <c r="F345" s="10" t="s">
        <v>4700</v>
      </c>
      <c r="G345" s="10" t="s">
        <v>4701</v>
      </c>
      <c r="H345" s="36">
        <v>44462.77083333333</v>
      </c>
      <c r="I345" s="11">
        <v>44462.8125</v>
      </c>
      <c r="J345" s="10" t="s">
        <v>128</v>
      </c>
      <c r="K345" s="10" t="s">
        <v>34</v>
      </c>
      <c r="N345" s="10" t="s">
        <v>35</v>
      </c>
      <c r="V345" s="14" t="s">
        <v>4702</v>
      </c>
      <c r="W345" s="15"/>
      <c r="X345" s="10" t="s">
        <v>37</v>
      </c>
      <c r="Y345" s="10" t="s">
        <v>0</v>
      </c>
    </row>
    <row r="346">
      <c r="A346" s="10" t="s">
        <v>4703</v>
      </c>
      <c r="B346" s="11">
        <v>44456.58346202546</v>
      </c>
      <c r="C346" s="10" t="s">
        <v>4217</v>
      </c>
      <c r="D346" s="10" t="s">
        <v>4211</v>
      </c>
      <c r="E346" s="10" t="s">
        <v>4704</v>
      </c>
      <c r="F346" s="10" t="s">
        <v>4705</v>
      </c>
      <c r="G346" s="10" t="s">
        <v>4706</v>
      </c>
      <c r="H346" s="11">
        <v>44452.0625</v>
      </c>
      <c r="I346" s="11">
        <v>44459.10416666667</v>
      </c>
      <c r="J346" s="10" t="s">
        <v>128</v>
      </c>
      <c r="K346" s="10" t="s">
        <v>34</v>
      </c>
      <c r="N346" s="10" t="s">
        <v>35</v>
      </c>
      <c r="V346" s="14" t="s">
        <v>4707</v>
      </c>
      <c r="W346" s="15"/>
      <c r="X346" s="10" t="s">
        <v>37</v>
      </c>
      <c r="Y346" s="10" t="s">
        <v>0</v>
      </c>
    </row>
    <row r="347">
      <c r="A347" s="10" t="s">
        <v>4708</v>
      </c>
      <c r="B347" s="11">
        <v>44458.88790540509</v>
      </c>
      <c r="C347" s="10" t="s">
        <v>581</v>
      </c>
      <c r="D347" s="10" t="s">
        <v>220</v>
      </c>
      <c r="E347" s="10" t="s">
        <v>4709</v>
      </c>
      <c r="F347" s="10" t="s">
        <v>3929</v>
      </c>
      <c r="G347" s="10" t="s">
        <v>4710</v>
      </c>
      <c r="H347" s="11">
        <v>44462.85416666667</v>
      </c>
      <c r="I347" s="11">
        <v>44462.89583333333</v>
      </c>
      <c r="J347" s="10" t="s">
        <v>128</v>
      </c>
      <c r="K347" s="10" t="s">
        <v>34</v>
      </c>
      <c r="N347" s="10" t="s">
        <v>35</v>
      </c>
      <c r="V347" s="14" t="s">
        <v>4711</v>
      </c>
      <c r="W347" s="15"/>
      <c r="X347" s="10" t="s">
        <v>37</v>
      </c>
      <c r="Y347" s="10" t="s">
        <v>0</v>
      </c>
    </row>
    <row r="348">
      <c r="A348" s="10" t="s">
        <v>4712</v>
      </c>
      <c r="B348" s="11">
        <v>44456.58477074074</v>
      </c>
      <c r="C348" s="10" t="s">
        <v>4217</v>
      </c>
      <c r="D348" s="10" t="s">
        <v>4211</v>
      </c>
      <c r="E348" s="10" t="s">
        <v>4704</v>
      </c>
      <c r="F348" s="10" t="s">
        <v>4705</v>
      </c>
      <c r="G348" s="10" t="s">
        <v>4706</v>
      </c>
      <c r="H348" s="36">
        <v>44463.10416666667</v>
      </c>
      <c r="I348" s="11">
        <v>44463.14583333333</v>
      </c>
      <c r="J348" s="10" t="s">
        <v>128</v>
      </c>
      <c r="K348" s="10" t="s">
        <v>34</v>
      </c>
      <c r="N348" s="10" t="s">
        <v>35</v>
      </c>
      <c r="V348" s="14" t="s">
        <v>4713</v>
      </c>
      <c r="W348" s="15"/>
      <c r="X348" s="10" t="s">
        <v>37</v>
      </c>
      <c r="Y348" s="10" t="s">
        <v>0</v>
      </c>
    </row>
    <row r="349">
      <c r="A349" s="10" t="s">
        <v>4714</v>
      </c>
      <c r="B349" s="11">
        <v>44456.779840787036</v>
      </c>
      <c r="C349" s="10" t="s">
        <v>28</v>
      </c>
      <c r="D349" s="10" t="s">
        <v>29</v>
      </c>
      <c r="E349" s="10" t="s">
        <v>39</v>
      </c>
      <c r="F349" s="10" t="s">
        <v>4715</v>
      </c>
      <c r="G349" s="10" t="s">
        <v>4716</v>
      </c>
      <c r="H349" s="11">
        <v>44463.27083333333</v>
      </c>
      <c r="I349" s="11">
        <v>44463.85416666667</v>
      </c>
      <c r="J349" s="10" t="s">
        <v>51</v>
      </c>
      <c r="K349" s="10" t="s">
        <v>34</v>
      </c>
      <c r="N349" s="10" t="s">
        <v>35</v>
      </c>
      <c r="V349" s="14" t="s">
        <v>4717</v>
      </c>
      <c r="W349" s="15"/>
      <c r="X349" s="10" t="s">
        <v>37</v>
      </c>
      <c r="Y349" s="10" t="s">
        <v>0</v>
      </c>
    </row>
    <row r="350">
      <c r="A350" s="10" t="s">
        <v>4718</v>
      </c>
      <c r="B350" s="11">
        <v>44458.49299809028</v>
      </c>
      <c r="C350" s="10" t="s">
        <v>80</v>
      </c>
      <c r="D350" s="10" t="s">
        <v>81</v>
      </c>
      <c r="E350" s="10" t="s">
        <v>2119</v>
      </c>
      <c r="F350" s="10" t="s">
        <v>4719</v>
      </c>
      <c r="G350" s="10" t="s">
        <v>4720</v>
      </c>
      <c r="H350" s="11">
        <v>44463.33333333333</v>
      </c>
      <c r="I350" s="11">
        <v>44463.375</v>
      </c>
      <c r="J350" s="10" t="s">
        <v>73</v>
      </c>
      <c r="K350" s="10" t="s">
        <v>34</v>
      </c>
      <c r="N350" s="10" t="s">
        <v>35</v>
      </c>
      <c r="V350" s="14" t="s">
        <v>4721</v>
      </c>
      <c r="W350" s="15"/>
      <c r="X350" s="10" t="s">
        <v>37</v>
      </c>
      <c r="Y350" s="10" t="s">
        <v>0</v>
      </c>
    </row>
    <row r="351">
      <c r="A351" s="10" t="s">
        <v>4722</v>
      </c>
      <c r="B351" s="11">
        <v>44456.58381871528</v>
      </c>
      <c r="C351" s="10" t="s">
        <v>181</v>
      </c>
      <c r="D351" s="10" t="s">
        <v>69</v>
      </c>
      <c r="E351" s="10" t="s">
        <v>4654</v>
      </c>
      <c r="F351" s="10" t="s">
        <v>4723</v>
      </c>
      <c r="G351" s="10" t="s">
        <v>4045</v>
      </c>
      <c r="H351" s="36">
        <v>44463.375</v>
      </c>
      <c r="I351" s="11">
        <v>44463.39583333333</v>
      </c>
      <c r="J351" s="10" t="s">
        <v>73</v>
      </c>
      <c r="K351" s="10" t="s">
        <v>34</v>
      </c>
      <c r="N351" s="10" t="s">
        <v>35</v>
      </c>
      <c r="V351" s="14" t="s">
        <v>4046</v>
      </c>
      <c r="W351" s="15"/>
      <c r="X351" s="10" t="s">
        <v>37</v>
      </c>
      <c r="Y351" s="10" t="s">
        <v>0</v>
      </c>
    </row>
    <row r="352">
      <c r="A352" s="10" t="s">
        <v>4724</v>
      </c>
      <c r="B352" s="11">
        <v>44456.62667449074</v>
      </c>
      <c r="C352" s="10" t="s">
        <v>239</v>
      </c>
      <c r="D352" s="10" t="s">
        <v>240</v>
      </c>
      <c r="E352" s="10" t="s">
        <v>4548</v>
      </c>
      <c r="F352" s="10" t="s">
        <v>4725</v>
      </c>
      <c r="G352" s="10" t="s">
        <v>4726</v>
      </c>
      <c r="H352" s="11">
        <v>44453.8125</v>
      </c>
      <c r="I352" s="11">
        <v>44453.875</v>
      </c>
      <c r="J352" s="10" t="s">
        <v>33</v>
      </c>
      <c r="K352" s="10" t="s">
        <v>34</v>
      </c>
      <c r="N352" s="10" t="s">
        <v>35</v>
      </c>
      <c r="V352" s="35" t="s">
        <v>4551</v>
      </c>
      <c r="W352" s="15"/>
      <c r="X352" s="10" t="s">
        <v>37</v>
      </c>
      <c r="Y352" s="10" t="s">
        <v>0</v>
      </c>
    </row>
    <row r="353">
      <c r="A353" s="10" t="s">
        <v>4727</v>
      </c>
      <c r="B353" s="11">
        <v>44456.628527928246</v>
      </c>
      <c r="C353" s="10" t="s">
        <v>239</v>
      </c>
      <c r="D353" s="10" t="s">
        <v>240</v>
      </c>
      <c r="E353" s="10" t="s">
        <v>4548</v>
      </c>
      <c r="F353" s="10" t="s">
        <v>4728</v>
      </c>
      <c r="G353" s="10" t="s">
        <v>4729</v>
      </c>
      <c r="H353" s="11">
        <v>44453.85416666667</v>
      </c>
      <c r="I353" s="11">
        <v>44453.875</v>
      </c>
      <c r="J353" s="10" t="s">
        <v>33</v>
      </c>
      <c r="K353" s="10" t="s">
        <v>34</v>
      </c>
      <c r="N353" s="10" t="s">
        <v>35</v>
      </c>
      <c r="V353" s="35" t="s">
        <v>4551</v>
      </c>
      <c r="W353" s="15"/>
      <c r="X353" s="10" t="s">
        <v>37</v>
      </c>
      <c r="Y353" s="10" t="s">
        <v>0</v>
      </c>
    </row>
    <row r="354">
      <c r="A354" s="10" t="s">
        <v>4730</v>
      </c>
      <c r="B354" s="11">
        <v>44456.6292978125</v>
      </c>
      <c r="C354" s="10" t="s">
        <v>239</v>
      </c>
      <c r="D354" s="10" t="s">
        <v>240</v>
      </c>
      <c r="E354" s="10" t="s">
        <v>4548</v>
      </c>
      <c r="F354" s="10" t="s">
        <v>4731</v>
      </c>
      <c r="G354" s="10" t="s">
        <v>4732</v>
      </c>
      <c r="H354" s="11">
        <v>44453.85416666667</v>
      </c>
      <c r="I354" s="11">
        <v>44453.89583333333</v>
      </c>
      <c r="J354" s="10" t="s">
        <v>33</v>
      </c>
      <c r="K354" s="10" t="s">
        <v>34</v>
      </c>
      <c r="N354" s="10" t="s">
        <v>35</v>
      </c>
      <c r="V354" s="35" t="s">
        <v>4551</v>
      </c>
      <c r="W354" s="15"/>
      <c r="X354" s="10" t="s">
        <v>37</v>
      </c>
      <c r="Y354" s="10" t="s">
        <v>0</v>
      </c>
    </row>
    <row r="355">
      <c r="A355" s="10" t="s">
        <v>4733</v>
      </c>
      <c r="B355" s="11">
        <v>44456.62990597222</v>
      </c>
      <c r="C355" s="10" t="s">
        <v>239</v>
      </c>
      <c r="D355" s="10" t="s">
        <v>240</v>
      </c>
      <c r="E355" s="10" t="s">
        <v>4548</v>
      </c>
      <c r="F355" s="10" t="s">
        <v>4734</v>
      </c>
      <c r="G355" s="10" t="s">
        <v>4735</v>
      </c>
      <c r="H355" s="11">
        <v>44453.85416666667</v>
      </c>
      <c r="I355" s="11">
        <v>44453.875</v>
      </c>
      <c r="J355" s="10" t="s">
        <v>33</v>
      </c>
      <c r="K355" s="10" t="s">
        <v>34</v>
      </c>
      <c r="N355" s="10" t="s">
        <v>35</v>
      </c>
      <c r="V355" s="35" t="s">
        <v>4551</v>
      </c>
      <c r="W355" s="15"/>
      <c r="X355" s="10" t="s">
        <v>37</v>
      </c>
      <c r="Y355" s="10" t="s">
        <v>0</v>
      </c>
    </row>
    <row r="356">
      <c r="A356" s="10" t="s">
        <v>4736</v>
      </c>
      <c r="B356" s="11">
        <v>44456.64528462963</v>
      </c>
      <c r="C356" s="10" t="s">
        <v>160</v>
      </c>
      <c r="D356" s="10" t="s">
        <v>161</v>
      </c>
      <c r="E356" s="10" t="s">
        <v>3953</v>
      </c>
      <c r="F356" s="10" t="s">
        <v>4737</v>
      </c>
      <c r="G356" s="10" t="s">
        <v>4738</v>
      </c>
      <c r="H356" s="11">
        <v>44457.41666666667</v>
      </c>
      <c r="I356" s="11">
        <v>44456.42708333333</v>
      </c>
      <c r="J356" s="10" t="s">
        <v>73</v>
      </c>
      <c r="K356" s="10" t="s">
        <v>34</v>
      </c>
      <c r="N356" s="10" t="s">
        <v>35</v>
      </c>
      <c r="V356" s="14" t="s">
        <v>4739</v>
      </c>
      <c r="W356" s="15"/>
      <c r="X356" s="10" t="s">
        <v>37</v>
      </c>
      <c r="Y356" s="10" t="s">
        <v>0</v>
      </c>
    </row>
    <row r="357">
      <c r="A357" s="10" t="s">
        <v>4740</v>
      </c>
      <c r="B357" s="11">
        <v>44427.52168667824</v>
      </c>
      <c r="C357" s="10" t="s">
        <v>209</v>
      </c>
      <c r="D357" s="10" t="s">
        <v>210</v>
      </c>
      <c r="E357" s="10" t="s">
        <v>261</v>
      </c>
      <c r="F357" s="10" t="s">
        <v>3860</v>
      </c>
      <c r="G357" s="10" t="s">
        <v>4741</v>
      </c>
      <c r="H357" s="36">
        <v>44463.4375</v>
      </c>
      <c r="I357" s="11">
        <v>44463.52083333333</v>
      </c>
      <c r="J357" s="10" t="s">
        <v>128</v>
      </c>
      <c r="K357" s="10" t="s">
        <v>34</v>
      </c>
      <c r="N357" s="10" t="s">
        <v>35</v>
      </c>
      <c r="V357" s="35" t="s">
        <v>3942</v>
      </c>
      <c r="W357" s="15"/>
      <c r="X357" s="10" t="s">
        <v>37</v>
      </c>
      <c r="Y357" s="10" t="s">
        <v>0</v>
      </c>
    </row>
    <row r="358">
      <c r="A358" s="10" t="s">
        <v>4742</v>
      </c>
      <c r="B358" s="11">
        <v>44459.43478236111</v>
      </c>
      <c r="C358" s="10" t="s">
        <v>80</v>
      </c>
      <c r="D358" s="10" t="s">
        <v>81</v>
      </c>
      <c r="E358" s="10" t="s">
        <v>4743</v>
      </c>
      <c r="F358" s="10" t="s">
        <v>4744</v>
      </c>
      <c r="G358" s="10" t="s">
        <v>4745</v>
      </c>
      <c r="H358" s="11">
        <v>44462.66666666667</v>
      </c>
      <c r="I358" s="11">
        <v>44462.70833333333</v>
      </c>
      <c r="J358" s="10" t="s">
        <v>43</v>
      </c>
      <c r="K358" s="10" t="s">
        <v>34</v>
      </c>
      <c r="N358" s="10" t="s">
        <v>296</v>
      </c>
      <c r="O358" s="18" t="s">
        <v>4746</v>
      </c>
      <c r="P358" s="10" t="s">
        <v>35</v>
      </c>
      <c r="R358" s="10" t="s">
        <v>296</v>
      </c>
      <c r="S358" s="10">
        <v>1.0</v>
      </c>
      <c r="T358" s="10" t="s">
        <v>35</v>
      </c>
      <c r="V358" s="14" t="s">
        <v>4747</v>
      </c>
      <c r="W358" s="15"/>
      <c r="X358" s="10" t="s">
        <v>37</v>
      </c>
      <c r="Y358" s="10" t="s">
        <v>0</v>
      </c>
    </row>
    <row r="359">
      <c r="A359" s="10" t="s">
        <v>4748</v>
      </c>
      <c r="B359" s="11">
        <v>44458.95025677083</v>
      </c>
      <c r="C359" s="10" t="s">
        <v>581</v>
      </c>
      <c r="D359" s="10" t="s">
        <v>220</v>
      </c>
      <c r="E359" s="10" t="s">
        <v>3606</v>
      </c>
      <c r="F359" s="10" t="s">
        <v>4749</v>
      </c>
      <c r="G359" s="10" t="s">
        <v>4750</v>
      </c>
      <c r="H359" s="11">
        <v>44463.52083333333</v>
      </c>
      <c r="I359" s="11">
        <v>44463.5625</v>
      </c>
      <c r="J359" s="10" t="s">
        <v>128</v>
      </c>
      <c r="K359" s="10" t="s">
        <v>34</v>
      </c>
      <c r="N359" s="10" t="s">
        <v>35</v>
      </c>
      <c r="V359" s="14" t="s">
        <v>4751</v>
      </c>
      <c r="W359" s="15"/>
    </row>
    <row r="360">
      <c r="A360" s="10" t="s">
        <v>4752</v>
      </c>
      <c r="B360" s="11">
        <v>44408.90810434028</v>
      </c>
      <c r="C360" s="10" t="s">
        <v>137</v>
      </c>
      <c r="D360" s="10" t="s">
        <v>138</v>
      </c>
      <c r="E360" s="10" t="s">
        <v>3299</v>
      </c>
      <c r="F360" s="10" t="s">
        <v>921</v>
      </c>
      <c r="G360" s="10" t="s">
        <v>3438</v>
      </c>
      <c r="H360" s="36">
        <v>44463.58333333333</v>
      </c>
      <c r="I360" s="11">
        <v>44463.66666666667</v>
      </c>
      <c r="J360" s="10" t="s">
        <v>128</v>
      </c>
      <c r="K360" s="10" t="s">
        <v>34</v>
      </c>
      <c r="N360" s="10" t="s">
        <v>35</v>
      </c>
      <c r="V360" s="9"/>
      <c r="W360" s="13"/>
      <c r="X360" s="10" t="s">
        <v>37</v>
      </c>
      <c r="Y360" s="10" t="s">
        <v>0</v>
      </c>
    </row>
    <row r="361">
      <c r="A361" s="10" t="s">
        <v>4753</v>
      </c>
      <c r="B361" s="11">
        <v>44452.86142277777</v>
      </c>
      <c r="C361" s="10" t="s">
        <v>418</v>
      </c>
      <c r="D361" s="10" t="s">
        <v>419</v>
      </c>
      <c r="E361" s="10" t="s">
        <v>4533</v>
      </c>
      <c r="F361" s="10" t="s">
        <v>4754</v>
      </c>
      <c r="G361" s="10" t="s">
        <v>4755</v>
      </c>
      <c r="H361" s="36">
        <v>44463.4375</v>
      </c>
      <c r="I361" s="11">
        <v>44463.47916666667</v>
      </c>
      <c r="J361" s="10" t="s">
        <v>43</v>
      </c>
      <c r="K361" s="10" t="s">
        <v>34</v>
      </c>
      <c r="N361" s="10" t="s">
        <v>296</v>
      </c>
      <c r="O361" s="18" t="s">
        <v>4756</v>
      </c>
      <c r="P361" s="10" t="s">
        <v>296</v>
      </c>
      <c r="Q361" s="10">
        <v>1.0</v>
      </c>
      <c r="R361" s="10" t="s">
        <v>35</v>
      </c>
      <c r="T361" s="10" t="s">
        <v>35</v>
      </c>
      <c r="V361" s="14" t="s">
        <v>4757</v>
      </c>
      <c r="W361" s="15"/>
      <c r="X361" s="10" t="s">
        <v>37</v>
      </c>
      <c r="Y361" s="10" t="s">
        <v>0</v>
      </c>
    </row>
    <row r="362">
      <c r="A362" s="10" t="s">
        <v>4758</v>
      </c>
      <c r="B362" s="11">
        <v>44455.01924702546</v>
      </c>
      <c r="C362" s="10" t="s">
        <v>381</v>
      </c>
      <c r="D362" s="10" t="s">
        <v>382</v>
      </c>
      <c r="E362" s="10" t="s">
        <v>1487</v>
      </c>
      <c r="F362" s="10" t="s">
        <v>4759</v>
      </c>
      <c r="G362" s="10" t="s">
        <v>4760</v>
      </c>
      <c r="H362" s="36">
        <v>44463.6875</v>
      </c>
      <c r="I362" s="11">
        <v>44463.72916666667</v>
      </c>
      <c r="J362" s="10" t="s">
        <v>128</v>
      </c>
      <c r="K362" s="10" t="s">
        <v>34</v>
      </c>
      <c r="N362" s="10" t="s">
        <v>35</v>
      </c>
      <c r="V362" s="14" t="s">
        <v>3990</v>
      </c>
      <c r="W362" s="15"/>
      <c r="X362" s="10" t="s">
        <v>37</v>
      </c>
      <c r="Y362" s="10" t="s">
        <v>0</v>
      </c>
    </row>
    <row r="363">
      <c r="A363" s="10" t="s">
        <v>4761</v>
      </c>
      <c r="B363" s="11">
        <v>44456.65371829861</v>
      </c>
      <c r="C363" s="10" t="s">
        <v>4217</v>
      </c>
      <c r="D363" s="10" t="s">
        <v>4211</v>
      </c>
      <c r="E363" s="10" t="s">
        <v>4762</v>
      </c>
      <c r="F363" s="10" t="s">
        <v>4763</v>
      </c>
      <c r="G363" s="10" t="s">
        <v>4764</v>
      </c>
      <c r="H363" s="36">
        <v>44464.125</v>
      </c>
      <c r="I363" s="11">
        <v>44464.16666666667</v>
      </c>
      <c r="J363" s="10" t="s">
        <v>128</v>
      </c>
      <c r="K363" s="10" t="s">
        <v>34</v>
      </c>
      <c r="N363" s="10" t="s">
        <v>35</v>
      </c>
      <c r="V363" s="14" t="s">
        <v>4765</v>
      </c>
      <c r="W363" s="15"/>
      <c r="X363" s="10" t="s">
        <v>37</v>
      </c>
      <c r="Y363" s="10" t="s">
        <v>0</v>
      </c>
    </row>
    <row r="364">
      <c r="A364" s="10" t="s">
        <v>4766</v>
      </c>
      <c r="B364" s="11">
        <v>44450.45649224537</v>
      </c>
      <c r="C364" s="10" t="s">
        <v>418</v>
      </c>
      <c r="D364" s="10" t="s">
        <v>419</v>
      </c>
      <c r="E364" s="10" t="s">
        <v>4533</v>
      </c>
      <c r="F364" s="10" t="s">
        <v>4767</v>
      </c>
      <c r="G364" s="10" t="s">
        <v>4768</v>
      </c>
      <c r="H364" s="36">
        <v>44464.33333333333</v>
      </c>
      <c r="I364" s="11">
        <v>44464.5</v>
      </c>
      <c r="J364" s="10" t="s">
        <v>128</v>
      </c>
      <c r="K364" s="10" t="s">
        <v>34</v>
      </c>
      <c r="N364" s="10" t="s">
        <v>296</v>
      </c>
      <c r="O364" s="18" t="s">
        <v>4769</v>
      </c>
      <c r="P364" s="10" t="s">
        <v>296</v>
      </c>
      <c r="Q364" s="10">
        <v>1.0</v>
      </c>
      <c r="R364" s="10" t="s">
        <v>35</v>
      </c>
      <c r="T364" s="10" t="s">
        <v>35</v>
      </c>
      <c r="V364" s="35" t="s">
        <v>4537</v>
      </c>
      <c r="W364" s="15"/>
      <c r="X364" s="10" t="s">
        <v>37</v>
      </c>
      <c r="Y364" s="10" t="s">
        <v>0</v>
      </c>
    </row>
    <row r="365">
      <c r="A365" s="10" t="s">
        <v>4770</v>
      </c>
      <c r="B365" s="11">
        <v>44456.93821738426</v>
      </c>
      <c r="C365" s="10" t="s">
        <v>347</v>
      </c>
      <c r="D365" s="10" t="s">
        <v>348</v>
      </c>
      <c r="E365" s="10" t="s">
        <v>3429</v>
      </c>
      <c r="F365" s="10" t="s">
        <v>3564</v>
      </c>
      <c r="G365" s="10" t="s">
        <v>4771</v>
      </c>
      <c r="H365" s="11">
        <v>44464.4375</v>
      </c>
      <c r="I365" s="11">
        <v>44464.52083333333</v>
      </c>
      <c r="J365" s="10" t="s">
        <v>128</v>
      </c>
      <c r="K365" s="10" t="s">
        <v>34</v>
      </c>
      <c r="N365" s="10" t="s">
        <v>35</v>
      </c>
      <c r="V365" s="14" t="s">
        <v>3562</v>
      </c>
      <c r="W365" s="15"/>
      <c r="X365" s="10" t="s">
        <v>37</v>
      </c>
      <c r="Y365" s="10" t="s">
        <v>0</v>
      </c>
    </row>
    <row r="366">
      <c r="A366" s="10" t="s">
        <v>4772</v>
      </c>
      <c r="B366" s="11">
        <v>44446.43331813657</v>
      </c>
      <c r="C366" s="10" t="s">
        <v>209</v>
      </c>
      <c r="D366" s="10" t="s">
        <v>210</v>
      </c>
      <c r="E366" s="10" t="s">
        <v>261</v>
      </c>
      <c r="F366" s="10" t="s">
        <v>4374</v>
      </c>
      <c r="G366" s="10" t="s">
        <v>4375</v>
      </c>
      <c r="H366" s="36">
        <v>44464.47916666667</v>
      </c>
      <c r="I366" s="11">
        <v>44464.52083333333</v>
      </c>
      <c r="J366" s="10" t="s">
        <v>33</v>
      </c>
      <c r="K366" s="10" t="s">
        <v>34</v>
      </c>
      <c r="N366" s="10" t="s">
        <v>35</v>
      </c>
      <c r="V366" s="14" t="s">
        <v>4376</v>
      </c>
      <c r="W366" s="15"/>
      <c r="X366" s="10" t="s">
        <v>37</v>
      </c>
      <c r="Y366" s="10" t="s">
        <v>0</v>
      </c>
    </row>
    <row r="367">
      <c r="A367" s="10" t="s">
        <v>4773</v>
      </c>
      <c r="B367" s="11">
        <v>44455.80170940972</v>
      </c>
      <c r="C367" s="10" t="s">
        <v>160</v>
      </c>
      <c r="D367" s="10" t="s">
        <v>161</v>
      </c>
      <c r="E367" s="10" t="s">
        <v>3804</v>
      </c>
      <c r="F367" s="10" t="s">
        <v>4774</v>
      </c>
      <c r="G367" s="10" t="s">
        <v>4775</v>
      </c>
      <c r="H367" s="36">
        <v>44463.60416666667</v>
      </c>
      <c r="I367" s="11">
        <v>44463.64583333333</v>
      </c>
      <c r="J367" s="10" t="s">
        <v>43</v>
      </c>
      <c r="K367" s="10" t="s">
        <v>34</v>
      </c>
      <c r="N367" s="10" t="s">
        <v>296</v>
      </c>
      <c r="O367" s="18" t="s">
        <v>4776</v>
      </c>
      <c r="P367" s="10" t="s">
        <v>35</v>
      </c>
      <c r="R367" s="10" t="s">
        <v>296</v>
      </c>
      <c r="S367" s="10">
        <v>1.0</v>
      </c>
      <c r="T367" s="10" t="s">
        <v>296</v>
      </c>
      <c r="U367" s="10">
        <v>1.0</v>
      </c>
      <c r="V367" s="14" t="s">
        <v>4777</v>
      </c>
      <c r="W367" s="15"/>
      <c r="X367" s="10" t="s">
        <v>37</v>
      </c>
      <c r="Y367" s="10" t="s">
        <v>0</v>
      </c>
    </row>
    <row r="368">
      <c r="A368" s="10" t="s">
        <v>4778</v>
      </c>
      <c r="B368" s="11">
        <v>44456.934946284724</v>
      </c>
      <c r="C368" s="10" t="s">
        <v>347</v>
      </c>
      <c r="D368" s="10" t="s">
        <v>348</v>
      </c>
      <c r="E368" s="10" t="s">
        <v>3429</v>
      </c>
      <c r="F368" s="10" t="s">
        <v>4779</v>
      </c>
      <c r="G368" s="10" t="s">
        <v>4780</v>
      </c>
      <c r="H368" s="11">
        <v>44464.60416666667</v>
      </c>
      <c r="I368" s="11">
        <v>44464.6875</v>
      </c>
      <c r="J368" s="10" t="s">
        <v>128</v>
      </c>
      <c r="K368" s="10" t="s">
        <v>34</v>
      </c>
      <c r="N368" s="10" t="s">
        <v>35</v>
      </c>
      <c r="V368" s="14" t="s">
        <v>4781</v>
      </c>
      <c r="W368" s="15"/>
      <c r="X368" s="10" t="s">
        <v>37</v>
      </c>
      <c r="Y368" s="10" t="s">
        <v>0</v>
      </c>
    </row>
    <row r="369">
      <c r="A369" s="10" t="s">
        <v>4782</v>
      </c>
      <c r="B369" s="11">
        <v>44446.453665243054</v>
      </c>
      <c r="C369" s="10" t="s">
        <v>209</v>
      </c>
      <c r="D369" s="10" t="s">
        <v>210</v>
      </c>
      <c r="E369" s="10" t="s">
        <v>261</v>
      </c>
      <c r="F369" s="10" t="s">
        <v>4519</v>
      </c>
      <c r="G369" s="10" t="s">
        <v>4393</v>
      </c>
      <c r="H369" s="36">
        <v>44464.64583333333</v>
      </c>
      <c r="I369" s="11">
        <v>44464.6875</v>
      </c>
      <c r="J369" s="10" t="s">
        <v>128</v>
      </c>
      <c r="K369" s="10" t="s">
        <v>34</v>
      </c>
      <c r="N369" s="10" t="s">
        <v>35</v>
      </c>
      <c r="V369" s="14" t="s">
        <v>4394</v>
      </c>
      <c r="W369" s="15"/>
      <c r="X369" s="10" t="s">
        <v>37</v>
      </c>
      <c r="Y369" s="10" t="s">
        <v>0</v>
      </c>
    </row>
    <row r="370">
      <c r="A370" s="10" t="s">
        <v>4783</v>
      </c>
      <c r="B370" s="11">
        <v>44456.8151153125</v>
      </c>
      <c r="C370" s="10" t="s">
        <v>3916</v>
      </c>
      <c r="D370" s="10" t="s">
        <v>3917</v>
      </c>
      <c r="E370" s="10" t="s">
        <v>3918</v>
      </c>
      <c r="F370" s="10" t="s">
        <v>4784</v>
      </c>
      <c r="G370" s="10" t="s">
        <v>4785</v>
      </c>
      <c r="H370" s="11">
        <v>44464.75</v>
      </c>
      <c r="I370" s="11">
        <v>44464.83333333333</v>
      </c>
      <c r="J370" s="10" t="s">
        <v>128</v>
      </c>
      <c r="K370" s="10" t="s">
        <v>34</v>
      </c>
      <c r="N370" s="10" t="s">
        <v>35</v>
      </c>
      <c r="V370" s="14" t="s">
        <v>4786</v>
      </c>
      <c r="W370" s="15"/>
      <c r="X370" s="10" t="s">
        <v>37</v>
      </c>
      <c r="Y370" s="10" t="s">
        <v>0</v>
      </c>
    </row>
    <row r="371">
      <c r="A371" s="10" t="s">
        <v>4787</v>
      </c>
      <c r="B371" s="11">
        <v>44456.566951747685</v>
      </c>
      <c r="C371" s="10" t="s">
        <v>181</v>
      </c>
      <c r="D371" s="10" t="s">
        <v>69</v>
      </c>
      <c r="E371" s="10" t="s">
        <v>2979</v>
      </c>
      <c r="F371" s="10" t="s">
        <v>4788</v>
      </c>
      <c r="G371" s="10" t="s">
        <v>4789</v>
      </c>
      <c r="H371" s="36">
        <v>44464.60416666667</v>
      </c>
      <c r="I371" s="11">
        <v>44464.70833333333</v>
      </c>
      <c r="J371" s="10" t="s">
        <v>43</v>
      </c>
      <c r="K371" s="10" t="s">
        <v>34</v>
      </c>
      <c r="N371" s="10" t="s">
        <v>296</v>
      </c>
      <c r="O371" s="18" t="s">
        <v>4790</v>
      </c>
      <c r="P371" s="10" t="s">
        <v>296</v>
      </c>
      <c r="Q371" s="10">
        <v>1.0</v>
      </c>
      <c r="R371" s="10" t="s">
        <v>296</v>
      </c>
      <c r="S371" s="10">
        <v>1.0</v>
      </c>
      <c r="T371" s="10" t="s">
        <v>35</v>
      </c>
      <c r="V371" s="14" t="s">
        <v>4791</v>
      </c>
      <c r="W371" s="15"/>
      <c r="X371" s="10" t="s">
        <v>37</v>
      </c>
      <c r="Y371" s="10" t="s">
        <v>0</v>
      </c>
    </row>
    <row r="372">
      <c r="A372" s="10" t="s">
        <v>4792</v>
      </c>
      <c r="B372" s="11">
        <v>44459.69510452547</v>
      </c>
      <c r="C372" s="10" t="s">
        <v>160</v>
      </c>
      <c r="D372" s="10" t="s">
        <v>161</v>
      </c>
      <c r="E372" s="10" t="s">
        <v>3953</v>
      </c>
      <c r="F372" s="10" t="s">
        <v>4793</v>
      </c>
      <c r="G372" s="10" t="s">
        <v>4794</v>
      </c>
      <c r="H372" s="11">
        <v>44460.66666666667</v>
      </c>
      <c r="I372" s="11">
        <v>44460.67708333333</v>
      </c>
      <c r="J372" s="10" t="s">
        <v>73</v>
      </c>
      <c r="K372" s="10" t="s">
        <v>34</v>
      </c>
      <c r="N372" s="10" t="s">
        <v>35</v>
      </c>
      <c r="V372" s="14" t="s">
        <v>4739</v>
      </c>
      <c r="W372" s="15"/>
      <c r="X372" s="10" t="s">
        <v>37</v>
      </c>
      <c r="Y372" s="10" t="s">
        <v>0</v>
      </c>
    </row>
    <row r="373">
      <c r="A373" s="10" t="s">
        <v>4795</v>
      </c>
      <c r="B373" s="11">
        <v>44459.69906951389</v>
      </c>
      <c r="C373" s="10" t="s">
        <v>160</v>
      </c>
      <c r="D373" s="10" t="s">
        <v>161</v>
      </c>
      <c r="E373" s="10" t="s">
        <v>3953</v>
      </c>
      <c r="F373" s="10" t="s">
        <v>4796</v>
      </c>
      <c r="G373" s="10" t="s">
        <v>4797</v>
      </c>
      <c r="H373" s="11">
        <v>44464.66666666667</v>
      </c>
      <c r="I373" s="11">
        <v>44464.67708333333</v>
      </c>
      <c r="J373" s="10" t="s">
        <v>73</v>
      </c>
      <c r="K373" s="10" t="s">
        <v>34</v>
      </c>
      <c r="N373" s="10" t="s">
        <v>35</v>
      </c>
      <c r="V373" s="14" t="s">
        <v>4739</v>
      </c>
      <c r="W373" s="15"/>
      <c r="X373" s="10" t="s">
        <v>37</v>
      </c>
      <c r="Y373" s="10" t="s">
        <v>0</v>
      </c>
    </row>
    <row r="374">
      <c r="A374" s="10" t="s">
        <v>4798</v>
      </c>
      <c r="B374" s="11">
        <v>44465.50966112268</v>
      </c>
      <c r="C374" s="10" t="s">
        <v>4217</v>
      </c>
      <c r="D374" s="10" t="s">
        <v>4211</v>
      </c>
      <c r="E374" s="10" t="s">
        <v>4799</v>
      </c>
      <c r="F374" s="10" t="s">
        <v>4800</v>
      </c>
      <c r="G374" s="10" t="s">
        <v>4801</v>
      </c>
      <c r="H374" s="11">
        <v>44466.72916666667</v>
      </c>
      <c r="I374" s="11">
        <v>44466.77083333333</v>
      </c>
      <c r="J374" s="10" t="s">
        <v>43</v>
      </c>
      <c r="K374" s="10" t="s">
        <v>34</v>
      </c>
      <c r="N374" s="10" t="s">
        <v>35</v>
      </c>
      <c r="V374" s="14" t="s">
        <v>4802</v>
      </c>
      <c r="W374" s="15"/>
      <c r="X374" s="10" t="s">
        <v>37</v>
      </c>
      <c r="Y374" s="10" t="s">
        <v>0</v>
      </c>
    </row>
    <row r="375">
      <c r="A375" s="10" t="s">
        <v>4803</v>
      </c>
      <c r="B375" s="11">
        <v>44463.893340821756</v>
      </c>
      <c r="C375" s="10" t="s">
        <v>581</v>
      </c>
      <c r="D375" s="10" t="s">
        <v>220</v>
      </c>
      <c r="E375" s="10" t="s">
        <v>3586</v>
      </c>
      <c r="F375" s="10" t="s">
        <v>4804</v>
      </c>
      <c r="G375" s="10" t="s">
        <v>4805</v>
      </c>
      <c r="H375" s="41">
        <v>44468.47916666667</v>
      </c>
      <c r="I375" s="41">
        <v>44468.52083333333</v>
      </c>
      <c r="J375" s="10" t="s">
        <v>73</v>
      </c>
      <c r="K375" s="10" t="s">
        <v>34</v>
      </c>
      <c r="N375" s="10" t="s">
        <v>35</v>
      </c>
      <c r="V375" s="14" t="s">
        <v>4660</v>
      </c>
      <c r="W375" s="15"/>
    </row>
    <row r="376">
      <c r="A376" s="10" t="s">
        <v>4806</v>
      </c>
      <c r="B376" s="11">
        <v>44460.746705439815</v>
      </c>
      <c r="C376" s="10" t="s">
        <v>3304</v>
      </c>
      <c r="D376" s="10" t="s">
        <v>695</v>
      </c>
      <c r="E376" s="10" t="s">
        <v>4807</v>
      </c>
      <c r="F376" s="10" t="s">
        <v>4808</v>
      </c>
      <c r="G376" s="10" t="s">
        <v>4809</v>
      </c>
      <c r="H376" s="11">
        <v>44460.77083333333</v>
      </c>
      <c r="I376" s="11">
        <v>44460.8125</v>
      </c>
      <c r="J376" s="10" t="s">
        <v>33</v>
      </c>
      <c r="K376" s="10" t="s">
        <v>34</v>
      </c>
      <c r="N376" s="10" t="s">
        <v>35</v>
      </c>
      <c r="V376" s="14" t="s">
        <v>4810</v>
      </c>
      <c r="W376" s="15"/>
      <c r="X376" s="10" t="s">
        <v>37</v>
      </c>
      <c r="Y376" s="10" t="s">
        <v>0</v>
      </c>
    </row>
    <row r="377">
      <c r="A377" s="10" t="s">
        <v>4811</v>
      </c>
      <c r="B377" s="11">
        <v>44461.4703533912</v>
      </c>
      <c r="C377" s="10" t="s">
        <v>671</v>
      </c>
      <c r="D377" s="10" t="s">
        <v>672</v>
      </c>
      <c r="E377" s="10" t="s">
        <v>4812</v>
      </c>
      <c r="F377" s="10" t="s">
        <v>4813</v>
      </c>
      <c r="G377" s="10" t="s">
        <v>4814</v>
      </c>
      <c r="H377" s="11">
        <v>44463.9375</v>
      </c>
      <c r="I377" s="11">
        <v>44463.97916666667</v>
      </c>
      <c r="J377" s="10" t="s">
        <v>128</v>
      </c>
      <c r="K377" s="10" t="s">
        <v>34</v>
      </c>
      <c r="N377" s="10" t="s">
        <v>35</v>
      </c>
      <c r="V377" s="14" t="s">
        <v>3906</v>
      </c>
      <c r="W377" s="15"/>
      <c r="X377" s="10" t="s">
        <v>37</v>
      </c>
      <c r="Y377" s="10" t="s">
        <v>0</v>
      </c>
    </row>
    <row r="378">
      <c r="A378" s="10" t="s">
        <v>4815</v>
      </c>
      <c r="B378" s="11">
        <v>44461.471321122684</v>
      </c>
      <c r="C378" s="10" t="s">
        <v>671</v>
      </c>
      <c r="D378" s="10" t="s">
        <v>672</v>
      </c>
      <c r="E378" s="10" t="s">
        <v>4816</v>
      </c>
      <c r="F378" s="10" t="s">
        <v>4817</v>
      </c>
      <c r="G378" s="10" t="s">
        <v>4407</v>
      </c>
      <c r="H378" s="11">
        <v>44462.52083333333</v>
      </c>
      <c r="I378" s="11">
        <v>44462.5625</v>
      </c>
      <c r="J378" s="10" t="s">
        <v>128</v>
      </c>
      <c r="K378" s="10" t="s">
        <v>34</v>
      </c>
      <c r="N378" s="10" t="s">
        <v>35</v>
      </c>
      <c r="V378" s="14" t="s">
        <v>3906</v>
      </c>
      <c r="W378" s="15"/>
      <c r="X378" s="10" t="s">
        <v>37</v>
      </c>
      <c r="Y378" s="10" t="s">
        <v>0</v>
      </c>
    </row>
    <row r="379">
      <c r="A379" s="10" t="s">
        <v>4818</v>
      </c>
      <c r="B379" s="11">
        <v>44462.58940442129</v>
      </c>
      <c r="C379" s="10" t="s">
        <v>3304</v>
      </c>
      <c r="D379" s="10" t="s">
        <v>695</v>
      </c>
      <c r="E379" s="10" t="s">
        <v>4316</v>
      </c>
      <c r="F379" s="10" t="s">
        <v>4819</v>
      </c>
      <c r="G379" s="10" t="s">
        <v>4820</v>
      </c>
      <c r="H379" s="11">
        <v>44463.4375</v>
      </c>
      <c r="I379" s="11">
        <v>44463.5</v>
      </c>
      <c r="J379" s="10" t="s">
        <v>33</v>
      </c>
      <c r="K379" s="10" t="s">
        <v>34</v>
      </c>
      <c r="N379" s="10" t="s">
        <v>296</v>
      </c>
      <c r="O379" s="18" t="s">
        <v>4821</v>
      </c>
      <c r="P379" s="10" t="s">
        <v>296</v>
      </c>
      <c r="Q379" s="10">
        <v>1.0</v>
      </c>
      <c r="R379" s="10" t="s">
        <v>35</v>
      </c>
      <c r="T379" s="10" t="s">
        <v>35</v>
      </c>
      <c r="V379" s="14" t="s">
        <v>4822</v>
      </c>
      <c r="W379" s="15"/>
      <c r="X379" s="10" t="s">
        <v>37</v>
      </c>
      <c r="Y379" s="10" t="s">
        <v>0</v>
      </c>
    </row>
    <row r="380">
      <c r="A380" s="10" t="s">
        <v>4823</v>
      </c>
      <c r="B380" s="11">
        <v>44463.6097715625</v>
      </c>
      <c r="C380" s="10" t="s">
        <v>181</v>
      </c>
      <c r="D380" s="10" t="s">
        <v>69</v>
      </c>
      <c r="E380" s="10" t="s">
        <v>4824</v>
      </c>
      <c r="F380" s="10" t="s">
        <v>4825</v>
      </c>
      <c r="G380" s="10" t="s">
        <v>4826</v>
      </c>
      <c r="H380" s="41">
        <v>44468.58333333333</v>
      </c>
      <c r="I380" s="41">
        <v>44468.64583333333</v>
      </c>
      <c r="J380" s="10" t="s">
        <v>43</v>
      </c>
      <c r="K380" s="10" t="s">
        <v>34</v>
      </c>
      <c r="N380" s="10" t="s">
        <v>296</v>
      </c>
      <c r="O380" s="18" t="s">
        <v>4827</v>
      </c>
      <c r="P380" s="10" t="s">
        <v>35</v>
      </c>
      <c r="R380" s="10" t="s">
        <v>35</v>
      </c>
      <c r="T380" s="10" t="s">
        <v>296</v>
      </c>
      <c r="U380" s="10">
        <v>1.0</v>
      </c>
      <c r="V380" s="14" t="s">
        <v>4828</v>
      </c>
      <c r="W380" s="15"/>
      <c r="X380" s="10" t="s">
        <v>37</v>
      </c>
      <c r="Y380" s="10" t="s">
        <v>0</v>
      </c>
    </row>
    <row r="381">
      <c r="A381" s="10" t="s">
        <v>4829</v>
      </c>
      <c r="B381" s="11">
        <v>44468.79429284722</v>
      </c>
      <c r="C381" s="10" t="s">
        <v>80</v>
      </c>
      <c r="D381" s="10" t="s">
        <v>81</v>
      </c>
      <c r="E381" s="10" t="s">
        <v>4830</v>
      </c>
      <c r="F381" s="10" t="s">
        <v>4831</v>
      </c>
      <c r="G381" s="10" t="s">
        <v>4832</v>
      </c>
      <c r="H381" s="11">
        <v>44468.77083333333</v>
      </c>
      <c r="I381" s="11">
        <v>44468.8125</v>
      </c>
      <c r="J381" s="10" t="s">
        <v>43</v>
      </c>
      <c r="K381" s="10" t="s">
        <v>34</v>
      </c>
      <c r="N381" s="10" t="s">
        <v>296</v>
      </c>
      <c r="O381" s="18" t="s">
        <v>4833</v>
      </c>
      <c r="P381" s="10" t="s">
        <v>296</v>
      </c>
      <c r="Q381" s="10">
        <v>2.0</v>
      </c>
      <c r="R381" s="10" t="s">
        <v>35</v>
      </c>
      <c r="T381" s="10" t="s">
        <v>35</v>
      </c>
      <c r="V381" s="14" t="s">
        <v>4834</v>
      </c>
      <c r="W381" s="15" t="s">
        <v>4835</v>
      </c>
      <c r="X381" s="10" t="s">
        <v>37</v>
      </c>
      <c r="Y381" s="10" t="s">
        <v>0</v>
      </c>
    </row>
    <row r="382">
      <c r="A382" s="10" t="s">
        <v>4836</v>
      </c>
      <c r="B382" s="11">
        <v>44434.665026400464</v>
      </c>
      <c r="C382" s="10" t="s">
        <v>181</v>
      </c>
      <c r="D382" s="10" t="s">
        <v>69</v>
      </c>
      <c r="E382" s="10" t="s">
        <v>4396</v>
      </c>
      <c r="F382" s="10" t="s">
        <v>4837</v>
      </c>
      <c r="G382" s="10" t="s">
        <v>4838</v>
      </c>
      <c r="H382" s="41">
        <v>44469.0</v>
      </c>
      <c r="I382" s="41">
        <v>44444.99930555555</v>
      </c>
      <c r="J382" s="10" t="s">
        <v>43</v>
      </c>
      <c r="K382" s="10" t="s">
        <v>34</v>
      </c>
      <c r="N382" s="10" t="s">
        <v>35</v>
      </c>
      <c r="V382" s="35" t="s">
        <v>3740</v>
      </c>
      <c r="W382" s="15"/>
      <c r="X382" s="10" t="s">
        <v>3302</v>
      </c>
      <c r="Y382" s="10" t="s">
        <v>0</v>
      </c>
    </row>
    <row r="383">
      <c r="A383" s="10" t="s">
        <v>4839</v>
      </c>
      <c r="B383" s="11">
        <v>44463.408728842594</v>
      </c>
      <c r="C383" s="10" t="s">
        <v>209</v>
      </c>
      <c r="D383" s="10" t="s">
        <v>210</v>
      </c>
      <c r="E383" s="10" t="s">
        <v>4840</v>
      </c>
      <c r="F383" s="10" t="s">
        <v>4512</v>
      </c>
      <c r="G383" s="10" t="s">
        <v>4841</v>
      </c>
      <c r="H383" s="11">
        <v>44484.78125</v>
      </c>
      <c r="I383" s="11">
        <v>44484.82291666667</v>
      </c>
      <c r="J383" s="10" t="s">
        <v>33</v>
      </c>
      <c r="K383" s="10" t="s">
        <v>34</v>
      </c>
      <c r="N383" s="10" t="s">
        <v>35</v>
      </c>
      <c r="V383" s="14" t="s">
        <v>4514</v>
      </c>
      <c r="W383" s="15"/>
      <c r="X383" s="10" t="s">
        <v>37</v>
      </c>
      <c r="Y383" s="10" t="s">
        <v>0</v>
      </c>
    </row>
    <row r="384">
      <c r="A384" s="10" t="s">
        <v>4842</v>
      </c>
      <c r="B384" s="11">
        <v>44519.55662725694</v>
      </c>
      <c r="C384" s="10" t="s">
        <v>181</v>
      </c>
      <c r="D384" s="10" t="s">
        <v>69</v>
      </c>
      <c r="E384" s="10" t="s">
        <v>3864</v>
      </c>
      <c r="F384" s="10" t="s">
        <v>4386</v>
      </c>
      <c r="G384" s="10" t="s">
        <v>4843</v>
      </c>
      <c r="H384" s="11">
        <v>44522.72916666667</v>
      </c>
      <c r="I384" s="11">
        <v>44522.77083333333</v>
      </c>
      <c r="J384" s="10" t="s">
        <v>128</v>
      </c>
      <c r="K384" s="10" t="s">
        <v>34</v>
      </c>
      <c r="N384" s="10" t="s">
        <v>35</v>
      </c>
      <c r="V384" s="35" t="s">
        <v>4844</v>
      </c>
      <c r="W384" s="15"/>
    </row>
    <row r="385">
      <c r="A385" s="10" t="s">
        <v>4845</v>
      </c>
      <c r="B385" s="11">
        <v>44453.75529475695</v>
      </c>
      <c r="C385" s="10" t="s">
        <v>239</v>
      </c>
      <c r="D385" s="10" t="s">
        <v>240</v>
      </c>
      <c r="E385" s="10" t="s">
        <v>4846</v>
      </c>
      <c r="F385" s="10" t="s">
        <v>4847</v>
      </c>
      <c r="G385" s="10" t="s">
        <v>4848</v>
      </c>
      <c r="H385" s="41">
        <v>44469.0</v>
      </c>
      <c r="I385" s="41">
        <v>44476.0</v>
      </c>
      <c r="J385" s="10" t="s">
        <v>51</v>
      </c>
      <c r="K385" s="10" t="s">
        <v>34</v>
      </c>
      <c r="N385" s="10" t="s">
        <v>35</v>
      </c>
      <c r="V385" s="35" t="s">
        <v>4551</v>
      </c>
      <c r="W385" s="15"/>
      <c r="X385" s="10" t="s">
        <v>37</v>
      </c>
      <c r="Y385" s="10" t="s">
        <v>0</v>
      </c>
    </row>
    <row r="386">
      <c r="A386" s="10" t="s">
        <v>4849</v>
      </c>
      <c r="B386" s="11">
        <v>44463.8807627662</v>
      </c>
      <c r="C386" s="10" t="s">
        <v>581</v>
      </c>
      <c r="D386" s="10" t="s">
        <v>220</v>
      </c>
      <c r="E386" s="10" t="s">
        <v>4709</v>
      </c>
      <c r="F386" s="10" t="s">
        <v>3765</v>
      </c>
      <c r="G386" s="10" t="s">
        <v>4850</v>
      </c>
      <c r="H386" s="41">
        <v>44469.85416666667</v>
      </c>
      <c r="I386" s="41">
        <v>44469.89583333333</v>
      </c>
      <c r="J386" s="10" t="s">
        <v>128</v>
      </c>
      <c r="K386" s="10" t="s">
        <v>34</v>
      </c>
      <c r="N386" s="10" t="s">
        <v>35</v>
      </c>
      <c r="V386" s="14" t="s">
        <v>4851</v>
      </c>
      <c r="W386" s="15"/>
    </row>
    <row r="387">
      <c r="A387" s="10" t="s">
        <v>4852</v>
      </c>
      <c r="B387" s="11">
        <v>44460.44637428241</v>
      </c>
      <c r="C387" s="10" t="s">
        <v>975</v>
      </c>
      <c r="D387" s="10" t="s">
        <v>976</v>
      </c>
      <c r="E387" s="10" t="s">
        <v>976</v>
      </c>
      <c r="F387" s="10" t="s">
        <v>4853</v>
      </c>
      <c r="G387" s="10" t="s">
        <v>4854</v>
      </c>
      <c r="H387" s="41">
        <v>44470.39583333333</v>
      </c>
      <c r="I387" s="41">
        <v>44519.4375</v>
      </c>
      <c r="J387" s="10" t="s">
        <v>128</v>
      </c>
      <c r="K387" s="10" t="s">
        <v>34</v>
      </c>
      <c r="N387" s="10" t="s">
        <v>35</v>
      </c>
      <c r="V387" s="35" t="s">
        <v>3740</v>
      </c>
      <c r="W387" s="15"/>
      <c r="X387" s="10" t="s">
        <v>37</v>
      </c>
      <c r="Y387" s="10" t="s">
        <v>0</v>
      </c>
    </row>
    <row r="388">
      <c r="A388" s="10" t="s">
        <v>4855</v>
      </c>
      <c r="B388" s="11">
        <v>44408.91060134259</v>
      </c>
      <c r="C388" s="10" t="s">
        <v>137</v>
      </c>
      <c r="D388" s="10" t="s">
        <v>138</v>
      </c>
      <c r="E388" s="10" t="s">
        <v>3299</v>
      </c>
      <c r="F388" s="10" t="s">
        <v>921</v>
      </c>
      <c r="G388" s="10" t="s">
        <v>3442</v>
      </c>
      <c r="H388" s="41">
        <v>44470.58333333333</v>
      </c>
      <c r="I388" s="41">
        <v>44470.66666666667</v>
      </c>
      <c r="J388" s="10" t="s">
        <v>128</v>
      </c>
      <c r="K388" s="10" t="s">
        <v>34</v>
      </c>
      <c r="N388" s="10" t="s">
        <v>35</v>
      </c>
      <c r="V388" s="9"/>
      <c r="W388" s="13"/>
      <c r="X388" s="10" t="s">
        <v>37</v>
      </c>
      <c r="Y388" s="10" t="s">
        <v>0</v>
      </c>
    </row>
    <row r="389">
      <c r="A389" s="10" t="s">
        <v>4856</v>
      </c>
      <c r="B389" s="11">
        <v>44467.58795221065</v>
      </c>
      <c r="C389" s="10" t="s">
        <v>694</v>
      </c>
      <c r="D389" s="10" t="s">
        <v>695</v>
      </c>
      <c r="E389" s="10" t="s">
        <v>4316</v>
      </c>
      <c r="F389" s="10" t="s">
        <v>4857</v>
      </c>
      <c r="G389" s="10" t="s">
        <v>4858</v>
      </c>
      <c r="H389" s="11">
        <v>44469.65972222222</v>
      </c>
      <c r="I389" s="11">
        <v>44469.6875</v>
      </c>
      <c r="J389" s="10" t="s">
        <v>43</v>
      </c>
      <c r="K389" s="10" t="s">
        <v>34</v>
      </c>
      <c r="N389" s="10" t="s">
        <v>296</v>
      </c>
      <c r="O389" s="18" t="s">
        <v>4859</v>
      </c>
      <c r="P389" s="10" t="s">
        <v>296</v>
      </c>
      <c r="Q389" s="10">
        <v>1.0</v>
      </c>
      <c r="R389" s="10" t="s">
        <v>35</v>
      </c>
      <c r="T389" s="10" t="s">
        <v>35</v>
      </c>
      <c r="V389" s="14" t="s">
        <v>4860</v>
      </c>
      <c r="W389" s="15"/>
      <c r="X389" s="10" t="s">
        <v>37</v>
      </c>
      <c r="Y389" s="10" t="s">
        <v>0</v>
      </c>
    </row>
    <row r="390">
      <c r="A390" s="10" t="s">
        <v>4861</v>
      </c>
      <c r="B390" s="11">
        <v>44463.39663611111</v>
      </c>
      <c r="C390" s="10" t="s">
        <v>209</v>
      </c>
      <c r="D390" s="10" t="s">
        <v>210</v>
      </c>
      <c r="E390" s="10" t="s">
        <v>4840</v>
      </c>
      <c r="F390" s="10" t="s">
        <v>4512</v>
      </c>
      <c r="G390" s="10" t="s">
        <v>4862</v>
      </c>
      <c r="H390" s="41">
        <v>44470.78125</v>
      </c>
      <c r="I390" s="41">
        <v>44470.82291666667</v>
      </c>
      <c r="J390" s="10" t="s">
        <v>33</v>
      </c>
      <c r="K390" s="10" t="s">
        <v>34</v>
      </c>
      <c r="N390" s="10" t="s">
        <v>35</v>
      </c>
      <c r="V390" s="14" t="s">
        <v>4514</v>
      </c>
      <c r="W390" s="15"/>
      <c r="X390" s="10" t="s">
        <v>37</v>
      </c>
      <c r="Y390" s="10" t="s">
        <v>0</v>
      </c>
    </row>
    <row r="391">
      <c r="A391" s="10" t="s">
        <v>4863</v>
      </c>
      <c r="B391" s="11">
        <v>44445.77143583333</v>
      </c>
      <c r="C391" s="10" t="s">
        <v>181</v>
      </c>
      <c r="D391" s="10" t="s">
        <v>69</v>
      </c>
      <c r="E391" s="10" t="s">
        <v>1879</v>
      </c>
      <c r="F391" s="10" t="s">
        <v>4864</v>
      </c>
      <c r="G391" s="10" t="s">
        <v>4865</v>
      </c>
      <c r="H391" s="41">
        <v>44471.41666666667</v>
      </c>
      <c r="I391" s="41">
        <v>44471.41736111111</v>
      </c>
      <c r="J391" s="10" t="s">
        <v>73</v>
      </c>
      <c r="K391" s="10" t="s">
        <v>34</v>
      </c>
      <c r="N391" s="10" t="s">
        <v>35</v>
      </c>
      <c r="V391" s="14" t="s">
        <v>4046</v>
      </c>
      <c r="W391" s="15"/>
      <c r="X391" s="10" t="s">
        <v>37</v>
      </c>
      <c r="Y391" s="10" t="s">
        <v>0</v>
      </c>
    </row>
    <row r="392">
      <c r="A392" s="10" t="s">
        <v>4866</v>
      </c>
      <c r="B392" s="11">
        <v>44463.64867086806</v>
      </c>
      <c r="C392" s="10" t="s">
        <v>160</v>
      </c>
      <c r="D392" s="10" t="s">
        <v>161</v>
      </c>
      <c r="E392" s="10" t="s">
        <v>3953</v>
      </c>
      <c r="F392" s="10" t="s">
        <v>4867</v>
      </c>
      <c r="G392" s="10" t="s">
        <v>4868</v>
      </c>
      <c r="H392" s="11">
        <v>44464.625</v>
      </c>
      <c r="I392" s="11">
        <v>44464.64583333333</v>
      </c>
      <c r="J392" s="10" t="s">
        <v>73</v>
      </c>
      <c r="K392" s="10" t="s">
        <v>34</v>
      </c>
      <c r="N392" s="10" t="s">
        <v>35</v>
      </c>
      <c r="V392" s="14" t="s">
        <v>4739</v>
      </c>
      <c r="W392" s="15"/>
      <c r="X392" s="10" t="s">
        <v>37</v>
      </c>
      <c r="Y392" s="10" t="s">
        <v>0</v>
      </c>
    </row>
    <row r="393">
      <c r="A393" s="10" t="s">
        <v>4869</v>
      </c>
      <c r="B393" s="11">
        <v>44446.434868171295</v>
      </c>
      <c r="C393" s="10" t="s">
        <v>209</v>
      </c>
      <c r="D393" s="10" t="s">
        <v>210</v>
      </c>
      <c r="E393" s="10" t="s">
        <v>4840</v>
      </c>
      <c r="F393" s="10" t="s">
        <v>4374</v>
      </c>
      <c r="G393" s="10" t="s">
        <v>4375</v>
      </c>
      <c r="H393" s="41">
        <v>44471.47916666667</v>
      </c>
      <c r="I393" s="41">
        <v>44471.52083333333</v>
      </c>
      <c r="J393" s="10" t="s">
        <v>33</v>
      </c>
      <c r="K393" s="10" t="s">
        <v>34</v>
      </c>
      <c r="N393" s="10" t="s">
        <v>35</v>
      </c>
      <c r="V393" s="14" t="s">
        <v>4376</v>
      </c>
      <c r="W393" s="15"/>
      <c r="X393" s="10" t="s">
        <v>37</v>
      </c>
      <c r="Y393" s="10" t="s">
        <v>0</v>
      </c>
    </row>
    <row r="394">
      <c r="A394" s="10" t="s">
        <v>4870</v>
      </c>
      <c r="B394" s="11">
        <v>44446.4566294213</v>
      </c>
      <c r="C394" s="10" t="s">
        <v>209</v>
      </c>
      <c r="D394" s="10" t="s">
        <v>210</v>
      </c>
      <c r="E394" s="10" t="s">
        <v>261</v>
      </c>
      <c r="F394" s="10" t="s">
        <v>4519</v>
      </c>
      <c r="G394" s="10" t="s">
        <v>4393</v>
      </c>
      <c r="H394" s="41">
        <v>44471.64583333333</v>
      </c>
      <c r="I394" s="41">
        <v>44471.6875</v>
      </c>
      <c r="J394" s="10" t="s">
        <v>128</v>
      </c>
      <c r="K394" s="10" t="s">
        <v>34</v>
      </c>
      <c r="N394" s="10" t="s">
        <v>35</v>
      </c>
      <c r="V394" s="14" t="s">
        <v>4394</v>
      </c>
      <c r="W394" s="15"/>
      <c r="X394" s="10" t="s">
        <v>37</v>
      </c>
      <c r="Y394" s="10" t="s">
        <v>0</v>
      </c>
    </row>
    <row r="395">
      <c r="A395" s="10" t="s">
        <v>4871</v>
      </c>
      <c r="B395" s="11">
        <v>44452.47559119213</v>
      </c>
      <c r="C395" s="10" t="s">
        <v>186</v>
      </c>
      <c r="D395" s="10" t="s">
        <v>187</v>
      </c>
      <c r="E395" s="10" t="s">
        <v>188</v>
      </c>
      <c r="F395" s="10" t="s">
        <v>4872</v>
      </c>
      <c r="G395" s="10" t="s">
        <v>4676</v>
      </c>
      <c r="H395" s="41">
        <v>44471.83333333333</v>
      </c>
      <c r="I395" s="41">
        <v>44472.33333333333</v>
      </c>
      <c r="J395" s="10" t="s">
        <v>128</v>
      </c>
      <c r="K395" s="10" t="s">
        <v>34</v>
      </c>
      <c r="N395" s="10" t="s">
        <v>35</v>
      </c>
      <c r="V395" s="14" t="s">
        <v>4677</v>
      </c>
      <c r="W395" s="15"/>
      <c r="X395" s="10" t="s">
        <v>37</v>
      </c>
      <c r="Y395" s="10" t="s">
        <v>0</v>
      </c>
    </row>
    <row r="396">
      <c r="A396" s="10" t="s">
        <v>4873</v>
      </c>
      <c r="B396" s="11">
        <v>44464.38285350695</v>
      </c>
      <c r="C396" s="10" t="s">
        <v>150</v>
      </c>
      <c r="D396" s="10" t="s">
        <v>151</v>
      </c>
      <c r="E396" s="10" t="s">
        <v>4257</v>
      </c>
      <c r="F396" s="10" t="s">
        <v>4613</v>
      </c>
      <c r="G396" s="10" t="s">
        <v>4874</v>
      </c>
      <c r="H396" s="11">
        <v>44464.41666666667</v>
      </c>
      <c r="I396" s="11">
        <v>44464.5</v>
      </c>
      <c r="J396" s="10" t="s">
        <v>128</v>
      </c>
      <c r="K396" s="10" t="s">
        <v>34</v>
      </c>
      <c r="N396" s="10" t="s">
        <v>35</v>
      </c>
      <c r="V396" s="35" t="s">
        <v>3775</v>
      </c>
      <c r="W396" s="15"/>
    </row>
    <row r="397">
      <c r="A397" s="10" t="s">
        <v>4875</v>
      </c>
      <c r="B397" s="11">
        <v>44463.56984244213</v>
      </c>
      <c r="C397" s="10" t="s">
        <v>181</v>
      </c>
      <c r="D397" s="10" t="s">
        <v>69</v>
      </c>
      <c r="E397" s="10" t="s">
        <v>1284</v>
      </c>
      <c r="F397" s="10" t="s">
        <v>4876</v>
      </c>
      <c r="G397" s="10" t="s">
        <v>4877</v>
      </c>
      <c r="H397" s="41">
        <v>44470.60416666667</v>
      </c>
      <c r="I397" s="41">
        <v>44470.6875</v>
      </c>
      <c r="J397" s="10" t="s">
        <v>43</v>
      </c>
      <c r="K397" s="10" t="s">
        <v>61</v>
      </c>
      <c r="L397" s="10" t="s">
        <v>1334</v>
      </c>
      <c r="N397" s="10" t="s">
        <v>35</v>
      </c>
      <c r="V397" s="9"/>
      <c r="W397" s="13"/>
      <c r="X397" s="10" t="s">
        <v>3302</v>
      </c>
      <c r="Y397" s="10" t="s">
        <v>0</v>
      </c>
    </row>
    <row r="398">
      <c r="A398" s="10" t="s">
        <v>4878</v>
      </c>
      <c r="B398" s="11">
        <v>44465.71120092593</v>
      </c>
      <c r="C398" s="10" t="s">
        <v>239</v>
      </c>
      <c r="D398" s="10" t="s">
        <v>240</v>
      </c>
      <c r="E398" s="10" t="s">
        <v>4548</v>
      </c>
      <c r="F398" s="10" t="s">
        <v>4879</v>
      </c>
      <c r="G398" s="10" t="s">
        <v>4880</v>
      </c>
      <c r="H398" s="11">
        <v>44465.60416666667</v>
      </c>
      <c r="I398" s="11">
        <v>44465.66666666667</v>
      </c>
      <c r="J398" s="10" t="s">
        <v>33</v>
      </c>
      <c r="K398" s="10" t="s">
        <v>34</v>
      </c>
      <c r="N398" s="10" t="s">
        <v>35</v>
      </c>
      <c r="V398" s="14" t="s">
        <v>4881</v>
      </c>
      <c r="W398" s="15"/>
      <c r="X398" s="10" t="s">
        <v>37</v>
      </c>
      <c r="Y398" s="10" t="s">
        <v>0</v>
      </c>
    </row>
    <row r="399">
      <c r="A399" s="10" t="s">
        <v>4882</v>
      </c>
      <c r="B399" s="11">
        <v>44468.62474508102</v>
      </c>
      <c r="C399" s="10" t="s">
        <v>610</v>
      </c>
      <c r="D399" s="10" t="s">
        <v>611</v>
      </c>
      <c r="E399" s="10" t="s">
        <v>3448</v>
      </c>
      <c r="F399" s="10" t="s">
        <v>4883</v>
      </c>
      <c r="G399" s="10" t="s">
        <v>4884</v>
      </c>
      <c r="H399" s="42">
        <v>44473.4375</v>
      </c>
      <c r="I399" s="11">
        <v>44473.52083333333</v>
      </c>
      <c r="J399" s="10" t="s">
        <v>128</v>
      </c>
      <c r="K399" s="10" t="s">
        <v>34</v>
      </c>
      <c r="N399" s="10" t="s">
        <v>35</v>
      </c>
      <c r="V399" s="14" t="s">
        <v>44</v>
      </c>
      <c r="W399" s="15"/>
      <c r="X399" s="10" t="s">
        <v>37</v>
      </c>
      <c r="Y399" s="10" t="s">
        <v>0</v>
      </c>
    </row>
    <row r="400">
      <c r="A400" s="10" t="s">
        <v>4885</v>
      </c>
      <c r="B400" s="11">
        <v>44467.391186354165</v>
      </c>
      <c r="C400" s="10" t="s">
        <v>539</v>
      </c>
      <c r="D400" s="10" t="s">
        <v>540</v>
      </c>
      <c r="E400" s="10" t="s">
        <v>4886</v>
      </c>
      <c r="F400" s="10" t="s">
        <v>2553</v>
      </c>
      <c r="G400" s="10" t="s">
        <v>4887</v>
      </c>
      <c r="H400" s="11">
        <v>44468.72916666667</v>
      </c>
      <c r="I400" s="11">
        <v>44468.77083333333</v>
      </c>
      <c r="J400" s="10" t="s">
        <v>128</v>
      </c>
      <c r="K400" s="10" t="s">
        <v>34</v>
      </c>
      <c r="N400" s="10" t="s">
        <v>35</v>
      </c>
      <c r="V400" s="14" t="s">
        <v>4888</v>
      </c>
      <c r="W400" s="15"/>
      <c r="X400" s="10" t="s">
        <v>37</v>
      </c>
      <c r="Y400" s="10" t="s">
        <v>0</v>
      </c>
    </row>
    <row r="401">
      <c r="A401" s="10" t="s">
        <v>4889</v>
      </c>
      <c r="B401" s="11">
        <v>44467.44320846065</v>
      </c>
      <c r="C401" s="10" t="s">
        <v>160</v>
      </c>
      <c r="D401" s="10" t="s">
        <v>161</v>
      </c>
      <c r="E401" s="10" t="s">
        <v>3953</v>
      </c>
      <c r="F401" s="10" t="s">
        <v>4890</v>
      </c>
      <c r="G401" s="10" t="s">
        <v>4891</v>
      </c>
      <c r="H401" s="11">
        <v>44467.66666666667</v>
      </c>
      <c r="I401" s="11">
        <v>44467.67708333333</v>
      </c>
      <c r="J401" s="10" t="s">
        <v>73</v>
      </c>
      <c r="K401" s="10" t="s">
        <v>34</v>
      </c>
      <c r="N401" s="10" t="s">
        <v>35</v>
      </c>
      <c r="V401" s="14" t="s">
        <v>4739</v>
      </c>
      <c r="W401" s="15"/>
      <c r="X401" s="10" t="s">
        <v>37</v>
      </c>
      <c r="Y401" s="10" t="s">
        <v>0</v>
      </c>
    </row>
    <row r="402">
      <c r="A402" s="10" t="s">
        <v>4892</v>
      </c>
      <c r="B402" s="11">
        <v>44467.51249591435</v>
      </c>
      <c r="C402" s="10" t="s">
        <v>160</v>
      </c>
      <c r="D402" s="10" t="s">
        <v>161</v>
      </c>
      <c r="E402" s="10" t="s">
        <v>3953</v>
      </c>
      <c r="F402" s="10" t="s">
        <v>4893</v>
      </c>
      <c r="G402" s="10" t="s">
        <v>4894</v>
      </c>
      <c r="H402" s="11">
        <v>44467.6875</v>
      </c>
      <c r="I402" s="11">
        <v>44470.6875</v>
      </c>
      <c r="J402" s="10" t="s">
        <v>51</v>
      </c>
      <c r="K402" s="10" t="s">
        <v>34</v>
      </c>
      <c r="N402" s="10" t="s">
        <v>35</v>
      </c>
      <c r="V402" s="14" t="s">
        <v>4739</v>
      </c>
      <c r="W402" s="15"/>
      <c r="X402" s="10" t="s">
        <v>37</v>
      </c>
      <c r="Y402" s="10" t="s">
        <v>0</v>
      </c>
    </row>
    <row r="403">
      <c r="A403" s="10" t="s">
        <v>4895</v>
      </c>
      <c r="B403" s="11">
        <v>44467.59406974537</v>
      </c>
      <c r="C403" s="10" t="s">
        <v>694</v>
      </c>
      <c r="D403" s="10" t="s">
        <v>695</v>
      </c>
      <c r="E403" s="10" t="s">
        <v>4316</v>
      </c>
      <c r="F403" s="10" t="s">
        <v>4896</v>
      </c>
      <c r="G403" s="10" t="s">
        <v>4897</v>
      </c>
      <c r="H403" s="11">
        <v>44470.6875</v>
      </c>
      <c r="I403" s="11">
        <v>44470.72916666667</v>
      </c>
      <c r="J403" s="10" t="s">
        <v>43</v>
      </c>
      <c r="K403" s="10" t="s">
        <v>34</v>
      </c>
      <c r="N403" s="10" t="s">
        <v>296</v>
      </c>
      <c r="O403" s="18" t="s">
        <v>4898</v>
      </c>
      <c r="P403" s="10" t="s">
        <v>296</v>
      </c>
      <c r="Q403" s="10">
        <v>1.0</v>
      </c>
      <c r="R403" s="10" t="s">
        <v>35</v>
      </c>
      <c r="T403" s="10" t="s">
        <v>35</v>
      </c>
      <c r="V403" s="14" t="s">
        <v>4899</v>
      </c>
      <c r="W403" s="15"/>
      <c r="X403" s="10" t="s">
        <v>37</v>
      </c>
      <c r="Y403" s="10" t="s">
        <v>0</v>
      </c>
    </row>
    <row r="404">
      <c r="A404" s="10" t="s">
        <v>4900</v>
      </c>
      <c r="B404" s="11">
        <v>44469.65395202546</v>
      </c>
      <c r="C404" s="10" t="s">
        <v>28</v>
      </c>
      <c r="D404" s="10" t="s">
        <v>29</v>
      </c>
      <c r="E404" s="10" t="s">
        <v>39</v>
      </c>
      <c r="F404" s="10" t="s">
        <v>4901</v>
      </c>
      <c r="G404" s="10" t="s">
        <v>4902</v>
      </c>
      <c r="H404" s="42">
        <v>44473.35416666667</v>
      </c>
      <c r="I404" s="11">
        <v>44473.39583333333</v>
      </c>
      <c r="J404" s="10" t="s">
        <v>43</v>
      </c>
      <c r="K404" s="10" t="s">
        <v>34</v>
      </c>
      <c r="N404" s="10" t="s">
        <v>35</v>
      </c>
      <c r="V404" s="14" t="s">
        <v>44</v>
      </c>
      <c r="W404" s="15"/>
      <c r="X404" s="10" t="s">
        <v>37</v>
      </c>
      <c r="Y404" s="10" t="s">
        <v>0</v>
      </c>
    </row>
    <row r="405">
      <c r="A405" s="10" t="s">
        <v>4903</v>
      </c>
      <c r="B405" s="11">
        <v>44469.65610342592</v>
      </c>
      <c r="C405" s="10" t="s">
        <v>28</v>
      </c>
      <c r="D405" s="10" t="s">
        <v>29</v>
      </c>
      <c r="E405" s="10" t="s">
        <v>39</v>
      </c>
      <c r="F405" s="10" t="s">
        <v>4904</v>
      </c>
      <c r="G405" s="10" t="s">
        <v>4905</v>
      </c>
      <c r="H405" s="42">
        <v>44473.39583333333</v>
      </c>
      <c r="I405" s="11">
        <v>44473.4375</v>
      </c>
      <c r="J405" s="10" t="s">
        <v>43</v>
      </c>
      <c r="K405" s="10" t="s">
        <v>34</v>
      </c>
      <c r="N405" s="10" t="s">
        <v>35</v>
      </c>
      <c r="V405" s="14" t="s">
        <v>44</v>
      </c>
      <c r="W405" s="15"/>
      <c r="X405" s="10" t="s">
        <v>37</v>
      </c>
      <c r="Y405" s="10" t="s">
        <v>0</v>
      </c>
    </row>
    <row r="406">
      <c r="A406" s="10" t="s">
        <v>4906</v>
      </c>
      <c r="B406" s="11">
        <v>44468.464385740735</v>
      </c>
      <c r="C406" s="10" t="s">
        <v>336</v>
      </c>
      <c r="D406" s="10" t="s">
        <v>337</v>
      </c>
      <c r="E406" s="10" t="s">
        <v>4907</v>
      </c>
      <c r="F406" s="10" t="s">
        <v>4908</v>
      </c>
      <c r="G406" s="10" t="s">
        <v>4909</v>
      </c>
      <c r="H406" s="11">
        <v>44470.77083333333</v>
      </c>
      <c r="I406" s="11">
        <v>44470.8125</v>
      </c>
      <c r="J406" s="10" t="s">
        <v>73</v>
      </c>
      <c r="K406" s="10" t="s">
        <v>34</v>
      </c>
      <c r="N406" s="10" t="s">
        <v>35</v>
      </c>
      <c r="V406" s="14" t="s">
        <v>4910</v>
      </c>
      <c r="W406" s="15"/>
      <c r="X406" s="10" t="s">
        <v>37</v>
      </c>
      <c r="Y406" s="10" t="s">
        <v>0</v>
      </c>
    </row>
    <row r="407">
      <c r="A407" s="10" t="s">
        <v>4911</v>
      </c>
      <c r="B407" s="11">
        <v>44470.608560127315</v>
      </c>
      <c r="C407" s="10" t="s">
        <v>181</v>
      </c>
      <c r="D407" s="10" t="s">
        <v>69</v>
      </c>
      <c r="E407" s="10" t="s">
        <v>3733</v>
      </c>
      <c r="F407" s="10" t="s">
        <v>4049</v>
      </c>
      <c r="G407" s="10" t="s">
        <v>4912</v>
      </c>
      <c r="H407" s="42">
        <v>44473.47916666667</v>
      </c>
      <c r="I407" s="11">
        <v>44473.52083333333</v>
      </c>
      <c r="J407" s="10" t="s">
        <v>128</v>
      </c>
      <c r="K407" s="10" t="s">
        <v>34</v>
      </c>
      <c r="N407" s="10" t="s">
        <v>35</v>
      </c>
      <c r="V407" s="14" t="s">
        <v>3474</v>
      </c>
      <c r="W407" s="15"/>
      <c r="X407" s="10" t="s">
        <v>37</v>
      </c>
      <c r="Y407" s="10" t="s">
        <v>0</v>
      </c>
    </row>
    <row r="408">
      <c r="A408" s="10" t="s">
        <v>4913</v>
      </c>
      <c r="B408" s="11">
        <v>44470.60946344907</v>
      </c>
      <c r="C408" s="10" t="s">
        <v>181</v>
      </c>
      <c r="D408" s="10" t="s">
        <v>69</v>
      </c>
      <c r="E408" s="10" t="s">
        <v>1284</v>
      </c>
      <c r="F408" s="10" t="s">
        <v>4914</v>
      </c>
      <c r="G408" s="10" t="s">
        <v>4915</v>
      </c>
      <c r="H408" s="42">
        <v>44473.54166666667</v>
      </c>
      <c r="I408" s="11">
        <v>44473.58333333333</v>
      </c>
      <c r="J408" s="10" t="s">
        <v>128</v>
      </c>
      <c r="K408" s="10" t="s">
        <v>34</v>
      </c>
      <c r="N408" s="10" t="s">
        <v>35</v>
      </c>
      <c r="V408" s="14" t="s">
        <v>4026</v>
      </c>
      <c r="W408" s="15"/>
      <c r="X408" s="10" t="s">
        <v>37</v>
      </c>
      <c r="Y408" s="10" t="s">
        <v>0</v>
      </c>
    </row>
    <row r="409">
      <c r="A409" s="10" t="s">
        <v>4916</v>
      </c>
      <c r="B409" s="11">
        <v>44468.626683888884</v>
      </c>
      <c r="C409" s="10" t="s">
        <v>610</v>
      </c>
      <c r="D409" s="10" t="s">
        <v>611</v>
      </c>
      <c r="E409" s="10" t="s">
        <v>3448</v>
      </c>
      <c r="F409" s="10" t="s">
        <v>4917</v>
      </c>
      <c r="G409" s="10" t="s">
        <v>4884</v>
      </c>
      <c r="H409" s="42">
        <v>44473.60416666667</v>
      </c>
      <c r="I409" s="11">
        <v>44473.64583333333</v>
      </c>
      <c r="J409" s="10" t="s">
        <v>128</v>
      </c>
      <c r="K409" s="10" t="s">
        <v>34</v>
      </c>
      <c r="N409" s="10" t="s">
        <v>35</v>
      </c>
      <c r="V409" s="14" t="s">
        <v>44</v>
      </c>
      <c r="W409" s="15"/>
      <c r="X409" s="10" t="s">
        <v>37</v>
      </c>
      <c r="Y409" s="10" t="s">
        <v>0</v>
      </c>
    </row>
    <row r="410">
      <c r="A410" s="10" t="s">
        <v>4918</v>
      </c>
      <c r="B410" s="11">
        <v>44470.97931587963</v>
      </c>
      <c r="C410" s="10" t="s">
        <v>347</v>
      </c>
      <c r="D410" s="10" t="s">
        <v>348</v>
      </c>
      <c r="E410" s="10" t="s">
        <v>4919</v>
      </c>
      <c r="F410" s="10" t="s">
        <v>4920</v>
      </c>
      <c r="G410" s="10" t="s">
        <v>4921</v>
      </c>
      <c r="H410" s="42">
        <v>44473.39583333333</v>
      </c>
      <c r="I410" s="11">
        <v>44473.47916666667</v>
      </c>
      <c r="J410" s="10" t="s">
        <v>43</v>
      </c>
      <c r="K410" s="10" t="s">
        <v>34</v>
      </c>
      <c r="N410" s="10" t="s">
        <v>296</v>
      </c>
      <c r="O410" s="18" t="s">
        <v>4922</v>
      </c>
      <c r="P410" s="10" t="s">
        <v>35</v>
      </c>
      <c r="R410" s="10" t="s">
        <v>296</v>
      </c>
      <c r="S410" s="10">
        <v>1.0</v>
      </c>
      <c r="T410" s="10" t="s">
        <v>35</v>
      </c>
      <c r="V410" s="14" t="s">
        <v>4923</v>
      </c>
      <c r="W410" s="15"/>
      <c r="X410" s="10" t="s">
        <v>37</v>
      </c>
      <c r="Y410" s="10" t="s">
        <v>0</v>
      </c>
    </row>
    <row r="411">
      <c r="A411" s="10" t="s">
        <v>4924</v>
      </c>
      <c r="B411" s="11">
        <v>44470.61271777778</v>
      </c>
      <c r="C411" s="10" t="s">
        <v>181</v>
      </c>
      <c r="D411" s="10" t="s">
        <v>69</v>
      </c>
      <c r="E411" s="10" t="s">
        <v>4333</v>
      </c>
      <c r="F411" s="10" t="s">
        <v>4925</v>
      </c>
      <c r="G411" s="10" t="s">
        <v>4926</v>
      </c>
      <c r="H411" s="42">
        <v>44473.60416666667</v>
      </c>
      <c r="I411" s="11">
        <v>44473.6875</v>
      </c>
      <c r="J411" s="10" t="s">
        <v>128</v>
      </c>
      <c r="K411" s="10" t="s">
        <v>34</v>
      </c>
      <c r="N411" s="10" t="s">
        <v>35</v>
      </c>
      <c r="V411" s="14" t="s">
        <v>3490</v>
      </c>
      <c r="W411" s="15"/>
      <c r="X411" s="10" t="s">
        <v>37</v>
      </c>
      <c r="Y411" s="10" t="s">
        <v>0</v>
      </c>
    </row>
    <row r="412">
      <c r="A412" s="10" t="s">
        <v>4927</v>
      </c>
      <c r="B412" s="11">
        <v>44468.628545196756</v>
      </c>
      <c r="C412" s="10" t="s">
        <v>610</v>
      </c>
      <c r="D412" s="10" t="s">
        <v>611</v>
      </c>
      <c r="E412" s="10" t="s">
        <v>3448</v>
      </c>
      <c r="F412" s="10" t="s">
        <v>4928</v>
      </c>
      <c r="G412" s="10" t="s">
        <v>4884</v>
      </c>
      <c r="H412" s="42">
        <v>44473.64583333333</v>
      </c>
      <c r="I412" s="11">
        <v>44473.72916666667</v>
      </c>
      <c r="J412" s="10" t="s">
        <v>128</v>
      </c>
      <c r="K412" s="10" t="s">
        <v>34</v>
      </c>
      <c r="N412" s="10" t="s">
        <v>35</v>
      </c>
      <c r="V412" s="14" t="s">
        <v>44</v>
      </c>
      <c r="W412" s="15"/>
      <c r="X412" s="10" t="s">
        <v>37</v>
      </c>
      <c r="Y412" s="10" t="s">
        <v>0</v>
      </c>
    </row>
    <row r="413">
      <c r="A413" s="10" t="s">
        <v>4929</v>
      </c>
      <c r="B413" s="11">
        <v>44469.65732517361</v>
      </c>
      <c r="C413" s="10" t="s">
        <v>28</v>
      </c>
      <c r="D413" s="10" t="s">
        <v>29</v>
      </c>
      <c r="E413" s="10" t="s">
        <v>4930</v>
      </c>
      <c r="F413" s="10" t="s">
        <v>4931</v>
      </c>
      <c r="G413" s="10" t="s">
        <v>4932</v>
      </c>
      <c r="H413" s="42">
        <v>44473.4375</v>
      </c>
      <c r="I413" s="11">
        <v>44473.52083333333</v>
      </c>
      <c r="J413" s="10" t="s">
        <v>43</v>
      </c>
      <c r="K413" s="10" t="s">
        <v>34</v>
      </c>
      <c r="N413" s="10" t="s">
        <v>35</v>
      </c>
      <c r="V413" s="14" t="s">
        <v>44</v>
      </c>
      <c r="W413" s="15"/>
      <c r="X413" s="10" t="s">
        <v>37</v>
      </c>
      <c r="Y413" s="10" t="s">
        <v>0</v>
      </c>
    </row>
    <row r="414">
      <c r="A414" s="10" t="s">
        <v>4933</v>
      </c>
      <c r="B414" s="11">
        <v>44470.61021508102</v>
      </c>
      <c r="C414" s="10" t="s">
        <v>181</v>
      </c>
      <c r="D414" s="10" t="s">
        <v>69</v>
      </c>
      <c r="E414" s="10" t="s">
        <v>3864</v>
      </c>
      <c r="F414" s="10" t="s">
        <v>4386</v>
      </c>
      <c r="G414" s="10" t="s">
        <v>4843</v>
      </c>
      <c r="H414" s="42">
        <v>44473.72916666667</v>
      </c>
      <c r="I414" s="11">
        <v>44473.77083333333</v>
      </c>
      <c r="J414" s="10" t="s">
        <v>128</v>
      </c>
      <c r="K414" s="10" t="s">
        <v>34</v>
      </c>
      <c r="N414" s="10" t="s">
        <v>35</v>
      </c>
      <c r="V414" s="35" t="s">
        <v>4934</v>
      </c>
      <c r="W414" s="15"/>
      <c r="X414" s="10" t="s">
        <v>37</v>
      </c>
      <c r="Y414" s="10" t="s">
        <v>0</v>
      </c>
    </row>
    <row r="415">
      <c r="A415" s="10" t="s">
        <v>4935</v>
      </c>
      <c r="B415" s="11">
        <v>44469.70733655093</v>
      </c>
      <c r="C415" s="10" t="s">
        <v>671</v>
      </c>
      <c r="D415" s="10" t="s">
        <v>672</v>
      </c>
      <c r="E415" s="10" t="s">
        <v>4936</v>
      </c>
      <c r="F415" s="10" t="s">
        <v>4937</v>
      </c>
      <c r="G415" s="10" t="s">
        <v>4938</v>
      </c>
      <c r="H415" s="42">
        <v>44473.9375</v>
      </c>
      <c r="I415" s="11">
        <v>44473.97916666667</v>
      </c>
      <c r="J415" s="10" t="s">
        <v>128</v>
      </c>
      <c r="K415" s="10" t="s">
        <v>34</v>
      </c>
      <c r="N415" s="10" t="s">
        <v>35</v>
      </c>
      <c r="V415" s="14" t="s">
        <v>3906</v>
      </c>
      <c r="W415" s="15"/>
      <c r="X415" s="10" t="s">
        <v>37</v>
      </c>
      <c r="Y415" s="10" t="s">
        <v>0</v>
      </c>
    </row>
    <row r="416">
      <c r="A416" s="10" t="s">
        <v>4939</v>
      </c>
      <c r="B416" s="11">
        <v>44468.63330203704</v>
      </c>
      <c r="C416" s="10" t="s">
        <v>610</v>
      </c>
      <c r="D416" s="10" t="s">
        <v>611</v>
      </c>
      <c r="E416" s="10" t="s">
        <v>3448</v>
      </c>
      <c r="F416" s="10" t="s">
        <v>4940</v>
      </c>
      <c r="G416" s="10" t="s">
        <v>4884</v>
      </c>
      <c r="H416" s="42">
        <v>44474.35416666667</v>
      </c>
      <c r="I416" s="11">
        <v>44474.4375</v>
      </c>
      <c r="J416" s="10" t="s">
        <v>128</v>
      </c>
      <c r="K416" s="10" t="s">
        <v>34</v>
      </c>
      <c r="N416" s="10" t="s">
        <v>35</v>
      </c>
      <c r="V416" s="14" t="s">
        <v>44</v>
      </c>
      <c r="W416" s="15"/>
      <c r="X416" s="10" t="s">
        <v>37</v>
      </c>
      <c r="Y416" s="10" t="s">
        <v>0</v>
      </c>
    </row>
    <row r="417">
      <c r="A417" s="10" t="s">
        <v>4941</v>
      </c>
      <c r="B417" s="11">
        <v>44469.65826261574</v>
      </c>
      <c r="C417" s="10" t="s">
        <v>28</v>
      </c>
      <c r="D417" s="10" t="s">
        <v>29</v>
      </c>
      <c r="E417" s="10" t="s">
        <v>4930</v>
      </c>
      <c r="F417" s="10" t="s">
        <v>4942</v>
      </c>
      <c r="G417" s="10" t="s">
        <v>4932</v>
      </c>
      <c r="H417" s="42">
        <v>44473.60416666667</v>
      </c>
      <c r="I417" s="11">
        <v>44473.64583333333</v>
      </c>
      <c r="J417" s="10" t="s">
        <v>43</v>
      </c>
      <c r="K417" s="10" t="s">
        <v>34</v>
      </c>
      <c r="N417" s="10" t="s">
        <v>35</v>
      </c>
      <c r="V417" s="14" t="s">
        <v>44</v>
      </c>
      <c r="W417" s="15"/>
      <c r="X417" s="10" t="s">
        <v>37</v>
      </c>
      <c r="Y417" s="10" t="s">
        <v>0</v>
      </c>
    </row>
    <row r="418">
      <c r="A418" s="10" t="s">
        <v>4943</v>
      </c>
      <c r="B418" s="11">
        <v>44468.635811608794</v>
      </c>
      <c r="C418" s="10" t="s">
        <v>610</v>
      </c>
      <c r="D418" s="10" t="s">
        <v>611</v>
      </c>
      <c r="E418" s="10" t="s">
        <v>3448</v>
      </c>
      <c r="F418" s="10" t="s">
        <v>4944</v>
      </c>
      <c r="G418" s="10" t="s">
        <v>4884</v>
      </c>
      <c r="H418" s="42">
        <v>44474.4375</v>
      </c>
      <c r="I418" s="11">
        <v>44474.47916666667</v>
      </c>
      <c r="J418" s="10" t="s">
        <v>128</v>
      </c>
      <c r="K418" s="10" t="s">
        <v>34</v>
      </c>
      <c r="N418" s="10" t="s">
        <v>35</v>
      </c>
      <c r="V418" s="14" t="s">
        <v>44</v>
      </c>
      <c r="W418" s="15"/>
      <c r="X418" s="10" t="s">
        <v>37</v>
      </c>
      <c r="Y418" s="10" t="s">
        <v>0</v>
      </c>
    </row>
    <row r="419">
      <c r="A419" s="10" t="s">
        <v>4945</v>
      </c>
      <c r="B419" s="11">
        <v>44469.65932663194</v>
      </c>
      <c r="C419" s="10" t="s">
        <v>28</v>
      </c>
      <c r="D419" s="10" t="s">
        <v>29</v>
      </c>
      <c r="E419" s="10" t="s">
        <v>4930</v>
      </c>
      <c r="F419" s="10" t="s">
        <v>4946</v>
      </c>
      <c r="G419" s="10" t="s">
        <v>4932</v>
      </c>
      <c r="H419" s="42">
        <v>44473.64583333333</v>
      </c>
      <c r="I419" s="11">
        <v>44473.72916666667</v>
      </c>
      <c r="J419" s="10" t="s">
        <v>43</v>
      </c>
      <c r="K419" s="10" t="s">
        <v>34</v>
      </c>
      <c r="N419" s="10" t="s">
        <v>35</v>
      </c>
      <c r="V419" s="14" t="s">
        <v>44</v>
      </c>
      <c r="W419" s="15"/>
      <c r="X419" s="10" t="s">
        <v>37</v>
      </c>
      <c r="Y419" s="10" t="s">
        <v>0</v>
      </c>
    </row>
    <row r="420">
      <c r="A420" s="10" t="s">
        <v>4947</v>
      </c>
      <c r="B420" s="11">
        <v>44468.63793509259</v>
      </c>
      <c r="C420" s="10" t="s">
        <v>610</v>
      </c>
      <c r="D420" s="10" t="s">
        <v>611</v>
      </c>
      <c r="E420" s="10" t="s">
        <v>3448</v>
      </c>
      <c r="F420" s="10" t="s">
        <v>4948</v>
      </c>
      <c r="G420" s="10" t="s">
        <v>4884</v>
      </c>
      <c r="H420" s="42">
        <v>44474.60416666667</v>
      </c>
      <c r="I420" s="11">
        <v>44474.6875</v>
      </c>
      <c r="J420" s="10" t="s">
        <v>128</v>
      </c>
      <c r="K420" s="10" t="s">
        <v>34</v>
      </c>
      <c r="N420" s="10" t="s">
        <v>35</v>
      </c>
      <c r="V420" s="14" t="s">
        <v>44</v>
      </c>
      <c r="W420" s="15"/>
      <c r="X420" s="10" t="s">
        <v>37</v>
      </c>
      <c r="Y420" s="10" t="s">
        <v>0</v>
      </c>
    </row>
    <row r="421">
      <c r="A421" s="10" t="s">
        <v>4949</v>
      </c>
      <c r="B421" s="11">
        <v>44472.99816780092</v>
      </c>
      <c r="C421" s="10" t="s">
        <v>4217</v>
      </c>
      <c r="D421" s="10" t="s">
        <v>4211</v>
      </c>
      <c r="E421" s="10" t="s">
        <v>4950</v>
      </c>
      <c r="F421" s="10" t="s">
        <v>4800</v>
      </c>
      <c r="G421" s="10" t="s">
        <v>4951</v>
      </c>
      <c r="H421" s="11">
        <v>44473.72916666667</v>
      </c>
      <c r="I421" s="11">
        <v>44473.77083333333</v>
      </c>
      <c r="J421" s="10" t="s">
        <v>43</v>
      </c>
      <c r="K421" s="10" t="s">
        <v>34</v>
      </c>
      <c r="N421" s="10" t="s">
        <v>35</v>
      </c>
      <c r="V421" s="14" t="s">
        <v>4952</v>
      </c>
      <c r="W421" s="15"/>
      <c r="X421" s="10" t="s">
        <v>37</v>
      </c>
      <c r="Y421" s="10" t="s">
        <v>0</v>
      </c>
    </row>
    <row r="422">
      <c r="A422" s="10" t="s">
        <v>4953</v>
      </c>
      <c r="B422" s="11">
        <v>44468.64119672454</v>
      </c>
      <c r="C422" s="10" t="s">
        <v>610</v>
      </c>
      <c r="D422" s="10" t="s">
        <v>611</v>
      </c>
      <c r="E422" s="10" t="s">
        <v>3448</v>
      </c>
      <c r="F422" s="10" t="s">
        <v>4954</v>
      </c>
      <c r="G422" s="10" t="s">
        <v>4884</v>
      </c>
      <c r="H422" s="42">
        <v>44475.4375</v>
      </c>
      <c r="I422" s="11">
        <v>44475.52083333333</v>
      </c>
      <c r="J422" s="10" t="s">
        <v>128</v>
      </c>
      <c r="K422" s="10" t="s">
        <v>34</v>
      </c>
      <c r="N422" s="10" t="s">
        <v>35</v>
      </c>
      <c r="V422" s="14" t="s">
        <v>44</v>
      </c>
      <c r="W422" s="15"/>
      <c r="X422" s="10" t="s">
        <v>37</v>
      </c>
      <c r="Y422" s="10" t="s">
        <v>0</v>
      </c>
    </row>
    <row r="423">
      <c r="A423" s="10" t="s">
        <v>4955</v>
      </c>
      <c r="B423" s="11">
        <v>44469.661017349536</v>
      </c>
      <c r="C423" s="10" t="s">
        <v>28</v>
      </c>
      <c r="D423" s="10" t="s">
        <v>29</v>
      </c>
      <c r="E423" s="10" t="s">
        <v>4930</v>
      </c>
      <c r="F423" s="10" t="s">
        <v>4956</v>
      </c>
      <c r="G423" s="10" t="s">
        <v>4932</v>
      </c>
      <c r="H423" s="42">
        <v>44474.35416666667</v>
      </c>
      <c r="I423" s="11">
        <v>44474.4375</v>
      </c>
      <c r="J423" s="10" t="s">
        <v>43</v>
      </c>
      <c r="K423" s="10" t="s">
        <v>34</v>
      </c>
      <c r="N423" s="10" t="s">
        <v>35</v>
      </c>
      <c r="V423" s="14" t="s">
        <v>44</v>
      </c>
      <c r="W423" s="15"/>
      <c r="X423" s="10" t="s">
        <v>37</v>
      </c>
      <c r="Y423" s="10" t="s">
        <v>0</v>
      </c>
    </row>
    <row r="424">
      <c r="A424" s="10" t="s">
        <v>4957</v>
      </c>
      <c r="B424" s="11">
        <v>44469.66208908564</v>
      </c>
      <c r="C424" s="10" t="s">
        <v>28</v>
      </c>
      <c r="D424" s="10" t="s">
        <v>29</v>
      </c>
      <c r="E424" s="10" t="s">
        <v>4930</v>
      </c>
      <c r="F424" s="10" t="s">
        <v>4958</v>
      </c>
      <c r="G424" s="10" t="s">
        <v>4932</v>
      </c>
      <c r="H424" s="42">
        <v>44474.4375</v>
      </c>
      <c r="I424" s="11">
        <v>44474.47916666667</v>
      </c>
      <c r="J424" s="10" t="s">
        <v>43</v>
      </c>
      <c r="K424" s="10" t="s">
        <v>34</v>
      </c>
      <c r="N424" s="10" t="s">
        <v>35</v>
      </c>
      <c r="V424" s="14" t="s">
        <v>44</v>
      </c>
      <c r="W424" s="15"/>
      <c r="X424" s="10" t="s">
        <v>37</v>
      </c>
      <c r="Y424" s="10" t="s">
        <v>0</v>
      </c>
    </row>
    <row r="425">
      <c r="A425" s="10" t="s">
        <v>4959</v>
      </c>
      <c r="B425" s="11">
        <v>44469.66304526621</v>
      </c>
      <c r="C425" s="10" t="s">
        <v>28</v>
      </c>
      <c r="D425" s="10" t="s">
        <v>29</v>
      </c>
      <c r="E425" s="10" t="s">
        <v>4930</v>
      </c>
      <c r="F425" s="10" t="s">
        <v>4960</v>
      </c>
      <c r="G425" s="10" t="s">
        <v>4932</v>
      </c>
      <c r="H425" s="42">
        <v>44474.60416666667</v>
      </c>
      <c r="I425" s="11">
        <v>44474.6875</v>
      </c>
      <c r="J425" s="10" t="s">
        <v>43</v>
      </c>
      <c r="K425" s="10" t="s">
        <v>34</v>
      </c>
      <c r="N425" s="10" t="s">
        <v>35</v>
      </c>
      <c r="V425" s="14" t="s">
        <v>44</v>
      </c>
      <c r="W425" s="15"/>
      <c r="X425" s="10" t="s">
        <v>37</v>
      </c>
      <c r="Y425" s="10" t="s">
        <v>0</v>
      </c>
    </row>
    <row r="426">
      <c r="A426" s="10" t="s">
        <v>4961</v>
      </c>
      <c r="B426" s="11">
        <v>44468.644946053246</v>
      </c>
      <c r="C426" s="10" t="s">
        <v>610</v>
      </c>
      <c r="D426" s="10" t="s">
        <v>611</v>
      </c>
      <c r="E426" s="10" t="s">
        <v>3448</v>
      </c>
      <c r="F426" s="10" t="s">
        <v>4962</v>
      </c>
      <c r="G426" s="10" t="s">
        <v>4884</v>
      </c>
      <c r="H426" s="42">
        <v>44475.60416666667</v>
      </c>
      <c r="I426" s="11">
        <v>44475.6875</v>
      </c>
      <c r="J426" s="10" t="s">
        <v>128</v>
      </c>
      <c r="K426" s="10" t="s">
        <v>34</v>
      </c>
      <c r="N426" s="10" t="s">
        <v>35</v>
      </c>
      <c r="V426" s="14" t="s">
        <v>44</v>
      </c>
      <c r="W426" s="15"/>
      <c r="X426" s="10" t="s">
        <v>37</v>
      </c>
      <c r="Y426" s="10" t="s">
        <v>0</v>
      </c>
    </row>
    <row r="427">
      <c r="A427" s="10" t="s">
        <v>4963</v>
      </c>
      <c r="B427" s="11">
        <v>44469.663960659724</v>
      </c>
      <c r="C427" s="10" t="s">
        <v>28</v>
      </c>
      <c r="D427" s="10" t="s">
        <v>29</v>
      </c>
      <c r="E427" s="10" t="s">
        <v>4930</v>
      </c>
      <c r="F427" s="10" t="s">
        <v>4964</v>
      </c>
      <c r="G427" s="10" t="s">
        <v>4932</v>
      </c>
      <c r="H427" s="42">
        <v>44475.4375</v>
      </c>
      <c r="I427" s="11">
        <v>44475.52083333333</v>
      </c>
      <c r="J427" s="10" t="s">
        <v>43</v>
      </c>
      <c r="K427" s="10" t="s">
        <v>34</v>
      </c>
      <c r="N427" s="10" t="s">
        <v>35</v>
      </c>
      <c r="V427" s="14" t="s">
        <v>44</v>
      </c>
      <c r="W427" s="15"/>
      <c r="X427" s="10" t="s">
        <v>37</v>
      </c>
      <c r="Y427" s="10" t="s">
        <v>0</v>
      </c>
    </row>
    <row r="428">
      <c r="A428" s="10" t="s">
        <v>4965</v>
      </c>
      <c r="B428" s="11">
        <v>44468.65694998842</v>
      </c>
      <c r="C428" s="10" t="s">
        <v>610</v>
      </c>
      <c r="D428" s="10" t="s">
        <v>611</v>
      </c>
      <c r="E428" s="10" t="s">
        <v>3448</v>
      </c>
      <c r="F428" s="10" t="s">
        <v>4966</v>
      </c>
      <c r="G428" s="10" t="s">
        <v>4884</v>
      </c>
      <c r="H428" s="42">
        <v>44476.35416666667</v>
      </c>
      <c r="I428" s="11">
        <v>44476.4375</v>
      </c>
      <c r="J428" s="10" t="s">
        <v>128</v>
      </c>
      <c r="K428" s="10" t="s">
        <v>34</v>
      </c>
      <c r="N428" s="10" t="s">
        <v>35</v>
      </c>
      <c r="V428" s="14" t="s">
        <v>44</v>
      </c>
      <c r="W428" s="15"/>
      <c r="X428" s="10" t="s">
        <v>37</v>
      </c>
      <c r="Y428" s="10" t="s">
        <v>0</v>
      </c>
    </row>
    <row r="429">
      <c r="A429" s="10" t="s">
        <v>4967</v>
      </c>
      <c r="B429" s="11">
        <v>44469.664898483796</v>
      </c>
      <c r="C429" s="10" t="s">
        <v>28</v>
      </c>
      <c r="D429" s="10" t="s">
        <v>29</v>
      </c>
      <c r="E429" s="10" t="s">
        <v>4930</v>
      </c>
      <c r="F429" s="10" t="s">
        <v>4968</v>
      </c>
      <c r="G429" s="10" t="s">
        <v>4932</v>
      </c>
      <c r="H429" s="42">
        <v>44475.60416666667</v>
      </c>
      <c r="I429" s="11">
        <v>44475.6875</v>
      </c>
      <c r="J429" s="10" t="s">
        <v>43</v>
      </c>
      <c r="K429" s="10" t="s">
        <v>34</v>
      </c>
      <c r="N429" s="10" t="s">
        <v>35</v>
      </c>
      <c r="V429" s="14" t="s">
        <v>44</v>
      </c>
      <c r="W429" s="15"/>
      <c r="X429" s="10" t="s">
        <v>37</v>
      </c>
      <c r="Y429" s="10" t="s">
        <v>0</v>
      </c>
    </row>
    <row r="430">
      <c r="A430" s="10" t="s">
        <v>4969</v>
      </c>
      <c r="B430" s="11">
        <v>44468.660726180555</v>
      </c>
      <c r="C430" s="10" t="s">
        <v>610</v>
      </c>
      <c r="D430" s="10" t="s">
        <v>611</v>
      </c>
      <c r="E430" s="10" t="s">
        <v>3448</v>
      </c>
      <c r="F430" s="10" t="s">
        <v>4970</v>
      </c>
      <c r="G430" s="10" t="s">
        <v>4971</v>
      </c>
      <c r="H430" s="42">
        <v>44476.4375</v>
      </c>
      <c r="I430" s="11">
        <v>44476.47916666667</v>
      </c>
      <c r="J430" s="10" t="s">
        <v>128</v>
      </c>
      <c r="K430" s="10" t="s">
        <v>34</v>
      </c>
      <c r="N430" s="10" t="s">
        <v>35</v>
      </c>
      <c r="V430" s="14" t="s">
        <v>44</v>
      </c>
      <c r="W430" s="15"/>
      <c r="X430" s="10" t="s">
        <v>37</v>
      </c>
      <c r="Y430" s="10" t="s">
        <v>0</v>
      </c>
    </row>
    <row r="431">
      <c r="A431" s="10" t="s">
        <v>4972</v>
      </c>
      <c r="B431" s="11">
        <v>44469.66600146991</v>
      </c>
      <c r="C431" s="10" t="s">
        <v>28</v>
      </c>
      <c r="D431" s="10" t="s">
        <v>29</v>
      </c>
      <c r="E431" s="10" t="s">
        <v>4930</v>
      </c>
      <c r="F431" s="10" t="s">
        <v>4973</v>
      </c>
      <c r="G431" s="10" t="s">
        <v>4932</v>
      </c>
      <c r="H431" s="42">
        <v>44476.35416666667</v>
      </c>
      <c r="I431" s="11">
        <v>44476.4375</v>
      </c>
      <c r="J431" s="10" t="s">
        <v>43</v>
      </c>
      <c r="K431" s="10" t="s">
        <v>34</v>
      </c>
      <c r="N431" s="10" t="s">
        <v>35</v>
      </c>
      <c r="V431" s="14" t="s">
        <v>44</v>
      </c>
      <c r="W431" s="15"/>
      <c r="X431" s="10" t="s">
        <v>37</v>
      </c>
      <c r="Y431" s="10" t="s">
        <v>0</v>
      </c>
    </row>
    <row r="432">
      <c r="A432" s="10" t="s">
        <v>4974</v>
      </c>
      <c r="B432" s="11">
        <v>44468.6619903588</v>
      </c>
      <c r="C432" s="10" t="s">
        <v>610</v>
      </c>
      <c r="D432" s="10" t="s">
        <v>611</v>
      </c>
      <c r="E432" s="10" t="s">
        <v>3448</v>
      </c>
      <c r="F432" s="10" t="s">
        <v>4975</v>
      </c>
      <c r="G432" s="10" t="s">
        <v>4884</v>
      </c>
      <c r="H432" s="42">
        <v>44476.47916666667</v>
      </c>
      <c r="I432" s="11">
        <v>44476.52083333333</v>
      </c>
      <c r="J432" s="10" t="s">
        <v>128</v>
      </c>
      <c r="K432" s="10" t="s">
        <v>34</v>
      </c>
      <c r="N432" s="10" t="s">
        <v>35</v>
      </c>
      <c r="V432" s="14" t="s">
        <v>44</v>
      </c>
      <c r="W432" s="15"/>
      <c r="X432" s="10" t="s">
        <v>37</v>
      </c>
      <c r="Y432" s="10" t="s">
        <v>0</v>
      </c>
    </row>
    <row r="433">
      <c r="A433" s="10" t="s">
        <v>4976</v>
      </c>
      <c r="B433" s="11">
        <v>44469.666937222224</v>
      </c>
      <c r="C433" s="10" t="s">
        <v>28</v>
      </c>
      <c r="D433" s="10" t="s">
        <v>29</v>
      </c>
      <c r="E433" s="10" t="s">
        <v>4930</v>
      </c>
      <c r="F433" s="10" t="s">
        <v>4970</v>
      </c>
      <c r="G433" s="10" t="s">
        <v>4932</v>
      </c>
      <c r="H433" s="42">
        <v>44476.4375</v>
      </c>
      <c r="I433" s="11">
        <v>44476.47916666667</v>
      </c>
      <c r="J433" s="10" t="s">
        <v>43</v>
      </c>
      <c r="K433" s="10" t="s">
        <v>34</v>
      </c>
      <c r="N433" s="10" t="s">
        <v>35</v>
      </c>
      <c r="V433" s="14" t="s">
        <v>44</v>
      </c>
      <c r="W433" s="15"/>
      <c r="X433" s="10" t="s">
        <v>37</v>
      </c>
      <c r="Y433" s="10" t="s">
        <v>0</v>
      </c>
    </row>
    <row r="434">
      <c r="A434" s="10" t="s">
        <v>4977</v>
      </c>
      <c r="B434" s="11">
        <v>44468.663174421294</v>
      </c>
      <c r="C434" s="10" t="s">
        <v>610</v>
      </c>
      <c r="D434" s="10" t="s">
        <v>611</v>
      </c>
      <c r="E434" s="10" t="s">
        <v>3448</v>
      </c>
      <c r="F434" s="10" t="s">
        <v>4978</v>
      </c>
      <c r="G434" s="10" t="s">
        <v>4979</v>
      </c>
      <c r="H434" s="42">
        <v>44476.60416666667</v>
      </c>
      <c r="I434" s="11">
        <v>44476.6875</v>
      </c>
      <c r="J434" s="10" t="s">
        <v>128</v>
      </c>
      <c r="K434" s="10" t="s">
        <v>34</v>
      </c>
      <c r="N434" s="10" t="s">
        <v>35</v>
      </c>
      <c r="V434" s="14" t="s">
        <v>44</v>
      </c>
      <c r="W434" s="15"/>
      <c r="X434" s="10" t="s">
        <v>37</v>
      </c>
      <c r="Y434" s="10" t="s">
        <v>0</v>
      </c>
    </row>
    <row r="435">
      <c r="A435" s="10" t="s">
        <v>4980</v>
      </c>
      <c r="B435" s="11">
        <v>44469.66778753472</v>
      </c>
      <c r="C435" s="10" t="s">
        <v>28</v>
      </c>
      <c r="D435" s="10" t="s">
        <v>29</v>
      </c>
      <c r="E435" s="10" t="s">
        <v>4930</v>
      </c>
      <c r="F435" s="10" t="s">
        <v>4981</v>
      </c>
      <c r="G435" s="10" t="s">
        <v>4932</v>
      </c>
      <c r="H435" s="42">
        <v>44476.47916666667</v>
      </c>
      <c r="I435" s="11">
        <v>44476.52083333333</v>
      </c>
      <c r="J435" s="10" t="s">
        <v>43</v>
      </c>
      <c r="K435" s="10" t="s">
        <v>34</v>
      </c>
      <c r="N435" s="10" t="s">
        <v>35</v>
      </c>
      <c r="V435" s="14" t="s">
        <v>44</v>
      </c>
      <c r="W435" s="15"/>
      <c r="X435" s="10" t="s">
        <v>37</v>
      </c>
      <c r="Y435" s="10" t="s">
        <v>0</v>
      </c>
    </row>
    <row r="436">
      <c r="A436" s="10" t="s">
        <v>4982</v>
      </c>
      <c r="B436" s="11">
        <v>44469.66862335648</v>
      </c>
      <c r="C436" s="10" t="s">
        <v>28</v>
      </c>
      <c r="D436" s="10" t="s">
        <v>29</v>
      </c>
      <c r="E436" s="10" t="s">
        <v>4930</v>
      </c>
      <c r="F436" s="10" t="s">
        <v>4983</v>
      </c>
      <c r="G436" s="10" t="s">
        <v>4932</v>
      </c>
      <c r="H436" s="42">
        <v>44476.60416666667</v>
      </c>
      <c r="I436" s="11">
        <v>44476.6875</v>
      </c>
      <c r="J436" s="10" t="s">
        <v>43</v>
      </c>
      <c r="K436" s="10" t="s">
        <v>34</v>
      </c>
      <c r="N436" s="10" t="s">
        <v>35</v>
      </c>
      <c r="V436" s="43" t="s">
        <v>44</v>
      </c>
      <c r="W436" s="15"/>
      <c r="X436" s="10" t="s">
        <v>37</v>
      </c>
      <c r="Y436" s="10" t="s">
        <v>0</v>
      </c>
    </row>
    <row r="437">
      <c r="A437" s="10" t="s">
        <v>4984</v>
      </c>
      <c r="B437" s="11">
        <v>44470.61483399305</v>
      </c>
      <c r="C437" s="10" t="s">
        <v>610</v>
      </c>
      <c r="D437" s="10" t="s">
        <v>611</v>
      </c>
      <c r="E437" s="10" t="s">
        <v>3531</v>
      </c>
      <c r="F437" s="10" t="s">
        <v>4985</v>
      </c>
      <c r="G437" s="10" t="s">
        <v>4979</v>
      </c>
      <c r="H437" s="42">
        <v>44477.35416666667</v>
      </c>
      <c r="I437" s="11">
        <v>44477.4375</v>
      </c>
      <c r="J437" s="10" t="s">
        <v>128</v>
      </c>
      <c r="K437" s="10" t="s">
        <v>34</v>
      </c>
      <c r="N437" s="10" t="s">
        <v>35</v>
      </c>
      <c r="V437" s="14" t="s">
        <v>44</v>
      </c>
      <c r="W437" s="15"/>
      <c r="X437" s="10" t="s">
        <v>37</v>
      </c>
      <c r="Y437" s="10" t="s">
        <v>0</v>
      </c>
    </row>
    <row r="438">
      <c r="A438" s="10" t="s">
        <v>4986</v>
      </c>
      <c r="B438" s="11">
        <v>44469.66974744213</v>
      </c>
      <c r="C438" s="10" t="s">
        <v>28</v>
      </c>
      <c r="D438" s="10" t="s">
        <v>29</v>
      </c>
      <c r="E438" s="10" t="s">
        <v>4930</v>
      </c>
      <c r="F438" s="10" t="s">
        <v>4987</v>
      </c>
      <c r="G438" s="10" t="s">
        <v>4932</v>
      </c>
      <c r="H438" s="42">
        <v>44476.6875</v>
      </c>
      <c r="I438" s="11">
        <v>44476.77083333333</v>
      </c>
      <c r="J438" s="10" t="s">
        <v>43</v>
      </c>
      <c r="K438" s="10" t="s">
        <v>34</v>
      </c>
      <c r="N438" s="10" t="s">
        <v>35</v>
      </c>
      <c r="V438" s="14" t="s">
        <v>44</v>
      </c>
      <c r="W438" s="15"/>
      <c r="X438" s="10" t="s">
        <v>37</v>
      </c>
      <c r="Y438" s="10" t="s">
        <v>0</v>
      </c>
    </row>
    <row r="439">
      <c r="A439" s="10" t="s">
        <v>4988</v>
      </c>
      <c r="B439" s="11">
        <v>44468.66663565973</v>
      </c>
      <c r="C439" s="10" t="s">
        <v>610</v>
      </c>
      <c r="D439" s="10" t="s">
        <v>611</v>
      </c>
      <c r="E439" s="10" t="s">
        <v>3531</v>
      </c>
      <c r="F439" s="10" t="s">
        <v>4989</v>
      </c>
      <c r="G439" s="10" t="s">
        <v>4979</v>
      </c>
      <c r="H439" s="42">
        <v>44477.4375</v>
      </c>
      <c r="I439" s="11">
        <v>44477.52083333333</v>
      </c>
      <c r="J439" s="10" t="s">
        <v>128</v>
      </c>
      <c r="K439" s="10" t="s">
        <v>34</v>
      </c>
      <c r="N439" s="10" t="s">
        <v>35</v>
      </c>
      <c r="V439" s="14" t="s">
        <v>44</v>
      </c>
      <c r="W439" s="15"/>
      <c r="X439" s="10" t="s">
        <v>37</v>
      </c>
      <c r="Y439" s="10" t="s">
        <v>0</v>
      </c>
    </row>
    <row r="440">
      <c r="A440" s="10" t="s">
        <v>4990</v>
      </c>
      <c r="B440" s="11">
        <v>44470.62493769676</v>
      </c>
      <c r="C440" s="10" t="s">
        <v>28</v>
      </c>
      <c r="D440" s="10" t="s">
        <v>29</v>
      </c>
      <c r="E440" s="10" t="s">
        <v>4930</v>
      </c>
      <c r="F440" s="10" t="s">
        <v>4991</v>
      </c>
      <c r="G440" s="10" t="s">
        <v>4932</v>
      </c>
      <c r="H440" s="42">
        <v>44477.35416666667</v>
      </c>
      <c r="I440" s="11">
        <v>44477.4375</v>
      </c>
      <c r="J440" s="10" t="s">
        <v>43</v>
      </c>
      <c r="K440" s="10" t="s">
        <v>34</v>
      </c>
      <c r="N440" s="10" t="s">
        <v>35</v>
      </c>
      <c r="V440" s="14" t="s">
        <v>44</v>
      </c>
      <c r="W440" s="15"/>
      <c r="X440" s="10" t="s">
        <v>37</v>
      </c>
      <c r="Y440" s="10" t="s">
        <v>0</v>
      </c>
    </row>
    <row r="441">
      <c r="A441" s="10" t="s">
        <v>4992</v>
      </c>
      <c r="B441" s="11">
        <v>44469.67114892361</v>
      </c>
      <c r="C441" s="10" t="s">
        <v>28</v>
      </c>
      <c r="D441" s="10" t="s">
        <v>29</v>
      </c>
      <c r="E441" s="10" t="s">
        <v>4930</v>
      </c>
      <c r="F441" s="10" t="s">
        <v>4993</v>
      </c>
      <c r="G441" s="10" t="s">
        <v>4932</v>
      </c>
      <c r="H441" s="42">
        <v>44477.4375</v>
      </c>
      <c r="I441" s="11">
        <v>44477.52083333333</v>
      </c>
      <c r="J441" s="10" t="s">
        <v>43</v>
      </c>
      <c r="K441" s="10" t="s">
        <v>34</v>
      </c>
      <c r="N441" s="10" t="s">
        <v>35</v>
      </c>
      <c r="V441" s="14" t="s">
        <v>44</v>
      </c>
      <c r="W441" s="15"/>
      <c r="X441" s="10" t="s">
        <v>37</v>
      </c>
      <c r="Y441" s="10" t="s">
        <v>0</v>
      </c>
    </row>
    <row r="442">
      <c r="A442" s="10" t="s">
        <v>4994</v>
      </c>
      <c r="B442" s="11">
        <v>44470.9920156713</v>
      </c>
      <c r="C442" s="10" t="s">
        <v>347</v>
      </c>
      <c r="D442" s="10" t="s">
        <v>348</v>
      </c>
      <c r="E442" s="10" t="s">
        <v>3429</v>
      </c>
      <c r="F442" s="10" t="s">
        <v>4995</v>
      </c>
      <c r="G442" s="10" t="s">
        <v>4996</v>
      </c>
      <c r="H442" s="42">
        <v>44477.4375</v>
      </c>
      <c r="I442" s="11">
        <v>44477.5</v>
      </c>
      <c r="J442" s="10" t="s">
        <v>43</v>
      </c>
      <c r="K442" s="10" t="s">
        <v>61</v>
      </c>
      <c r="L442" s="10" t="s">
        <v>4997</v>
      </c>
      <c r="N442" s="10" t="s">
        <v>35</v>
      </c>
      <c r="V442" s="9"/>
      <c r="W442" s="13"/>
      <c r="X442" s="10" t="s">
        <v>3302</v>
      </c>
      <c r="Y442" s="10" t="s">
        <v>0</v>
      </c>
    </row>
    <row r="443">
      <c r="A443" s="10" t="s">
        <v>4998</v>
      </c>
      <c r="B443" s="11">
        <v>44408.911431053246</v>
      </c>
      <c r="C443" s="10" t="s">
        <v>137</v>
      </c>
      <c r="D443" s="10" t="s">
        <v>138</v>
      </c>
      <c r="E443" s="10" t="s">
        <v>3299</v>
      </c>
      <c r="F443" s="10" t="s">
        <v>921</v>
      </c>
      <c r="G443" s="10" t="s">
        <v>3968</v>
      </c>
      <c r="H443" s="42">
        <v>44477.58333333333</v>
      </c>
      <c r="I443" s="11">
        <v>44477.66666666667</v>
      </c>
      <c r="J443" s="10" t="s">
        <v>128</v>
      </c>
      <c r="K443" s="10" t="s">
        <v>34</v>
      </c>
      <c r="N443" s="10" t="s">
        <v>35</v>
      </c>
      <c r="V443" s="9"/>
      <c r="W443" s="13"/>
      <c r="X443" s="10" t="s">
        <v>37</v>
      </c>
      <c r="Y443" s="10" t="s">
        <v>0</v>
      </c>
    </row>
    <row r="444">
      <c r="A444" s="10" t="s">
        <v>4999</v>
      </c>
      <c r="B444" s="11">
        <v>44469.70573686343</v>
      </c>
      <c r="C444" s="10" t="s">
        <v>671</v>
      </c>
      <c r="D444" s="10" t="s">
        <v>672</v>
      </c>
      <c r="E444" s="10" t="s">
        <v>4936</v>
      </c>
      <c r="F444" s="10" t="s">
        <v>5000</v>
      </c>
      <c r="G444" s="10" t="s">
        <v>5001</v>
      </c>
      <c r="H444" s="11">
        <v>44470.72916666667</v>
      </c>
      <c r="I444" s="11">
        <v>44470.77083333333</v>
      </c>
      <c r="J444" s="10" t="s">
        <v>128</v>
      </c>
      <c r="K444" s="10" t="s">
        <v>34</v>
      </c>
      <c r="N444" s="10" t="s">
        <v>35</v>
      </c>
      <c r="V444" s="14" t="s">
        <v>3906</v>
      </c>
      <c r="W444" s="15"/>
      <c r="X444" s="10" t="s">
        <v>37</v>
      </c>
      <c r="Y444" s="10" t="s">
        <v>0</v>
      </c>
    </row>
    <row r="445">
      <c r="A445" s="10" t="s">
        <v>5002</v>
      </c>
      <c r="B445" s="11">
        <v>44468.67015266204</v>
      </c>
      <c r="C445" s="10" t="s">
        <v>610</v>
      </c>
      <c r="D445" s="10" t="s">
        <v>611</v>
      </c>
      <c r="E445" s="10" t="s">
        <v>3531</v>
      </c>
      <c r="F445" s="10" t="s">
        <v>5003</v>
      </c>
      <c r="G445" s="10" t="s">
        <v>4884</v>
      </c>
      <c r="H445" s="42">
        <v>44477.60416666667</v>
      </c>
      <c r="I445" s="11">
        <v>44477.72916666667</v>
      </c>
      <c r="J445" s="10" t="s">
        <v>128</v>
      </c>
      <c r="K445" s="10" t="s">
        <v>34</v>
      </c>
      <c r="N445" s="10" t="s">
        <v>35</v>
      </c>
      <c r="V445" s="14" t="s">
        <v>44</v>
      </c>
      <c r="W445" s="15"/>
      <c r="X445" s="10" t="s">
        <v>37</v>
      </c>
      <c r="Y445" s="10" t="s">
        <v>0</v>
      </c>
    </row>
    <row r="446">
      <c r="A446" s="10" t="s">
        <v>5004</v>
      </c>
      <c r="B446" s="11">
        <v>44470.70634201389</v>
      </c>
      <c r="C446" s="10" t="s">
        <v>694</v>
      </c>
      <c r="D446" s="10" t="s">
        <v>695</v>
      </c>
      <c r="E446" s="10" t="s">
        <v>4316</v>
      </c>
      <c r="F446" s="10" t="s">
        <v>5005</v>
      </c>
      <c r="G446" s="10" t="s">
        <v>5006</v>
      </c>
      <c r="H446" s="42">
        <v>44477.54166666667</v>
      </c>
      <c r="I446" s="11">
        <v>44477.625</v>
      </c>
      <c r="J446" s="10" t="s">
        <v>43</v>
      </c>
      <c r="K446" s="10" t="s">
        <v>34</v>
      </c>
      <c r="N446" s="10" t="s">
        <v>296</v>
      </c>
      <c r="O446" s="18" t="s">
        <v>5007</v>
      </c>
      <c r="P446" s="10" t="s">
        <v>296</v>
      </c>
      <c r="Q446" s="10">
        <v>1.0</v>
      </c>
      <c r="R446" s="10" t="s">
        <v>296</v>
      </c>
      <c r="S446" s="10">
        <v>1.0</v>
      </c>
      <c r="T446" s="10" t="s">
        <v>35</v>
      </c>
      <c r="V446" s="37" t="s">
        <v>4810</v>
      </c>
      <c r="W446" s="15"/>
      <c r="X446" s="10" t="s">
        <v>37</v>
      </c>
      <c r="Y446" s="10" t="s">
        <v>0</v>
      </c>
    </row>
    <row r="447">
      <c r="A447" s="10" t="s">
        <v>5008</v>
      </c>
      <c r="B447" s="11">
        <v>44469.67286277778</v>
      </c>
      <c r="C447" s="10" t="s">
        <v>28</v>
      </c>
      <c r="D447" s="10" t="s">
        <v>29</v>
      </c>
      <c r="E447" s="10" t="s">
        <v>4930</v>
      </c>
      <c r="F447" s="10" t="s">
        <v>5009</v>
      </c>
      <c r="G447" s="10" t="s">
        <v>4932</v>
      </c>
      <c r="H447" s="11">
        <v>44477.60416666667</v>
      </c>
      <c r="I447" s="11">
        <v>44477.72916666667</v>
      </c>
      <c r="J447" s="10" t="s">
        <v>43</v>
      </c>
      <c r="K447" s="10" t="s">
        <v>34</v>
      </c>
      <c r="N447" s="10" t="s">
        <v>35</v>
      </c>
      <c r="V447" s="14" t="s">
        <v>44</v>
      </c>
      <c r="W447" s="15"/>
      <c r="X447" s="10" t="s">
        <v>37</v>
      </c>
      <c r="Y447" s="10" t="s">
        <v>0</v>
      </c>
    </row>
    <row r="448">
      <c r="A448" s="10" t="s">
        <v>5010</v>
      </c>
      <c r="B448" s="11">
        <v>44470.99570905093</v>
      </c>
      <c r="C448" s="10" t="s">
        <v>330</v>
      </c>
      <c r="D448" s="10" t="s">
        <v>331</v>
      </c>
      <c r="E448" s="10" t="s">
        <v>5011</v>
      </c>
      <c r="F448" s="10" t="s">
        <v>5012</v>
      </c>
      <c r="G448" s="10" t="s">
        <v>5013</v>
      </c>
      <c r="H448" s="11">
        <v>44477.60416666667</v>
      </c>
      <c r="I448" s="11">
        <v>44477.6875</v>
      </c>
      <c r="J448" s="10" t="s">
        <v>43</v>
      </c>
      <c r="K448" s="10" t="s">
        <v>34</v>
      </c>
      <c r="N448" s="10" t="s">
        <v>35</v>
      </c>
      <c r="V448" s="14" t="s">
        <v>5014</v>
      </c>
      <c r="W448" s="44"/>
      <c r="X448" s="10" t="s">
        <v>37</v>
      </c>
      <c r="Y448" s="10" t="s">
        <v>0</v>
      </c>
    </row>
    <row r="449">
      <c r="A449" s="10" t="s">
        <v>5015</v>
      </c>
      <c r="B449" s="11">
        <v>44468.67132277778</v>
      </c>
      <c r="C449" s="10" t="s">
        <v>610</v>
      </c>
      <c r="D449" s="10" t="s">
        <v>611</v>
      </c>
      <c r="E449" s="10" t="s">
        <v>3531</v>
      </c>
      <c r="F449" s="10" t="s">
        <v>5016</v>
      </c>
      <c r="G449" s="10" t="s">
        <v>5017</v>
      </c>
      <c r="H449" s="11">
        <v>44477.72916666667</v>
      </c>
      <c r="I449" s="11">
        <v>44477.77083333333</v>
      </c>
      <c r="J449" s="10" t="s">
        <v>128</v>
      </c>
      <c r="K449" s="10" t="s">
        <v>34</v>
      </c>
      <c r="N449" s="10" t="s">
        <v>35</v>
      </c>
      <c r="V449" s="14" t="s">
        <v>44</v>
      </c>
      <c r="W449" s="15"/>
      <c r="X449" s="10" t="s">
        <v>37</v>
      </c>
      <c r="Y449" s="10" t="s">
        <v>0</v>
      </c>
    </row>
    <row r="450">
      <c r="A450" s="10" t="s">
        <v>5018</v>
      </c>
      <c r="B450" s="11">
        <v>44470.96244924769</v>
      </c>
      <c r="C450" s="10" t="s">
        <v>347</v>
      </c>
      <c r="D450" s="10" t="s">
        <v>348</v>
      </c>
      <c r="E450" s="10" t="s">
        <v>5019</v>
      </c>
      <c r="F450" s="10" t="s">
        <v>5020</v>
      </c>
      <c r="G450" s="10" t="s">
        <v>5021</v>
      </c>
      <c r="H450" s="11">
        <v>44477.625</v>
      </c>
      <c r="I450" s="11">
        <v>44477.70833333333</v>
      </c>
      <c r="J450" s="10" t="s">
        <v>43</v>
      </c>
      <c r="K450" s="10" t="s">
        <v>34</v>
      </c>
      <c r="N450" s="10" t="s">
        <v>296</v>
      </c>
      <c r="O450" s="18" t="s">
        <v>5022</v>
      </c>
      <c r="P450" s="10" t="s">
        <v>35</v>
      </c>
      <c r="R450" s="10" t="s">
        <v>35</v>
      </c>
      <c r="T450" s="10" t="s">
        <v>296</v>
      </c>
      <c r="U450" s="10">
        <v>1.0</v>
      </c>
      <c r="V450" s="14" t="s">
        <v>5023</v>
      </c>
      <c r="W450" s="15"/>
      <c r="X450" s="10" t="s">
        <v>37</v>
      </c>
      <c r="Y450" s="10" t="s">
        <v>0</v>
      </c>
    </row>
    <row r="451">
      <c r="A451" s="10" t="s">
        <v>5024</v>
      </c>
      <c r="B451" s="11">
        <v>44463.39792523148</v>
      </c>
      <c r="C451" s="10" t="s">
        <v>209</v>
      </c>
      <c r="D451" s="10" t="s">
        <v>210</v>
      </c>
      <c r="E451" s="10" t="s">
        <v>261</v>
      </c>
      <c r="F451" s="10" t="s">
        <v>4512</v>
      </c>
      <c r="G451" s="10" t="s">
        <v>4841</v>
      </c>
      <c r="H451" s="11">
        <v>44477.78125</v>
      </c>
      <c r="I451" s="11">
        <v>44477.82291666667</v>
      </c>
      <c r="J451" s="10" t="s">
        <v>33</v>
      </c>
      <c r="K451" s="10" t="s">
        <v>34</v>
      </c>
      <c r="N451" s="10" t="s">
        <v>35</v>
      </c>
      <c r="V451" s="14" t="s">
        <v>4514</v>
      </c>
      <c r="W451" s="15"/>
      <c r="X451" s="10" t="s">
        <v>37</v>
      </c>
      <c r="Y451" s="10" t="s">
        <v>0</v>
      </c>
    </row>
    <row r="452">
      <c r="A452" s="10" t="s">
        <v>5025</v>
      </c>
      <c r="B452" s="11">
        <v>44470.65732621528</v>
      </c>
      <c r="C452" s="10" t="s">
        <v>160</v>
      </c>
      <c r="D452" s="10" t="s">
        <v>161</v>
      </c>
      <c r="E452" s="10" t="s">
        <v>3953</v>
      </c>
      <c r="F452" s="10" t="s">
        <v>5026</v>
      </c>
      <c r="G452" s="10" t="s">
        <v>5027</v>
      </c>
      <c r="H452" s="11">
        <v>44471.66666666667</v>
      </c>
      <c r="I452" s="11">
        <v>44471.67708333333</v>
      </c>
      <c r="J452" s="10" t="s">
        <v>73</v>
      </c>
      <c r="K452" s="10" t="s">
        <v>34</v>
      </c>
      <c r="N452" s="10" t="s">
        <v>35</v>
      </c>
      <c r="V452" s="14" t="s">
        <v>4739</v>
      </c>
      <c r="W452" s="15"/>
      <c r="X452" s="10" t="s">
        <v>37</v>
      </c>
      <c r="Y452" s="10" t="s">
        <v>0</v>
      </c>
    </row>
    <row r="453">
      <c r="A453" s="10" t="s">
        <v>5028</v>
      </c>
      <c r="B453" s="11">
        <v>44445.77562163194</v>
      </c>
      <c r="C453" s="10" t="s">
        <v>181</v>
      </c>
      <c r="D453" s="10" t="s">
        <v>69</v>
      </c>
      <c r="E453" s="10" t="s">
        <v>1879</v>
      </c>
      <c r="F453" s="10" t="s">
        <v>5029</v>
      </c>
      <c r="G453" s="10" t="s">
        <v>5030</v>
      </c>
      <c r="H453" s="11">
        <v>44478.41666666667</v>
      </c>
      <c r="I453" s="11">
        <v>44478.41736111111</v>
      </c>
      <c r="J453" s="10" t="s">
        <v>73</v>
      </c>
      <c r="K453" s="10" t="s">
        <v>34</v>
      </c>
      <c r="N453" s="10" t="s">
        <v>35</v>
      </c>
      <c r="V453" s="14" t="s">
        <v>4046</v>
      </c>
      <c r="W453" s="15"/>
      <c r="X453" s="10" t="s">
        <v>37</v>
      </c>
      <c r="Y453" s="10" t="s">
        <v>0</v>
      </c>
    </row>
    <row r="454">
      <c r="A454" s="10" t="s">
        <v>5031</v>
      </c>
      <c r="B454" s="11">
        <v>44491.471382013886</v>
      </c>
      <c r="C454" s="10" t="s">
        <v>181</v>
      </c>
      <c r="D454" s="10" t="s">
        <v>69</v>
      </c>
      <c r="E454" s="10" t="s">
        <v>1179</v>
      </c>
      <c r="F454" s="10" t="s">
        <v>5032</v>
      </c>
      <c r="G454" s="10" t="s">
        <v>5033</v>
      </c>
      <c r="H454" s="11">
        <v>44494.60416666667</v>
      </c>
      <c r="I454" s="11">
        <v>44494.6875</v>
      </c>
      <c r="J454" s="10" t="s">
        <v>128</v>
      </c>
      <c r="K454" s="10" t="s">
        <v>34</v>
      </c>
      <c r="N454" s="10" t="s">
        <v>35</v>
      </c>
      <c r="V454" s="14" t="s">
        <v>3490</v>
      </c>
      <c r="W454" s="15"/>
      <c r="X454" s="10" t="s">
        <v>37</v>
      </c>
      <c r="Y454" s="10" t="s">
        <v>0</v>
      </c>
    </row>
    <row r="455">
      <c r="A455" s="10" t="s">
        <v>5034</v>
      </c>
      <c r="B455" s="11">
        <v>44470.88618070602</v>
      </c>
      <c r="C455" s="10" t="s">
        <v>150</v>
      </c>
      <c r="D455" s="10" t="s">
        <v>151</v>
      </c>
      <c r="E455" s="10" t="s">
        <v>4257</v>
      </c>
      <c r="F455" s="10" t="s">
        <v>4613</v>
      </c>
      <c r="G455" s="10" t="s">
        <v>5035</v>
      </c>
      <c r="H455" s="11">
        <v>44471.41666666667</v>
      </c>
      <c r="I455" s="11">
        <v>44471.5</v>
      </c>
      <c r="J455" s="10" t="s">
        <v>128</v>
      </c>
      <c r="K455" s="10" t="s">
        <v>34</v>
      </c>
      <c r="N455" s="10" t="s">
        <v>35</v>
      </c>
      <c r="V455" s="35" t="s">
        <v>3775</v>
      </c>
      <c r="W455" s="15"/>
      <c r="X455" s="10" t="s">
        <v>37</v>
      </c>
      <c r="Y455" s="10" t="s">
        <v>0</v>
      </c>
    </row>
    <row r="456">
      <c r="A456" s="10" t="s">
        <v>5036</v>
      </c>
      <c r="B456" s="11">
        <v>44470.887910185185</v>
      </c>
      <c r="C456" s="10" t="s">
        <v>150</v>
      </c>
      <c r="D456" s="10" t="s">
        <v>151</v>
      </c>
      <c r="E456" s="10" t="s">
        <v>4257</v>
      </c>
      <c r="F456" s="10" t="s">
        <v>5037</v>
      </c>
      <c r="G456" s="10" t="s">
        <v>5038</v>
      </c>
      <c r="H456" s="11">
        <v>44472.25</v>
      </c>
      <c r="I456" s="11">
        <v>44477.99930555555</v>
      </c>
      <c r="J456" s="10" t="s">
        <v>51</v>
      </c>
      <c r="K456" s="10" t="s">
        <v>34</v>
      </c>
      <c r="N456" s="10" t="s">
        <v>35</v>
      </c>
      <c r="V456" s="35" t="s">
        <v>3775</v>
      </c>
      <c r="W456" s="15"/>
      <c r="X456" s="10" t="s">
        <v>37</v>
      </c>
      <c r="Y456" s="10" t="s">
        <v>0</v>
      </c>
    </row>
    <row r="457">
      <c r="A457" s="10" t="s">
        <v>5039</v>
      </c>
      <c r="B457" s="11">
        <v>44471.006026793984</v>
      </c>
      <c r="C457" s="10" t="s">
        <v>347</v>
      </c>
      <c r="D457" s="10" t="s">
        <v>348</v>
      </c>
      <c r="E457" s="10" t="s">
        <v>3429</v>
      </c>
      <c r="F457" s="10" t="s">
        <v>3564</v>
      </c>
      <c r="G457" s="10" t="s">
        <v>4771</v>
      </c>
      <c r="H457" s="11">
        <v>44478.4375</v>
      </c>
      <c r="I457" s="11">
        <v>44478.52083333333</v>
      </c>
      <c r="J457" s="10" t="s">
        <v>128</v>
      </c>
      <c r="K457" s="10" t="s">
        <v>34</v>
      </c>
      <c r="N457" s="10" t="s">
        <v>35</v>
      </c>
      <c r="V457" s="14" t="s">
        <v>3562</v>
      </c>
      <c r="W457" s="15"/>
      <c r="X457" s="10" t="s">
        <v>37</v>
      </c>
      <c r="Y457" s="10" t="s">
        <v>0</v>
      </c>
    </row>
    <row r="458">
      <c r="A458" s="10" t="s">
        <v>5040</v>
      </c>
      <c r="B458" s="11">
        <v>44446.435731562495</v>
      </c>
      <c r="C458" s="10" t="s">
        <v>209</v>
      </c>
      <c r="D458" s="10" t="s">
        <v>210</v>
      </c>
      <c r="E458" s="10" t="s">
        <v>261</v>
      </c>
      <c r="F458" s="10" t="s">
        <v>4374</v>
      </c>
      <c r="G458" s="10" t="s">
        <v>4375</v>
      </c>
      <c r="H458" s="11">
        <v>44478.47916666667</v>
      </c>
      <c r="I458" s="11">
        <v>44478.52083333333</v>
      </c>
      <c r="J458" s="10" t="s">
        <v>33</v>
      </c>
      <c r="K458" s="10" t="s">
        <v>34</v>
      </c>
      <c r="N458" s="10" t="s">
        <v>35</v>
      </c>
      <c r="V458" s="14" t="s">
        <v>4376</v>
      </c>
      <c r="W458" s="15"/>
      <c r="X458" s="10" t="s">
        <v>37</v>
      </c>
      <c r="Y458" s="10" t="s">
        <v>0</v>
      </c>
    </row>
    <row r="459">
      <c r="A459" s="10" t="s">
        <v>5041</v>
      </c>
      <c r="B459" s="11">
        <v>44469.6736906713</v>
      </c>
      <c r="C459" s="10" t="s">
        <v>28</v>
      </c>
      <c r="D459" s="10" t="s">
        <v>29</v>
      </c>
      <c r="E459" s="10" t="s">
        <v>4930</v>
      </c>
      <c r="F459" s="10" t="s">
        <v>5042</v>
      </c>
      <c r="G459" s="10" t="s">
        <v>5043</v>
      </c>
      <c r="H459" s="11">
        <v>44477.72916666667</v>
      </c>
      <c r="I459" s="11">
        <v>44477.77083333333</v>
      </c>
      <c r="J459" s="10" t="s">
        <v>43</v>
      </c>
      <c r="K459" s="10" t="s">
        <v>34</v>
      </c>
      <c r="N459" s="10" t="s">
        <v>35</v>
      </c>
      <c r="V459" s="14" t="s">
        <v>44</v>
      </c>
      <c r="W459" s="15"/>
      <c r="X459" s="10" t="s">
        <v>37</v>
      </c>
      <c r="Y459" s="10" t="s">
        <v>0</v>
      </c>
    </row>
    <row r="460">
      <c r="A460" s="10" t="s">
        <v>5044</v>
      </c>
      <c r="B460" s="11">
        <v>44446.45871707176</v>
      </c>
      <c r="C460" s="10" t="s">
        <v>209</v>
      </c>
      <c r="D460" s="10" t="s">
        <v>210</v>
      </c>
      <c r="E460" s="10" t="s">
        <v>261</v>
      </c>
      <c r="F460" s="10" t="s">
        <v>4519</v>
      </c>
      <c r="G460" s="10" t="s">
        <v>4393</v>
      </c>
      <c r="H460" s="11">
        <v>44478.64583333333</v>
      </c>
      <c r="I460" s="11">
        <v>44478.6875</v>
      </c>
      <c r="J460" s="10" t="s">
        <v>128</v>
      </c>
      <c r="K460" s="10" t="s">
        <v>34</v>
      </c>
      <c r="N460" s="10" t="s">
        <v>35</v>
      </c>
      <c r="V460" s="14" t="s">
        <v>5045</v>
      </c>
      <c r="W460" s="15"/>
      <c r="X460" s="10" t="s">
        <v>37</v>
      </c>
      <c r="Y460" s="10" t="s">
        <v>0</v>
      </c>
    </row>
    <row r="461">
      <c r="A461" s="10" t="s">
        <v>5046</v>
      </c>
      <c r="B461" s="11">
        <v>44471.00130650463</v>
      </c>
      <c r="C461" s="10" t="s">
        <v>347</v>
      </c>
      <c r="D461" s="10" t="s">
        <v>348</v>
      </c>
      <c r="E461" s="10" t="s">
        <v>3809</v>
      </c>
      <c r="F461" s="10" t="s">
        <v>5047</v>
      </c>
      <c r="G461" s="10" t="s">
        <v>5048</v>
      </c>
      <c r="H461" s="11">
        <v>44471.60416666667</v>
      </c>
      <c r="I461" s="11">
        <v>44471.6875</v>
      </c>
      <c r="J461" s="10" t="s">
        <v>128</v>
      </c>
      <c r="K461" s="10" t="s">
        <v>34</v>
      </c>
      <c r="N461" s="10" t="s">
        <v>35</v>
      </c>
      <c r="V461" s="14" t="s">
        <v>5049</v>
      </c>
      <c r="W461" s="15"/>
      <c r="X461" s="10" t="s">
        <v>37</v>
      </c>
      <c r="Y461" s="10" t="s">
        <v>0</v>
      </c>
    </row>
    <row r="462">
      <c r="A462" s="10" t="s">
        <v>5050</v>
      </c>
      <c r="B462" s="11">
        <v>44448.906469699075</v>
      </c>
      <c r="C462" s="10" t="s">
        <v>336</v>
      </c>
      <c r="D462" s="10" t="s">
        <v>337</v>
      </c>
      <c r="E462" s="10" t="s">
        <v>981</v>
      </c>
      <c r="F462" s="10" t="s">
        <v>5051</v>
      </c>
      <c r="G462" s="10" t="s">
        <v>5052</v>
      </c>
      <c r="H462" s="11">
        <v>44478.6875</v>
      </c>
      <c r="I462" s="11">
        <v>44478.72916666667</v>
      </c>
      <c r="J462" s="10" t="s">
        <v>128</v>
      </c>
      <c r="K462" s="10" t="s">
        <v>34</v>
      </c>
      <c r="N462" s="10" t="s">
        <v>35</v>
      </c>
      <c r="V462" s="14" t="s">
        <v>4523</v>
      </c>
      <c r="W462" s="15"/>
      <c r="X462" s="10" t="s">
        <v>37</v>
      </c>
      <c r="Y462" s="10" t="s">
        <v>0</v>
      </c>
    </row>
    <row r="463">
      <c r="A463" s="10" t="s">
        <v>5053</v>
      </c>
      <c r="B463" s="11">
        <v>44471.53013835648</v>
      </c>
      <c r="C463" s="10" t="s">
        <v>336</v>
      </c>
      <c r="D463" s="10" t="s">
        <v>337</v>
      </c>
      <c r="E463" s="10" t="s">
        <v>5054</v>
      </c>
      <c r="F463" s="10" t="s">
        <v>5055</v>
      </c>
      <c r="G463" s="10" t="s">
        <v>5056</v>
      </c>
      <c r="H463" s="11">
        <v>44478.72916666667</v>
      </c>
      <c r="I463" s="11">
        <v>44478.77083333333</v>
      </c>
      <c r="J463" s="10" t="s">
        <v>128</v>
      </c>
      <c r="K463" s="10" t="s">
        <v>34</v>
      </c>
      <c r="N463" s="10" t="s">
        <v>35</v>
      </c>
      <c r="V463" s="14" t="s">
        <v>5057</v>
      </c>
      <c r="W463" s="15" t="s">
        <v>5058</v>
      </c>
      <c r="X463" s="10" t="s">
        <v>37</v>
      </c>
      <c r="Y463" s="10" t="s">
        <v>0</v>
      </c>
    </row>
    <row r="464">
      <c r="A464" s="10" t="s">
        <v>5059</v>
      </c>
      <c r="B464" s="11">
        <v>44472.54177957176</v>
      </c>
      <c r="C464" s="10" t="s">
        <v>239</v>
      </c>
      <c r="D464" s="10" t="s">
        <v>240</v>
      </c>
      <c r="E464" s="10" t="s">
        <v>4561</v>
      </c>
      <c r="F464" s="10" t="s">
        <v>5060</v>
      </c>
      <c r="G464" s="10" t="s">
        <v>5061</v>
      </c>
      <c r="H464" s="11">
        <v>44445.0</v>
      </c>
      <c r="I464" s="11">
        <v>44469.0</v>
      </c>
      <c r="J464" s="10" t="s">
        <v>128</v>
      </c>
      <c r="K464" s="10" t="s">
        <v>34</v>
      </c>
      <c r="N464" s="10" t="s">
        <v>35</v>
      </c>
      <c r="V464" s="14" t="s">
        <v>5062</v>
      </c>
      <c r="W464" s="15" t="s">
        <v>5058</v>
      </c>
      <c r="X464" s="10" t="s">
        <v>37</v>
      </c>
      <c r="Y464" s="10" t="s">
        <v>0</v>
      </c>
    </row>
    <row r="465">
      <c r="A465" s="10" t="s">
        <v>5063</v>
      </c>
      <c r="B465" s="11">
        <v>44487.78374349537</v>
      </c>
      <c r="C465" s="10" t="s">
        <v>4217</v>
      </c>
      <c r="D465" s="10" t="s">
        <v>4211</v>
      </c>
      <c r="E465" s="10" t="s">
        <v>4950</v>
      </c>
      <c r="F465" s="10" t="s">
        <v>5064</v>
      </c>
      <c r="G465" s="10" t="s">
        <v>5065</v>
      </c>
      <c r="H465" s="11">
        <v>44494.72916666667</v>
      </c>
      <c r="I465" s="11">
        <v>44494.77083333333</v>
      </c>
      <c r="J465" s="10" t="s">
        <v>43</v>
      </c>
      <c r="K465" s="10" t="s">
        <v>34</v>
      </c>
      <c r="N465" s="10" t="s">
        <v>35</v>
      </c>
      <c r="V465" s="14" t="s">
        <v>5066</v>
      </c>
      <c r="W465" s="15" t="s">
        <v>5058</v>
      </c>
      <c r="X465" s="10" t="s">
        <v>37</v>
      </c>
      <c r="Y465" s="10" t="s">
        <v>0</v>
      </c>
    </row>
    <row r="466">
      <c r="A466" s="10" t="s">
        <v>5067</v>
      </c>
      <c r="B466" s="11">
        <v>44477.69752241898</v>
      </c>
      <c r="C466" s="10" t="s">
        <v>96</v>
      </c>
      <c r="D466" s="10" t="s">
        <v>97</v>
      </c>
      <c r="E466" s="10" t="s">
        <v>98</v>
      </c>
      <c r="F466" s="10" t="s">
        <v>5068</v>
      </c>
      <c r="G466" s="10" t="s">
        <v>5069</v>
      </c>
      <c r="H466" s="11">
        <v>44477.72916666667</v>
      </c>
      <c r="I466" s="11">
        <v>44477.79166666667</v>
      </c>
      <c r="J466" s="10" t="s">
        <v>43</v>
      </c>
      <c r="K466" s="10" t="s">
        <v>34</v>
      </c>
      <c r="N466" s="10" t="s">
        <v>35</v>
      </c>
      <c r="V466" s="14" t="s">
        <v>5070</v>
      </c>
      <c r="W466" s="15" t="s">
        <v>5058</v>
      </c>
      <c r="X466" s="10" t="s">
        <v>37</v>
      </c>
      <c r="Y466" s="10" t="s">
        <v>0</v>
      </c>
    </row>
    <row r="467">
      <c r="A467" s="10" t="s">
        <v>5071</v>
      </c>
      <c r="B467" s="11">
        <v>44473.675556180555</v>
      </c>
      <c r="C467" s="10" t="s">
        <v>137</v>
      </c>
      <c r="D467" s="10" t="s">
        <v>138</v>
      </c>
      <c r="E467" s="10" t="s">
        <v>3299</v>
      </c>
      <c r="F467" s="10" t="s">
        <v>5072</v>
      </c>
      <c r="G467" s="10" t="s">
        <v>5073</v>
      </c>
      <c r="H467" s="11">
        <v>44487.4375</v>
      </c>
      <c r="I467" s="11">
        <v>44487.47916666667</v>
      </c>
      <c r="J467" s="10" t="s">
        <v>128</v>
      </c>
      <c r="K467" s="10" t="s">
        <v>34</v>
      </c>
      <c r="N467" s="10" t="s">
        <v>35</v>
      </c>
      <c r="V467" s="35" t="s">
        <v>5074</v>
      </c>
      <c r="W467" s="15"/>
      <c r="X467" s="10" t="s">
        <v>37</v>
      </c>
      <c r="Y467" s="10" t="s">
        <v>0</v>
      </c>
    </row>
    <row r="468">
      <c r="A468" s="10" t="s">
        <v>5075</v>
      </c>
      <c r="B468" s="11">
        <v>44473.765218113425</v>
      </c>
      <c r="C468" s="10" t="s">
        <v>581</v>
      </c>
      <c r="D468" s="10" t="s">
        <v>220</v>
      </c>
      <c r="E468" s="10" t="s">
        <v>3586</v>
      </c>
      <c r="F468" s="10" t="s">
        <v>5076</v>
      </c>
      <c r="G468" s="10" t="s">
        <v>5077</v>
      </c>
      <c r="H468" s="11">
        <v>44474.4375</v>
      </c>
      <c r="I468" s="11">
        <v>44474.47916666667</v>
      </c>
      <c r="J468" s="10" t="s">
        <v>73</v>
      </c>
      <c r="K468" s="10" t="s">
        <v>34</v>
      </c>
      <c r="N468" s="10" t="s">
        <v>35</v>
      </c>
      <c r="V468" s="14" t="s">
        <v>4660</v>
      </c>
      <c r="W468" s="15"/>
      <c r="X468" s="10" t="s">
        <v>37</v>
      </c>
      <c r="Y468" s="10" t="s">
        <v>0</v>
      </c>
    </row>
    <row r="469">
      <c r="A469" s="10" t="s">
        <v>5078</v>
      </c>
      <c r="B469" s="11">
        <v>44473.76777561342</v>
      </c>
      <c r="C469" s="10" t="s">
        <v>581</v>
      </c>
      <c r="D469" s="10" t="s">
        <v>220</v>
      </c>
      <c r="E469" s="10" t="s">
        <v>3606</v>
      </c>
      <c r="F469" s="10" t="s">
        <v>5079</v>
      </c>
      <c r="G469" s="10" t="s">
        <v>5080</v>
      </c>
      <c r="H469" s="11">
        <v>44477.4375</v>
      </c>
      <c r="I469" s="11">
        <v>44477.47916666667</v>
      </c>
      <c r="J469" s="10" t="s">
        <v>128</v>
      </c>
      <c r="K469" s="10" t="s">
        <v>34</v>
      </c>
      <c r="N469" s="10" t="s">
        <v>35</v>
      </c>
      <c r="V469" s="14" t="s">
        <v>5081</v>
      </c>
      <c r="W469" s="15"/>
      <c r="X469" s="10" t="s">
        <v>37</v>
      </c>
      <c r="Y469" s="10" t="s">
        <v>0</v>
      </c>
    </row>
    <row r="470">
      <c r="A470" s="10" t="s">
        <v>5082</v>
      </c>
      <c r="B470" s="11">
        <v>44473.774003530096</v>
      </c>
      <c r="C470" s="10" t="s">
        <v>581</v>
      </c>
      <c r="D470" s="10" t="s">
        <v>220</v>
      </c>
      <c r="E470" s="10" t="s">
        <v>5083</v>
      </c>
      <c r="F470" s="10" t="s">
        <v>3765</v>
      </c>
      <c r="G470" s="10" t="s">
        <v>5084</v>
      </c>
      <c r="H470" s="11">
        <v>44476.35416666667</v>
      </c>
      <c r="I470" s="11">
        <v>44476.39583333333</v>
      </c>
      <c r="J470" s="10" t="s">
        <v>128</v>
      </c>
      <c r="K470" s="10" t="s">
        <v>34</v>
      </c>
      <c r="N470" s="10" t="s">
        <v>35</v>
      </c>
      <c r="V470" s="14" t="s">
        <v>5085</v>
      </c>
      <c r="W470" s="15"/>
      <c r="X470" s="10" t="s">
        <v>37</v>
      </c>
      <c r="Y470" s="10" t="s">
        <v>0</v>
      </c>
    </row>
    <row r="471">
      <c r="A471" s="10" t="s">
        <v>5086</v>
      </c>
      <c r="B471" s="11">
        <v>44474.42810506944</v>
      </c>
      <c r="C471" s="10" t="s">
        <v>80</v>
      </c>
      <c r="D471" s="10" t="s">
        <v>81</v>
      </c>
      <c r="E471" s="10" t="s">
        <v>5087</v>
      </c>
      <c r="F471" s="10" t="s">
        <v>5088</v>
      </c>
      <c r="G471" s="10" t="s">
        <v>5089</v>
      </c>
      <c r="H471" s="11">
        <v>44480.33333333333</v>
      </c>
      <c r="I471" s="11">
        <v>44481.33333333333</v>
      </c>
      <c r="J471" s="10" t="s">
        <v>73</v>
      </c>
      <c r="K471" s="10" t="s">
        <v>34</v>
      </c>
      <c r="N471" s="10" t="s">
        <v>35</v>
      </c>
      <c r="V471" s="14" t="s">
        <v>4721</v>
      </c>
      <c r="W471" s="15"/>
      <c r="X471" s="10" t="s">
        <v>37</v>
      </c>
      <c r="Y471" s="10" t="s">
        <v>0</v>
      </c>
    </row>
    <row r="472">
      <c r="A472" s="10" t="s">
        <v>5090</v>
      </c>
      <c r="B472" s="11">
        <v>44474.74110775463</v>
      </c>
      <c r="C472" s="10" t="s">
        <v>160</v>
      </c>
      <c r="D472" s="10" t="s">
        <v>161</v>
      </c>
      <c r="E472" s="10" t="s">
        <v>3953</v>
      </c>
      <c r="F472" s="10" t="s">
        <v>5091</v>
      </c>
      <c r="G472" s="10" t="s">
        <v>5092</v>
      </c>
      <c r="H472" s="11">
        <v>44475.66666666667</v>
      </c>
      <c r="I472" s="11">
        <v>44475.6875</v>
      </c>
      <c r="J472" s="10" t="s">
        <v>73</v>
      </c>
      <c r="K472" s="10" t="s">
        <v>34</v>
      </c>
      <c r="N472" s="10" t="s">
        <v>35</v>
      </c>
      <c r="V472" s="14" t="s">
        <v>4739</v>
      </c>
      <c r="W472" s="15"/>
      <c r="X472" s="10" t="s">
        <v>37</v>
      </c>
      <c r="Y472" s="10" t="s">
        <v>0</v>
      </c>
    </row>
    <row r="473">
      <c r="A473" s="10" t="s">
        <v>5093</v>
      </c>
      <c r="B473" s="11">
        <v>44475.38233237268</v>
      </c>
      <c r="C473" s="10" t="s">
        <v>4268</v>
      </c>
      <c r="D473" s="10" t="s">
        <v>4269</v>
      </c>
      <c r="E473" s="10" t="s">
        <v>5094</v>
      </c>
      <c r="F473" s="10" t="s">
        <v>5095</v>
      </c>
      <c r="G473" s="10" t="s">
        <v>5096</v>
      </c>
      <c r="H473" s="11">
        <v>44477.6875</v>
      </c>
      <c r="I473" s="11">
        <v>44477.77083333333</v>
      </c>
      <c r="J473" s="10" t="s">
        <v>33</v>
      </c>
      <c r="K473" s="10" t="s">
        <v>34</v>
      </c>
      <c r="N473" s="10" t="s">
        <v>35</v>
      </c>
      <c r="V473" s="14" t="s">
        <v>5097</v>
      </c>
      <c r="W473" s="15"/>
      <c r="X473" s="10" t="s">
        <v>37</v>
      </c>
      <c r="Y473" s="10" t="s">
        <v>0</v>
      </c>
    </row>
    <row r="474">
      <c r="A474" s="10" t="s">
        <v>5098</v>
      </c>
      <c r="B474" s="11">
        <v>44475.49900334491</v>
      </c>
      <c r="C474" s="10" t="s">
        <v>1035</v>
      </c>
      <c r="D474" s="10" t="s">
        <v>1036</v>
      </c>
      <c r="E474" s="10" t="s">
        <v>5099</v>
      </c>
      <c r="F474" s="10" t="s">
        <v>5100</v>
      </c>
      <c r="G474" s="10" t="s">
        <v>5101</v>
      </c>
      <c r="H474" s="11">
        <v>44475.41666666667</v>
      </c>
      <c r="I474" s="11">
        <v>44475.45694444445</v>
      </c>
      <c r="J474" s="10" t="s">
        <v>128</v>
      </c>
      <c r="K474" s="10" t="s">
        <v>34</v>
      </c>
      <c r="N474" s="10" t="s">
        <v>296</v>
      </c>
      <c r="O474" s="18" t="s">
        <v>5102</v>
      </c>
      <c r="P474" s="10" t="s">
        <v>35</v>
      </c>
      <c r="R474" s="10" t="s">
        <v>296</v>
      </c>
      <c r="S474" s="10">
        <v>1.0</v>
      </c>
      <c r="T474" s="10" t="s">
        <v>35</v>
      </c>
      <c r="V474" s="14" t="s">
        <v>3469</v>
      </c>
      <c r="W474" s="15"/>
      <c r="X474" s="10" t="s">
        <v>37</v>
      </c>
      <c r="Y474" s="10" t="s">
        <v>0</v>
      </c>
    </row>
    <row r="475">
      <c r="A475" s="10" t="s">
        <v>5103</v>
      </c>
      <c r="B475" s="11">
        <v>44475.501663194445</v>
      </c>
      <c r="C475" s="10" t="s">
        <v>1035</v>
      </c>
      <c r="D475" s="10" t="s">
        <v>1036</v>
      </c>
      <c r="E475" s="10" t="s">
        <v>5104</v>
      </c>
      <c r="F475" s="10" t="s">
        <v>5105</v>
      </c>
      <c r="G475" s="10" t="s">
        <v>5106</v>
      </c>
      <c r="H475" s="11">
        <v>44477.1875</v>
      </c>
      <c r="I475" s="11">
        <v>44477.22916666667</v>
      </c>
      <c r="J475" s="10" t="s">
        <v>128</v>
      </c>
      <c r="K475" s="10" t="s">
        <v>34</v>
      </c>
      <c r="N475" s="10" t="s">
        <v>35</v>
      </c>
      <c r="V475" s="14" t="s">
        <v>3469</v>
      </c>
      <c r="W475" s="15"/>
      <c r="X475" s="10" t="s">
        <v>37</v>
      </c>
      <c r="Y475" s="10" t="s">
        <v>0</v>
      </c>
    </row>
    <row r="476">
      <c r="A476" s="10" t="s">
        <v>5107</v>
      </c>
      <c r="B476" s="11">
        <v>44476.47706928241</v>
      </c>
      <c r="C476" s="10" t="s">
        <v>181</v>
      </c>
      <c r="D476" s="10" t="s">
        <v>69</v>
      </c>
      <c r="E476" s="10" t="s">
        <v>4175</v>
      </c>
      <c r="F476" s="10" t="s">
        <v>5108</v>
      </c>
      <c r="G476" s="10" t="s">
        <v>5109</v>
      </c>
      <c r="H476" s="11">
        <v>44480.33333333333</v>
      </c>
      <c r="I476" s="11">
        <v>44545.33333333333</v>
      </c>
      <c r="J476" s="10" t="s">
        <v>73</v>
      </c>
      <c r="K476" s="10" t="s">
        <v>34</v>
      </c>
      <c r="N476" s="10" t="s">
        <v>35</v>
      </c>
      <c r="V476" s="14" t="s">
        <v>4065</v>
      </c>
      <c r="W476" s="15"/>
      <c r="X476" s="10" t="s">
        <v>37</v>
      </c>
      <c r="Y476" s="10" t="s">
        <v>0</v>
      </c>
    </row>
    <row r="477">
      <c r="A477" s="10" t="s">
        <v>5110</v>
      </c>
      <c r="B477" s="11">
        <v>44476.47876041666</v>
      </c>
      <c r="C477" s="10" t="s">
        <v>181</v>
      </c>
      <c r="D477" s="10" t="s">
        <v>69</v>
      </c>
      <c r="E477" s="10" t="s">
        <v>4175</v>
      </c>
      <c r="F477" s="10" t="s">
        <v>5111</v>
      </c>
      <c r="G477" s="10" t="s">
        <v>5112</v>
      </c>
      <c r="H477" s="11">
        <v>44480.33333333333</v>
      </c>
      <c r="I477" s="11">
        <v>44545.33333333333</v>
      </c>
      <c r="J477" s="10" t="s">
        <v>73</v>
      </c>
      <c r="K477" s="10" t="s">
        <v>34</v>
      </c>
      <c r="N477" s="10" t="s">
        <v>35</v>
      </c>
      <c r="V477" s="14" t="s">
        <v>4065</v>
      </c>
      <c r="W477" s="15"/>
      <c r="X477" s="10" t="s">
        <v>37</v>
      </c>
      <c r="Y477" s="10" t="s">
        <v>0</v>
      </c>
    </row>
    <row r="478">
      <c r="A478" s="10" t="s">
        <v>5113</v>
      </c>
      <c r="B478" s="11">
        <v>44476.479396319446</v>
      </c>
      <c r="C478" s="10" t="s">
        <v>181</v>
      </c>
      <c r="D478" s="10" t="s">
        <v>69</v>
      </c>
      <c r="E478" s="10" t="s">
        <v>4175</v>
      </c>
      <c r="F478" s="10" t="s">
        <v>5114</v>
      </c>
      <c r="G478" s="10" t="s">
        <v>5115</v>
      </c>
      <c r="H478" s="11">
        <v>44480.33333333333</v>
      </c>
      <c r="I478" s="11">
        <v>44545.33333333333</v>
      </c>
      <c r="J478" s="10" t="s">
        <v>73</v>
      </c>
      <c r="K478" s="10" t="s">
        <v>34</v>
      </c>
      <c r="N478" s="10" t="s">
        <v>35</v>
      </c>
      <c r="V478" s="14" t="s">
        <v>4065</v>
      </c>
      <c r="W478" s="15"/>
      <c r="X478" s="10" t="s">
        <v>37</v>
      </c>
      <c r="Y478" s="10" t="s">
        <v>0</v>
      </c>
    </row>
    <row r="479">
      <c r="A479" s="10" t="s">
        <v>5116</v>
      </c>
      <c r="B479" s="11">
        <v>44476.4802699537</v>
      </c>
      <c r="C479" s="10" t="s">
        <v>181</v>
      </c>
      <c r="D479" s="10" t="s">
        <v>69</v>
      </c>
      <c r="E479" s="10" t="s">
        <v>4175</v>
      </c>
      <c r="F479" s="10" t="s">
        <v>5117</v>
      </c>
      <c r="G479" s="10" t="s">
        <v>5118</v>
      </c>
      <c r="H479" s="11">
        <v>44480.33333333333</v>
      </c>
      <c r="I479" s="11">
        <v>44545.33333333333</v>
      </c>
      <c r="J479" s="10" t="s">
        <v>73</v>
      </c>
      <c r="K479" s="10" t="s">
        <v>34</v>
      </c>
      <c r="N479" s="10" t="s">
        <v>35</v>
      </c>
      <c r="V479" s="14" t="s">
        <v>4065</v>
      </c>
      <c r="W479" s="15"/>
      <c r="X479" s="10" t="s">
        <v>37</v>
      </c>
      <c r="Y479" s="10" t="s">
        <v>0</v>
      </c>
    </row>
    <row r="480">
      <c r="A480" s="10" t="s">
        <v>5119</v>
      </c>
      <c r="B480" s="11">
        <v>44467.9578804051</v>
      </c>
      <c r="C480" s="10" t="s">
        <v>137</v>
      </c>
      <c r="D480" s="10" t="s">
        <v>138</v>
      </c>
      <c r="E480" s="10" t="s">
        <v>3299</v>
      </c>
      <c r="F480" s="10" t="s">
        <v>5120</v>
      </c>
      <c r="G480" s="10" t="s">
        <v>5121</v>
      </c>
      <c r="H480" s="11">
        <v>44478.625</v>
      </c>
      <c r="I480" s="11">
        <v>44478.75</v>
      </c>
      <c r="J480" s="10" t="s">
        <v>43</v>
      </c>
      <c r="K480" s="10" t="s">
        <v>34</v>
      </c>
      <c r="N480" s="10" t="s">
        <v>35</v>
      </c>
      <c r="V480" s="35" t="s">
        <v>5122</v>
      </c>
      <c r="W480" s="15"/>
      <c r="X480" s="10" t="s">
        <v>37</v>
      </c>
      <c r="Y480" s="10" t="s">
        <v>0</v>
      </c>
    </row>
    <row r="481">
      <c r="A481" s="10" t="s">
        <v>5123</v>
      </c>
      <c r="B481" s="11">
        <v>44476.60354748843</v>
      </c>
      <c r="C481" s="10" t="s">
        <v>3521</v>
      </c>
      <c r="D481" s="10" t="s">
        <v>69</v>
      </c>
      <c r="E481" s="10" t="s">
        <v>3864</v>
      </c>
      <c r="F481" s="10" t="s">
        <v>5124</v>
      </c>
      <c r="G481" s="10" t="s">
        <v>5125</v>
      </c>
      <c r="H481" s="11">
        <v>44484.47916666667</v>
      </c>
      <c r="I481" s="11">
        <v>44484.52083333333</v>
      </c>
      <c r="J481" s="10" t="s">
        <v>43</v>
      </c>
      <c r="K481" s="10" t="s">
        <v>34</v>
      </c>
      <c r="N481" s="10" t="s">
        <v>296</v>
      </c>
      <c r="O481" s="18" t="s">
        <v>5126</v>
      </c>
      <c r="P481" s="10" t="s">
        <v>35</v>
      </c>
      <c r="R481" s="10" t="s">
        <v>35</v>
      </c>
      <c r="T481" s="10" t="s">
        <v>296</v>
      </c>
      <c r="U481" s="10">
        <v>2.0</v>
      </c>
      <c r="V481" s="14" t="s">
        <v>5127</v>
      </c>
      <c r="W481" s="15"/>
      <c r="X481" s="10" t="s">
        <v>37</v>
      </c>
      <c r="Y481" s="10" t="s">
        <v>0</v>
      </c>
    </row>
    <row r="482">
      <c r="A482" s="10" t="s">
        <v>5128</v>
      </c>
      <c r="B482" s="11">
        <v>44477.476020277776</v>
      </c>
      <c r="C482" s="10" t="s">
        <v>4217</v>
      </c>
      <c r="D482" s="10" t="s">
        <v>4211</v>
      </c>
      <c r="E482" s="10" t="s">
        <v>5129</v>
      </c>
      <c r="F482" s="10" t="s">
        <v>5130</v>
      </c>
      <c r="G482" s="10" t="s">
        <v>5131</v>
      </c>
      <c r="H482" s="11">
        <v>44477.60416666667</v>
      </c>
      <c r="I482" s="11">
        <v>44477.64583333333</v>
      </c>
      <c r="J482" s="10" t="s">
        <v>128</v>
      </c>
      <c r="K482" s="10" t="s">
        <v>34</v>
      </c>
      <c r="N482" s="10" t="s">
        <v>35</v>
      </c>
      <c r="V482" s="14" t="s">
        <v>5132</v>
      </c>
      <c r="W482" s="15"/>
      <c r="X482" s="10" t="s">
        <v>37</v>
      </c>
      <c r="Y482" s="10" t="s">
        <v>0</v>
      </c>
    </row>
    <row r="483">
      <c r="A483" s="10" t="s">
        <v>5133</v>
      </c>
      <c r="B483" s="11">
        <v>44477.51340729167</v>
      </c>
      <c r="C483" s="10" t="s">
        <v>719</v>
      </c>
      <c r="D483" s="10" t="s">
        <v>161</v>
      </c>
      <c r="E483" s="10" t="s">
        <v>5134</v>
      </c>
      <c r="F483" s="10" t="s">
        <v>5135</v>
      </c>
      <c r="G483" s="10" t="s">
        <v>5136</v>
      </c>
      <c r="H483" s="11">
        <v>44478.66666666667</v>
      </c>
      <c r="I483" s="11">
        <v>44478.6875</v>
      </c>
      <c r="J483" s="10" t="s">
        <v>73</v>
      </c>
      <c r="K483" s="10" t="s">
        <v>34</v>
      </c>
      <c r="N483" s="10" t="s">
        <v>35</v>
      </c>
      <c r="V483" s="14" t="s">
        <v>4739</v>
      </c>
      <c r="W483" s="15"/>
      <c r="X483" s="10" t="s">
        <v>37</v>
      </c>
      <c r="Y483" s="10" t="s">
        <v>0</v>
      </c>
    </row>
    <row r="484">
      <c r="A484" s="10" t="s">
        <v>5137</v>
      </c>
      <c r="B484" s="11">
        <v>44477.63145716435</v>
      </c>
      <c r="C484" s="10" t="s">
        <v>694</v>
      </c>
      <c r="D484" s="10" t="s">
        <v>695</v>
      </c>
      <c r="E484" s="10" t="s">
        <v>4316</v>
      </c>
      <c r="F484" s="10" t="s">
        <v>5138</v>
      </c>
      <c r="G484" s="10" t="s">
        <v>5139</v>
      </c>
      <c r="H484" s="11">
        <v>44479.58333333333</v>
      </c>
      <c r="I484" s="11">
        <v>44479.99930555555</v>
      </c>
      <c r="J484" s="10" t="s">
        <v>73</v>
      </c>
      <c r="K484" s="10" t="s">
        <v>34</v>
      </c>
      <c r="N484" s="10" t="s">
        <v>35</v>
      </c>
      <c r="V484" s="14" t="s">
        <v>3464</v>
      </c>
      <c r="W484" s="15"/>
      <c r="X484" s="10" t="s">
        <v>37</v>
      </c>
      <c r="Y484" s="10" t="s">
        <v>0</v>
      </c>
    </row>
    <row r="485">
      <c r="A485" s="10" t="s">
        <v>5140</v>
      </c>
      <c r="B485" s="11">
        <v>44477.63382497685</v>
      </c>
      <c r="C485" s="10" t="s">
        <v>694</v>
      </c>
      <c r="D485" s="10" t="s">
        <v>695</v>
      </c>
      <c r="E485" s="10" t="s">
        <v>4316</v>
      </c>
      <c r="F485" s="10" t="s">
        <v>5141</v>
      </c>
      <c r="G485" s="10" t="s">
        <v>5142</v>
      </c>
      <c r="H485" s="11">
        <v>44481.58333333333</v>
      </c>
      <c r="I485" s="11">
        <v>44481.99930555555</v>
      </c>
      <c r="J485" s="10" t="s">
        <v>73</v>
      </c>
      <c r="K485" s="10" t="s">
        <v>34</v>
      </c>
      <c r="N485" s="10" t="s">
        <v>35</v>
      </c>
      <c r="V485" s="14" t="s">
        <v>3464</v>
      </c>
      <c r="W485" s="15"/>
      <c r="X485" s="10" t="s">
        <v>37</v>
      </c>
      <c r="Y485" s="10" t="s">
        <v>0</v>
      </c>
    </row>
    <row r="486">
      <c r="A486" s="10" t="s">
        <v>5143</v>
      </c>
      <c r="B486" s="11">
        <v>44476.60442320602</v>
      </c>
      <c r="C486" s="10" t="s">
        <v>181</v>
      </c>
      <c r="D486" s="10" t="s">
        <v>69</v>
      </c>
      <c r="E486" s="10" t="s">
        <v>3864</v>
      </c>
      <c r="F486" s="10" t="s">
        <v>5124</v>
      </c>
      <c r="G486" s="10" t="s">
        <v>5125</v>
      </c>
      <c r="H486" s="11">
        <v>44484.47916666667</v>
      </c>
      <c r="I486" s="11">
        <v>44484.52083333333</v>
      </c>
      <c r="J486" s="10" t="s">
        <v>43</v>
      </c>
      <c r="K486" s="10" t="s">
        <v>34</v>
      </c>
      <c r="N486" s="10" t="s">
        <v>296</v>
      </c>
      <c r="O486" s="18" t="s">
        <v>5144</v>
      </c>
      <c r="P486" s="10" t="s">
        <v>35</v>
      </c>
      <c r="R486" s="10" t="s">
        <v>35</v>
      </c>
      <c r="T486" s="10" t="s">
        <v>296</v>
      </c>
      <c r="U486" s="10">
        <v>2.0</v>
      </c>
      <c r="V486" s="14" t="s">
        <v>5127</v>
      </c>
      <c r="W486" s="15"/>
      <c r="X486" s="10" t="s">
        <v>37</v>
      </c>
      <c r="Y486" s="10" t="s">
        <v>0</v>
      </c>
    </row>
    <row r="487">
      <c r="A487" s="10" t="s">
        <v>5145</v>
      </c>
      <c r="B487" s="11">
        <v>44477.67792289352</v>
      </c>
      <c r="C487" s="10" t="s">
        <v>374</v>
      </c>
      <c r="D487" s="10" t="s">
        <v>375</v>
      </c>
      <c r="E487" s="10" t="s">
        <v>261</v>
      </c>
      <c r="F487" s="10" t="s">
        <v>5146</v>
      </c>
      <c r="G487" s="10" t="s">
        <v>5147</v>
      </c>
      <c r="H487" s="11">
        <v>44486.6875</v>
      </c>
      <c r="I487" s="11">
        <v>44486.72916666667</v>
      </c>
      <c r="J487" s="10" t="s">
        <v>128</v>
      </c>
      <c r="K487" s="10" t="s">
        <v>34</v>
      </c>
      <c r="N487" s="10" t="s">
        <v>35</v>
      </c>
      <c r="V487" s="14" t="s">
        <v>5148</v>
      </c>
      <c r="W487" s="15"/>
      <c r="X487" s="10" t="s">
        <v>37</v>
      </c>
      <c r="Y487" s="10" t="s">
        <v>0</v>
      </c>
    </row>
    <row r="488">
      <c r="A488" s="10" t="s">
        <v>5149</v>
      </c>
      <c r="B488" s="11">
        <v>44477.68233106482</v>
      </c>
      <c r="C488" s="10" t="s">
        <v>374</v>
      </c>
      <c r="D488" s="10" t="s">
        <v>375</v>
      </c>
      <c r="E488" s="10" t="s">
        <v>5150</v>
      </c>
      <c r="F488" s="10" t="s">
        <v>5151</v>
      </c>
      <c r="G488" s="10" t="s">
        <v>5152</v>
      </c>
      <c r="H488" s="11">
        <v>44487.64583333333</v>
      </c>
      <c r="I488" s="11">
        <v>44487.6875</v>
      </c>
      <c r="J488" s="10" t="s">
        <v>128</v>
      </c>
      <c r="K488" s="10" t="s">
        <v>34</v>
      </c>
      <c r="N488" s="10" t="s">
        <v>35</v>
      </c>
      <c r="V488" s="14" t="s">
        <v>5153</v>
      </c>
      <c r="W488" s="15"/>
      <c r="X488" s="10" t="s">
        <v>37</v>
      </c>
      <c r="Y488" s="10" t="s">
        <v>0</v>
      </c>
    </row>
    <row r="489">
      <c r="A489" s="10" t="s">
        <v>5154</v>
      </c>
      <c r="B489" s="11">
        <v>44477.697054606484</v>
      </c>
      <c r="C489" s="10" t="s">
        <v>160</v>
      </c>
      <c r="D489" s="10" t="s">
        <v>161</v>
      </c>
      <c r="E489" s="10" t="s">
        <v>3953</v>
      </c>
      <c r="F489" s="10" t="s">
        <v>5155</v>
      </c>
      <c r="G489" s="10" t="s">
        <v>5156</v>
      </c>
      <c r="H489" s="11">
        <v>44479.66666666667</v>
      </c>
      <c r="I489" s="11">
        <v>44479.6875</v>
      </c>
      <c r="J489" s="10" t="s">
        <v>73</v>
      </c>
      <c r="K489" s="10" t="s">
        <v>34</v>
      </c>
      <c r="N489" s="10" t="s">
        <v>35</v>
      </c>
      <c r="V489" s="14" t="s">
        <v>4739</v>
      </c>
      <c r="W489" s="15"/>
      <c r="X489" s="10" t="s">
        <v>37</v>
      </c>
      <c r="Y489" s="10" t="s">
        <v>0</v>
      </c>
    </row>
    <row r="490">
      <c r="A490" s="10" t="s">
        <v>5157</v>
      </c>
      <c r="B490" s="11">
        <v>44477.721485092596</v>
      </c>
      <c r="C490" s="10" t="s">
        <v>330</v>
      </c>
      <c r="D490" s="10" t="s">
        <v>331</v>
      </c>
      <c r="E490" s="10" t="s">
        <v>4302</v>
      </c>
      <c r="F490" s="10" t="s">
        <v>5158</v>
      </c>
      <c r="G490" s="10" t="s">
        <v>5159</v>
      </c>
      <c r="H490" s="11">
        <v>44484.60416666667</v>
      </c>
      <c r="I490" s="11">
        <v>44484.6875</v>
      </c>
      <c r="J490" s="10" t="s">
        <v>43</v>
      </c>
      <c r="K490" s="10" t="s">
        <v>34</v>
      </c>
      <c r="N490" s="10" t="s">
        <v>35</v>
      </c>
      <c r="V490" s="14" t="s">
        <v>5160</v>
      </c>
      <c r="W490" s="15"/>
      <c r="X490" s="10" t="s">
        <v>37</v>
      </c>
      <c r="Y490" s="10" t="s">
        <v>0</v>
      </c>
    </row>
    <row r="491">
      <c r="A491" s="10" t="s">
        <v>5161</v>
      </c>
      <c r="B491" s="11">
        <v>44477.704128020836</v>
      </c>
      <c r="C491" s="10" t="s">
        <v>719</v>
      </c>
      <c r="D491" s="10" t="s">
        <v>161</v>
      </c>
      <c r="E491" s="10" t="s">
        <v>3953</v>
      </c>
      <c r="F491" s="10" t="s">
        <v>5162</v>
      </c>
      <c r="G491" s="10" t="s">
        <v>5163</v>
      </c>
      <c r="H491" s="11">
        <v>44487.41666666667</v>
      </c>
      <c r="I491" s="11">
        <v>44486.75</v>
      </c>
      <c r="J491" s="10" t="s">
        <v>51</v>
      </c>
      <c r="K491" s="10" t="s">
        <v>34</v>
      </c>
      <c r="N491" s="10" t="s">
        <v>35</v>
      </c>
      <c r="V491" s="14" t="s">
        <v>4739</v>
      </c>
      <c r="W491" s="15"/>
      <c r="X491" s="10" t="s">
        <v>37</v>
      </c>
      <c r="Y491" s="10" t="s">
        <v>0</v>
      </c>
    </row>
    <row r="492">
      <c r="A492" s="10" t="s">
        <v>5164</v>
      </c>
      <c r="B492" s="11">
        <v>44477.72518016204</v>
      </c>
      <c r="C492" s="10" t="s">
        <v>330</v>
      </c>
      <c r="D492" s="10" t="s">
        <v>331</v>
      </c>
      <c r="E492" s="10" t="s">
        <v>4302</v>
      </c>
      <c r="F492" s="10" t="s">
        <v>5158</v>
      </c>
      <c r="G492" s="10" t="s">
        <v>5165</v>
      </c>
      <c r="H492" s="11">
        <v>44491.60416666667</v>
      </c>
      <c r="I492" s="11">
        <v>44491.6875</v>
      </c>
      <c r="J492" s="10" t="s">
        <v>43</v>
      </c>
      <c r="K492" s="10" t="s">
        <v>34</v>
      </c>
      <c r="N492" s="10" t="s">
        <v>35</v>
      </c>
      <c r="V492" s="14" t="s">
        <v>5160</v>
      </c>
      <c r="W492" s="15"/>
      <c r="X492" s="10" t="s">
        <v>37</v>
      </c>
      <c r="Y492" s="10" t="s">
        <v>0</v>
      </c>
    </row>
    <row r="493">
      <c r="A493" s="10" t="s">
        <v>5166</v>
      </c>
      <c r="B493" s="11">
        <v>44484.50746998843</v>
      </c>
      <c r="C493" s="10" t="s">
        <v>181</v>
      </c>
      <c r="D493" s="10" t="s">
        <v>69</v>
      </c>
      <c r="E493" s="10" t="s">
        <v>1284</v>
      </c>
      <c r="F493" s="10" t="s">
        <v>5167</v>
      </c>
      <c r="G493" s="10" t="s">
        <v>5168</v>
      </c>
      <c r="H493" s="11">
        <v>44491.60416666667</v>
      </c>
      <c r="I493" s="11">
        <v>44491.66666666667</v>
      </c>
      <c r="J493" s="10" t="s">
        <v>43</v>
      </c>
      <c r="K493" s="10" t="s">
        <v>34</v>
      </c>
      <c r="N493" s="10" t="s">
        <v>35</v>
      </c>
      <c r="V493" s="14" t="s">
        <v>5169</v>
      </c>
      <c r="W493" s="15"/>
      <c r="X493" s="10" t="s">
        <v>37</v>
      </c>
      <c r="Y493" s="10" t="s">
        <v>0</v>
      </c>
    </row>
    <row r="494">
      <c r="A494" s="10" t="s">
        <v>5170</v>
      </c>
      <c r="B494" s="11">
        <v>44481.66666876157</v>
      </c>
      <c r="C494" s="10" t="s">
        <v>239</v>
      </c>
      <c r="D494" s="10" t="s">
        <v>240</v>
      </c>
      <c r="E494" s="10" t="s">
        <v>4561</v>
      </c>
      <c r="F494" s="10" t="s">
        <v>5171</v>
      </c>
      <c r="G494" s="10" t="s">
        <v>5172</v>
      </c>
      <c r="H494" s="11">
        <v>44481.41666666667</v>
      </c>
      <c r="I494" s="11">
        <v>44481.915972222225</v>
      </c>
      <c r="J494" s="10" t="s">
        <v>128</v>
      </c>
      <c r="K494" s="10" t="s">
        <v>34</v>
      </c>
      <c r="N494" s="10" t="s">
        <v>35</v>
      </c>
      <c r="V494" s="35" t="s">
        <v>4551</v>
      </c>
      <c r="W494" s="15"/>
      <c r="X494" s="10" t="s">
        <v>37</v>
      </c>
      <c r="Y494" s="10" t="s">
        <v>0</v>
      </c>
    </row>
    <row r="495">
      <c r="A495" s="10" t="s">
        <v>5173</v>
      </c>
      <c r="B495" s="11">
        <v>44483.48200721065</v>
      </c>
      <c r="C495" s="10" t="s">
        <v>610</v>
      </c>
      <c r="D495" s="10" t="s">
        <v>611</v>
      </c>
      <c r="E495" s="10" t="s">
        <v>3531</v>
      </c>
      <c r="F495" s="10" t="s">
        <v>5174</v>
      </c>
      <c r="G495" s="10" t="s">
        <v>5175</v>
      </c>
      <c r="H495" s="11">
        <v>44491.4375</v>
      </c>
      <c r="I495" s="11">
        <v>44491.5</v>
      </c>
      <c r="J495" s="10" t="s">
        <v>128</v>
      </c>
      <c r="K495" s="10" t="s">
        <v>34</v>
      </c>
      <c r="N495" s="10" t="s">
        <v>35</v>
      </c>
      <c r="V495" s="14" t="s">
        <v>5176</v>
      </c>
      <c r="W495" s="15"/>
      <c r="X495" s="10" t="s">
        <v>37</v>
      </c>
      <c r="Y495" s="10" t="s">
        <v>0</v>
      </c>
    </row>
    <row r="496">
      <c r="A496" s="10" t="s">
        <v>5177</v>
      </c>
      <c r="B496" s="11">
        <v>44477.674966527775</v>
      </c>
      <c r="C496" s="10" t="s">
        <v>374</v>
      </c>
      <c r="D496" s="10" t="s">
        <v>375</v>
      </c>
      <c r="E496" s="10" t="s">
        <v>261</v>
      </c>
      <c r="F496" s="10" t="s">
        <v>5178</v>
      </c>
      <c r="G496" s="10" t="s">
        <v>5179</v>
      </c>
      <c r="H496" s="11">
        <v>44491.66666666667</v>
      </c>
      <c r="I496" s="11">
        <v>44491.70833333333</v>
      </c>
      <c r="J496" s="10" t="s">
        <v>43</v>
      </c>
      <c r="K496" s="10" t="s">
        <v>34</v>
      </c>
      <c r="N496" s="10" t="s">
        <v>296</v>
      </c>
      <c r="O496" s="18" t="s">
        <v>5180</v>
      </c>
      <c r="P496" s="10" t="s">
        <v>296</v>
      </c>
      <c r="Q496" s="10">
        <v>1.0</v>
      </c>
      <c r="R496" s="10" t="s">
        <v>35</v>
      </c>
      <c r="T496" s="10" t="s">
        <v>35</v>
      </c>
      <c r="V496" s="14" t="s">
        <v>5181</v>
      </c>
      <c r="W496" s="15"/>
      <c r="X496" s="10" t="s">
        <v>37</v>
      </c>
      <c r="Y496" s="10" t="s">
        <v>0</v>
      </c>
    </row>
    <row r="497">
      <c r="A497" s="10" t="s">
        <v>5182</v>
      </c>
      <c r="B497" s="11">
        <v>44484.50889246528</v>
      </c>
      <c r="C497" s="10" t="s">
        <v>181</v>
      </c>
      <c r="D497" s="10" t="s">
        <v>69</v>
      </c>
      <c r="E497" s="10" t="s">
        <v>4175</v>
      </c>
      <c r="F497" s="10" t="s">
        <v>5183</v>
      </c>
      <c r="G497" s="10" t="s">
        <v>5184</v>
      </c>
      <c r="H497" s="11">
        <v>44487.33333333333</v>
      </c>
      <c r="I497" s="11">
        <v>44487.33333333333</v>
      </c>
      <c r="J497" s="10" t="s">
        <v>73</v>
      </c>
      <c r="K497" s="10" t="s">
        <v>34</v>
      </c>
      <c r="N497" s="10" t="s">
        <v>35</v>
      </c>
      <c r="V497" s="14" t="s">
        <v>4065</v>
      </c>
      <c r="W497" s="15"/>
      <c r="X497" s="10" t="s">
        <v>37</v>
      </c>
      <c r="Y497" s="10" t="s">
        <v>0</v>
      </c>
    </row>
    <row r="498">
      <c r="A498" s="10" t="s">
        <v>5185</v>
      </c>
      <c r="B498" s="11">
        <v>44484.509684247685</v>
      </c>
      <c r="C498" s="10" t="s">
        <v>181</v>
      </c>
      <c r="D498" s="10" t="s">
        <v>69</v>
      </c>
      <c r="E498" s="10" t="s">
        <v>1879</v>
      </c>
      <c r="F498" s="10" t="s">
        <v>5186</v>
      </c>
      <c r="G498" s="10" t="s">
        <v>5187</v>
      </c>
      <c r="H498" s="11">
        <v>44489.41666666667</v>
      </c>
      <c r="I498" s="11">
        <v>44489.41736111111</v>
      </c>
      <c r="J498" s="10" t="s">
        <v>73</v>
      </c>
      <c r="K498" s="10" t="s">
        <v>34</v>
      </c>
      <c r="N498" s="10" t="s">
        <v>35</v>
      </c>
      <c r="V498" s="14" t="s">
        <v>5188</v>
      </c>
      <c r="W498" s="15"/>
      <c r="X498" s="10" t="s">
        <v>37</v>
      </c>
      <c r="Y498" s="10" t="s">
        <v>0</v>
      </c>
    </row>
    <row r="499">
      <c r="A499" s="10" t="s">
        <v>5189</v>
      </c>
      <c r="B499" s="11">
        <v>44491.46858326389</v>
      </c>
      <c r="C499" s="10" t="s">
        <v>181</v>
      </c>
      <c r="D499" s="10" t="s">
        <v>69</v>
      </c>
      <c r="E499" s="10" t="s">
        <v>5190</v>
      </c>
      <c r="F499" s="10" t="s">
        <v>4386</v>
      </c>
      <c r="G499" s="10" t="s">
        <v>5191</v>
      </c>
      <c r="H499" s="11">
        <v>44494.72916666667</v>
      </c>
      <c r="I499" s="11">
        <v>44494.77083333333</v>
      </c>
      <c r="J499" s="10" t="s">
        <v>128</v>
      </c>
      <c r="K499" s="10" t="s">
        <v>34</v>
      </c>
      <c r="N499" s="10" t="s">
        <v>35</v>
      </c>
      <c r="V499" s="35" t="s">
        <v>4934</v>
      </c>
      <c r="W499" s="15"/>
      <c r="X499" s="10" t="s">
        <v>37</v>
      </c>
      <c r="Y499" s="10" t="s">
        <v>0</v>
      </c>
    </row>
    <row r="500">
      <c r="A500" s="10" t="s">
        <v>5192</v>
      </c>
      <c r="B500" s="11">
        <v>44491.46583221065</v>
      </c>
      <c r="C500" s="10" t="s">
        <v>181</v>
      </c>
      <c r="D500" s="10" t="s">
        <v>69</v>
      </c>
      <c r="E500" s="10" t="s">
        <v>4396</v>
      </c>
      <c r="F500" s="10" t="s">
        <v>5193</v>
      </c>
      <c r="G500" s="10" t="s">
        <v>5194</v>
      </c>
      <c r="H500" s="11">
        <v>44494.77083333333</v>
      </c>
      <c r="I500" s="11">
        <v>44494.79166666667</v>
      </c>
      <c r="J500" s="10" t="s">
        <v>128</v>
      </c>
      <c r="K500" s="10" t="s">
        <v>34</v>
      </c>
      <c r="N500" s="10" t="s">
        <v>35</v>
      </c>
      <c r="V500" s="14" t="s">
        <v>5195</v>
      </c>
      <c r="W500" s="15"/>
      <c r="X500" s="10" t="s">
        <v>37</v>
      </c>
      <c r="Y500" s="10" t="s">
        <v>0</v>
      </c>
    </row>
    <row r="501">
      <c r="A501" s="10" t="s">
        <v>5196</v>
      </c>
      <c r="B501" s="11">
        <v>44491.46698943287</v>
      </c>
      <c r="C501" s="10" t="s">
        <v>181</v>
      </c>
      <c r="D501" s="10" t="s">
        <v>69</v>
      </c>
      <c r="E501" s="10" t="s">
        <v>4396</v>
      </c>
      <c r="F501" s="10" t="s">
        <v>5197</v>
      </c>
      <c r="G501" s="10" t="s">
        <v>5198</v>
      </c>
      <c r="H501" s="11">
        <v>44494.79166666667</v>
      </c>
      <c r="I501" s="11">
        <v>44494.83333333333</v>
      </c>
      <c r="J501" s="10" t="s">
        <v>128</v>
      </c>
      <c r="K501" s="10" t="s">
        <v>34</v>
      </c>
      <c r="N501" s="10" t="s">
        <v>35</v>
      </c>
      <c r="V501" s="14" t="s">
        <v>5199</v>
      </c>
      <c r="W501" s="15"/>
      <c r="X501" s="10" t="s">
        <v>37</v>
      </c>
      <c r="Y501" s="10" t="s">
        <v>0</v>
      </c>
    </row>
    <row r="502">
      <c r="A502" s="10" t="s">
        <v>5200</v>
      </c>
      <c r="B502" s="11">
        <v>44484.51482658565</v>
      </c>
      <c r="C502" s="10" t="s">
        <v>181</v>
      </c>
      <c r="D502" s="10" t="s">
        <v>69</v>
      </c>
      <c r="E502" s="10" t="s">
        <v>5201</v>
      </c>
      <c r="F502" s="10" t="s">
        <v>5202</v>
      </c>
      <c r="G502" s="10" t="s">
        <v>5203</v>
      </c>
      <c r="H502" s="11">
        <v>44492.45833333333</v>
      </c>
      <c r="I502" s="11">
        <v>44492.52083333333</v>
      </c>
      <c r="J502" s="10" t="s">
        <v>43</v>
      </c>
      <c r="K502" s="10" t="s">
        <v>34</v>
      </c>
      <c r="N502" s="10" t="s">
        <v>296</v>
      </c>
      <c r="O502" s="18" t="s">
        <v>5204</v>
      </c>
      <c r="P502" s="10" t="s">
        <v>35</v>
      </c>
      <c r="R502" s="10" t="s">
        <v>296</v>
      </c>
      <c r="S502" s="10">
        <v>1.0</v>
      </c>
      <c r="T502" s="10" t="s">
        <v>35</v>
      </c>
      <c r="V502" s="14" t="s">
        <v>5205</v>
      </c>
      <c r="W502" s="15"/>
      <c r="X502" s="10" t="s">
        <v>37</v>
      </c>
      <c r="Y502" s="10" t="s">
        <v>0</v>
      </c>
    </row>
    <row r="503">
      <c r="A503" s="10" t="s">
        <v>5206</v>
      </c>
      <c r="B503" s="11">
        <v>44484.68114853009</v>
      </c>
      <c r="C503" s="10" t="s">
        <v>160</v>
      </c>
      <c r="D503" s="10" t="s">
        <v>161</v>
      </c>
      <c r="E503" s="10" t="s">
        <v>5207</v>
      </c>
      <c r="F503" s="10" t="s">
        <v>5208</v>
      </c>
      <c r="G503" s="10" t="s">
        <v>5209</v>
      </c>
      <c r="H503" s="11">
        <v>44484.75</v>
      </c>
      <c r="I503" s="11">
        <v>44484.75</v>
      </c>
      <c r="J503" s="10" t="s">
        <v>73</v>
      </c>
      <c r="K503" s="10" t="s">
        <v>34</v>
      </c>
      <c r="N503" s="10" t="s">
        <v>35</v>
      </c>
      <c r="V503" s="14" t="s">
        <v>4739</v>
      </c>
      <c r="W503" s="15"/>
      <c r="X503" s="10" t="s">
        <v>37</v>
      </c>
      <c r="Y503" s="10" t="s">
        <v>0</v>
      </c>
    </row>
    <row r="504">
      <c r="A504" s="10" t="s">
        <v>5210</v>
      </c>
      <c r="B504" s="11">
        <v>44484.718949155096</v>
      </c>
      <c r="C504" s="10" t="s">
        <v>160</v>
      </c>
      <c r="D504" s="10" t="s">
        <v>161</v>
      </c>
      <c r="E504" s="10" t="s">
        <v>5211</v>
      </c>
      <c r="F504" s="10" t="s">
        <v>5212</v>
      </c>
      <c r="G504" s="10" t="s">
        <v>5213</v>
      </c>
      <c r="H504" s="11">
        <v>44485.66666666667</v>
      </c>
      <c r="I504" s="11">
        <v>44485.66666666667</v>
      </c>
      <c r="J504" s="10" t="s">
        <v>73</v>
      </c>
      <c r="K504" s="10" t="s">
        <v>34</v>
      </c>
      <c r="N504" s="10" t="s">
        <v>35</v>
      </c>
      <c r="V504" s="14" t="s">
        <v>4739</v>
      </c>
      <c r="W504" s="15"/>
      <c r="X504" s="10" t="s">
        <v>37</v>
      </c>
      <c r="Y504" s="10" t="s">
        <v>0</v>
      </c>
    </row>
    <row r="505">
      <c r="A505" s="10" t="s">
        <v>5214</v>
      </c>
      <c r="B505" s="11">
        <v>44484.720887800926</v>
      </c>
      <c r="C505" s="10" t="s">
        <v>160</v>
      </c>
      <c r="D505" s="10" t="s">
        <v>161</v>
      </c>
      <c r="E505" s="10" t="s">
        <v>5207</v>
      </c>
      <c r="F505" s="10" t="s">
        <v>5215</v>
      </c>
      <c r="G505" s="10" t="s">
        <v>5216</v>
      </c>
      <c r="H505" s="11">
        <v>44486.75</v>
      </c>
      <c r="I505" s="11">
        <v>44486.75</v>
      </c>
      <c r="J505" s="10" t="s">
        <v>73</v>
      </c>
      <c r="K505" s="10" t="s">
        <v>34</v>
      </c>
      <c r="N505" s="10" t="s">
        <v>35</v>
      </c>
      <c r="V505" s="14" t="s">
        <v>4739</v>
      </c>
      <c r="W505" s="15"/>
      <c r="X505" s="10" t="s">
        <v>37</v>
      </c>
      <c r="Y505" s="10" t="s">
        <v>0</v>
      </c>
    </row>
    <row r="506">
      <c r="A506" s="10" t="s">
        <v>5217</v>
      </c>
      <c r="B506" s="11">
        <v>44485.353597905094</v>
      </c>
      <c r="C506" s="10" t="s">
        <v>150</v>
      </c>
      <c r="D506" s="10" t="s">
        <v>151</v>
      </c>
      <c r="E506" s="10" t="s">
        <v>4257</v>
      </c>
      <c r="F506" s="10" t="s">
        <v>4613</v>
      </c>
      <c r="G506" s="10" t="s">
        <v>5218</v>
      </c>
      <c r="H506" s="11">
        <v>44485.41666666667</v>
      </c>
      <c r="I506" s="11">
        <v>44485.5</v>
      </c>
      <c r="J506" s="10" t="s">
        <v>128</v>
      </c>
      <c r="K506" s="10" t="s">
        <v>34</v>
      </c>
      <c r="N506" s="10" t="s">
        <v>35</v>
      </c>
      <c r="V506" s="35" t="s">
        <v>3775</v>
      </c>
      <c r="W506" s="15"/>
      <c r="X506" s="10" t="s">
        <v>37</v>
      </c>
      <c r="Y506" s="10" t="s">
        <v>0</v>
      </c>
    </row>
    <row r="507">
      <c r="A507" s="10" t="s">
        <v>5219</v>
      </c>
      <c r="B507" s="11">
        <v>44488.47600952546</v>
      </c>
      <c r="C507" s="10" t="s">
        <v>137</v>
      </c>
      <c r="D507" s="10" t="s">
        <v>138</v>
      </c>
      <c r="E507" s="10" t="s">
        <v>3299</v>
      </c>
      <c r="F507" s="10" t="s">
        <v>5220</v>
      </c>
      <c r="G507" s="10" t="s">
        <v>5221</v>
      </c>
      <c r="H507" s="11">
        <v>44492.58333333333</v>
      </c>
      <c r="I507" s="11">
        <v>44492.66666666667</v>
      </c>
      <c r="J507" s="10" t="s">
        <v>43</v>
      </c>
      <c r="K507" s="10" t="s">
        <v>34</v>
      </c>
      <c r="N507" s="10" t="s">
        <v>35</v>
      </c>
      <c r="V507" s="35" t="s">
        <v>5222</v>
      </c>
      <c r="W507" s="15"/>
      <c r="X507" s="10" t="s">
        <v>37</v>
      </c>
      <c r="Y507" s="10" t="s">
        <v>5223</v>
      </c>
    </row>
    <row r="508">
      <c r="A508" s="10" t="s">
        <v>5224</v>
      </c>
      <c r="B508" s="11">
        <v>44485.97889133102</v>
      </c>
      <c r="C508" s="10" t="s">
        <v>347</v>
      </c>
      <c r="D508" s="10" t="s">
        <v>348</v>
      </c>
      <c r="E508" s="10" t="s">
        <v>3429</v>
      </c>
      <c r="F508" s="10" t="s">
        <v>5225</v>
      </c>
      <c r="G508" s="10" t="s">
        <v>5226</v>
      </c>
      <c r="H508" s="11">
        <v>44492.60416666667</v>
      </c>
      <c r="I508" s="11">
        <v>44492.6875</v>
      </c>
      <c r="J508" s="10" t="s">
        <v>43</v>
      </c>
      <c r="K508" s="10" t="s">
        <v>34</v>
      </c>
      <c r="N508" s="10" t="s">
        <v>35</v>
      </c>
      <c r="V508" s="14" t="s">
        <v>5227</v>
      </c>
      <c r="W508" s="15"/>
      <c r="X508" s="10" t="s">
        <v>37</v>
      </c>
      <c r="Y508" s="10" t="s">
        <v>0</v>
      </c>
    </row>
    <row r="509">
      <c r="A509" s="10" t="s">
        <v>5228</v>
      </c>
      <c r="B509" s="11">
        <v>44494.39732292824</v>
      </c>
      <c r="C509" s="10" t="s">
        <v>160</v>
      </c>
      <c r="D509" s="10" t="s">
        <v>161</v>
      </c>
      <c r="E509" s="10" t="s">
        <v>5207</v>
      </c>
      <c r="F509" s="10" t="s">
        <v>5229</v>
      </c>
      <c r="G509" s="10" t="s">
        <v>5230</v>
      </c>
      <c r="H509" s="11">
        <v>44495.33333333333</v>
      </c>
      <c r="I509" s="11">
        <v>44502.49930555555</v>
      </c>
      <c r="J509" s="10" t="s">
        <v>51</v>
      </c>
      <c r="K509" s="10" t="s">
        <v>34</v>
      </c>
      <c r="N509" s="10" t="s">
        <v>35</v>
      </c>
      <c r="V509" s="14" t="s">
        <v>5231</v>
      </c>
      <c r="W509" s="15"/>
      <c r="X509" s="10" t="s">
        <v>37</v>
      </c>
      <c r="Y509" s="10" t="s">
        <v>0</v>
      </c>
    </row>
    <row r="510">
      <c r="A510" s="10" t="s">
        <v>5232</v>
      </c>
      <c r="B510" s="11">
        <v>44488.5281230324</v>
      </c>
      <c r="C510" s="10" t="s">
        <v>5233</v>
      </c>
      <c r="D510" s="10" t="s">
        <v>161</v>
      </c>
      <c r="E510" s="10" t="s">
        <v>5207</v>
      </c>
      <c r="F510" s="10" t="s">
        <v>5234</v>
      </c>
      <c r="G510" s="10" t="s">
        <v>5235</v>
      </c>
      <c r="H510" s="11">
        <v>44488.58333333333</v>
      </c>
      <c r="I510" s="11">
        <v>44488.58333333333</v>
      </c>
      <c r="J510" s="10" t="s">
        <v>73</v>
      </c>
      <c r="K510" s="10" t="s">
        <v>34</v>
      </c>
      <c r="N510" s="10" t="s">
        <v>35</v>
      </c>
      <c r="V510" s="14" t="s">
        <v>4739</v>
      </c>
      <c r="W510" s="15"/>
      <c r="X510" s="10" t="s">
        <v>37</v>
      </c>
      <c r="Y510" s="10" t="s">
        <v>0</v>
      </c>
    </row>
    <row r="511">
      <c r="A511" s="10" t="s">
        <v>5236</v>
      </c>
      <c r="B511" s="11">
        <v>44488.53048615741</v>
      </c>
      <c r="C511" s="10" t="s">
        <v>160</v>
      </c>
      <c r="D511" s="10" t="s">
        <v>161</v>
      </c>
      <c r="E511" s="10" t="s">
        <v>5207</v>
      </c>
      <c r="F511" s="10" t="s">
        <v>5237</v>
      </c>
      <c r="G511" s="10" t="s">
        <v>5238</v>
      </c>
      <c r="H511" s="11">
        <v>44488.58333333333</v>
      </c>
      <c r="I511" s="11">
        <v>44488.58333333333</v>
      </c>
      <c r="J511" s="10" t="s">
        <v>73</v>
      </c>
      <c r="K511" s="10" t="s">
        <v>34</v>
      </c>
      <c r="N511" s="10" t="s">
        <v>35</v>
      </c>
      <c r="V511" s="14" t="s">
        <v>4739</v>
      </c>
      <c r="W511" s="15"/>
      <c r="X511" s="10" t="s">
        <v>37</v>
      </c>
      <c r="Y511" s="10" t="s">
        <v>0</v>
      </c>
    </row>
    <row r="512">
      <c r="A512" s="10" t="s">
        <v>5239</v>
      </c>
      <c r="B512" s="11">
        <v>44488.5762059375</v>
      </c>
      <c r="C512" s="10" t="s">
        <v>610</v>
      </c>
      <c r="D512" s="10" t="s">
        <v>611</v>
      </c>
      <c r="E512" s="10" t="s">
        <v>3531</v>
      </c>
      <c r="F512" s="10" t="s">
        <v>5240</v>
      </c>
      <c r="G512" s="10" t="s">
        <v>5241</v>
      </c>
      <c r="H512" s="11">
        <v>44491.4375</v>
      </c>
      <c r="I512" s="11">
        <v>44491.5</v>
      </c>
      <c r="J512" s="10" t="s">
        <v>128</v>
      </c>
      <c r="K512" s="10" t="s">
        <v>34</v>
      </c>
      <c r="N512" s="10" t="s">
        <v>35</v>
      </c>
      <c r="V512" s="14" t="s">
        <v>5176</v>
      </c>
      <c r="W512" s="15"/>
      <c r="X512" s="10" t="s">
        <v>37</v>
      </c>
      <c r="Y512" s="10" t="s">
        <v>0</v>
      </c>
    </row>
    <row r="513">
      <c r="A513" s="10" t="s">
        <v>5242</v>
      </c>
      <c r="B513" s="11">
        <v>44488.580872314815</v>
      </c>
      <c r="C513" s="10" t="s">
        <v>610</v>
      </c>
      <c r="D513" s="10" t="s">
        <v>611</v>
      </c>
      <c r="E513" s="10" t="s">
        <v>3531</v>
      </c>
      <c r="F513" s="10" t="s">
        <v>5243</v>
      </c>
      <c r="G513" s="10" t="s">
        <v>5244</v>
      </c>
      <c r="H513" s="11">
        <v>44490.625</v>
      </c>
      <c r="I513" s="11">
        <v>44490.70833333333</v>
      </c>
      <c r="J513" s="10" t="s">
        <v>128</v>
      </c>
      <c r="K513" s="10" t="s">
        <v>34</v>
      </c>
      <c r="N513" s="10" t="s">
        <v>35</v>
      </c>
      <c r="V513" s="14" t="s">
        <v>5245</v>
      </c>
      <c r="W513" s="15"/>
      <c r="X513" s="10" t="s">
        <v>37</v>
      </c>
      <c r="Y513" s="10" t="s">
        <v>0</v>
      </c>
    </row>
    <row r="514">
      <c r="A514" s="10" t="s">
        <v>5246</v>
      </c>
      <c r="B514" s="11">
        <v>44490.43625328704</v>
      </c>
      <c r="C514" s="10" t="s">
        <v>239</v>
      </c>
      <c r="D514" s="10" t="s">
        <v>240</v>
      </c>
      <c r="E514" s="10" t="s">
        <v>4561</v>
      </c>
      <c r="F514" s="10" t="s">
        <v>5247</v>
      </c>
      <c r="G514" s="10" t="s">
        <v>5248</v>
      </c>
      <c r="H514" s="11">
        <v>44496.0</v>
      </c>
      <c r="I514" s="11">
        <v>44500.5</v>
      </c>
      <c r="J514" s="10" t="s">
        <v>51</v>
      </c>
      <c r="K514" s="10" t="s">
        <v>34</v>
      </c>
      <c r="N514" s="10" t="s">
        <v>35</v>
      </c>
      <c r="V514" s="35" t="s">
        <v>4537</v>
      </c>
      <c r="W514" s="15"/>
      <c r="X514" s="10" t="s">
        <v>37</v>
      </c>
      <c r="Y514" s="10" t="s">
        <v>0</v>
      </c>
    </row>
    <row r="515">
      <c r="A515" s="10" t="s">
        <v>5249</v>
      </c>
      <c r="B515" s="11">
        <v>44488.69223043982</v>
      </c>
      <c r="C515" s="10" t="s">
        <v>209</v>
      </c>
      <c r="D515" s="10" t="s">
        <v>210</v>
      </c>
      <c r="E515" s="10" t="s">
        <v>261</v>
      </c>
      <c r="F515" s="10" t="s">
        <v>5250</v>
      </c>
      <c r="G515" s="10" t="s">
        <v>5251</v>
      </c>
      <c r="H515" s="11">
        <v>44490.52083333333</v>
      </c>
      <c r="I515" s="11">
        <v>44502.521527777775</v>
      </c>
      <c r="J515" s="10" t="s">
        <v>51</v>
      </c>
      <c r="K515" s="10" t="s">
        <v>34</v>
      </c>
      <c r="N515" s="10" t="s">
        <v>35</v>
      </c>
      <c r="V515" s="14" t="s">
        <v>4146</v>
      </c>
      <c r="W515" s="15"/>
      <c r="X515" s="10" t="s">
        <v>37</v>
      </c>
      <c r="Y515" s="10" t="s">
        <v>0</v>
      </c>
    </row>
    <row r="516">
      <c r="A516" s="10" t="s">
        <v>5252</v>
      </c>
      <c r="B516" s="11">
        <v>44488.69545353009</v>
      </c>
      <c r="C516" s="10" t="s">
        <v>209</v>
      </c>
      <c r="D516" s="10" t="s">
        <v>210</v>
      </c>
      <c r="E516" s="10" t="s">
        <v>261</v>
      </c>
      <c r="F516" s="10" t="s">
        <v>5250</v>
      </c>
      <c r="G516" s="10" t="s">
        <v>5253</v>
      </c>
      <c r="H516" s="11">
        <v>44491.5</v>
      </c>
      <c r="I516" s="11">
        <v>44491.50069444445</v>
      </c>
      <c r="J516" s="10" t="s">
        <v>73</v>
      </c>
      <c r="K516" s="10" t="s">
        <v>34</v>
      </c>
      <c r="N516" s="10" t="s">
        <v>35</v>
      </c>
      <c r="V516" s="14" t="s">
        <v>4146</v>
      </c>
      <c r="W516" s="15"/>
      <c r="X516" s="10" t="s">
        <v>37</v>
      </c>
      <c r="Y516" s="10" t="s">
        <v>0</v>
      </c>
    </row>
    <row r="517">
      <c r="A517" s="10" t="s">
        <v>5254</v>
      </c>
      <c r="B517" s="11">
        <v>44488.70890819444</v>
      </c>
      <c r="C517" s="10" t="s">
        <v>209</v>
      </c>
      <c r="D517" s="10" t="s">
        <v>210</v>
      </c>
      <c r="E517" s="10" t="s">
        <v>261</v>
      </c>
      <c r="F517" s="10" t="s">
        <v>5250</v>
      </c>
      <c r="G517" s="10" t="s">
        <v>5255</v>
      </c>
      <c r="H517" s="11">
        <v>44491.5</v>
      </c>
      <c r="I517" s="11">
        <v>44491.50069444445</v>
      </c>
      <c r="J517" s="10" t="s">
        <v>73</v>
      </c>
      <c r="K517" s="10" t="s">
        <v>34</v>
      </c>
      <c r="N517" s="10" t="s">
        <v>35</v>
      </c>
      <c r="V517" s="14" t="s">
        <v>4146</v>
      </c>
      <c r="W517" s="15"/>
      <c r="X517" s="10" t="s">
        <v>37</v>
      </c>
      <c r="Y517" s="10" t="s">
        <v>0</v>
      </c>
    </row>
    <row r="518">
      <c r="A518" s="10" t="s">
        <v>5256</v>
      </c>
      <c r="B518" s="11">
        <v>44488.71711592593</v>
      </c>
      <c r="C518" s="10" t="s">
        <v>209</v>
      </c>
      <c r="D518" s="10" t="s">
        <v>210</v>
      </c>
      <c r="E518" s="10" t="s">
        <v>261</v>
      </c>
      <c r="F518" s="10" t="s">
        <v>5257</v>
      </c>
      <c r="G518" s="10" t="s">
        <v>5258</v>
      </c>
      <c r="H518" s="11">
        <v>44492.5</v>
      </c>
      <c r="I518" s="11">
        <v>44492.50069444445</v>
      </c>
      <c r="J518" s="10" t="s">
        <v>73</v>
      </c>
      <c r="K518" s="10" t="s">
        <v>34</v>
      </c>
      <c r="N518" s="10" t="s">
        <v>35</v>
      </c>
      <c r="V518" s="14" t="s">
        <v>4146</v>
      </c>
      <c r="W518" s="15"/>
      <c r="X518" s="10" t="s">
        <v>37</v>
      </c>
      <c r="Y518" s="10" t="s">
        <v>0</v>
      </c>
    </row>
    <row r="519">
      <c r="A519" s="10" t="s">
        <v>5259</v>
      </c>
      <c r="B519" s="11">
        <v>44489.69506790509</v>
      </c>
      <c r="C519" s="10" t="s">
        <v>3304</v>
      </c>
      <c r="D519" s="10" t="s">
        <v>695</v>
      </c>
      <c r="E519" s="10" t="s">
        <v>4316</v>
      </c>
      <c r="F519" s="10" t="s">
        <v>5260</v>
      </c>
      <c r="G519" s="10" t="s">
        <v>5261</v>
      </c>
      <c r="H519" s="11">
        <v>44491.58333333333</v>
      </c>
      <c r="I519" s="11">
        <v>44491.99930555555</v>
      </c>
      <c r="J519" s="10" t="s">
        <v>73</v>
      </c>
      <c r="K519" s="10" t="s">
        <v>34</v>
      </c>
      <c r="N519" s="10" t="s">
        <v>296</v>
      </c>
      <c r="O519" s="18" t="s">
        <v>5262</v>
      </c>
      <c r="P519" s="10" t="s">
        <v>296</v>
      </c>
      <c r="Q519" s="10">
        <v>1.0</v>
      </c>
      <c r="R519" s="10" t="s">
        <v>35</v>
      </c>
      <c r="T519" s="10" t="s">
        <v>35</v>
      </c>
      <c r="V519" s="14" t="s">
        <v>3464</v>
      </c>
      <c r="W519" s="15"/>
      <c r="X519" s="10" t="s">
        <v>37</v>
      </c>
      <c r="Y519" s="10" t="s">
        <v>0</v>
      </c>
    </row>
    <row r="520">
      <c r="A520" s="10" t="s">
        <v>5263</v>
      </c>
      <c r="B520" s="11">
        <v>44489.81746369213</v>
      </c>
      <c r="C520" s="10" t="s">
        <v>160</v>
      </c>
      <c r="D520" s="10" t="s">
        <v>161</v>
      </c>
      <c r="E520" s="10" t="s">
        <v>5264</v>
      </c>
      <c r="F520" s="10" t="s">
        <v>5265</v>
      </c>
      <c r="G520" s="10" t="s">
        <v>5266</v>
      </c>
      <c r="H520" s="11">
        <v>44491.66666666667</v>
      </c>
      <c r="I520" s="11">
        <v>44491.66666666667</v>
      </c>
      <c r="J520" s="10" t="s">
        <v>73</v>
      </c>
      <c r="K520" s="10" t="s">
        <v>34</v>
      </c>
      <c r="N520" s="10" t="s">
        <v>35</v>
      </c>
      <c r="V520" s="14" t="s">
        <v>5231</v>
      </c>
      <c r="W520" s="15"/>
      <c r="X520" s="10" t="s">
        <v>37</v>
      </c>
      <c r="Y520" s="10" t="s">
        <v>0</v>
      </c>
    </row>
    <row r="521">
      <c r="A521" s="10" t="s">
        <v>5267</v>
      </c>
      <c r="B521" s="11">
        <v>44490.428298831015</v>
      </c>
      <c r="C521" s="10" t="s">
        <v>239</v>
      </c>
      <c r="D521" s="10" t="s">
        <v>240</v>
      </c>
      <c r="E521" s="10" t="s">
        <v>4561</v>
      </c>
      <c r="F521" s="10" t="s">
        <v>5268</v>
      </c>
      <c r="G521" s="10" t="s">
        <v>5269</v>
      </c>
      <c r="H521" s="11">
        <v>44482.58333333333</v>
      </c>
      <c r="I521" s="11">
        <v>44482.75</v>
      </c>
      <c r="J521" s="10" t="s">
        <v>128</v>
      </c>
      <c r="K521" s="10" t="s">
        <v>34</v>
      </c>
      <c r="N521" s="10" t="s">
        <v>35</v>
      </c>
      <c r="V521" s="35" t="s">
        <v>4537</v>
      </c>
      <c r="W521" s="15"/>
      <c r="X521" s="10" t="s">
        <v>37</v>
      </c>
      <c r="Y521" s="10" t="s">
        <v>0</v>
      </c>
    </row>
    <row r="522">
      <c r="A522" s="10" t="s">
        <v>5270</v>
      </c>
      <c r="B522" s="11">
        <v>44490.43014231481</v>
      </c>
      <c r="C522" s="10" t="s">
        <v>239</v>
      </c>
      <c r="D522" s="10" t="s">
        <v>240</v>
      </c>
      <c r="E522" s="10" t="s">
        <v>4561</v>
      </c>
      <c r="F522" s="10" t="s">
        <v>5271</v>
      </c>
      <c r="G522" s="10" t="s">
        <v>5272</v>
      </c>
      <c r="H522" s="11">
        <v>44483.33333333333</v>
      </c>
      <c r="I522" s="11">
        <v>44483.75</v>
      </c>
      <c r="J522" s="10" t="s">
        <v>128</v>
      </c>
      <c r="K522" s="10" t="s">
        <v>34</v>
      </c>
      <c r="N522" s="10" t="s">
        <v>35</v>
      </c>
      <c r="V522" s="35" t="s">
        <v>4537</v>
      </c>
      <c r="W522" s="15"/>
      <c r="X522" s="10" t="s">
        <v>37</v>
      </c>
      <c r="Y522" s="10" t="s">
        <v>0</v>
      </c>
    </row>
    <row r="523">
      <c r="A523" s="10" t="s">
        <v>5273</v>
      </c>
      <c r="B523" s="11">
        <v>44490.43203196759</v>
      </c>
      <c r="C523" s="10" t="s">
        <v>239</v>
      </c>
      <c r="D523" s="10" t="s">
        <v>240</v>
      </c>
      <c r="E523" s="10" t="s">
        <v>4561</v>
      </c>
      <c r="F523" s="10" t="s">
        <v>5274</v>
      </c>
      <c r="G523" s="10" t="s">
        <v>5275</v>
      </c>
      <c r="H523" s="11">
        <v>44484.8125</v>
      </c>
      <c r="I523" s="11">
        <v>44484.89583333333</v>
      </c>
      <c r="J523" s="10" t="s">
        <v>128</v>
      </c>
      <c r="K523" s="10" t="s">
        <v>34</v>
      </c>
      <c r="N523" s="10" t="s">
        <v>35</v>
      </c>
      <c r="V523" s="14" t="s">
        <v>5276</v>
      </c>
      <c r="W523" s="15"/>
      <c r="X523" s="10" t="s">
        <v>37</v>
      </c>
      <c r="Y523" s="10" t="s">
        <v>0</v>
      </c>
    </row>
    <row r="524">
      <c r="A524" s="10" t="s">
        <v>5277</v>
      </c>
      <c r="B524" s="11">
        <v>44490.43355707176</v>
      </c>
      <c r="C524" s="10" t="s">
        <v>239</v>
      </c>
      <c r="D524" s="10" t="s">
        <v>240</v>
      </c>
      <c r="E524" s="10" t="s">
        <v>4561</v>
      </c>
      <c r="F524" s="10" t="s">
        <v>5278</v>
      </c>
      <c r="G524" s="10" t="s">
        <v>5279</v>
      </c>
      <c r="H524" s="11">
        <v>44491.47916666667</v>
      </c>
      <c r="I524" s="11">
        <v>44491.60416666667</v>
      </c>
      <c r="J524" s="10" t="s">
        <v>128</v>
      </c>
      <c r="K524" s="10" t="s">
        <v>34</v>
      </c>
      <c r="N524" s="10" t="s">
        <v>35</v>
      </c>
      <c r="V524" s="35" t="s">
        <v>5280</v>
      </c>
      <c r="W524" s="15"/>
      <c r="X524" s="10" t="s">
        <v>37</v>
      </c>
      <c r="Y524" s="10" t="s">
        <v>0</v>
      </c>
    </row>
    <row r="525">
      <c r="A525" s="10" t="s">
        <v>5281</v>
      </c>
      <c r="B525" s="11">
        <v>44490.43480668982</v>
      </c>
      <c r="C525" s="10" t="s">
        <v>239</v>
      </c>
      <c r="D525" s="10" t="s">
        <v>240</v>
      </c>
      <c r="E525" s="10" t="s">
        <v>4561</v>
      </c>
      <c r="F525" s="10" t="s">
        <v>5282</v>
      </c>
      <c r="G525" s="10" t="s">
        <v>5283</v>
      </c>
      <c r="H525" s="11">
        <v>44492.58333333333</v>
      </c>
      <c r="I525" s="11">
        <v>44492.70833333333</v>
      </c>
      <c r="J525" s="10" t="s">
        <v>128</v>
      </c>
      <c r="K525" s="10" t="s">
        <v>34</v>
      </c>
      <c r="N525" s="10" t="s">
        <v>35</v>
      </c>
      <c r="V525" s="35" t="s">
        <v>4537</v>
      </c>
      <c r="W525" s="15"/>
      <c r="X525" s="10" t="s">
        <v>37</v>
      </c>
      <c r="Y525" s="10" t="s">
        <v>0</v>
      </c>
    </row>
    <row r="526">
      <c r="A526" s="10" t="s">
        <v>5284</v>
      </c>
      <c r="B526" s="11">
        <v>44484.51121059028</v>
      </c>
      <c r="C526" s="10" t="s">
        <v>181</v>
      </c>
      <c r="D526" s="10" t="s">
        <v>69</v>
      </c>
      <c r="E526" s="10" t="s">
        <v>1879</v>
      </c>
      <c r="F526" s="10" t="s">
        <v>5285</v>
      </c>
      <c r="G526" s="10" t="s">
        <v>5286</v>
      </c>
      <c r="H526" s="11">
        <v>44496.41666666667</v>
      </c>
      <c r="I526" s="11">
        <v>44496.41736111111</v>
      </c>
      <c r="J526" s="10" t="s">
        <v>73</v>
      </c>
      <c r="K526" s="10" t="s">
        <v>34</v>
      </c>
      <c r="N526" s="10" t="s">
        <v>35</v>
      </c>
      <c r="V526" s="14" t="s">
        <v>5188</v>
      </c>
      <c r="W526" s="15"/>
      <c r="X526" s="10" t="s">
        <v>37</v>
      </c>
      <c r="Y526" s="10" t="s">
        <v>0</v>
      </c>
    </row>
    <row r="527">
      <c r="A527" s="10" t="s">
        <v>5287</v>
      </c>
      <c r="B527" s="11">
        <v>44490.43768383102</v>
      </c>
      <c r="C527" s="10" t="s">
        <v>239</v>
      </c>
      <c r="D527" s="10" t="s">
        <v>240</v>
      </c>
      <c r="E527" s="10" t="s">
        <v>4561</v>
      </c>
      <c r="F527" s="10" t="s">
        <v>5288</v>
      </c>
      <c r="G527" s="10" t="s">
        <v>5289</v>
      </c>
      <c r="H527" s="11">
        <v>44488.5</v>
      </c>
      <c r="I527" s="11">
        <v>44493.5</v>
      </c>
      <c r="J527" s="10" t="s">
        <v>128</v>
      </c>
      <c r="K527" s="10" t="s">
        <v>34</v>
      </c>
      <c r="N527" s="10" t="s">
        <v>35</v>
      </c>
      <c r="V527" s="35" t="s">
        <v>4537</v>
      </c>
      <c r="W527" s="15"/>
      <c r="X527" s="10" t="s">
        <v>37</v>
      </c>
      <c r="Y527" s="10" t="s">
        <v>0</v>
      </c>
    </row>
    <row r="528">
      <c r="A528" s="10" t="s">
        <v>5290</v>
      </c>
      <c r="B528" s="11">
        <v>44490.43927717593</v>
      </c>
      <c r="C528" s="10" t="s">
        <v>239</v>
      </c>
      <c r="D528" s="10" t="s">
        <v>240</v>
      </c>
      <c r="E528" s="10" t="s">
        <v>4561</v>
      </c>
      <c r="F528" s="10" t="s">
        <v>5291</v>
      </c>
      <c r="G528" s="10" t="s">
        <v>5292</v>
      </c>
      <c r="H528" s="11">
        <v>44484.75</v>
      </c>
      <c r="I528" s="11">
        <v>44486.5</v>
      </c>
      <c r="J528" s="10" t="s">
        <v>43</v>
      </c>
      <c r="K528" s="10" t="s">
        <v>34</v>
      </c>
      <c r="N528" s="10" t="s">
        <v>35</v>
      </c>
      <c r="V528" s="35" t="s">
        <v>4537</v>
      </c>
      <c r="W528" s="15"/>
      <c r="X528" s="10" t="s">
        <v>37</v>
      </c>
      <c r="Y528" s="10" t="s">
        <v>0</v>
      </c>
    </row>
    <row r="529">
      <c r="A529" s="10" t="s">
        <v>5293</v>
      </c>
      <c r="B529" s="11">
        <v>44490.755318275464</v>
      </c>
      <c r="C529" s="10" t="s">
        <v>671</v>
      </c>
      <c r="D529" s="10" t="s">
        <v>672</v>
      </c>
      <c r="E529" s="10" t="s">
        <v>5294</v>
      </c>
      <c r="F529" s="10" t="s">
        <v>5295</v>
      </c>
      <c r="G529" s="10" t="s">
        <v>4407</v>
      </c>
      <c r="H529" s="11">
        <v>44497.52083333333</v>
      </c>
      <c r="I529" s="11">
        <v>44497.5625</v>
      </c>
      <c r="J529" s="10" t="s">
        <v>128</v>
      </c>
      <c r="K529" s="10" t="s">
        <v>34</v>
      </c>
      <c r="N529" s="10" t="s">
        <v>35</v>
      </c>
      <c r="V529" s="14" t="s">
        <v>3906</v>
      </c>
      <c r="W529" s="15"/>
      <c r="X529" s="10" t="s">
        <v>37</v>
      </c>
      <c r="Y529" s="10" t="s">
        <v>0</v>
      </c>
    </row>
    <row r="530">
      <c r="A530" s="10" t="s">
        <v>5296</v>
      </c>
      <c r="B530" s="11">
        <v>44490.64834447917</v>
      </c>
      <c r="C530" s="10" t="s">
        <v>160</v>
      </c>
      <c r="D530" s="10" t="s">
        <v>161</v>
      </c>
      <c r="E530" s="10" t="s">
        <v>3804</v>
      </c>
      <c r="F530" s="10" t="s">
        <v>5297</v>
      </c>
      <c r="G530" s="10" t="s">
        <v>5298</v>
      </c>
      <c r="H530" s="11">
        <v>44497.72916666667</v>
      </c>
      <c r="I530" s="11">
        <v>44497.77083333333</v>
      </c>
      <c r="J530" s="10" t="s">
        <v>1333</v>
      </c>
      <c r="K530" s="10" t="s">
        <v>34</v>
      </c>
      <c r="N530" s="10" t="s">
        <v>296</v>
      </c>
      <c r="O530" s="18" t="s">
        <v>5299</v>
      </c>
      <c r="P530" s="10" t="s">
        <v>35</v>
      </c>
      <c r="R530" s="10" t="s">
        <v>296</v>
      </c>
      <c r="S530" s="10">
        <v>2.0</v>
      </c>
      <c r="T530" s="10" t="s">
        <v>35</v>
      </c>
      <c r="V530" s="14" t="s">
        <v>5300</v>
      </c>
      <c r="W530" s="15"/>
      <c r="X530" s="10" t="s">
        <v>37</v>
      </c>
      <c r="Y530" s="10" t="s">
        <v>0</v>
      </c>
    </row>
    <row r="531">
      <c r="A531" s="10" t="s">
        <v>5301</v>
      </c>
      <c r="B531" s="11">
        <v>44472.54286840278</v>
      </c>
      <c r="C531" s="10" t="s">
        <v>239</v>
      </c>
      <c r="D531" s="10" t="s">
        <v>240</v>
      </c>
      <c r="E531" s="10" t="s">
        <v>4561</v>
      </c>
      <c r="F531" s="10" t="s">
        <v>4640</v>
      </c>
      <c r="G531" s="10" t="s">
        <v>5302</v>
      </c>
      <c r="H531" s="11">
        <v>44498.0</v>
      </c>
      <c r="I531" s="11">
        <v>44479.0</v>
      </c>
      <c r="J531" s="10" t="s">
        <v>128</v>
      </c>
      <c r="K531" s="10" t="s">
        <v>34</v>
      </c>
      <c r="N531" s="10" t="s">
        <v>35</v>
      </c>
      <c r="V531" s="35" t="s">
        <v>4551</v>
      </c>
      <c r="W531" s="15"/>
      <c r="X531" s="10" t="s">
        <v>37</v>
      </c>
      <c r="Y531" s="10" t="s">
        <v>0</v>
      </c>
    </row>
    <row r="532">
      <c r="A532" s="10" t="s">
        <v>5303</v>
      </c>
      <c r="B532" s="11">
        <v>44491.56598084491</v>
      </c>
      <c r="C532" s="10" t="s">
        <v>3304</v>
      </c>
      <c r="D532" s="10" t="s">
        <v>695</v>
      </c>
      <c r="E532" s="10" t="s">
        <v>4316</v>
      </c>
      <c r="F532" s="10" t="s">
        <v>5304</v>
      </c>
      <c r="G532" s="10" t="s">
        <v>5305</v>
      </c>
      <c r="H532" s="11">
        <v>44498.375</v>
      </c>
      <c r="I532" s="11">
        <v>44498.45833333333</v>
      </c>
      <c r="J532" s="10" t="s">
        <v>43</v>
      </c>
      <c r="K532" s="10" t="s">
        <v>34</v>
      </c>
      <c r="N532" s="10" t="s">
        <v>296</v>
      </c>
      <c r="O532" s="18" t="s">
        <v>5306</v>
      </c>
      <c r="P532" s="10" t="s">
        <v>296</v>
      </c>
      <c r="Q532" s="10">
        <v>1.0</v>
      </c>
      <c r="R532" s="10" t="s">
        <v>35</v>
      </c>
      <c r="T532" s="10" t="s">
        <v>35</v>
      </c>
      <c r="V532" s="14" t="s">
        <v>5307</v>
      </c>
      <c r="W532" s="15"/>
      <c r="X532" s="10" t="s">
        <v>37</v>
      </c>
      <c r="Y532" s="10" t="s">
        <v>0</v>
      </c>
    </row>
    <row r="533">
      <c r="A533" s="10" t="s">
        <v>5308</v>
      </c>
      <c r="B533" s="11">
        <v>44484.51203513889</v>
      </c>
      <c r="C533" s="10" t="s">
        <v>181</v>
      </c>
      <c r="D533" s="10" t="s">
        <v>69</v>
      </c>
      <c r="E533" s="10" t="s">
        <v>1879</v>
      </c>
      <c r="F533" s="10" t="s">
        <v>5309</v>
      </c>
      <c r="G533" s="10" t="s">
        <v>5310</v>
      </c>
      <c r="H533" s="11">
        <v>44498.41666666667</v>
      </c>
      <c r="I533" s="11">
        <v>44498.41736111111</v>
      </c>
      <c r="J533" s="10" t="s">
        <v>73</v>
      </c>
      <c r="K533" s="10" t="s">
        <v>34</v>
      </c>
      <c r="N533" s="10" t="s">
        <v>35</v>
      </c>
      <c r="V533" s="35" t="s">
        <v>4061</v>
      </c>
      <c r="W533" s="15"/>
      <c r="X533" s="10" t="s">
        <v>37</v>
      </c>
      <c r="Y533" s="10" t="s">
        <v>0</v>
      </c>
    </row>
    <row r="534">
      <c r="A534" s="10" t="s">
        <v>5311</v>
      </c>
      <c r="B534" s="11">
        <v>44408.91288940972</v>
      </c>
      <c r="C534" s="10" t="s">
        <v>137</v>
      </c>
      <c r="D534" s="10" t="s">
        <v>138</v>
      </c>
      <c r="E534" s="10" t="s">
        <v>3299</v>
      </c>
      <c r="F534" s="10" t="s">
        <v>921</v>
      </c>
      <c r="G534" s="10" t="s">
        <v>3440</v>
      </c>
      <c r="H534" s="11">
        <v>44498.58333333333</v>
      </c>
      <c r="I534" s="11">
        <v>44406.66666666667</v>
      </c>
      <c r="J534" s="10" t="s">
        <v>128</v>
      </c>
      <c r="K534" s="10" t="s">
        <v>34</v>
      </c>
      <c r="N534" s="10" t="s">
        <v>35</v>
      </c>
      <c r="V534" s="9"/>
      <c r="W534" s="13"/>
      <c r="X534" s="10" t="s">
        <v>37</v>
      </c>
      <c r="Y534" s="10" t="s">
        <v>0</v>
      </c>
    </row>
    <row r="535">
      <c r="A535" s="10" t="s">
        <v>5312</v>
      </c>
      <c r="B535" s="11">
        <v>44470.834648993055</v>
      </c>
      <c r="C535" s="10" t="s">
        <v>4268</v>
      </c>
      <c r="D535" s="10" t="s">
        <v>4269</v>
      </c>
      <c r="E535" s="10" t="s">
        <v>5313</v>
      </c>
      <c r="F535" s="10" t="s">
        <v>5314</v>
      </c>
      <c r="G535" s="10" t="s">
        <v>5315</v>
      </c>
      <c r="H535" s="11">
        <v>44498.60416666667</v>
      </c>
      <c r="I535" s="11">
        <v>44499.5</v>
      </c>
      <c r="J535" s="10" t="s">
        <v>128</v>
      </c>
      <c r="K535" s="10" t="s">
        <v>61</v>
      </c>
      <c r="L535" s="10" t="s">
        <v>4997</v>
      </c>
      <c r="N535" s="10" t="s">
        <v>35</v>
      </c>
      <c r="V535" s="9"/>
      <c r="W535" s="13"/>
      <c r="X535" s="10" t="s">
        <v>3302</v>
      </c>
      <c r="Y535" s="10" t="s">
        <v>0</v>
      </c>
    </row>
    <row r="536">
      <c r="A536" s="10" t="s">
        <v>5316</v>
      </c>
      <c r="B536" s="11">
        <v>44498.61308837963</v>
      </c>
      <c r="C536" s="10" t="s">
        <v>181</v>
      </c>
      <c r="D536" s="10" t="s">
        <v>69</v>
      </c>
      <c r="E536" s="10" t="s">
        <v>4175</v>
      </c>
      <c r="F536" s="10" t="s">
        <v>5317</v>
      </c>
      <c r="G536" s="10" t="s">
        <v>5318</v>
      </c>
      <c r="H536" s="11">
        <v>44502.33333333333</v>
      </c>
      <c r="I536" s="11">
        <v>44502.334027777775</v>
      </c>
      <c r="J536" s="10" t="s">
        <v>73</v>
      </c>
      <c r="K536" s="10" t="s">
        <v>34</v>
      </c>
      <c r="N536" s="10" t="s">
        <v>35</v>
      </c>
      <c r="V536" s="14" t="s">
        <v>5319</v>
      </c>
      <c r="W536" s="15"/>
      <c r="X536" s="10" t="s">
        <v>37</v>
      </c>
      <c r="Y536" s="10" t="s">
        <v>0</v>
      </c>
    </row>
    <row r="537">
      <c r="A537" s="10" t="s">
        <v>5320</v>
      </c>
      <c r="B537" s="11">
        <v>44445.78060511574</v>
      </c>
      <c r="C537" s="10" t="s">
        <v>181</v>
      </c>
      <c r="D537" s="10" t="s">
        <v>69</v>
      </c>
      <c r="E537" s="10" t="s">
        <v>1879</v>
      </c>
      <c r="F537" s="10" t="s">
        <v>5321</v>
      </c>
      <c r="G537" s="10" t="s">
        <v>5322</v>
      </c>
      <c r="H537" s="11">
        <v>44499.41666666667</v>
      </c>
      <c r="I537" s="11">
        <v>44499.41736111111</v>
      </c>
      <c r="J537" s="10" t="s">
        <v>73</v>
      </c>
      <c r="K537" s="10" t="s">
        <v>34</v>
      </c>
      <c r="N537" s="10" t="s">
        <v>35</v>
      </c>
      <c r="V537" s="14" t="s">
        <v>4328</v>
      </c>
      <c r="W537" s="15"/>
      <c r="X537" s="10" t="s">
        <v>37</v>
      </c>
      <c r="Y537" s="10" t="s">
        <v>0</v>
      </c>
    </row>
    <row r="538">
      <c r="A538" s="10" t="s">
        <v>5323</v>
      </c>
      <c r="B538" s="11">
        <v>44490.75976880787</v>
      </c>
      <c r="C538" s="10" t="s">
        <v>671</v>
      </c>
      <c r="D538" s="10" t="s">
        <v>672</v>
      </c>
      <c r="E538" s="10" t="s">
        <v>4936</v>
      </c>
      <c r="F538" s="10" t="s">
        <v>5324</v>
      </c>
      <c r="G538" s="10" t="s">
        <v>5325</v>
      </c>
      <c r="H538" s="11">
        <v>44499.60416666667</v>
      </c>
      <c r="I538" s="11">
        <v>44499.6875</v>
      </c>
      <c r="J538" s="10" t="s">
        <v>128</v>
      </c>
      <c r="K538" s="10" t="s">
        <v>34</v>
      </c>
      <c r="N538" s="10" t="s">
        <v>296</v>
      </c>
      <c r="O538" s="18" t="s">
        <v>5326</v>
      </c>
      <c r="P538" s="10" t="s">
        <v>35</v>
      </c>
      <c r="R538" s="10" t="s">
        <v>296</v>
      </c>
      <c r="S538" s="10">
        <v>1.0</v>
      </c>
      <c r="T538" s="10" t="s">
        <v>35</v>
      </c>
      <c r="V538" s="14" t="s">
        <v>3906</v>
      </c>
      <c r="W538" s="15"/>
      <c r="X538" s="10" t="s">
        <v>37</v>
      </c>
      <c r="Y538" s="10" t="s">
        <v>0</v>
      </c>
    </row>
    <row r="539">
      <c r="A539" s="10" t="s">
        <v>5327</v>
      </c>
      <c r="B539" s="11">
        <v>44492.519081342594</v>
      </c>
      <c r="C539" s="10" t="s">
        <v>160</v>
      </c>
      <c r="D539" s="10" t="s">
        <v>161</v>
      </c>
      <c r="E539" s="10" t="s">
        <v>5207</v>
      </c>
      <c r="F539" s="10" t="s">
        <v>5328</v>
      </c>
      <c r="G539" s="10" t="s">
        <v>5329</v>
      </c>
      <c r="H539" s="11">
        <v>44492.51736111111</v>
      </c>
      <c r="I539" s="11">
        <v>44492.51736111111</v>
      </c>
      <c r="J539" s="10" t="s">
        <v>73</v>
      </c>
      <c r="K539" s="10" t="s">
        <v>34</v>
      </c>
      <c r="N539" s="10" t="s">
        <v>35</v>
      </c>
      <c r="V539" s="14" t="s">
        <v>5330</v>
      </c>
      <c r="W539" s="15"/>
      <c r="X539" s="10" t="s">
        <v>37</v>
      </c>
      <c r="Y539" s="10" t="s">
        <v>0</v>
      </c>
    </row>
    <row r="540">
      <c r="A540" s="10" t="s">
        <v>5331</v>
      </c>
      <c r="B540" s="11">
        <v>44488.67010025463</v>
      </c>
      <c r="C540" s="10" t="s">
        <v>209</v>
      </c>
      <c r="D540" s="10" t="s">
        <v>210</v>
      </c>
      <c r="E540" s="10" t="s">
        <v>261</v>
      </c>
      <c r="F540" s="10" t="s">
        <v>5332</v>
      </c>
      <c r="G540" s="10" t="s">
        <v>5333</v>
      </c>
      <c r="H540" s="11">
        <v>44499.66666666667</v>
      </c>
      <c r="I540" s="11">
        <v>44499.72916666667</v>
      </c>
      <c r="J540" s="10" t="s">
        <v>128</v>
      </c>
      <c r="K540" s="10" t="s">
        <v>34</v>
      </c>
      <c r="N540" s="10" t="s">
        <v>35</v>
      </c>
      <c r="V540" s="14" t="s">
        <v>5334</v>
      </c>
      <c r="W540" s="15"/>
      <c r="X540" s="10" t="s">
        <v>37</v>
      </c>
      <c r="Y540" s="10" t="s">
        <v>0</v>
      </c>
    </row>
    <row r="541">
      <c r="A541" s="10" t="s">
        <v>5335</v>
      </c>
      <c r="B541" s="11">
        <v>44495.04686436342</v>
      </c>
      <c r="C541" s="10" t="s">
        <v>186</v>
      </c>
      <c r="D541" s="10" t="s">
        <v>187</v>
      </c>
      <c r="E541" s="10" t="s">
        <v>188</v>
      </c>
      <c r="F541" s="10" t="s">
        <v>5336</v>
      </c>
      <c r="G541" s="10" t="s">
        <v>5337</v>
      </c>
      <c r="H541" s="11">
        <v>44456.64583333333</v>
      </c>
      <c r="I541" s="11">
        <v>44456.72916666667</v>
      </c>
      <c r="J541" s="10" t="s">
        <v>128</v>
      </c>
      <c r="K541" s="10" t="s">
        <v>34</v>
      </c>
      <c r="N541" s="10" t="s">
        <v>35</v>
      </c>
      <c r="V541" s="14" t="s">
        <v>5338</v>
      </c>
      <c r="W541" s="15"/>
    </row>
    <row r="542">
      <c r="A542" s="10" t="s">
        <v>5339</v>
      </c>
      <c r="B542" s="11">
        <v>44495.04979931713</v>
      </c>
      <c r="C542" s="10" t="s">
        <v>186</v>
      </c>
      <c r="D542" s="10" t="s">
        <v>187</v>
      </c>
      <c r="E542" s="10" t="s">
        <v>188</v>
      </c>
      <c r="F542" s="10" t="s">
        <v>5340</v>
      </c>
      <c r="G542" s="10" t="s">
        <v>5341</v>
      </c>
      <c r="H542" s="11">
        <v>44480.4375</v>
      </c>
      <c r="I542" s="11">
        <v>44480.52083333333</v>
      </c>
      <c r="J542" s="10" t="s">
        <v>43</v>
      </c>
      <c r="K542" s="10" t="s">
        <v>34</v>
      </c>
      <c r="N542" s="10" t="s">
        <v>35</v>
      </c>
      <c r="V542" s="14" t="s">
        <v>5342</v>
      </c>
      <c r="W542" s="15"/>
      <c r="X542" s="10" t="s">
        <v>37</v>
      </c>
      <c r="Y542" s="10" t="s">
        <v>0</v>
      </c>
    </row>
    <row r="543">
      <c r="A543" s="10" t="s">
        <v>5343</v>
      </c>
      <c r="B543" s="11">
        <v>44495.051994305555</v>
      </c>
      <c r="C543" s="10" t="s">
        <v>186</v>
      </c>
      <c r="D543" s="10" t="s">
        <v>187</v>
      </c>
      <c r="E543" s="10" t="s">
        <v>188</v>
      </c>
      <c r="F543" s="10" t="s">
        <v>5344</v>
      </c>
      <c r="G543" s="10" t="s">
        <v>5345</v>
      </c>
      <c r="H543" s="11">
        <v>44468.625</v>
      </c>
      <c r="I543" s="11">
        <v>44468.70833333333</v>
      </c>
      <c r="J543" s="10" t="s">
        <v>128</v>
      </c>
      <c r="K543" s="10" t="s">
        <v>34</v>
      </c>
      <c r="N543" s="10" t="s">
        <v>35</v>
      </c>
      <c r="V543" s="14" t="s">
        <v>5346</v>
      </c>
      <c r="W543" s="15"/>
      <c r="X543" s="10" t="s">
        <v>37</v>
      </c>
      <c r="Y543" s="10" t="s">
        <v>0</v>
      </c>
    </row>
    <row r="544">
      <c r="A544" s="10" t="s">
        <v>5347</v>
      </c>
      <c r="B544" s="11">
        <v>44495.05365758102</v>
      </c>
      <c r="C544" s="10" t="s">
        <v>186</v>
      </c>
      <c r="D544" s="10" t="s">
        <v>187</v>
      </c>
      <c r="E544" s="10" t="s">
        <v>188</v>
      </c>
      <c r="F544" s="10" t="s">
        <v>5348</v>
      </c>
      <c r="G544" s="10" t="s">
        <v>5349</v>
      </c>
      <c r="H544" s="11">
        <v>44474.77083333333</v>
      </c>
      <c r="I544" s="11">
        <v>44474.8125</v>
      </c>
      <c r="J544" s="10" t="s">
        <v>128</v>
      </c>
      <c r="K544" s="10" t="s">
        <v>34</v>
      </c>
      <c r="N544" s="10" t="s">
        <v>35</v>
      </c>
      <c r="V544" s="14" t="s">
        <v>5350</v>
      </c>
      <c r="W544" s="15"/>
      <c r="X544" s="10" t="s">
        <v>3302</v>
      </c>
    </row>
    <row r="545">
      <c r="A545" s="10" t="s">
        <v>5351</v>
      </c>
      <c r="B545" s="11">
        <v>44495.05522060185</v>
      </c>
      <c r="C545" s="10" t="s">
        <v>186</v>
      </c>
      <c r="D545" s="10" t="s">
        <v>187</v>
      </c>
      <c r="E545" s="10" t="s">
        <v>188</v>
      </c>
      <c r="F545" s="10" t="s">
        <v>5352</v>
      </c>
      <c r="G545" s="10" t="s">
        <v>5353</v>
      </c>
      <c r="H545" s="11">
        <v>44468.5625</v>
      </c>
      <c r="I545" s="11">
        <v>44468.64583333333</v>
      </c>
      <c r="J545" s="10" t="s">
        <v>128</v>
      </c>
      <c r="K545" s="10" t="s">
        <v>34</v>
      </c>
      <c r="N545" s="10" t="s">
        <v>35</v>
      </c>
      <c r="V545" s="14" t="s">
        <v>5354</v>
      </c>
      <c r="W545" s="15"/>
      <c r="X545" s="10" t="s">
        <v>37</v>
      </c>
      <c r="Y545" s="10" t="s">
        <v>0</v>
      </c>
    </row>
    <row r="546">
      <c r="A546" s="10" t="s">
        <v>5355</v>
      </c>
      <c r="B546" s="11">
        <v>44495.057070358795</v>
      </c>
      <c r="C546" s="10" t="s">
        <v>186</v>
      </c>
      <c r="D546" s="10" t="s">
        <v>187</v>
      </c>
      <c r="E546" s="10" t="s">
        <v>188</v>
      </c>
      <c r="F546" s="10" t="s">
        <v>5356</v>
      </c>
      <c r="G546" s="10" t="s">
        <v>5357</v>
      </c>
      <c r="H546" s="11">
        <v>44476.6875</v>
      </c>
      <c r="I546" s="11">
        <v>44476.77083333333</v>
      </c>
      <c r="J546" s="10" t="s">
        <v>128</v>
      </c>
      <c r="K546" s="10" t="s">
        <v>34</v>
      </c>
      <c r="N546" s="10" t="s">
        <v>35</v>
      </c>
      <c r="V546" s="14" t="s">
        <v>5358</v>
      </c>
      <c r="W546" s="15"/>
      <c r="X546" s="10" t="s">
        <v>37</v>
      </c>
      <c r="Y546" s="10" t="s">
        <v>0</v>
      </c>
    </row>
    <row r="547">
      <c r="A547" s="10" t="s">
        <v>5359</v>
      </c>
      <c r="B547" s="11">
        <v>44495.05917079861</v>
      </c>
      <c r="C547" s="10" t="s">
        <v>186</v>
      </c>
      <c r="D547" s="10" t="s">
        <v>187</v>
      </c>
      <c r="E547" s="10" t="s">
        <v>188</v>
      </c>
      <c r="F547" s="10" t="s">
        <v>5360</v>
      </c>
      <c r="G547" s="10" t="s">
        <v>5361</v>
      </c>
      <c r="H547" s="11">
        <v>44491.58333333333</v>
      </c>
      <c r="I547" s="11">
        <v>44491.66666666667</v>
      </c>
      <c r="J547" s="10" t="s">
        <v>128</v>
      </c>
      <c r="K547" s="10" t="s">
        <v>34</v>
      </c>
      <c r="N547" s="10" t="s">
        <v>35</v>
      </c>
      <c r="V547" s="14" t="s">
        <v>5362</v>
      </c>
      <c r="W547" s="15"/>
      <c r="X547" s="10" t="s">
        <v>3302</v>
      </c>
    </row>
    <row r="548">
      <c r="A548" s="10" t="s">
        <v>5363</v>
      </c>
      <c r="B548" s="11">
        <v>44495.442509953704</v>
      </c>
      <c r="C548" s="10" t="s">
        <v>5364</v>
      </c>
      <c r="D548" s="10" t="s">
        <v>5365</v>
      </c>
      <c r="E548" s="10" t="s">
        <v>5366</v>
      </c>
      <c r="F548" s="10" t="s">
        <v>5367</v>
      </c>
      <c r="G548" s="10" t="s">
        <v>5368</v>
      </c>
      <c r="H548" s="11">
        <v>44497.08333333333</v>
      </c>
      <c r="I548" s="11">
        <v>44497.22916666667</v>
      </c>
      <c r="J548" s="10" t="s">
        <v>128</v>
      </c>
      <c r="K548" s="10" t="s">
        <v>61</v>
      </c>
      <c r="L548" s="10" t="s">
        <v>1334</v>
      </c>
      <c r="N548" s="10" t="s">
        <v>35</v>
      </c>
      <c r="V548" s="9"/>
      <c r="W548" s="13"/>
      <c r="X548" s="10" t="s">
        <v>3302</v>
      </c>
    </row>
    <row r="549">
      <c r="A549" s="10" t="s">
        <v>5369</v>
      </c>
      <c r="B549" s="11">
        <v>44495.44394493056</v>
      </c>
      <c r="C549" s="10" t="s">
        <v>5364</v>
      </c>
      <c r="D549" s="10" t="s">
        <v>5365</v>
      </c>
      <c r="E549" s="10" t="s">
        <v>5370</v>
      </c>
      <c r="F549" s="10" t="s">
        <v>5371</v>
      </c>
      <c r="G549" s="10" t="s">
        <v>5372</v>
      </c>
      <c r="H549" s="11">
        <v>44491.25</v>
      </c>
      <c r="I549" s="11">
        <v>44491.29166666667</v>
      </c>
      <c r="J549" s="10" t="s">
        <v>128</v>
      </c>
      <c r="K549" s="10" t="s">
        <v>34</v>
      </c>
      <c r="N549" s="10" t="s">
        <v>35</v>
      </c>
      <c r="V549" s="14" t="s">
        <v>5373</v>
      </c>
      <c r="W549" s="15"/>
      <c r="X549" s="10" t="s">
        <v>37</v>
      </c>
      <c r="Y549" s="10" t="s">
        <v>0</v>
      </c>
    </row>
    <row r="550">
      <c r="A550" s="10" t="s">
        <v>5374</v>
      </c>
      <c r="B550" s="11">
        <v>44495.50726480324</v>
      </c>
      <c r="C550" s="10" t="s">
        <v>5364</v>
      </c>
      <c r="D550" s="10" t="s">
        <v>5365</v>
      </c>
      <c r="E550" s="10" t="s">
        <v>5366</v>
      </c>
      <c r="F550" s="10" t="s">
        <v>5375</v>
      </c>
      <c r="G550" s="10" t="s">
        <v>5376</v>
      </c>
      <c r="H550" s="11">
        <v>44410.16666666667</v>
      </c>
      <c r="I550" s="11">
        <v>44410.16666666667</v>
      </c>
      <c r="J550" s="10" t="s">
        <v>73</v>
      </c>
      <c r="K550" s="10" t="s">
        <v>34</v>
      </c>
      <c r="N550" s="10" t="s">
        <v>35</v>
      </c>
      <c r="V550" s="14" t="s">
        <v>5377</v>
      </c>
      <c r="W550" s="15"/>
      <c r="X550" s="10" t="s">
        <v>37</v>
      </c>
      <c r="Y550" s="10" t="s">
        <v>0</v>
      </c>
    </row>
    <row r="551">
      <c r="A551" s="10" t="s">
        <v>5378</v>
      </c>
      <c r="B551" s="11">
        <v>44495.50874366898</v>
      </c>
      <c r="C551" s="10" t="s">
        <v>5364</v>
      </c>
      <c r="D551" s="10" t="s">
        <v>5365</v>
      </c>
      <c r="E551" s="10" t="s">
        <v>5366</v>
      </c>
      <c r="F551" s="10" t="s">
        <v>5379</v>
      </c>
      <c r="G551" s="10" t="s">
        <v>5380</v>
      </c>
      <c r="H551" s="11">
        <v>44410.17708333333</v>
      </c>
      <c r="I551" s="11">
        <v>44410.17708333333</v>
      </c>
      <c r="J551" s="10" t="s">
        <v>73</v>
      </c>
      <c r="K551" s="10" t="s">
        <v>34</v>
      </c>
      <c r="N551" s="10" t="s">
        <v>35</v>
      </c>
      <c r="V551" s="14" t="s">
        <v>5381</v>
      </c>
      <c r="W551" s="15"/>
      <c r="X551" s="10" t="s">
        <v>37</v>
      </c>
      <c r="Y551" s="10" t="s">
        <v>0</v>
      </c>
    </row>
    <row r="552">
      <c r="A552" s="10" t="s">
        <v>5382</v>
      </c>
      <c r="B552" s="11">
        <v>44495.509993078704</v>
      </c>
      <c r="C552" s="10" t="s">
        <v>5364</v>
      </c>
      <c r="D552" s="10" t="s">
        <v>5365</v>
      </c>
      <c r="E552" s="10" t="s">
        <v>5366</v>
      </c>
      <c r="F552" s="10" t="s">
        <v>5383</v>
      </c>
      <c r="G552" s="10" t="s">
        <v>5384</v>
      </c>
      <c r="H552" s="11">
        <v>44446.16666666667</v>
      </c>
      <c r="I552" s="11">
        <v>44446.16666666667</v>
      </c>
      <c r="J552" s="10" t="s">
        <v>73</v>
      </c>
      <c r="K552" s="10" t="s">
        <v>34</v>
      </c>
      <c r="N552" s="10" t="s">
        <v>35</v>
      </c>
      <c r="V552" s="14" t="s">
        <v>5385</v>
      </c>
      <c r="W552" s="15"/>
      <c r="X552" s="10" t="s">
        <v>37</v>
      </c>
      <c r="Y552" s="10" t="s">
        <v>0</v>
      </c>
    </row>
    <row r="553">
      <c r="A553" s="10" t="s">
        <v>5386</v>
      </c>
      <c r="B553" s="11">
        <v>44495.51197203704</v>
      </c>
      <c r="C553" s="10" t="s">
        <v>5364</v>
      </c>
      <c r="D553" s="10" t="s">
        <v>5365</v>
      </c>
      <c r="E553" s="10" t="s">
        <v>5366</v>
      </c>
      <c r="F553" s="10" t="s">
        <v>5387</v>
      </c>
      <c r="G553" s="10" t="s">
        <v>5388</v>
      </c>
      <c r="H553" s="11">
        <v>44447.16666666667</v>
      </c>
      <c r="I553" s="11">
        <v>44447.16666666667</v>
      </c>
      <c r="J553" s="10" t="s">
        <v>73</v>
      </c>
      <c r="K553" s="10" t="s">
        <v>34</v>
      </c>
      <c r="N553" s="10" t="s">
        <v>35</v>
      </c>
      <c r="V553" s="14" t="s">
        <v>5389</v>
      </c>
      <c r="W553" s="15"/>
      <c r="X553" s="10" t="s">
        <v>37</v>
      </c>
      <c r="Y553" s="10" t="s">
        <v>0</v>
      </c>
    </row>
    <row r="554">
      <c r="A554" s="10" t="s">
        <v>5390</v>
      </c>
      <c r="B554" s="11">
        <v>44495.51605680556</v>
      </c>
      <c r="C554" s="10" t="s">
        <v>5364</v>
      </c>
      <c r="D554" s="10" t="s">
        <v>5365</v>
      </c>
      <c r="E554" s="10" t="s">
        <v>5366</v>
      </c>
      <c r="F554" s="10" t="s">
        <v>5391</v>
      </c>
      <c r="G554" s="10" t="s">
        <v>5392</v>
      </c>
      <c r="H554" s="11">
        <v>44450.58333333333</v>
      </c>
      <c r="I554" s="11">
        <v>44450.58333333333</v>
      </c>
      <c r="J554" s="10" t="s">
        <v>73</v>
      </c>
      <c r="K554" s="10" t="s">
        <v>34</v>
      </c>
      <c r="N554" s="10" t="s">
        <v>35</v>
      </c>
      <c r="V554" s="14" t="s">
        <v>5393</v>
      </c>
      <c r="W554" s="15"/>
      <c r="X554" s="10" t="s">
        <v>37</v>
      </c>
      <c r="Y554" s="10" t="s">
        <v>0</v>
      </c>
    </row>
    <row r="555">
      <c r="A555" s="10" t="s">
        <v>5394</v>
      </c>
      <c r="B555" s="11">
        <v>44495.517503553245</v>
      </c>
      <c r="C555" s="10" t="s">
        <v>5364</v>
      </c>
      <c r="D555" s="10" t="s">
        <v>5365</v>
      </c>
      <c r="E555" s="10" t="s">
        <v>5366</v>
      </c>
      <c r="F555" s="10" t="s">
        <v>5395</v>
      </c>
      <c r="G555" s="10" t="s">
        <v>5396</v>
      </c>
      <c r="H555" s="11">
        <v>44450.58333333333</v>
      </c>
      <c r="I555" s="11">
        <v>44450.58333333333</v>
      </c>
      <c r="J555" s="10" t="s">
        <v>73</v>
      </c>
      <c r="K555" s="10" t="s">
        <v>34</v>
      </c>
      <c r="N555" s="10" t="s">
        <v>35</v>
      </c>
      <c r="V555" s="14" t="s">
        <v>5397</v>
      </c>
      <c r="W555" s="15"/>
      <c r="X555" s="10" t="s">
        <v>37</v>
      </c>
      <c r="Y555" s="10" t="s">
        <v>0</v>
      </c>
    </row>
    <row r="556">
      <c r="A556" s="10" t="s">
        <v>5398</v>
      </c>
      <c r="B556" s="11">
        <v>44495.518917939815</v>
      </c>
      <c r="C556" s="10" t="s">
        <v>5364</v>
      </c>
      <c r="D556" s="10" t="s">
        <v>5365</v>
      </c>
      <c r="E556" s="10" t="s">
        <v>5366</v>
      </c>
      <c r="F556" s="10" t="s">
        <v>5399</v>
      </c>
      <c r="G556" s="10" t="s">
        <v>5400</v>
      </c>
      <c r="H556" s="11">
        <v>44482.625</v>
      </c>
      <c r="I556" s="11">
        <v>44482.625</v>
      </c>
      <c r="J556" s="10" t="s">
        <v>73</v>
      </c>
      <c r="K556" s="10" t="s">
        <v>34</v>
      </c>
      <c r="N556" s="10" t="s">
        <v>35</v>
      </c>
      <c r="V556" s="14" t="s">
        <v>5401</v>
      </c>
      <c r="W556" s="15"/>
      <c r="X556" s="10" t="s">
        <v>37</v>
      </c>
      <c r="Y556" s="10" t="s">
        <v>0</v>
      </c>
    </row>
    <row r="557">
      <c r="A557" s="10" t="s">
        <v>5402</v>
      </c>
      <c r="B557" s="11">
        <v>44495.52056682871</v>
      </c>
      <c r="C557" s="10" t="s">
        <v>5364</v>
      </c>
      <c r="D557" s="10" t="s">
        <v>5365</v>
      </c>
      <c r="E557" s="10" t="s">
        <v>5366</v>
      </c>
      <c r="F557" s="10" t="s">
        <v>5403</v>
      </c>
      <c r="G557" s="10" t="s">
        <v>5404</v>
      </c>
      <c r="H557" s="11">
        <v>44491.625</v>
      </c>
      <c r="I557" s="11">
        <v>44491.625</v>
      </c>
      <c r="J557" s="10" t="s">
        <v>73</v>
      </c>
      <c r="K557" s="10" t="s">
        <v>34</v>
      </c>
      <c r="N557" s="10" t="s">
        <v>35</v>
      </c>
      <c r="V557" s="14" t="s">
        <v>5405</v>
      </c>
      <c r="W557" s="15"/>
      <c r="X557" s="10" t="s">
        <v>37</v>
      </c>
      <c r="Y557" s="10" t="s">
        <v>0</v>
      </c>
    </row>
    <row r="558">
      <c r="A558" s="10" t="s">
        <v>5406</v>
      </c>
      <c r="B558" s="11">
        <v>44495.52189849537</v>
      </c>
      <c r="C558" s="10" t="s">
        <v>5364</v>
      </c>
      <c r="D558" s="10" t="s">
        <v>5365</v>
      </c>
      <c r="E558" s="10" t="s">
        <v>5366</v>
      </c>
      <c r="F558" s="10" t="s">
        <v>5407</v>
      </c>
      <c r="G558" s="10" t="s">
        <v>5408</v>
      </c>
      <c r="H558" s="11">
        <v>44490.625</v>
      </c>
      <c r="I558" s="11">
        <v>44490.625</v>
      </c>
      <c r="J558" s="10" t="s">
        <v>73</v>
      </c>
      <c r="K558" s="10" t="s">
        <v>34</v>
      </c>
      <c r="N558" s="10" t="s">
        <v>35</v>
      </c>
      <c r="V558" s="14" t="s">
        <v>5409</v>
      </c>
      <c r="W558" s="15"/>
      <c r="X558" s="10" t="s">
        <v>37</v>
      </c>
      <c r="Y558" s="10" t="s">
        <v>0</v>
      </c>
    </row>
    <row r="559">
      <c r="A559" s="10" t="s">
        <v>5410</v>
      </c>
      <c r="B559" s="11">
        <v>44495.68395464121</v>
      </c>
      <c r="C559" s="10" t="s">
        <v>96</v>
      </c>
      <c r="D559" s="10" t="s">
        <v>97</v>
      </c>
      <c r="E559" s="10" t="s">
        <v>5411</v>
      </c>
      <c r="F559" s="10" t="s">
        <v>5412</v>
      </c>
      <c r="G559" s="10" t="s">
        <v>5413</v>
      </c>
      <c r="H559" s="11">
        <v>44490.6875</v>
      </c>
      <c r="I559" s="11">
        <v>44490.75</v>
      </c>
      <c r="J559" s="10" t="s">
        <v>43</v>
      </c>
      <c r="K559" s="10" t="s">
        <v>34</v>
      </c>
      <c r="N559" s="10" t="s">
        <v>296</v>
      </c>
      <c r="O559" s="18" t="s">
        <v>5414</v>
      </c>
      <c r="P559" s="10" t="s">
        <v>296</v>
      </c>
      <c r="Q559" s="10">
        <v>2.0</v>
      </c>
      <c r="R559" s="10" t="s">
        <v>35</v>
      </c>
      <c r="T559" s="10" t="s">
        <v>35</v>
      </c>
      <c r="V559" s="14" t="s">
        <v>5415</v>
      </c>
      <c r="W559" s="15"/>
      <c r="X559" s="10" t="s">
        <v>37</v>
      </c>
      <c r="Y559" s="10" t="s">
        <v>0</v>
      </c>
    </row>
    <row r="560">
      <c r="A560" s="10" t="s">
        <v>5416</v>
      </c>
      <c r="B560" s="11">
        <v>44496.01418763889</v>
      </c>
      <c r="C560" s="10" t="s">
        <v>610</v>
      </c>
      <c r="D560" s="10" t="s">
        <v>611</v>
      </c>
      <c r="E560" s="10" t="s">
        <v>3531</v>
      </c>
      <c r="F560" s="10" t="s">
        <v>5417</v>
      </c>
      <c r="G560" s="10" t="s">
        <v>5418</v>
      </c>
      <c r="H560" s="11">
        <v>44499.4375</v>
      </c>
      <c r="I560" s="11">
        <v>44499.5</v>
      </c>
      <c r="J560" s="10" t="s">
        <v>128</v>
      </c>
      <c r="K560" s="10" t="s">
        <v>34</v>
      </c>
      <c r="N560" s="10" t="s">
        <v>35</v>
      </c>
      <c r="V560" s="14" t="s">
        <v>5419</v>
      </c>
      <c r="W560" s="15"/>
      <c r="X560" s="10" t="s">
        <v>37</v>
      </c>
      <c r="Y560" s="10" t="s">
        <v>0</v>
      </c>
    </row>
    <row r="561">
      <c r="A561" s="10" t="s">
        <v>5420</v>
      </c>
      <c r="B561" s="11">
        <v>44496.36233471065</v>
      </c>
      <c r="C561" s="10" t="s">
        <v>610</v>
      </c>
      <c r="D561" s="10" t="s">
        <v>611</v>
      </c>
      <c r="E561" s="10" t="s">
        <v>3531</v>
      </c>
      <c r="F561" s="10" t="s">
        <v>5417</v>
      </c>
      <c r="G561" s="10" t="s">
        <v>5421</v>
      </c>
      <c r="H561" s="11">
        <v>44499.4375</v>
      </c>
      <c r="I561" s="11">
        <v>44499.52083333333</v>
      </c>
      <c r="J561" s="10" t="s">
        <v>128</v>
      </c>
      <c r="K561" s="10" t="s">
        <v>34</v>
      </c>
      <c r="N561" s="10" t="s">
        <v>35</v>
      </c>
      <c r="V561" s="14" t="s">
        <v>5419</v>
      </c>
      <c r="W561" s="15"/>
      <c r="X561" s="10" t="s">
        <v>37</v>
      </c>
      <c r="Y561" s="10" t="s">
        <v>0</v>
      </c>
    </row>
    <row r="562">
      <c r="A562" s="10" t="s">
        <v>5422</v>
      </c>
      <c r="B562" s="11">
        <v>44496.56472383102</v>
      </c>
      <c r="C562" s="10" t="s">
        <v>28</v>
      </c>
      <c r="D562" s="10" t="s">
        <v>29</v>
      </c>
      <c r="E562" s="10" t="s">
        <v>39</v>
      </c>
      <c r="F562" s="10" t="s">
        <v>5423</v>
      </c>
      <c r="G562" s="10" t="s">
        <v>5424</v>
      </c>
      <c r="H562" s="11">
        <v>44499.47916666667</v>
      </c>
      <c r="I562" s="11">
        <v>44499.5625</v>
      </c>
      <c r="J562" s="10" t="s">
        <v>33</v>
      </c>
      <c r="K562" s="10" t="s">
        <v>34</v>
      </c>
      <c r="N562" s="10" t="s">
        <v>35</v>
      </c>
      <c r="V562" s="14" t="s">
        <v>5425</v>
      </c>
      <c r="W562" s="10"/>
      <c r="X562" s="10" t="s">
        <v>37</v>
      </c>
      <c r="Y562" s="10" t="s">
        <v>0</v>
      </c>
    </row>
    <row r="563">
      <c r="A563" s="10" t="s">
        <v>5426</v>
      </c>
      <c r="B563" s="11">
        <v>44496.675485706015</v>
      </c>
      <c r="C563" s="10" t="s">
        <v>347</v>
      </c>
      <c r="D563" s="10" t="s">
        <v>348</v>
      </c>
      <c r="E563" s="10" t="s">
        <v>3429</v>
      </c>
      <c r="F563" s="10" t="s">
        <v>5427</v>
      </c>
      <c r="G563" s="10" t="s">
        <v>5428</v>
      </c>
      <c r="H563" s="11">
        <v>44499.60416666667</v>
      </c>
      <c r="I563" s="11">
        <v>44499.6875</v>
      </c>
      <c r="J563" s="10" t="s">
        <v>128</v>
      </c>
      <c r="K563" s="10" t="s">
        <v>34</v>
      </c>
      <c r="N563" s="10" t="s">
        <v>35</v>
      </c>
      <c r="V563" s="14" t="s">
        <v>5429</v>
      </c>
      <c r="W563" s="10"/>
      <c r="X563" s="10" t="s">
        <v>37</v>
      </c>
      <c r="Y563" s="10" t="s">
        <v>0</v>
      </c>
    </row>
    <row r="564">
      <c r="A564" s="10" t="s">
        <v>5430</v>
      </c>
      <c r="B564" s="11">
        <v>44498.495033032406</v>
      </c>
      <c r="C564" s="10" t="s">
        <v>160</v>
      </c>
      <c r="D564" s="10" t="s">
        <v>161</v>
      </c>
      <c r="E564" s="10" t="s">
        <v>3804</v>
      </c>
      <c r="F564" s="10" t="s">
        <v>5431</v>
      </c>
      <c r="G564" s="10" t="s">
        <v>5432</v>
      </c>
      <c r="H564" s="11">
        <v>44502.60416666667</v>
      </c>
      <c r="I564" s="11">
        <v>44502.72916666667</v>
      </c>
      <c r="J564" s="10" t="s">
        <v>1333</v>
      </c>
      <c r="K564" s="10" t="s">
        <v>34</v>
      </c>
      <c r="N564" s="10" t="s">
        <v>35</v>
      </c>
      <c r="V564" s="14" t="s">
        <v>5433</v>
      </c>
      <c r="W564" s="10"/>
      <c r="X564" s="10" t="s">
        <v>37</v>
      </c>
      <c r="Y564" s="10" t="s">
        <v>0</v>
      </c>
    </row>
    <row r="565">
      <c r="A565" s="10" t="s">
        <v>5434</v>
      </c>
      <c r="B565" s="11">
        <v>44496.68702121528</v>
      </c>
      <c r="C565" s="10" t="s">
        <v>347</v>
      </c>
      <c r="D565" s="10" t="s">
        <v>348</v>
      </c>
      <c r="E565" s="10" t="s">
        <v>3429</v>
      </c>
      <c r="F565" s="10" t="s">
        <v>5435</v>
      </c>
      <c r="G565" s="10" t="s">
        <v>5436</v>
      </c>
      <c r="H565" s="11">
        <v>44499.4375</v>
      </c>
      <c r="I565" s="11">
        <v>44499.52083333333</v>
      </c>
      <c r="J565" s="10" t="s">
        <v>43</v>
      </c>
      <c r="K565" s="10" t="s">
        <v>34</v>
      </c>
      <c r="N565" s="10" t="s">
        <v>35</v>
      </c>
      <c r="V565" s="14" t="s">
        <v>5437</v>
      </c>
      <c r="W565" s="10"/>
      <c r="X565" s="10" t="s">
        <v>37</v>
      </c>
      <c r="Y565" s="10" t="s">
        <v>0</v>
      </c>
    </row>
    <row r="566">
      <c r="A566" s="10" t="s">
        <v>5438</v>
      </c>
      <c r="B566" s="11">
        <v>44497.44554355324</v>
      </c>
      <c r="C566" s="10" t="s">
        <v>239</v>
      </c>
      <c r="D566" s="10" t="s">
        <v>240</v>
      </c>
      <c r="E566" s="10" t="s">
        <v>4548</v>
      </c>
      <c r="F566" s="10" t="s">
        <v>5439</v>
      </c>
      <c r="G566" s="10" t="s">
        <v>5440</v>
      </c>
      <c r="H566" s="11">
        <v>44498.8125</v>
      </c>
      <c r="I566" s="11">
        <v>44498.85416666667</v>
      </c>
      <c r="J566" s="10" t="s">
        <v>128</v>
      </c>
      <c r="K566" s="10" t="s">
        <v>34</v>
      </c>
      <c r="N566" s="10" t="s">
        <v>35</v>
      </c>
      <c r="V566" s="14" t="s">
        <v>5441</v>
      </c>
      <c r="W566" s="10"/>
      <c r="X566" s="10" t="s">
        <v>37</v>
      </c>
      <c r="Y566" s="10" t="s">
        <v>0</v>
      </c>
    </row>
    <row r="567">
      <c r="A567" s="10" t="s">
        <v>5442</v>
      </c>
      <c r="B567" s="11">
        <v>44498.50117166666</v>
      </c>
      <c r="C567" s="10" t="s">
        <v>160</v>
      </c>
      <c r="D567" s="10" t="s">
        <v>161</v>
      </c>
      <c r="E567" s="10" t="s">
        <v>3804</v>
      </c>
      <c r="F567" s="10" t="s">
        <v>5443</v>
      </c>
      <c r="G567" s="10" t="s">
        <v>5444</v>
      </c>
      <c r="H567" s="11">
        <v>44504.41666666667</v>
      </c>
      <c r="I567" s="11">
        <v>44504.47916666667</v>
      </c>
      <c r="J567" s="10" t="s">
        <v>33</v>
      </c>
      <c r="K567" s="10" t="s">
        <v>34</v>
      </c>
      <c r="N567" s="10" t="s">
        <v>296</v>
      </c>
      <c r="O567" s="18" t="s">
        <v>5445</v>
      </c>
      <c r="P567" s="10" t="s">
        <v>296</v>
      </c>
      <c r="Q567" s="10">
        <v>2.0</v>
      </c>
      <c r="R567" s="10" t="s">
        <v>35</v>
      </c>
      <c r="T567" s="10" t="s">
        <v>35</v>
      </c>
      <c r="V567" s="14" t="s">
        <v>5446</v>
      </c>
      <c r="W567" s="10"/>
      <c r="X567" s="10" t="s">
        <v>37</v>
      </c>
      <c r="Y567" s="10" t="s">
        <v>0</v>
      </c>
    </row>
    <row r="568">
      <c r="A568" s="10" t="s">
        <v>5447</v>
      </c>
      <c r="B568" s="11">
        <v>44497.531433125</v>
      </c>
      <c r="C568" s="10" t="s">
        <v>239</v>
      </c>
      <c r="D568" s="10" t="s">
        <v>240</v>
      </c>
      <c r="E568" s="10" t="s">
        <v>4548</v>
      </c>
      <c r="F568" s="10" t="s">
        <v>5448</v>
      </c>
      <c r="G568" s="10" t="s">
        <v>5449</v>
      </c>
      <c r="H568" s="11">
        <v>44493.76041666667</v>
      </c>
      <c r="I568" s="11">
        <v>44504.99930555555</v>
      </c>
      <c r="J568" s="10" t="s">
        <v>128</v>
      </c>
      <c r="K568" s="10" t="s">
        <v>34</v>
      </c>
      <c r="N568" s="10" t="s">
        <v>35</v>
      </c>
      <c r="V568" s="35" t="s">
        <v>4551</v>
      </c>
      <c r="W568" s="10"/>
      <c r="X568" s="10" t="s">
        <v>37</v>
      </c>
      <c r="Y568" s="10" t="s">
        <v>0</v>
      </c>
    </row>
    <row r="569">
      <c r="A569" s="10" t="s">
        <v>5450</v>
      </c>
      <c r="B569" s="11">
        <v>44498.01896758102</v>
      </c>
      <c r="C569" s="10" t="s">
        <v>80</v>
      </c>
      <c r="D569" s="10" t="s">
        <v>81</v>
      </c>
      <c r="E569" s="10" t="s">
        <v>5451</v>
      </c>
      <c r="F569" s="10" t="s">
        <v>5452</v>
      </c>
      <c r="G569" s="10" t="s">
        <v>5453</v>
      </c>
      <c r="H569" s="11">
        <v>44498.60416666667</v>
      </c>
      <c r="I569" s="11">
        <v>44498.64583333333</v>
      </c>
      <c r="J569" s="10" t="s">
        <v>43</v>
      </c>
      <c r="K569" s="10" t="s">
        <v>34</v>
      </c>
      <c r="N569" s="10" t="s">
        <v>296</v>
      </c>
      <c r="O569" s="18" t="s">
        <v>5454</v>
      </c>
      <c r="P569" s="10" t="s">
        <v>296</v>
      </c>
      <c r="Q569" s="10">
        <v>1.0</v>
      </c>
      <c r="R569" s="10" t="s">
        <v>35</v>
      </c>
      <c r="T569" s="10" t="s">
        <v>35</v>
      </c>
      <c r="V569" s="14" t="s">
        <v>5455</v>
      </c>
      <c r="W569" s="10"/>
    </row>
    <row r="570">
      <c r="A570" s="10" t="s">
        <v>5456</v>
      </c>
      <c r="B570" s="11">
        <v>44496.68133054399</v>
      </c>
      <c r="C570" s="10" t="s">
        <v>347</v>
      </c>
      <c r="D570" s="10" t="s">
        <v>348</v>
      </c>
      <c r="E570" s="10" t="s">
        <v>3429</v>
      </c>
      <c r="F570" s="10" t="s">
        <v>5457</v>
      </c>
      <c r="G570" s="10" t="s">
        <v>5458</v>
      </c>
      <c r="H570" s="11">
        <v>44505.39583333333</v>
      </c>
      <c r="I570" s="11">
        <v>44505.4375</v>
      </c>
      <c r="J570" s="10" t="s">
        <v>43</v>
      </c>
      <c r="K570" s="10" t="s">
        <v>34</v>
      </c>
      <c r="N570" s="10" t="s">
        <v>296</v>
      </c>
      <c r="O570" s="18" t="s">
        <v>5459</v>
      </c>
      <c r="P570" s="10" t="s">
        <v>296</v>
      </c>
      <c r="Q570" s="10">
        <v>1.0</v>
      </c>
      <c r="R570" s="10" t="s">
        <v>35</v>
      </c>
      <c r="T570" s="10" t="s">
        <v>35</v>
      </c>
      <c r="V570" s="14" t="s">
        <v>5460</v>
      </c>
      <c r="W570" s="10"/>
      <c r="X570" s="10" t="s">
        <v>37</v>
      </c>
      <c r="Y570" s="10" t="s">
        <v>0</v>
      </c>
    </row>
    <row r="571">
      <c r="A571" s="10" t="s">
        <v>5461</v>
      </c>
      <c r="B571" s="11">
        <v>44498.56818241898</v>
      </c>
      <c r="C571" s="10" t="s">
        <v>181</v>
      </c>
      <c r="D571" s="10" t="s">
        <v>69</v>
      </c>
      <c r="E571" s="10" t="s">
        <v>1229</v>
      </c>
      <c r="F571" s="10" t="s">
        <v>5462</v>
      </c>
      <c r="G571" s="10" t="s">
        <v>5463</v>
      </c>
      <c r="H571" s="11">
        <v>44505.4375</v>
      </c>
      <c r="I571" s="11">
        <v>44505.47916666667</v>
      </c>
      <c r="J571" s="10" t="s">
        <v>43</v>
      </c>
      <c r="K571" s="10" t="s">
        <v>34</v>
      </c>
      <c r="N571" s="10" t="s">
        <v>296</v>
      </c>
      <c r="O571" s="18" t="s">
        <v>5464</v>
      </c>
      <c r="P571" s="10" t="s">
        <v>35</v>
      </c>
      <c r="R571" s="10" t="s">
        <v>35</v>
      </c>
      <c r="T571" s="10" t="s">
        <v>296</v>
      </c>
      <c r="U571" s="10">
        <v>1.0</v>
      </c>
      <c r="V571" s="14" t="s">
        <v>5465</v>
      </c>
      <c r="W571" s="10"/>
      <c r="X571" s="10" t="s">
        <v>37</v>
      </c>
      <c r="Y571" s="10" t="s">
        <v>0</v>
      </c>
    </row>
    <row r="572">
      <c r="A572" s="10" t="s">
        <v>5466</v>
      </c>
      <c r="B572" s="11">
        <v>44408.91571835648</v>
      </c>
      <c r="C572" s="10" t="s">
        <v>137</v>
      </c>
      <c r="D572" s="10" t="s">
        <v>138</v>
      </c>
      <c r="E572" s="10" t="s">
        <v>3299</v>
      </c>
      <c r="F572" s="10" t="s">
        <v>921</v>
      </c>
      <c r="G572" s="10" t="s">
        <v>3438</v>
      </c>
      <c r="H572" s="11">
        <v>44505.58333333333</v>
      </c>
      <c r="I572" s="11">
        <v>44505.66666666667</v>
      </c>
      <c r="J572" s="10" t="s">
        <v>128</v>
      </c>
      <c r="K572" s="10" t="s">
        <v>34</v>
      </c>
      <c r="N572" s="10" t="s">
        <v>35</v>
      </c>
      <c r="V572" s="9"/>
      <c r="X572" s="10" t="s">
        <v>37</v>
      </c>
      <c r="Y572" s="10" t="s">
        <v>0</v>
      </c>
    </row>
    <row r="573">
      <c r="A573" s="10" t="s">
        <v>5467</v>
      </c>
      <c r="B573" s="11">
        <v>44498.56643511574</v>
      </c>
      <c r="C573" s="10" t="s">
        <v>181</v>
      </c>
      <c r="D573" s="10" t="s">
        <v>69</v>
      </c>
      <c r="E573" s="10" t="s">
        <v>1284</v>
      </c>
      <c r="F573" s="10" t="s">
        <v>5468</v>
      </c>
      <c r="G573" s="10" t="s">
        <v>5469</v>
      </c>
      <c r="H573" s="11">
        <v>44508.39583333333</v>
      </c>
      <c r="I573" s="11">
        <v>44508.5</v>
      </c>
      <c r="J573" s="10" t="s">
        <v>43</v>
      </c>
      <c r="K573" s="10" t="s">
        <v>61</v>
      </c>
      <c r="L573" s="10" t="s">
        <v>1334</v>
      </c>
      <c r="N573" s="10" t="s">
        <v>35</v>
      </c>
      <c r="V573" s="9"/>
      <c r="X573" s="10" t="s">
        <v>5470</v>
      </c>
      <c r="Y573" s="10" t="s">
        <v>0</v>
      </c>
    </row>
    <row r="574">
      <c r="A574" s="10" t="s">
        <v>5471</v>
      </c>
      <c r="B574" s="11">
        <v>44498.565601828705</v>
      </c>
      <c r="C574" s="10" t="s">
        <v>181</v>
      </c>
      <c r="D574" s="10" t="s">
        <v>69</v>
      </c>
      <c r="E574" s="10" t="s">
        <v>1284</v>
      </c>
      <c r="F574" s="10" t="s">
        <v>5472</v>
      </c>
      <c r="G574" s="10" t="s">
        <v>5473</v>
      </c>
      <c r="H574" s="11">
        <v>44505.60416666667</v>
      </c>
      <c r="I574" s="11">
        <v>44505.70833333333</v>
      </c>
      <c r="J574" s="10" t="s">
        <v>43</v>
      </c>
      <c r="K574" s="10" t="s">
        <v>61</v>
      </c>
      <c r="L574" s="10" t="s">
        <v>1334</v>
      </c>
      <c r="N574" s="10" t="s">
        <v>35</v>
      </c>
      <c r="V574" s="9"/>
      <c r="X574" s="10" t="s">
        <v>5470</v>
      </c>
      <c r="Y574" s="10" t="s">
        <v>0</v>
      </c>
    </row>
    <row r="575">
      <c r="A575" s="10" t="s">
        <v>5474</v>
      </c>
      <c r="B575" s="11">
        <v>44505.47456641204</v>
      </c>
      <c r="C575" s="10" t="s">
        <v>181</v>
      </c>
      <c r="D575" s="10" t="s">
        <v>69</v>
      </c>
      <c r="E575" s="10" t="s">
        <v>2979</v>
      </c>
      <c r="F575" s="10" t="s">
        <v>5475</v>
      </c>
      <c r="G575" s="10" t="s">
        <v>5476</v>
      </c>
      <c r="H575" s="11">
        <v>44508.47916666667</v>
      </c>
      <c r="I575" s="11">
        <v>44508.52083333333</v>
      </c>
      <c r="J575" s="10" t="s">
        <v>128</v>
      </c>
      <c r="K575" s="10" t="s">
        <v>34</v>
      </c>
      <c r="N575" s="10" t="s">
        <v>35</v>
      </c>
      <c r="V575" s="14" t="s">
        <v>3474</v>
      </c>
      <c r="W575" s="10"/>
      <c r="X575" s="10" t="s">
        <v>37</v>
      </c>
      <c r="Y575" s="10" t="s">
        <v>0</v>
      </c>
    </row>
    <row r="576">
      <c r="A576" s="10" t="s">
        <v>5477</v>
      </c>
      <c r="B576" s="11">
        <v>44497.465885011574</v>
      </c>
      <c r="C576" s="10" t="s">
        <v>239</v>
      </c>
      <c r="D576" s="10" t="s">
        <v>240</v>
      </c>
      <c r="E576" s="10" t="s">
        <v>4548</v>
      </c>
      <c r="F576" s="10" t="s">
        <v>5478</v>
      </c>
      <c r="G576" s="10" t="s">
        <v>5479</v>
      </c>
      <c r="H576" s="11">
        <v>44505.6875</v>
      </c>
      <c r="I576" s="11">
        <v>44505.72916666667</v>
      </c>
      <c r="J576" s="10" t="s">
        <v>128</v>
      </c>
      <c r="K576" s="10" t="s">
        <v>34</v>
      </c>
      <c r="N576" s="10" t="s">
        <v>35</v>
      </c>
      <c r="V576" s="14" t="s">
        <v>4642</v>
      </c>
      <c r="W576" s="10"/>
      <c r="X576" s="10" t="s">
        <v>37</v>
      </c>
      <c r="Y576" s="10" t="s">
        <v>0</v>
      </c>
    </row>
    <row r="577">
      <c r="A577" s="10" t="s">
        <v>5480</v>
      </c>
      <c r="B577" s="11">
        <v>44498.57111087963</v>
      </c>
      <c r="C577" s="10" t="s">
        <v>181</v>
      </c>
      <c r="D577" s="10" t="s">
        <v>69</v>
      </c>
      <c r="E577" s="10" t="s">
        <v>5481</v>
      </c>
      <c r="F577" s="10" t="s">
        <v>5482</v>
      </c>
      <c r="G577" s="10" t="s">
        <v>5483</v>
      </c>
      <c r="H577" s="11">
        <v>44506.39583333333</v>
      </c>
      <c r="I577" s="11">
        <v>44506.47916666667</v>
      </c>
      <c r="J577" s="10" t="s">
        <v>33</v>
      </c>
      <c r="K577" s="10" t="s">
        <v>34</v>
      </c>
      <c r="N577" s="10" t="s">
        <v>35</v>
      </c>
      <c r="V577" s="14" t="s">
        <v>5484</v>
      </c>
      <c r="W577" s="10"/>
      <c r="X577" s="10" t="s">
        <v>37</v>
      </c>
      <c r="Y577" s="10" t="s">
        <v>0</v>
      </c>
    </row>
    <row r="578">
      <c r="A578" s="10" t="s">
        <v>5485</v>
      </c>
      <c r="B578" s="11">
        <v>44445.782701331016</v>
      </c>
      <c r="C578" s="10" t="s">
        <v>181</v>
      </c>
      <c r="D578" s="10" t="s">
        <v>69</v>
      </c>
      <c r="E578" s="10" t="s">
        <v>1879</v>
      </c>
      <c r="F578" s="10" t="s">
        <v>5486</v>
      </c>
      <c r="G578" s="10" t="s">
        <v>5487</v>
      </c>
      <c r="H578" s="11">
        <v>44506.41666666667</v>
      </c>
      <c r="I578" s="11">
        <v>44506.41736111111</v>
      </c>
      <c r="J578" s="10" t="s">
        <v>73</v>
      </c>
      <c r="K578" s="10" t="s">
        <v>34</v>
      </c>
      <c r="N578" s="10" t="s">
        <v>35</v>
      </c>
      <c r="V578" s="14" t="s">
        <v>4046</v>
      </c>
      <c r="W578" s="10"/>
      <c r="X578" s="10" t="s">
        <v>37</v>
      </c>
      <c r="Y578" s="10" t="s">
        <v>0</v>
      </c>
    </row>
    <row r="579">
      <c r="A579" s="10" t="s">
        <v>5488</v>
      </c>
      <c r="B579" s="11">
        <v>44498.571810891204</v>
      </c>
      <c r="C579" s="10" t="s">
        <v>181</v>
      </c>
      <c r="D579" s="10" t="s">
        <v>69</v>
      </c>
      <c r="E579" s="10" t="s">
        <v>5489</v>
      </c>
      <c r="F579" s="10" t="s">
        <v>5490</v>
      </c>
      <c r="G579" s="10" t="s">
        <v>5483</v>
      </c>
      <c r="H579" s="11">
        <v>44506.4375</v>
      </c>
      <c r="I579" s="11">
        <v>44506.52083333333</v>
      </c>
      <c r="J579" s="10" t="s">
        <v>33</v>
      </c>
      <c r="K579" s="10" t="s">
        <v>34</v>
      </c>
      <c r="N579" s="10" t="s">
        <v>35</v>
      </c>
      <c r="V579" s="14" t="s">
        <v>5491</v>
      </c>
      <c r="W579" s="10"/>
      <c r="X579" s="10" t="s">
        <v>37</v>
      </c>
      <c r="Y579" s="10" t="s">
        <v>0</v>
      </c>
    </row>
    <row r="580">
      <c r="A580" s="10" t="s">
        <v>5492</v>
      </c>
      <c r="B580" s="11">
        <v>44498.572884560184</v>
      </c>
      <c r="C580" s="10" t="s">
        <v>181</v>
      </c>
      <c r="D580" s="10" t="s">
        <v>69</v>
      </c>
      <c r="E580" s="10" t="s">
        <v>5493</v>
      </c>
      <c r="F580" s="10" t="s">
        <v>5494</v>
      </c>
      <c r="G580" s="10" t="s">
        <v>5495</v>
      </c>
      <c r="H580" s="11">
        <v>44506.60416666667</v>
      </c>
      <c r="I580" s="11">
        <v>44506.6875</v>
      </c>
      <c r="J580" s="10" t="s">
        <v>33</v>
      </c>
      <c r="K580" s="10" t="s">
        <v>34</v>
      </c>
      <c r="N580" s="10" t="s">
        <v>35</v>
      </c>
      <c r="V580" s="14" t="s">
        <v>5496</v>
      </c>
      <c r="W580" s="10"/>
      <c r="X580" s="10" t="s">
        <v>37</v>
      </c>
      <c r="Y580" s="10" t="s">
        <v>0</v>
      </c>
    </row>
    <row r="581">
      <c r="A581" s="10" t="s">
        <v>5497</v>
      </c>
      <c r="B581" s="11">
        <v>44448.904653101854</v>
      </c>
      <c r="C581" s="10" t="s">
        <v>336</v>
      </c>
      <c r="D581" s="10" t="s">
        <v>337</v>
      </c>
      <c r="E581" s="10" t="s">
        <v>5498</v>
      </c>
      <c r="F581" s="10" t="s">
        <v>4521</v>
      </c>
      <c r="G581" s="10" t="s">
        <v>5499</v>
      </c>
      <c r="H581" s="11">
        <v>44506.6875</v>
      </c>
      <c r="I581" s="11">
        <v>44506.72916666667</v>
      </c>
      <c r="J581" s="10" t="s">
        <v>128</v>
      </c>
      <c r="K581" s="10" t="s">
        <v>34</v>
      </c>
      <c r="N581" s="10" t="s">
        <v>35</v>
      </c>
      <c r="V581" s="14" t="s">
        <v>4523</v>
      </c>
      <c r="W581" s="10"/>
      <c r="X581" s="10" t="s">
        <v>37</v>
      </c>
      <c r="Y581" s="10" t="s">
        <v>0</v>
      </c>
    </row>
    <row r="582">
      <c r="A582" s="10" t="s">
        <v>5500</v>
      </c>
      <c r="B582" s="11">
        <v>44500.077564872685</v>
      </c>
      <c r="C582" s="10" t="s">
        <v>581</v>
      </c>
      <c r="D582" s="10" t="s">
        <v>220</v>
      </c>
      <c r="E582" s="10" t="s">
        <v>5501</v>
      </c>
      <c r="F582" s="10" t="s">
        <v>3591</v>
      </c>
      <c r="G582" s="10" t="s">
        <v>4850</v>
      </c>
      <c r="H582" s="11">
        <v>44504.85416666667</v>
      </c>
      <c r="I582" s="11">
        <v>44504.89583333333</v>
      </c>
      <c r="J582" s="10" t="s">
        <v>128</v>
      </c>
      <c r="K582" s="10" t="s">
        <v>34</v>
      </c>
      <c r="N582" s="10" t="s">
        <v>35</v>
      </c>
      <c r="V582" s="14" t="s">
        <v>5502</v>
      </c>
      <c r="W582" s="10"/>
      <c r="X582" s="10" t="s">
        <v>37</v>
      </c>
      <c r="Y582" s="10" t="s">
        <v>0</v>
      </c>
    </row>
    <row r="583">
      <c r="A583" s="10" t="s">
        <v>5503</v>
      </c>
      <c r="B583" s="11">
        <v>44501.77256896991</v>
      </c>
      <c r="C583" s="10" t="s">
        <v>239</v>
      </c>
      <c r="D583" s="10" t="s">
        <v>240</v>
      </c>
      <c r="E583" s="10" t="s">
        <v>5504</v>
      </c>
      <c r="F583" s="10" t="s">
        <v>5505</v>
      </c>
      <c r="G583" s="10" t="s">
        <v>5506</v>
      </c>
      <c r="H583" s="11">
        <v>44500.6875</v>
      </c>
      <c r="I583" s="11">
        <v>44500.72916666667</v>
      </c>
      <c r="J583" s="10" t="s">
        <v>128</v>
      </c>
      <c r="K583" s="10" t="s">
        <v>34</v>
      </c>
      <c r="N583" s="10" t="s">
        <v>35</v>
      </c>
      <c r="V583" s="14" t="s">
        <v>5507</v>
      </c>
      <c r="W583" s="10"/>
      <c r="X583" s="10" t="s">
        <v>37</v>
      </c>
      <c r="Y583" s="10" t="s">
        <v>0</v>
      </c>
    </row>
    <row r="584">
      <c r="A584" s="10" t="s">
        <v>5508</v>
      </c>
      <c r="B584" s="11">
        <v>44501.94647905092</v>
      </c>
      <c r="C584" s="10" t="s">
        <v>347</v>
      </c>
      <c r="D584" s="10" t="s">
        <v>348</v>
      </c>
      <c r="E584" s="10" t="s">
        <v>3429</v>
      </c>
      <c r="F584" s="10" t="s">
        <v>3765</v>
      </c>
      <c r="G584" s="10" t="s">
        <v>4771</v>
      </c>
      <c r="H584" s="11">
        <v>44503.4375</v>
      </c>
      <c r="I584" s="11">
        <v>44503.52083333333</v>
      </c>
      <c r="J584" s="10" t="s">
        <v>128</v>
      </c>
      <c r="K584" s="10" t="s">
        <v>34</v>
      </c>
      <c r="N584" s="10" t="s">
        <v>35</v>
      </c>
      <c r="V584" s="14" t="s">
        <v>5509</v>
      </c>
      <c r="W584" s="10"/>
      <c r="X584" s="10" t="s">
        <v>37</v>
      </c>
      <c r="Y584" s="10" t="s">
        <v>0</v>
      </c>
    </row>
    <row r="585">
      <c r="A585" s="10" t="s">
        <v>5510</v>
      </c>
      <c r="B585" s="11">
        <v>44502.377793437496</v>
      </c>
      <c r="C585" s="10" t="s">
        <v>160</v>
      </c>
      <c r="D585" s="10" t="s">
        <v>161</v>
      </c>
      <c r="E585" s="10" t="s">
        <v>5207</v>
      </c>
      <c r="F585" s="10" t="s">
        <v>5511</v>
      </c>
      <c r="G585" s="10" t="s">
        <v>5512</v>
      </c>
      <c r="H585" s="11">
        <v>44502.5</v>
      </c>
      <c r="I585" s="11">
        <v>44502.5</v>
      </c>
      <c r="J585" s="10" t="s">
        <v>73</v>
      </c>
      <c r="K585" s="10" t="s">
        <v>34</v>
      </c>
      <c r="N585" s="10" t="s">
        <v>35</v>
      </c>
      <c r="V585" s="14" t="s">
        <v>5231</v>
      </c>
      <c r="W585" s="10"/>
      <c r="X585" s="10" t="s">
        <v>37</v>
      </c>
      <c r="Y585" s="10" t="s">
        <v>0</v>
      </c>
    </row>
    <row r="586">
      <c r="A586" s="10" t="s">
        <v>5513</v>
      </c>
      <c r="B586" s="11">
        <v>44502.388731238425</v>
      </c>
      <c r="C586" s="10" t="s">
        <v>80</v>
      </c>
      <c r="D586" s="10" t="s">
        <v>81</v>
      </c>
      <c r="E586" s="10" t="s">
        <v>5514</v>
      </c>
      <c r="F586" s="10" t="s">
        <v>5515</v>
      </c>
      <c r="G586" s="10" t="s">
        <v>5516</v>
      </c>
      <c r="H586" s="11">
        <v>44505.6875</v>
      </c>
      <c r="I586" s="11">
        <v>44505.72916666667</v>
      </c>
      <c r="J586" s="10" t="s">
        <v>43</v>
      </c>
      <c r="K586" s="10" t="s">
        <v>34</v>
      </c>
      <c r="N586" s="10" t="s">
        <v>296</v>
      </c>
      <c r="O586" s="18" t="s">
        <v>5517</v>
      </c>
      <c r="P586" s="10" t="s">
        <v>296</v>
      </c>
      <c r="Q586" s="10">
        <v>1.0</v>
      </c>
      <c r="R586" s="10" t="s">
        <v>35</v>
      </c>
      <c r="T586" s="10" t="s">
        <v>35</v>
      </c>
      <c r="V586" s="35" t="s">
        <v>5518</v>
      </c>
      <c r="W586" s="10"/>
      <c r="X586" s="10" t="s">
        <v>37</v>
      </c>
      <c r="Y586" s="10" t="s">
        <v>0</v>
      </c>
    </row>
    <row r="587">
      <c r="A587" s="10" t="s">
        <v>5519</v>
      </c>
      <c r="B587" s="11">
        <v>44502.45925863426</v>
      </c>
      <c r="C587" s="10" t="s">
        <v>4217</v>
      </c>
      <c r="D587" s="10" t="s">
        <v>4211</v>
      </c>
      <c r="E587" s="10" t="s">
        <v>5520</v>
      </c>
      <c r="F587" s="10" t="s">
        <v>5521</v>
      </c>
      <c r="G587" s="10" t="s">
        <v>5522</v>
      </c>
      <c r="H587" s="11">
        <v>44511.64583333333</v>
      </c>
      <c r="I587" s="11">
        <v>44511.70833333333</v>
      </c>
      <c r="J587" s="10" t="s">
        <v>43</v>
      </c>
      <c r="K587" s="10" t="s">
        <v>34</v>
      </c>
      <c r="N587" s="10" t="s">
        <v>296</v>
      </c>
      <c r="O587" s="18" t="s">
        <v>5523</v>
      </c>
      <c r="P587" s="10" t="s">
        <v>296</v>
      </c>
      <c r="Q587" s="10">
        <v>1.0</v>
      </c>
      <c r="R587" s="10" t="s">
        <v>35</v>
      </c>
      <c r="T587" s="10" t="s">
        <v>35</v>
      </c>
      <c r="V587" s="14" t="s">
        <v>5524</v>
      </c>
      <c r="W587" s="10"/>
      <c r="X587" s="10" t="s">
        <v>37</v>
      </c>
      <c r="Y587" s="10" t="s">
        <v>0</v>
      </c>
    </row>
    <row r="588">
      <c r="A588" s="10" t="s">
        <v>5525</v>
      </c>
      <c r="B588" s="11">
        <v>44502.469542499995</v>
      </c>
      <c r="C588" s="10" t="s">
        <v>137</v>
      </c>
      <c r="D588" s="10" t="s">
        <v>138</v>
      </c>
      <c r="E588" s="10" t="s">
        <v>5526</v>
      </c>
      <c r="F588" s="10" t="s">
        <v>5527</v>
      </c>
      <c r="G588" s="10" t="s">
        <v>5528</v>
      </c>
      <c r="H588" s="11">
        <v>44520.625</v>
      </c>
      <c r="I588" s="11">
        <v>44520.70833333333</v>
      </c>
      <c r="J588" s="10" t="s">
        <v>43</v>
      </c>
      <c r="K588" s="10" t="s">
        <v>34</v>
      </c>
      <c r="N588" s="10" t="s">
        <v>35</v>
      </c>
      <c r="V588" s="35" t="s">
        <v>5529</v>
      </c>
      <c r="W588" s="10"/>
      <c r="X588" s="10" t="s">
        <v>37</v>
      </c>
      <c r="Y588" s="10" t="s">
        <v>0</v>
      </c>
    </row>
    <row r="589">
      <c r="A589" s="10" t="s">
        <v>5530</v>
      </c>
      <c r="B589" s="11">
        <v>44502.47757065972</v>
      </c>
      <c r="C589" s="10" t="s">
        <v>4217</v>
      </c>
      <c r="D589" s="10" t="s">
        <v>4211</v>
      </c>
      <c r="E589" s="10" t="s">
        <v>5531</v>
      </c>
      <c r="F589" s="10" t="s">
        <v>5532</v>
      </c>
      <c r="G589" s="10" t="s">
        <v>5533</v>
      </c>
      <c r="H589" s="11">
        <v>44512.10416666667</v>
      </c>
      <c r="I589" s="11">
        <v>44512.1875</v>
      </c>
      <c r="J589" s="10" t="s">
        <v>33</v>
      </c>
      <c r="K589" s="10" t="s">
        <v>34</v>
      </c>
      <c r="N589" s="10" t="s">
        <v>296</v>
      </c>
      <c r="O589" s="18" t="s">
        <v>5534</v>
      </c>
      <c r="P589" s="10" t="s">
        <v>296</v>
      </c>
      <c r="Q589" s="10">
        <v>2.0</v>
      </c>
      <c r="R589" s="10" t="s">
        <v>35</v>
      </c>
      <c r="T589" s="10" t="s">
        <v>35</v>
      </c>
      <c r="V589" s="14" t="s">
        <v>5535</v>
      </c>
      <c r="W589" s="10"/>
      <c r="X589" s="10" t="s">
        <v>37</v>
      </c>
      <c r="Y589" s="10" t="s">
        <v>0</v>
      </c>
    </row>
    <row r="590">
      <c r="A590" s="10" t="s">
        <v>5536</v>
      </c>
      <c r="B590" s="11">
        <v>44502.606903865744</v>
      </c>
      <c r="C590" s="10" t="s">
        <v>137</v>
      </c>
      <c r="D590" s="10" t="s">
        <v>138</v>
      </c>
      <c r="E590" s="10" t="s">
        <v>3299</v>
      </c>
      <c r="F590" s="10" t="s">
        <v>5537</v>
      </c>
      <c r="G590" s="10" t="s">
        <v>5538</v>
      </c>
      <c r="H590" s="11">
        <v>44512.60416666667</v>
      </c>
      <c r="I590" s="11">
        <v>44512.77083333333</v>
      </c>
      <c r="J590" s="10" t="s">
        <v>43</v>
      </c>
      <c r="K590" s="10" t="s">
        <v>34</v>
      </c>
      <c r="N590" s="10" t="s">
        <v>35</v>
      </c>
      <c r="V590" s="35" t="s">
        <v>5539</v>
      </c>
      <c r="W590" s="10"/>
      <c r="X590" s="10" t="s">
        <v>37</v>
      </c>
      <c r="Y590" s="10" t="s">
        <v>0</v>
      </c>
    </row>
    <row r="591">
      <c r="A591" s="10" t="s">
        <v>5540</v>
      </c>
      <c r="B591" s="11">
        <v>44502.60906545139</v>
      </c>
      <c r="C591" s="10" t="s">
        <v>137</v>
      </c>
      <c r="D591" s="10" t="s">
        <v>138</v>
      </c>
      <c r="E591" s="10" t="s">
        <v>3299</v>
      </c>
      <c r="F591" s="10" t="s">
        <v>5541</v>
      </c>
      <c r="G591" s="10" t="s">
        <v>5542</v>
      </c>
      <c r="H591" s="11">
        <v>44513.60416666667</v>
      </c>
      <c r="I591" s="11">
        <v>44513.77083333333</v>
      </c>
      <c r="J591" s="10" t="s">
        <v>43</v>
      </c>
      <c r="K591" s="10" t="s">
        <v>34</v>
      </c>
      <c r="N591" s="10" t="s">
        <v>35</v>
      </c>
      <c r="V591" s="35" t="s">
        <v>5543</v>
      </c>
      <c r="W591" s="10"/>
      <c r="X591" s="10" t="s">
        <v>37</v>
      </c>
      <c r="Y591" s="10" t="s">
        <v>0</v>
      </c>
    </row>
    <row r="592">
      <c r="A592" s="10" t="s">
        <v>5544</v>
      </c>
      <c r="B592" s="11">
        <v>44502.61145282407</v>
      </c>
      <c r="C592" s="10" t="s">
        <v>137</v>
      </c>
      <c r="D592" s="10" t="s">
        <v>138</v>
      </c>
      <c r="E592" s="10" t="s">
        <v>3299</v>
      </c>
      <c r="F592" s="10" t="s">
        <v>5545</v>
      </c>
      <c r="G592" s="10" t="s">
        <v>5546</v>
      </c>
      <c r="H592" s="11">
        <v>44520.64583333333</v>
      </c>
      <c r="I592" s="11">
        <v>44520.72916666667</v>
      </c>
      <c r="J592" s="10" t="s">
        <v>43</v>
      </c>
      <c r="K592" s="10" t="s">
        <v>34</v>
      </c>
      <c r="N592" s="10" t="s">
        <v>35</v>
      </c>
      <c r="V592" s="35" t="s">
        <v>5547</v>
      </c>
      <c r="W592" s="10"/>
      <c r="X592" s="10" t="s">
        <v>37</v>
      </c>
      <c r="Y592" s="10" t="s">
        <v>0</v>
      </c>
    </row>
    <row r="593">
      <c r="A593" s="10" t="s">
        <v>5548</v>
      </c>
      <c r="B593" s="11">
        <v>44502.78927875</v>
      </c>
      <c r="C593" s="10" t="s">
        <v>336</v>
      </c>
      <c r="D593" s="10" t="s">
        <v>337</v>
      </c>
      <c r="E593" s="10" t="s">
        <v>5549</v>
      </c>
      <c r="F593" s="10" t="s">
        <v>5550</v>
      </c>
      <c r="G593" s="10" t="s">
        <v>5551</v>
      </c>
      <c r="H593" s="11">
        <v>44506.6875</v>
      </c>
      <c r="I593" s="11">
        <v>44506.72916666667</v>
      </c>
      <c r="J593" s="10" t="s">
        <v>128</v>
      </c>
      <c r="K593" s="10" t="s">
        <v>34</v>
      </c>
      <c r="N593" s="10" t="s">
        <v>35</v>
      </c>
      <c r="V593" s="14" t="s">
        <v>5552</v>
      </c>
      <c r="W593" s="10"/>
      <c r="X593" s="10" t="s">
        <v>37</v>
      </c>
      <c r="Y593" s="10" t="s">
        <v>0</v>
      </c>
    </row>
    <row r="594">
      <c r="A594" s="10" t="s">
        <v>5553</v>
      </c>
      <c r="B594" s="11">
        <v>44503.47668277778</v>
      </c>
      <c r="C594" s="10" t="s">
        <v>671</v>
      </c>
      <c r="D594" s="10" t="s">
        <v>672</v>
      </c>
      <c r="E594" s="10" t="s">
        <v>1115</v>
      </c>
      <c r="F594" s="10" t="s">
        <v>5554</v>
      </c>
      <c r="G594" s="10" t="s">
        <v>5555</v>
      </c>
      <c r="H594" s="11">
        <v>44506.4375</v>
      </c>
      <c r="I594" s="11">
        <v>44506.47916666667</v>
      </c>
      <c r="J594" s="10" t="s">
        <v>128</v>
      </c>
      <c r="K594" s="10" t="s">
        <v>34</v>
      </c>
      <c r="N594" s="10" t="s">
        <v>35</v>
      </c>
      <c r="V594" s="14" t="s">
        <v>3906</v>
      </c>
      <c r="W594" s="10"/>
      <c r="X594" s="10" t="s">
        <v>37</v>
      </c>
      <c r="Y594" s="10" t="s">
        <v>0</v>
      </c>
    </row>
    <row r="595">
      <c r="A595" s="10" t="s">
        <v>5556</v>
      </c>
      <c r="B595" s="11">
        <v>44503.48721715278</v>
      </c>
      <c r="C595" s="10" t="s">
        <v>160</v>
      </c>
      <c r="D595" s="10" t="s">
        <v>161</v>
      </c>
      <c r="E595" s="10" t="s">
        <v>5211</v>
      </c>
      <c r="F595" s="10" t="s">
        <v>5557</v>
      </c>
      <c r="G595" s="10" t="s">
        <v>5558</v>
      </c>
      <c r="H595" s="11">
        <v>44504.5</v>
      </c>
      <c r="I595" s="11">
        <v>44504.5</v>
      </c>
      <c r="J595" s="10" t="s">
        <v>73</v>
      </c>
      <c r="K595" s="10" t="s">
        <v>34</v>
      </c>
      <c r="N595" s="10" t="s">
        <v>35</v>
      </c>
      <c r="V595" s="14" t="s">
        <v>5231</v>
      </c>
      <c r="W595" s="10"/>
      <c r="X595" s="10" t="s">
        <v>37</v>
      </c>
      <c r="Y595" s="10" t="s">
        <v>0</v>
      </c>
    </row>
    <row r="596">
      <c r="A596" s="10" t="s">
        <v>5559</v>
      </c>
      <c r="B596" s="11">
        <v>44503.703863055554</v>
      </c>
      <c r="C596" s="10" t="s">
        <v>671</v>
      </c>
      <c r="D596" s="10" t="s">
        <v>672</v>
      </c>
      <c r="E596" s="10" t="s">
        <v>5560</v>
      </c>
      <c r="F596" s="10" t="s">
        <v>5561</v>
      </c>
      <c r="G596" s="10" t="s">
        <v>5562</v>
      </c>
      <c r="H596" s="11">
        <v>44505.4375</v>
      </c>
      <c r="I596" s="11">
        <v>44505.5</v>
      </c>
      <c r="J596" s="10" t="s">
        <v>128</v>
      </c>
      <c r="K596" s="10" t="s">
        <v>34</v>
      </c>
      <c r="N596" s="10" t="s">
        <v>35</v>
      </c>
      <c r="V596" s="14" t="s">
        <v>3906</v>
      </c>
      <c r="W596" s="10"/>
      <c r="X596" s="10" t="s">
        <v>37</v>
      </c>
      <c r="Y596" s="10" t="s">
        <v>0</v>
      </c>
    </row>
    <row r="597">
      <c r="A597" s="10" t="s">
        <v>5563</v>
      </c>
      <c r="B597" s="11">
        <v>44503.7049202662</v>
      </c>
      <c r="C597" s="10" t="s">
        <v>671</v>
      </c>
      <c r="D597" s="10" t="s">
        <v>672</v>
      </c>
      <c r="E597" s="10" t="s">
        <v>4605</v>
      </c>
      <c r="F597" s="10" t="s">
        <v>5564</v>
      </c>
      <c r="G597" s="10" t="s">
        <v>4407</v>
      </c>
      <c r="H597" s="11">
        <v>44504.52083333333</v>
      </c>
      <c r="I597" s="11">
        <v>44504.5625</v>
      </c>
      <c r="J597" s="10" t="s">
        <v>128</v>
      </c>
      <c r="K597" s="10" t="s">
        <v>34</v>
      </c>
      <c r="N597" s="10" t="s">
        <v>35</v>
      </c>
      <c r="V597" s="14" t="s">
        <v>3906</v>
      </c>
      <c r="W597" s="10"/>
      <c r="X597" s="10" t="s">
        <v>37</v>
      </c>
      <c r="Y597" s="10" t="s">
        <v>0</v>
      </c>
    </row>
    <row r="598">
      <c r="A598" s="10" t="s">
        <v>5565</v>
      </c>
      <c r="B598" s="11">
        <v>44503.705818981485</v>
      </c>
      <c r="C598" s="10" t="s">
        <v>671</v>
      </c>
      <c r="D598" s="10" t="s">
        <v>672</v>
      </c>
      <c r="E598" s="10" t="s">
        <v>5566</v>
      </c>
      <c r="F598" s="10" t="s">
        <v>5567</v>
      </c>
      <c r="G598" s="10" t="s">
        <v>5568</v>
      </c>
      <c r="H598" s="11">
        <v>44504.60416666667</v>
      </c>
      <c r="I598" s="11">
        <v>44504.6875</v>
      </c>
      <c r="J598" s="10" t="s">
        <v>128</v>
      </c>
      <c r="K598" s="10" t="s">
        <v>34</v>
      </c>
      <c r="N598" s="10" t="s">
        <v>35</v>
      </c>
      <c r="V598" s="14" t="s">
        <v>3906</v>
      </c>
      <c r="W598" s="10"/>
      <c r="X598" s="10" t="s">
        <v>37</v>
      </c>
      <c r="Y598" s="10" t="s">
        <v>0</v>
      </c>
    </row>
    <row r="599">
      <c r="A599" s="10" t="s">
        <v>5569</v>
      </c>
      <c r="B599" s="11">
        <v>44503.70686914352</v>
      </c>
      <c r="C599" s="10" t="s">
        <v>671</v>
      </c>
      <c r="D599" s="10" t="s">
        <v>672</v>
      </c>
      <c r="E599" s="10" t="s">
        <v>5570</v>
      </c>
      <c r="F599" s="10" t="s">
        <v>5571</v>
      </c>
      <c r="G599" s="10" t="s">
        <v>5572</v>
      </c>
      <c r="H599" s="11">
        <v>44507.72916666667</v>
      </c>
      <c r="I599" s="11">
        <v>44507.83333333333</v>
      </c>
      <c r="J599" s="10" t="s">
        <v>128</v>
      </c>
      <c r="K599" s="10" t="s">
        <v>34</v>
      </c>
      <c r="N599" s="10" t="s">
        <v>35</v>
      </c>
      <c r="V599" s="14" t="s">
        <v>3906</v>
      </c>
      <c r="W599" s="10"/>
      <c r="X599" s="10" t="s">
        <v>37</v>
      </c>
      <c r="Y599" s="10" t="s">
        <v>0</v>
      </c>
    </row>
    <row r="600">
      <c r="A600" s="10" t="s">
        <v>5573</v>
      </c>
      <c r="B600" s="11">
        <v>44503.7078707176</v>
      </c>
      <c r="C600" s="10" t="s">
        <v>671</v>
      </c>
      <c r="D600" s="10" t="s">
        <v>672</v>
      </c>
      <c r="E600" s="10" t="s">
        <v>5570</v>
      </c>
      <c r="F600" s="10" t="s">
        <v>5574</v>
      </c>
      <c r="G600" s="10" t="s">
        <v>5575</v>
      </c>
      <c r="H600" s="11">
        <v>44506.60416666667</v>
      </c>
      <c r="I600" s="11">
        <v>44506.6875</v>
      </c>
      <c r="J600" s="10" t="s">
        <v>128</v>
      </c>
      <c r="K600" s="10" t="s">
        <v>34</v>
      </c>
      <c r="N600" s="10" t="s">
        <v>35</v>
      </c>
      <c r="V600" s="14" t="s">
        <v>3906</v>
      </c>
      <c r="W600" s="10"/>
      <c r="X600" s="10" t="s">
        <v>37</v>
      </c>
      <c r="Y600" s="10" t="s">
        <v>0</v>
      </c>
    </row>
    <row r="601">
      <c r="A601" s="10" t="s">
        <v>5576</v>
      </c>
      <c r="B601" s="11">
        <v>44503.717825115746</v>
      </c>
      <c r="C601" s="10" t="s">
        <v>539</v>
      </c>
      <c r="D601" s="10" t="s">
        <v>540</v>
      </c>
      <c r="E601" s="10" t="s">
        <v>5577</v>
      </c>
      <c r="F601" s="10" t="s">
        <v>5578</v>
      </c>
      <c r="G601" s="10" t="s">
        <v>5578</v>
      </c>
      <c r="H601" s="11">
        <v>44505.60416666667</v>
      </c>
      <c r="I601" s="11">
        <v>44505.6875</v>
      </c>
      <c r="J601" s="10" t="s">
        <v>33</v>
      </c>
      <c r="K601" s="10" t="s">
        <v>34</v>
      </c>
      <c r="N601" s="10" t="s">
        <v>35</v>
      </c>
      <c r="V601" s="14" t="s">
        <v>5579</v>
      </c>
      <c r="W601" s="10"/>
      <c r="X601" s="10" t="s">
        <v>37</v>
      </c>
      <c r="Y601" s="10" t="s">
        <v>0</v>
      </c>
    </row>
    <row r="602">
      <c r="A602" s="10" t="s">
        <v>5580</v>
      </c>
      <c r="B602" s="11">
        <v>44503.76976703704</v>
      </c>
      <c r="C602" s="10" t="s">
        <v>150</v>
      </c>
      <c r="D602" s="10" t="s">
        <v>151</v>
      </c>
      <c r="E602" s="10" t="s">
        <v>5581</v>
      </c>
      <c r="F602" s="10" t="s">
        <v>5582</v>
      </c>
      <c r="G602" s="10" t="s">
        <v>5583</v>
      </c>
      <c r="H602" s="11">
        <v>44505.375</v>
      </c>
      <c r="I602" s="11">
        <v>44505.4375</v>
      </c>
      <c r="J602" s="10" t="s">
        <v>33</v>
      </c>
      <c r="K602" s="10" t="s">
        <v>34</v>
      </c>
      <c r="N602" s="10" t="s">
        <v>35</v>
      </c>
      <c r="V602" s="14" t="s">
        <v>5584</v>
      </c>
      <c r="W602" s="10"/>
      <c r="X602" s="10" t="s">
        <v>37</v>
      </c>
      <c r="Y602" s="10" t="s">
        <v>0</v>
      </c>
    </row>
    <row r="603">
      <c r="A603" s="10" t="s">
        <v>5585</v>
      </c>
      <c r="B603" s="11">
        <v>44503.908608854166</v>
      </c>
      <c r="C603" s="10" t="s">
        <v>418</v>
      </c>
      <c r="D603" s="10" t="s">
        <v>419</v>
      </c>
      <c r="E603" s="10" t="s">
        <v>4533</v>
      </c>
      <c r="F603" s="10" t="s">
        <v>5586</v>
      </c>
      <c r="G603" s="10" t="s">
        <v>5587</v>
      </c>
      <c r="H603" s="11">
        <v>44506.60416666667</v>
      </c>
      <c r="I603" s="11">
        <v>44506.66666666667</v>
      </c>
      <c r="J603" s="10" t="s">
        <v>128</v>
      </c>
      <c r="K603" s="10" t="s">
        <v>34</v>
      </c>
      <c r="N603" s="10" t="s">
        <v>35</v>
      </c>
      <c r="V603" s="14" t="s">
        <v>5588</v>
      </c>
      <c r="W603" s="10"/>
      <c r="X603" s="10" t="s">
        <v>37</v>
      </c>
      <c r="Y603" s="10" t="s">
        <v>0</v>
      </c>
    </row>
    <row r="604">
      <c r="A604" s="10" t="s">
        <v>5589</v>
      </c>
      <c r="B604" s="11">
        <v>44503.954563368054</v>
      </c>
      <c r="C604" s="10" t="s">
        <v>330</v>
      </c>
      <c r="D604" s="10" t="s">
        <v>331</v>
      </c>
      <c r="E604" s="10" t="s">
        <v>5590</v>
      </c>
      <c r="F604" s="10" t="s">
        <v>5591</v>
      </c>
      <c r="G604" s="10" t="s">
        <v>5592</v>
      </c>
      <c r="H604" s="11">
        <v>44510.77083333333</v>
      </c>
      <c r="I604" s="11">
        <v>44510.72916666667</v>
      </c>
      <c r="J604" s="10" t="s">
        <v>43</v>
      </c>
      <c r="K604" s="10" t="s">
        <v>34</v>
      </c>
      <c r="N604" s="10" t="s">
        <v>35</v>
      </c>
      <c r="V604" s="14" t="s">
        <v>5593</v>
      </c>
      <c r="W604" s="10"/>
      <c r="X604" s="10" t="s">
        <v>37</v>
      </c>
      <c r="Y604" s="10" t="s">
        <v>0</v>
      </c>
    </row>
    <row r="605">
      <c r="A605" s="10" t="s">
        <v>5594</v>
      </c>
      <c r="B605" s="11">
        <v>44503.98004606481</v>
      </c>
      <c r="C605" s="10" t="s">
        <v>330</v>
      </c>
      <c r="D605" s="10" t="s">
        <v>331</v>
      </c>
      <c r="E605" s="10" t="s">
        <v>5595</v>
      </c>
      <c r="F605" s="10" t="s">
        <v>5596</v>
      </c>
      <c r="G605" s="10" t="s">
        <v>5597</v>
      </c>
      <c r="H605" s="11">
        <v>44508.6875</v>
      </c>
      <c r="I605" s="11">
        <v>44508.8125</v>
      </c>
      <c r="J605" s="10" t="s">
        <v>43</v>
      </c>
      <c r="K605" s="10" t="s">
        <v>34</v>
      </c>
      <c r="N605" s="10" t="s">
        <v>35</v>
      </c>
      <c r="V605" s="14" t="s">
        <v>5598</v>
      </c>
      <c r="W605" s="10"/>
      <c r="X605" s="10" t="s">
        <v>37</v>
      </c>
      <c r="Y605" s="10" t="s">
        <v>0</v>
      </c>
    </row>
    <row r="606">
      <c r="A606" s="10" t="s">
        <v>5599</v>
      </c>
      <c r="B606" s="11">
        <v>44503.984358229165</v>
      </c>
      <c r="C606" s="10" t="s">
        <v>330</v>
      </c>
      <c r="D606" s="10" t="s">
        <v>331</v>
      </c>
      <c r="E606" s="10" t="s">
        <v>4302</v>
      </c>
      <c r="F606" s="10" t="s">
        <v>5600</v>
      </c>
      <c r="G606" s="10" t="s">
        <v>5601</v>
      </c>
      <c r="H606" s="11">
        <v>44512.60416666667</v>
      </c>
      <c r="I606" s="11">
        <v>44512.6875</v>
      </c>
      <c r="J606" s="10" t="s">
        <v>43</v>
      </c>
      <c r="K606" s="10" t="s">
        <v>34</v>
      </c>
      <c r="N606" s="10" t="s">
        <v>35</v>
      </c>
      <c r="V606" s="14" t="s">
        <v>5602</v>
      </c>
      <c r="W606" s="10"/>
      <c r="X606" s="10" t="s">
        <v>37</v>
      </c>
      <c r="Y606" s="10" t="s">
        <v>0</v>
      </c>
    </row>
    <row r="607">
      <c r="A607" s="10" t="s">
        <v>5603</v>
      </c>
      <c r="B607" s="11">
        <v>44504.37700972222</v>
      </c>
      <c r="C607" s="10" t="s">
        <v>610</v>
      </c>
      <c r="D607" s="10" t="s">
        <v>611</v>
      </c>
      <c r="E607" s="10" t="s">
        <v>3531</v>
      </c>
      <c r="F607" s="10" t="s">
        <v>2663</v>
      </c>
      <c r="G607" s="10" t="s">
        <v>5604</v>
      </c>
      <c r="H607" s="11">
        <v>44505.75</v>
      </c>
      <c r="I607" s="11">
        <v>44505.8125</v>
      </c>
      <c r="J607" s="10" t="s">
        <v>128</v>
      </c>
      <c r="K607" s="10" t="s">
        <v>34</v>
      </c>
      <c r="N607" s="10" t="s">
        <v>35</v>
      </c>
      <c r="V607" s="14" t="s">
        <v>5605</v>
      </c>
      <c r="W607" s="10"/>
      <c r="X607" s="10" t="s">
        <v>37</v>
      </c>
      <c r="Y607" s="10" t="s">
        <v>0</v>
      </c>
    </row>
    <row r="608">
      <c r="A608" s="10" t="s">
        <v>5606</v>
      </c>
      <c r="B608" s="11">
        <v>44504.48022827547</v>
      </c>
      <c r="C608" s="10" t="s">
        <v>80</v>
      </c>
      <c r="D608" s="10" t="s">
        <v>81</v>
      </c>
      <c r="E608" s="10" t="s">
        <v>81</v>
      </c>
      <c r="F608" s="10" t="s">
        <v>5607</v>
      </c>
      <c r="G608" s="10" t="s">
        <v>5608</v>
      </c>
      <c r="H608" s="11">
        <v>44520.60416666667</v>
      </c>
      <c r="I608" s="11">
        <v>44520.6875</v>
      </c>
      <c r="J608" s="10" t="s">
        <v>33</v>
      </c>
      <c r="K608" s="10" t="s">
        <v>34</v>
      </c>
      <c r="N608" s="10" t="s">
        <v>296</v>
      </c>
      <c r="O608" s="18" t="s">
        <v>5609</v>
      </c>
      <c r="P608" s="10" t="s">
        <v>296</v>
      </c>
      <c r="Q608" s="10">
        <v>1.0</v>
      </c>
      <c r="R608" s="10" t="s">
        <v>35</v>
      </c>
      <c r="T608" s="10" t="s">
        <v>35</v>
      </c>
      <c r="V608" s="14" t="s">
        <v>5610</v>
      </c>
      <c r="W608" s="10"/>
      <c r="X608" s="10" t="s">
        <v>37</v>
      </c>
      <c r="Y608" s="10" t="s">
        <v>0</v>
      </c>
    </row>
    <row r="609">
      <c r="A609" s="10" t="s">
        <v>5611</v>
      </c>
      <c r="B609" s="11">
        <v>44498.564342592595</v>
      </c>
      <c r="C609" s="10" t="s">
        <v>181</v>
      </c>
      <c r="D609" s="10" t="s">
        <v>69</v>
      </c>
      <c r="E609" s="10" t="s">
        <v>5612</v>
      </c>
      <c r="F609" s="10" t="s">
        <v>4052</v>
      </c>
      <c r="G609" s="10" t="s">
        <v>5613</v>
      </c>
      <c r="H609" s="11">
        <v>44508.54166666667</v>
      </c>
      <c r="I609" s="11">
        <v>44508.58333333333</v>
      </c>
      <c r="J609" s="10" t="s">
        <v>128</v>
      </c>
      <c r="K609" s="10" t="s">
        <v>34</v>
      </c>
      <c r="N609" s="10" t="s">
        <v>35</v>
      </c>
      <c r="V609" s="14" t="s">
        <v>3577</v>
      </c>
      <c r="W609" s="10"/>
      <c r="X609" s="10" t="s">
        <v>37</v>
      </c>
      <c r="Y609" s="10" t="s">
        <v>0</v>
      </c>
    </row>
    <row r="610">
      <c r="A610" s="10" t="s">
        <v>5614</v>
      </c>
      <c r="B610" s="11">
        <v>44505.49518600694</v>
      </c>
      <c r="C610" s="10" t="s">
        <v>181</v>
      </c>
      <c r="D610" s="10" t="s">
        <v>69</v>
      </c>
      <c r="E610" s="10" t="s">
        <v>1096</v>
      </c>
      <c r="F610" s="10" t="s">
        <v>4265</v>
      </c>
      <c r="G610" s="10" t="s">
        <v>5615</v>
      </c>
      <c r="H610" s="11">
        <v>44508.60416666667</v>
      </c>
      <c r="I610" s="11">
        <v>44508.6875</v>
      </c>
      <c r="J610" s="10" t="s">
        <v>128</v>
      </c>
      <c r="K610" s="10" t="s">
        <v>34</v>
      </c>
      <c r="N610" s="10" t="s">
        <v>35</v>
      </c>
      <c r="V610" s="14" t="s">
        <v>5616</v>
      </c>
      <c r="W610" s="10"/>
      <c r="X610" s="10" t="s">
        <v>37</v>
      </c>
      <c r="Y610" s="10" t="s">
        <v>0</v>
      </c>
    </row>
    <row r="611">
      <c r="A611" s="10" t="s">
        <v>5617</v>
      </c>
      <c r="B611" s="11">
        <v>44505.48415583333</v>
      </c>
      <c r="C611" s="10" t="s">
        <v>181</v>
      </c>
      <c r="D611" s="10" t="s">
        <v>69</v>
      </c>
      <c r="E611" s="10" t="s">
        <v>5618</v>
      </c>
      <c r="F611" s="10" t="s">
        <v>5619</v>
      </c>
      <c r="G611" s="10" t="s">
        <v>5620</v>
      </c>
      <c r="H611" s="11">
        <v>44508.72916666667</v>
      </c>
      <c r="I611" s="11">
        <v>44508.77083333333</v>
      </c>
      <c r="J611" s="10" t="s">
        <v>128</v>
      </c>
      <c r="K611" s="10" t="s">
        <v>34</v>
      </c>
      <c r="N611" s="10" t="s">
        <v>35</v>
      </c>
      <c r="V611" s="14" t="s">
        <v>3554</v>
      </c>
      <c r="W611" s="10"/>
      <c r="X611" s="10" t="s">
        <v>37</v>
      </c>
      <c r="Y611" s="10" t="s">
        <v>0</v>
      </c>
    </row>
    <row r="612">
      <c r="A612" s="10" t="s">
        <v>5621</v>
      </c>
      <c r="B612" s="11">
        <v>44505.47834543981</v>
      </c>
      <c r="C612" s="10" t="s">
        <v>181</v>
      </c>
      <c r="D612" s="10" t="s">
        <v>69</v>
      </c>
      <c r="E612" s="10" t="s">
        <v>5622</v>
      </c>
      <c r="F612" s="10" t="s">
        <v>5623</v>
      </c>
      <c r="G612" s="10" t="s">
        <v>5624</v>
      </c>
      <c r="H612" s="11">
        <v>44512.4375</v>
      </c>
      <c r="I612" s="11">
        <v>44512.52083333333</v>
      </c>
      <c r="J612" s="10" t="s">
        <v>33</v>
      </c>
      <c r="K612" s="10" t="s">
        <v>34</v>
      </c>
      <c r="N612" s="10" t="s">
        <v>296</v>
      </c>
      <c r="O612" s="18" t="s">
        <v>5625</v>
      </c>
      <c r="P612" s="10" t="s">
        <v>296</v>
      </c>
      <c r="Q612" s="10">
        <v>1.0</v>
      </c>
      <c r="R612" s="10" t="s">
        <v>35</v>
      </c>
      <c r="T612" s="10" t="s">
        <v>35</v>
      </c>
      <c r="V612" s="14" t="s">
        <v>5626</v>
      </c>
      <c r="W612" s="10"/>
      <c r="X612" s="10" t="s">
        <v>37</v>
      </c>
      <c r="Y612" s="10" t="s">
        <v>0</v>
      </c>
    </row>
    <row r="613">
      <c r="A613" s="10" t="s">
        <v>5627</v>
      </c>
      <c r="B613" s="11">
        <v>44505.48117452546</v>
      </c>
      <c r="C613" s="10" t="s">
        <v>181</v>
      </c>
      <c r="D613" s="10" t="s">
        <v>69</v>
      </c>
      <c r="E613" s="10" t="s">
        <v>5622</v>
      </c>
      <c r="F613" s="10" t="s">
        <v>5628</v>
      </c>
      <c r="G613" s="10" t="s">
        <v>5629</v>
      </c>
      <c r="H613" s="11">
        <v>44513.60416666667</v>
      </c>
      <c r="I613" s="11">
        <v>44513.6875</v>
      </c>
      <c r="J613" s="10" t="s">
        <v>33</v>
      </c>
      <c r="K613" s="10" t="s">
        <v>34</v>
      </c>
      <c r="N613" s="10" t="s">
        <v>296</v>
      </c>
      <c r="O613" s="18" t="s">
        <v>5630</v>
      </c>
      <c r="P613" s="10" t="s">
        <v>296</v>
      </c>
      <c r="Q613" s="10">
        <v>1.0</v>
      </c>
      <c r="R613" s="10" t="s">
        <v>35</v>
      </c>
      <c r="T613" s="10" t="s">
        <v>35</v>
      </c>
      <c r="V613" s="14" t="s">
        <v>5631</v>
      </c>
      <c r="W613" s="10"/>
      <c r="X613" s="10" t="s">
        <v>37</v>
      </c>
      <c r="Y613" s="10" t="s">
        <v>0</v>
      </c>
    </row>
    <row r="614">
      <c r="A614" s="10" t="s">
        <v>5632</v>
      </c>
      <c r="B614" s="11">
        <v>44505.48264512731</v>
      </c>
      <c r="C614" s="10" t="s">
        <v>181</v>
      </c>
      <c r="D614" s="10" t="s">
        <v>69</v>
      </c>
      <c r="E614" s="10" t="s">
        <v>5622</v>
      </c>
      <c r="F614" s="10" t="s">
        <v>5633</v>
      </c>
      <c r="G614" s="10" t="s">
        <v>5634</v>
      </c>
      <c r="H614" s="11">
        <v>44513.64583333333</v>
      </c>
      <c r="I614" s="11">
        <v>44513.72916666667</v>
      </c>
      <c r="J614" s="10" t="s">
        <v>33</v>
      </c>
      <c r="K614" s="10" t="s">
        <v>34</v>
      </c>
      <c r="N614" s="10" t="s">
        <v>296</v>
      </c>
      <c r="O614" s="18" t="s">
        <v>5635</v>
      </c>
      <c r="P614" s="10" t="s">
        <v>296</v>
      </c>
      <c r="Q614" s="10">
        <v>1.0</v>
      </c>
      <c r="R614" s="10" t="s">
        <v>35</v>
      </c>
      <c r="T614" s="10" t="s">
        <v>35</v>
      </c>
      <c r="V614" s="14" t="s">
        <v>5636</v>
      </c>
      <c r="W614" s="10"/>
      <c r="X614" s="10" t="s">
        <v>37</v>
      </c>
      <c r="Y614" s="10" t="s">
        <v>0</v>
      </c>
    </row>
    <row r="615">
      <c r="A615" s="10" t="s">
        <v>5637</v>
      </c>
      <c r="B615" s="11">
        <v>44505.6382482176</v>
      </c>
      <c r="C615" s="10" t="s">
        <v>160</v>
      </c>
      <c r="D615" s="10" t="s">
        <v>161</v>
      </c>
      <c r="E615" s="10" t="s">
        <v>985</v>
      </c>
      <c r="F615" s="10" t="s">
        <v>5638</v>
      </c>
      <c r="G615" s="10" t="s">
        <v>5639</v>
      </c>
      <c r="H615" s="11">
        <v>44506.5</v>
      </c>
      <c r="I615" s="11">
        <v>44506.5</v>
      </c>
      <c r="J615" s="10" t="s">
        <v>73</v>
      </c>
      <c r="K615" s="10" t="s">
        <v>34</v>
      </c>
      <c r="N615" s="10" t="s">
        <v>35</v>
      </c>
      <c r="V615" s="14" t="s">
        <v>5231</v>
      </c>
      <c r="W615" s="10"/>
      <c r="X615" s="10" t="s">
        <v>37</v>
      </c>
      <c r="Y615" s="10" t="s">
        <v>0</v>
      </c>
    </row>
    <row r="616">
      <c r="A616" s="10" t="s">
        <v>5640</v>
      </c>
      <c r="B616" s="11">
        <v>44506.34304371528</v>
      </c>
      <c r="C616" s="10" t="s">
        <v>4468</v>
      </c>
      <c r="D616" s="10" t="s">
        <v>4211</v>
      </c>
      <c r="E616" s="10" t="s">
        <v>5641</v>
      </c>
      <c r="F616" s="10" t="s">
        <v>5642</v>
      </c>
      <c r="G616" s="10" t="s">
        <v>5643</v>
      </c>
      <c r="H616" s="11">
        <v>44505.14583333333</v>
      </c>
      <c r="I616" s="11">
        <v>44519.1875</v>
      </c>
      <c r="J616" s="10" t="s">
        <v>1333</v>
      </c>
      <c r="K616" s="10" t="s">
        <v>34</v>
      </c>
      <c r="N616" s="10" t="s">
        <v>35</v>
      </c>
      <c r="V616" s="14" t="s">
        <v>5644</v>
      </c>
      <c r="W616" s="10"/>
      <c r="X616" s="10" t="s">
        <v>37</v>
      </c>
      <c r="Y616" s="10" t="s">
        <v>0</v>
      </c>
    </row>
    <row r="617">
      <c r="A617" s="10" t="s">
        <v>5645</v>
      </c>
      <c r="B617" s="11">
        <v>44507.55357783565</v>
      </c>
      <c r="C617" s="10" t="s">
        <v>239</v>
      </c>
      <c r="D617" s="10" t="s">
        <v>240</v>
      </c>
      <c r="E617" s="10" t="s">
        <v>4548</v>
      </c>
      <c r="F617" s="10" t="s">
        <v>5646</v>
      </c>
      <c r="G617" s="10" t="s">
        <v>5647</v>
      </c>
      <c r="H617" s="11">
        <v>44506.60416666667</v>
      </c>
      <c r="I617" s="11">
        <v>44506.66666666667</v>
      </c>
      <c r="J617" s="10" t="s">
        <v>128</v>
      </c>
      <c r="K617" s="10" t="s">
        <v>34</v>
      </c>
      <c r="N617" s="10" t="s">
        <v>35</v>
      </c>
      <c r="V617" s="35" t="s">
        <v>4551</v>
      </c>
      <c r="W617" s="10"/>
      <c r="X617" s="10" t="s">
        <v>37</v>
      </c>
      <c r="Y617" s="10" t="s">
        <v>0</v>
      </c>
    </row>
    <row r="618">
      <c r="A618" s="10" t="s">
        <v>5648</v>
      </c>
      <c r="B618" s="11">
        <v>44507.554820034726</v>
      </c>
      <c r="C618" s="10" t="s">
        <v>239</v>
      </c>
      <c r="D618" s="10" t="s">
        <v>240</v>
      </c>
      <c r="E618" s="10" t="s">
        <v>4548</v>
      </c>
      <c r="F618" s="10" t="s">
        <v>5649</v>
      </c>
      <c r="G618" s="10" t="s">
        <v>5650</v>
      </c>
      <c r="H618" s="11">
        <v>44479.0</v>
      </c>
      <c r="I618" s="11">
        <v>44507.99930555555</v>
      </c>
      <c r="J618" s="10" t="s">
        <v>128</v>
      </c>
      <c r="K618" s="10" t="s">
        <v>34</v>
      </c>
      <c r="N618" s="10" t="s">
        <v>35</v>
      </c>
      <c r="V618" s="35" t="s">
        <v>4551</v>
      </c>
      <c r="W618" s="10"/>
      <c r="X618" s="10" t="s">
        <v>37</v>
      </c>
      <c r="Y618" s="10" t="s">
        <v>0</v>
      </c>
    </row>
    <row r="619">
      <c r="A619" s="10" t="s">
        <v>5651</v>
      </c>
      <c r="B619" s="11">
        <v>44508.476775347226</v>
      </c>
      <c r="C619" s="10" t="s">
        <v>3304</v>
      </c>
      <c r="D619" s="10" t="s">
        <v>695</v>
      </c>
      <c r="E619" s="10" t="s">
        <v>4316</v>
      </c>
      <c r="F619" s="10" t="s">
        <v>5652</v>
      </c>
      <c r="G619" s="10" t="s">
        <v>5653</v>
      </c>
      <c r="H619" s="11">
        <v>44512.64583333333</v>
      </c>
      <c r="I619" s="11">
        <v>44512.72916666667</v>
      </c>
      <c r="J619" s="10" t="s">
        <v>43</v>
      </c>
      <c r="K619" s="10" t="s">
        <v>34</v>
      </c>
      <c r="N619" s="10" t="s">
        <v>296</v>
      </c>
      <c r="O619" s="18" t="s">
        <v>5654</v>
      </c>
      <c r="P619" s="10" t="s">
        <v>296</v>
      </c>
      <c r="Q619" s="10">
        <v>2.0</v>
      </c>
      <c r="R619" s="10" t="s">
        <v>35</v>
      </c>
      <c r="T619" s="10" t="s">
        <v>35</v>
      </c>
      <c r="V619" s="14" t="s">
        <v>5655</v>
      </c>
      <c r="W619" s="10"/>
      <c r="X619" s="10" t="s">
        <v>37</v>
      </c>
      <c r="Y619" s="10" t="s">
        <v>0</v>
      </c>
    </row>
    <row r="620">
      <c r="A620" s="10" t="s">
        <v>5656</v>
      </c>
      <c r="B620" s="11">
        <v>44508.554097326385</v>
      </c>
      <c r="C620" s="10" t="s">
        <v>102</v>
      </c>
      <c r="D620" s="10" t="s">
        <v>103</v>
      </c>
      <c r="E620" s="10" t="s">
        <v>754</v>
      </c>
      <c r="F620" s="10" t="s">
        <v>5657</v>
      </c>
      <c r="G620" s="10" t="s">
        <v>5658</v>
      </c>
      <c r="H620" s="11">
        <v>44508.6875</v>
      </c>
      <c r="I620" s="11">
        <v>44508.8125</v>
      </c>
      <c r="J620" s="10" t="s">
        <v>43</v>
      </c>
      <c r="K620" s="10" t="s">
        <v>34</v>
      </c>
      <c r="N620" s="10" t="s">
        <v>35</v>
      </c>
      <c r="V620" s="14" t="s">
        <v>5659</v>
      </c>
      <c r="W620" s="10"/>
      <c r="X620" s="10" t="s">
        <v>37</v>
      </c>
      <c r="Y620" s="10" t="s">
        <v>0</v>
      </c>
    </row>
    <row r="621">
      <c r="A621" s="10" t="s">
        <v>5660</v>
      </c>
      <c r="B621" s="11">
        <v>44508.58445207176</v>
      </c>
      <c r="C621" s="10" t="s">
        <v>160</v>
      </c>
      <c r="D621" s="10" t="s">
        <v>161</v>
      </c>
      <c r="E621" s="10" t="s">
        <v>5207</v>
      </c>
      <c r="F621" s="10" t="s">
        <v>5661</v>
      </c>
      <c r="G621" s="10" t="s">
        <v>5662</v>
      </c>
      <c r="H621" s="11">
        <v>44509.5</v>
      </c>
      <c r="I621" s="11">
        <v>44509.5</v>
      </c>
      <c r="J621" s="10" t="s">
        <v>73</v>
      </c>
      <c r="K621" s="10" t="s">
        <v>34</v>
      </c>
      <c r="N621" s="10" t="s">
        <v>35</v>
      </c>
      <c r="V621" s="14" t="s">
        <v>5231</v>
      </c>
      <c r="W621" s="10"/>
      <c r="X621" s="10" t="s">
        <v>37</v>
      </c>
      <c r="Y621" s="10" t="s">
        <v>0</v>
      </c>
    </row>
    <row r="622">
      <c r="A622" s="10" t="s">
        <v>5663</v>
      </c>
      <c r="B622" s="11">
        <v>44508.58514037037</v>
      </c>
      <c r="C622" s="10" t="s">
        <v>102</v>
      </c>
      <c r="D622" s="10" t="s">
        <v>103</v>
      </c>
      <c r="E622" s="10" t="s">
        <v>754</v>
      </c>
      <c r="F622" s="10" t="s">
        <v>5664</v>
      </c>
      <c r="G622" s="10" t="s">
        <v>5665</v>
      </c>
      <c r="H622" s="11">
        <v>44511.6875</v>
      </c>
      <c r="I622" s="11">
        <v>44511.77083333333</v>
      </c>
      <c r="J622" s="10" t="s">
        <v>43</v>
      </c>
      <c r="K622" s="10" t="s">
        <v>34</v>
      </c>
      <c r="N622" s="10" t="s">
        <v>35</v>
      </c>
      <c r="V622" s="35" t="s">
        <v>5666</v>
      </c>
      <c r="W622" s="10"/>
      <c r="X622" s="10" t="s">
        <v>37</v>
      </c>
      <c r="Y622" s="10" t="s">
        <v>0</v>
      </c>
    </row>
    <row r="623">
      <c r="A623" s="10" t="s">
        <v>5667</v>
      </c>
      <c r="B623" s="11">
        <v>44509.70201954861</v>
      </c>
      <c r="C623" s="10" t="s">
        <v>80</v>
      </c>
      <c r="D623" s="10" t="s">
        <v>81</v>
      </c>
      <c r="E623" s="10" t="s">
        <v>5668</v>
      </c>
      <c r="F623" s="10" t="s">
        <v>5669</v>
      </c>
      <c r="G623" s="10" t="s">
        <v>5670</v>
      </c>
      <c r="H623" s="11">
        <v>44515.33333333333</v>
      </c>
      <c r="I623" s="11">
        <v>44515.375</v>
      </c>
      <c r="J623" s="10" t="s">
        <v>73</v>
      </c>
      <c r="K623" s="10" t="s">
        <v>34</v>
      </c>
      <c r="N623" s="10" t="s">
        <v>35</v>
      </c>
      <c r="V623" s="14" t="s">
        <v>4013</v>
      </c>
      <c r="W623" s="10"/>
      <c r="X623" s="10" t="s">
        <v>37</v>
      </c>
      <c r="Y623" s="10" t="s">
        <v>0</v>
      </c>
    </row>
    <row r="624">
      <c r="A624" s="10" t="s">
        <v>5671</v>
      </c>
      <c r="B624" s="11">
        <v>44509.70500253473</v>
      </c>
      <c r="C624" s="10" t="s">
        <v>80</v>
      </c>
      <c r="D624" s="10" t="s">
        <v>81</v>
      </c>
      <c r="E624" s="10" t="s">
        <v>469</v>
      </c>
      <c r="F624" s="10" t="s">
        <v>5672</v>
      </c>
      <c r="G624" s="10" t="s">
        <v>5673</v>
      </c>
      <c r="H624" s="11">
        <v>44516.33333333333</v>
      </c>
      <c r="I624" s="11">
        <v>44516.375</v>
      </c>
      <c r="J624" s="10" t="s">
        <v>73</v>
      </c>
      <c r="K624" s="10" t="s">
        <v>34</v>
      </c>
      <c r="N624" s="10" t="s">
        <v>35</v>
      </c>
      <c r="V624" s="14" t="s">
        <v>5674</v>
      </c>
      <c r="W624" s="10"/>
      <c r="X624" s="10" t="s">
        <v>37</v>
      </c>
      <c r="Y624" s="10" t="s">
        <v>0</v>
      </c>
    </row>
    <row r="625">
      <c r="A625" s="10" t="s">
        <v>5675</v>
      </c>
      <c r="B625" s="11">
        <v>44510.52600996528</v>
      </c>
      <c r="C625" s="10" t="s">
        <v>80</v>
      </c>
      <c r="D625" s="10" t="s">
        <v>81</v>
      </c>
      <c r="E625" s="10" t="s">
        <v>5676</v>
      </c>
      <c r="F625" s="10" t="s">
        <v>5677</v>
      </c>
      <c r="G625" s="10" t="s">
        <v>5678</v>
      </c>
      <c r="H625" s="11">
        <v>44511.6875</v>
      </c>
      <c r="I625" s="11">
        <v>44511.72916666667</v>
      </c>
      <c r="J625" s="10" t="s">
        <v>43</v>
      </c>
      <c r="K625" s="10" t="s">
        <v>34</v>
      </c>
      <c r="N625" s="10" t="s">
        <v>296</v>
      </c>
      <c r="O625" s="18" t="s">
        <v>5679</v>
      </c>
      <c r="P625" s="10" t="s">
        <v>35</v>
      </c>
      <c r="R625" s="10" t="s">
        <v>296</v>
      </c>
      <c r="S625" s="10">
        <v>2.0</v>
      </c>
      <c r="T625" s="10" t="s">
        <v>35</v>
      </c>
      <c r="V625" s="14" t="s">
        <v>5680</v>
      </c>
      <c r="W625" s="10"/>
      <c r="X625" s="10" t="s">
        <v>37</v>
      </c>
      <c r="Y625" s="10" t="s">
        <v>0</v>
      </c>
    </row>
    <row r="626">
      <c r="A626" s="10" t="s">
        <v>5681</v>
      </c>
      <c r="B626" s="11">
        <v>44510.54492619213</v>
      </c>
      <c r="C626" s="10" t="s">
        <v>80</v>
      </c>
      <c r="D626" s="10" t="s">
        <v>81</v>
      </c>
      <c r="E626" s="10" t="s">
        <v>5676</v>
      </c>
      <c r="F626" s="10" t="s">
        <v>5682</v>
      </c>
      <c r="G626" s="10" t="s">
        <v>5683</v>
      </c>
      <c r="H626" s="11">
        <v>44511.60416666667</v>
      </c>
      <c r="I626" s="11">
        <v>44511.6875</v>
      </c>
      <c r="J626" s="10" t="s">
        <v>33</v>
      </c>
      <c r="K626" s="10" t="s">
        <v>34</v>
      </c>
      <c r="N626" s="10" t="s">
        <v>296</v>
      </c>
      <c r="O626" s="18" t="s">
        <v>5684</v>
      </c>
      <c r="P626" s="10" t="s">
        <v>296</v>
      </c>
      <c r="Q626" s="10">
        <v>1.0</v>
      </c>
      <c r="R626" s="10" t="s">
        <v>35</v>
      </c>
      <c r="T626" s="10" t="s">
        <v>35</v>
      </c>
      <c r="V626" s="14" t="s">
        <v>5685</v>
      </c>
      <c r="W626" s="10"/>
      <c r="X626" s="10" t="s">
        <v>37</v>
      </c>
      <c r="Y626" s="10" t="s">
        <v>0</v>
      </c>
    </row>
    <row r="627">
      <c r="A627" s="10" t="s">
        <v>5686</v>
      </c>
      <c r="B627" s="11">
        <v>44510.79736614584</v>
      </c>
      <c r="C627" s="10" t="s">
        <v>186</v>
      </c>
      <c r="D627" s="10" t="s">
        <v>187</v>
      </c>
      <c r="E627" s="10" t="s">
        <v>188</v>
      </c>
      <c r="F627" s="10" t="s">
        <v>5687</v>
      </c>
      <c r="G627" s="10" t="s">
        <v>5688</v>
      </c>
      <c r="H627" s="11">
        <v>44512.58333333333</v>
      </c>
      <c r="I627" s="11">
        <v>44512.6875</v>
      </c>
      <c r="J627" s="10" t="s">
        <v>43</v>
      </c>
      <c r="K627" s="10" t="s">
        <v>34</v>
      </c>
      <c r="N627" s="10" t="s">
        <v>296</v>
      </c>
      <c r="O627" s="18" t="s">
        <v>5689</v>
      </c>
      <c r="P627" s="10" t="s">
        <v>296</v>
      </c>
      <c r="Q627" s="10">
        <v>2.0</v>
      </c>
      <c r="R627" s="10" t="s">
        <v>35</v>
      </c>
      <c r="T627" s="10" t="s">
        <v>35</v>
      </c>
      <c r="V627" s="14" t="s">
        <v>5690</v>
      </c>
      <c r="W627" s="10"/>
      <c r="X627" s="10" t="s">
        <v>37</v>
      </c>
      <c r="Y627" s="10" t="s">
        <v>0</v>
      </c>
    </row>
    <row r="628">
      <c r="A628" s="10" t="s">
        <v>5691</v>
      </c>
      <c r="B628" s="11">
        <v>44510.815912210644</v>
      </c>
      <c r="C628" s="10" t="s">
        <v>5692</v>
      </c>
      <c r="D628" s="10" t="s">
        <v>492</v>
      </c>
      <c r="E628" s="10" t="s">
        <v>5693</v>
      </c>
      <c r="F628" s="10" t="s">
        <v>5694</v>
      </c>
      <c r="G628" s="10" t="s">
        <v>5695</v>
      </c>
      <c r="H628" s="11">
        <v>44512.75</v>
      </c>
      <c r="I628" s="11">
        <v>44512.8125</v>
      </c>
      <c r="J628" s="10" t="s">
        <v>128</v>
      </c>
      <c r="K628" s="10" t="s">
        <v>34</v>
      </c>
      <c r="N628" s="10" t="s">
        <v>35</v>
      </c>
      <c r="V628" s="14" t="s">
        <v>5696</v>
      </c>
      <c r="W628" s="10"/>
      <c r="X628" s="10" t="s">
        <v>37</v>
      </c>
      <c r="Y628" s="10" t="s">
        <v>0</v>
      </c>
    </row>
    <row r="629">
      <c r="A629" s="10" t="s">
        <v>5697</v>
      </c>
      <c r="B629" s="11">
        <v>44511.06858552083</v>
      </c>
      <c r="C629" s="10" t="s">
        <v>347</v>
      </c>
      <c r="D629" s="10" t="s">
        <v>348</v>
      </c>
      <c r="E629" s="10" t="s">
        <v>3429</v>
      </c>
      <c r="F629" s="10" t="s">
        <v>5698</v>
      </c>
      <c r="G629" s="10" t="s">
        <v>5699</v>
      </c>
      <c r="H629" s="11">
        <v>44511.41666666667</v>
      </c>
      <c r="I629" s="11">
        <v>44511.4375</v>
      </c>
      <c r="J629" s="10" t="s">
        <v>128</v>
      </c>
      <c r="K629" s="10" t="s">
        <v>34</v>
      </c>
      <c r="N629" s="10" t="s">
        <v>35</v>
      </c>
      <c r="V629" s="14" t="s">
        <v>5700</v>
      </c>
      <c r="W629" s="10"/>
      <c r="X629" s="10" t="s">
        <v>37</v>
      </c>
      <c r="Y629" s="10" t="s">
        <v>0</v>
      </c>
    </row>
    <row r="630">
      <c r="A630" s="10" t="s">
        <v>5701</v>
      </c>
      <c r="B630" s="11">
        <v>44511.075892106484</v>
      </c>
      <c r="C630" s="10" t="s">
        <v>347</v>
      </c>
      <c r="D630" s="10" t="s">
        <v>348</v>
      </c>
      <c r="E630" s="10" t="s">
        <v>3429</v>
      </c>
      <c r="F630" s="10" t="s">
        <v>5702</v>
      </c>
      <c r="G630" s="10" t="s">
        <v>5703</v>
      </c>
      <c r="H630" s="11">
        <v>44512.39583333333</v>
      </c>
      <c r="I630" s="11">
        <v>44512.4375</v>
      </c>
      <c r="J630" s="10" t="s">
        <v>43</v>
      </c>
      <c r="K630" s="10" t="s">
        <v>61</v>
      </c>
      <c r="L630" s="10" t="s">
        <v>5704</v>
      </c>
      <c r="N630" s="10" t="s">
        <v>296</v>
      </c>
      <c r="O630" s="18" t="s">
        <v>5705</v>
      </c>
      <c r="P630" s="10" t="s">
        <v>296</v>
      </c>
      <c r="Q630" s="10">
        <v>3.0</v>
      </c>
      <c r="R630" s="10" t="s">
        <v>296</v>
      </c>
      <c r="S630" s="10">
        <v>3.0</v>
      </c>
      <c r="T630" s="10" t="s">
        <v>35</v>
      </c>
      <c r="V630" s="9"/>
      <c r="X630" s="10" t="s">
        <v>37</v>
      </c>
      <c r="Y630" s="10" t="s">
        <v>0</v>
      </c>
    </row>
    <row r="631">
      <c r="A631" s="10" t="s">
        <v>5706</v>
      </c>
      <c r="B631" s="11">
        <v>44511.077240949075</v>
      </c>
      <c r="C631" s="10" t="s">
        <v>347</v>
      </c>
      <c r="D631" s="10" t="s">
        <v>348</v>
      </c>
      <c r="E631" s="10" t="s">
        <v>3429</v>
      </c>
      <c r="F631" s="10" t="s">
        <v>5707</v>
      </c>
      <c r="G631" s="10" t="s">
        <v>5708</v>
      </c>
      <c r="H631" s="11">
        <v>44512.39583333333</v>
      </c>
      <c r="I631" s="11">
        <v>44512.4375</v>
      </c>
      <c r="J631" s="10" t="s">
        <v>43</v>
      </c>
      <c r="K631" s="10" t="s">
        <v>61</v>
      </c>
      <c r="L631" s="10" t="s">
        <v>5704</v>
      </c>
      <c r="N631" s="10" t="s">
        <v>35</v>
      </c>
      <c r="V631" s="9"/>
      <c r="X631" s="10" t="s">
        <v>37</v>
      </c>
      <c r="Y631" s="10" t="s">
        <v>0</v>
      </c>
    </row>
    <row r="632">
      <c r="A632" s="10" t="s">
        <v>5709</v>
      </c>
      <c r="B632" s="11">
        <v>44511.282068368055</v>
      </c>
      <c r="C632" s="10" t="s">
        <v>671</v>
      </c>
      <c r="D632" s="10" t="s">
        <v>672</v>
      </c>
      <c r="E632" s="10" t="s">
        <v>5710</v>
      </c>
      <c r="F632" s="10" t="s">
        <v>5711</v>
      </c>
      <c r="G632" s="10" t="s">
        <v>5712</v>
      </c>
      <c r="H632" s="11">
        <v>44519.52083333333</v>
      </c>
      <c r="I632" s="11">
        <v>44519.5625</v>
      </c>
      <c r="J632" s="10" t="s">
        <v>128</v>
      </c>
      <c r="K632" s="10" t="s">
        <v>34</v>
      </c>
      <c r="N632" s="10" t="s">
        <v>35</v>
      </c>
      <c r="V632" s="14" t="s">
        <v>3906</v>
      </c>
      <c r="W632" s="10"/>
      <c r="X632" s="10" t="s">
        <v>37</v>
      </c>
      <c r="Y632" s="10" t="s">
        <v>0</v>
      </c>
    </row>
    <row r="633">
      <c r="A633" s="10" t="s">
        <v>5713</v>
      </c>
      <c r="B633" s="11">
        <v>44511.28387039352</v>
      </c>
      <c r="C633" s="10" t="s">
        <v>671</v>
      </c>
      <c r="D633" s="10" t="s">
        <v>672</v>
      </c>
      <c r="E633" s="10" t="s">
        <v>5710</v>
      </c>
      <c r="F633" s="10" t="s">
        <v>5714</v>
      </c>
      <c r="G633" s="10" t="s">
        <v>5715</v>
      </c>
      <c r="H633" s="11">
        <v>44520.39583333333</v>
      </c>
      <c r="I633" s="11">
        <v>44520.47916666667</v>
      </c>
      <c r="J633" s="10" t="s">
        <v>128</v>
      </c>
      <c r="K633" s="10" t="s">
        <v>34</v>
      </c>
      <c r="N633" s="10" t="s">
        <v>35</v>
      </c>
      <c r="V633" s="14" t="s">
        <v>3906</v>
      </c>
      <c r="W633" s="10"/>
      <c r="X633" s="10" t="s">
        <v>37</v>
      </c>
      <c r="Y633" s="10" t="s">
        <v>0</v>
      </c>
    </row>
    <row r="634">
      <c r="A634" s="10" t="s">
        <v>5716</v>
      </c>
      <c r="B634" s="11">
        <v>44511.28589009259</v>
      </c>
      <c r="C634" s="10" t="s">
        <v>671</v>
      </c>
      <c r="D634" s="10" t="s">
        <v>672</v>
      </c>
      <c r="E634" s="10" t="s">
        <v>4092</v>
      </c>
      <c r="F634" s="10" t="s">
        <v>5717</v>
      </c>
      <c r="G634" s="10" t="s">
        <v>5718</v>
      </c>
      <c r="H634" s="11">
        <v>44515.60416666667</v>
      </c>
      <c r="I634" s="11">
        <v>44515.64583333333</v>
      </c>
      <c r="J634" s="10" t="s">
        <v>33</v>
      </c>
      <c r="K634" s="10" t="s">
        <v>34</v>
      </c>
      <c r="N634" s="10" t="s">
        <v>35</v>
      </c>
      <c r="V634" s="14" t="s">
        <v>3906</v>
      </c>
      <c r="W634" s="10"/>
      <c r="X634" s="10" t="s">
        <v>37</v>
      </c>
      <c r="Y634" s="10" t="s">
        <v>0</v>
      </c>
    </row>
    <row r="635">
      <c r="A635" s="10" t="s">
        <v>5719</v>
      </c>
      <c r="B635" s="11">
        <v>44511.28757052083</v>
      </c>
      <c r="C635" s="10" t="s">
        <v>671</v>
      </c>
      <c r="D635" s="10" t="s">
        <v>672</v>
      </c>
      <c r="E635" s="10" t="s">
        <v>4092</v>
      </c>
      <c r="F635" s="10" t="s">
        <v>5720</v>
      </c>
      <c r="G635" s="10" t="s">
        <v>5721</v>
      </c>
      <c r="H635" s="11">
        <v>44517.60416666667</v>
      </c>
      <c r="I635" s="11">
        <v>44517.64583333333</v>
      </c>
      <c r="J635" s="10" t="s">
        <v>128</v>
      </c>
      <c r="K635" s="10" t="s">
        <v>34</v>
      </c>
      <c r="N635" s="10" t="s">
        <v>35</v>
      </c>
      <c r="V635" s="14" t="s">
        <v>3906</v>
      </c>
      <c r="W635" s="10"/>
      <c r="X635" s="10" t="s">
        <v>37</v>
      </c>
      <c r="Y635" s="10" t="s">
        <v>0</v>
      </c>
    </row>
    <row r="636">
      <c r="A636" s="10" t="s">
        <v>5722</v>
      </c>
      <c r="B636" s="11">
        <v>44511.28899680555</v>
      </c>
      <c r="C636" s="10" t="s">
        <v>671</v>
      </c>
      <c r="D636" s="10" t="s">
        <v>672</v>
      </c>
      <c r="E636" s="10" t="s">
        <v>4092</v>
      </c>
      <c r="F636" s="10" t="s">
        <v>5723</v>
      </c>
      <c r="G636" s="10" t="s">
        <v>5724</v>
      </c>
      <c r="H636" s="11">
        <v>44519.72916666667</v>
      </c>
      <c r="I636" s="11">
        <v>44519.77083333333</v>
      </c>
      <c r="J636" s="10" t="s">
        <v>128</v>
      </c>
      <c r="K636" s="10" t="s">
        <v>34</v>
      </c>
      <c r="N636" s="10" t="s">
        <v>35</v>
      </c>
      <c r="V636" s="14" t="s">
        <v>3906</v>
      </c>
      <c r="W636" s="10"/>
      <c r="X636" s="10" t="s">
        <v>37</v>
      </c>
      <c r="Y636" s="10" t="s">
        <v>0</v>
      </c>
    </row>
    <row r="637">
      <c r="A637" s="10" t="s">
        <v>5725</v>
      </c>
      <c r="B637" s="11">
        <v>44511.29048490741</v>
      </c>
      <c r="C637" s="10" t="s">
        <v>671</v>
      </c>
      <c r="D637" s="10" t="s">
        <v>672</v>
      </c>
      <c r="E637" s="10" t="s">
        <v>4092</v>
      </c>
      <c r="F637" s="10" t="s">
        <v>1492</v>
      </c>
      <c r="G637" s="10" t="s">
        <v>5726</v>
      </c>
      <c r="H637" s="11">
        <v>44518.6875</v>
      </c>
      <c r="I637" s="11">
        <v>44518.77083333333</v>
      </c>
      <c r="J637" s="10" t="s">
        <v>128</v>
      </c>
      <c r="K637" s="10" t="s">
        <v>34</v>
      </c>
      <c r="N637" s="10" t="s">
        <v>35</v>
      </c>
      <c r="V637" s="14" t="s">
        <v>3906</v>
      </c>
      <c r="W637" s="10"/>
      <c r="X637" s="10" t="s">
        <v>37</v>
      </c>
      <c r="Y637" s="10" t="s">
        <v>0</v>
      </c>
    </row>
    <row r="638">
      <c r="A638" s="10" t="s">
        <v>5727</v>
      </c>
      <c r="B638" s="11">
        <v>44511.42152215278</v>
      </c>
      <c r="C638" s="10" t="s">
        <v>671</v>
      </c>
      <c r="D638" s="10" t="s">
        <v>672</v>
      </c>
      <c r="E638" s="10" t="s">
        <v>1115</v>
      </c>
      <c r="F638" s="10" t="s">
        <v>5554</v>
      </c>
      <c r="G638" s="10" t="s">
        <v>5728</v>
      </c>
      <c r="H638" s="11">
        <v>44518.60416666667</v>
      </c>
      <c r="I638" s="11">
        <v>44518.64583333333</v>
      </c>
      <c r="J638" s="10" t="s">
        <v>128</v>
      </c>
      <c r="K638" s="10" t="s">
        <v>34</v>
      </c>
      <c r="N638" s="10" t="s">
        <v>296</v>
      </c>
      <c r="O638" s="18" t="s">
        <v>5729</v>
      </c>
      <c r="P638" s="10" t="s">
        <v>35</v>
      </c>
      <c r="R638" s="10" t="s">
        <v>35</v>
      </c>
      <c r="T638" s="10" t="s">
        <v>296</v>
      </c>
      <c r="U638" s="10">
        <v>1.0</v>
      </c>
      <c r="V638" s="14" t="s">
        <v>3906</v>
      </c>
      <c r="W638" s="10"/>
      <c r="X638" s="10" t="s">
        <v>37</v>
      </c>
      <c r="Y638" s="10" t="s">
        <v>0</v>
      </c>
    </row>
    <row r="639">
      <c r="A639" s="10" t="s">
        <v>5730</v>
      </c>
      <c r="B639" s="11">
        <v>44511.42277633102</v>
      </c>
      <c r="C639" s="10" t="s">
        <v>671</v>
      </c>
      <c r="D639" s="10" t="s">
        <v>672</v>
      </c>
      <c r="E639" s="10" t="s">
        <v>1115</v>
      </c>
      <c r="F639" s="10" t="s">
        <v>5731</v>
      </c>
      <c r="G639" s="10" t="s">
        <v>5732</v>
      </c>
      <c r="H639" s="11">
        <v>44519.52083333333</v>
      </c>
      <c r="I639" s="11">
        <v>44519.5625</v>
      </c>
      <c r="J639" s="10" t="s">
        <v>51</v>
      </c>
      <c r="K639" s="10" t="s">
        <v>34</v>
      </c>
      <c r="N639" s="10" t="s">
        <v>35</v>
      </c>
      <c r="V639" s="14" t="s">
        <v>3906</v>
      </c>
      <c r="W639" s="10"/>
      <c r="X639" s="10" t="s">
        <v>37</v>
      </c>
      <c r="Y639" s="10" t="s">
        <v>0</v>
      </c>
    </row>
    <row r="640">
      <c r="A640" s="10" t="s">
        <v>5733</v>
      </c>
      <c r="B640" s="11">
        <v>44511.42363344907</v>
      </c>
      <c r="C640" s="10" t="s">
        <v>671</v>
      </c>
      <c r="D640" s="10" t="s">
        <v>672</v>
      </c>
      <c r="E640" s="10" t="s">
        <v>1115</v>
      </c>
      <c r="F640" s="10" t="s">
        <v>5734</v>
      </c>
      <c r="G640" s="10" t="s">
        <v>5735</v>
      </c>
      <c r="H640" s="11">
        <v>44521.77083333333</v>
      </c>
      <c r="I640" s="11">
        <v>44521.85416666667</v>
      </c>
      <c r="J640" s="10" t="s">
        <v>128</v>
      </c>
      <c r="K640" s="10" t="s">
        <v>34</v>
      </c>
      <c r="N640" s="10" t="s">
        <v>35</v>
      </c>
      <c r="V640" s="14" t="s">
        <v>3906</v>
      </c>
      <c r="W640" s="10"/>
      <c r="X640" s="10" t="s">
        <v>37</v>
      </c>
      <c r="Y640" s="10" t="s">
        <v>0</v>
      </c>
    </row>
    <row r="641">
      <c r="A641" s="10" t="s">
        <v>5736</v>
      </c>
      <c r="B641" s="11">
        <v>44511.424543877314</v>
      </c>
      <c r="C641" s="10" t="s">
        <v>671</v>
      </c>
      <c r="D641" s="10" t="s">
        <v>672</v>
      </c>
      <c r="E641" s="10" t="s">
        <v>1115</v>
      </c>
      <c r="F641" s="10" t="s">
        <v>5737</v>
      </c>
      <c r="G641" s="10" t="s">
        <v>5738</v>
      </c>
      <c r="H641" s="11">
        <v>44520.60416666667</v>
      </c>
      <c r="I641" s="11">
        <v>44520.6875</v>
      </c>
      <c r="J641" s="10" t="s">
        <v>128</v>
      </c>
      <c r="K641" s="10" t="s">
        <v>34</v>
      </c>
      <c r="N641" s="10" t="s">
        <v>35</v>
      </c>
      <c r="V641" s="14" t="s">
        <v>3906</v>
      </c>
      <c r="W641" s="10"/>
      <c r="X641" s="10" t="s">
        <v>37</v>
      </c>
      <c r="Y641" s="10" t="s">
        <v>0</v>
      </c>
    </row>
    <row r="642">
      <c r="A642" s="10" t="s">
        <v>5739</v>
      </c>
      <c r="B642" s="11">
        <v>44511.51183739583</v>
      </c>
      <c r="C642" s="10" t="s">
        <v>239</v>
      </c>
      <c r="D642" s="10" t="s">
        <v>240</v>
      </c>
      <c r="E642" s="10" t="s">
        <v>5740</v>
      </c>
      <c r="F642" s="10" t="s">
        <v>5741</v>
      </c>
      <c r="G642" s="10" t="s">
        <v>5742</v>
      </c>
      <c r="H642" s="11">
        <v>44512.47916666667</v>
      </c>
      <c r="I642" s="11">
        <v>44512.60416666667</v>
      </c>
      <c r="J642" s="10" t="s">
        <v>128</v>
      </c>
      <c r="K642" s="10" t="s">
        <v>34</v>
      </c>
      <c r="N642" s="10" t="s">
        <v>35</v>
      </c>
      <c r="V642" s="35" t="s">
        <v>4551</v>
      </c>
      <c r="W642" s="10"/>
      <c r="X642" s="10" t="s">
        <v>37</v>
      </c>
      <c r="Y642" s="10" t="s">
        <v>0</v>
      </c>
    </row>
    <row r="643">
      <c r="A643" s="10" t="s">
        <v>5743</v>
      </c>
      <c r="B643" s="11">
        <v>44511.93925793981</v>
      </c>
      <c r="C643" s="10" t="s">
        <v>160</v>
      </c>
      <c r="D643" s="10" t="s">
        <v>161</v>
      </c>
      <c r="E643" s="10" t="s">
        <v>5207</v>
      </c>
      <c r="F643" s="10" t="s">
        <v>5744</v>
      </c>
      <c r="G643" s="10" t="s">
        <v>5745</v>
      </c>
      <c r="H643" s="11">
        <v>44512.52083333333</v>
      </c>
      <c r="I643" s="11">
        <v>44512.52083333333</v>
      </c>
      <c r="J643" s="10" t="s">
        <v>73</v>
      </c>
      <c r="K643" s="10" t="s">
        <v>34</v>
      </c>
      <c r="N643" s="10" t="s">
        <v>35</v>
      </c>
      <c r="V643" s="14" t="s">
        <v>5231</v>
      </c>
      <c r="W643" s="10"/>
      <c r="X643" s="10" t="s">
        <v>37</v>
      </c>
      <c r="Y643" s="10" t="s">
        <v>0</v>
      </c>
    </row>
    <row r="644">
      <c r="A644" s="10" t="s">
        <v>5746</v>
      </c>
      <c r="B644" s="11">
        <v>44512.34178527778</v>
      </c>
      <c r="C644" s="10" t="s">
        <v>96</v>
      </c>
      <c r="D644" s="10" t="s">
        <v>97</v>
      </c>
      <c r="E644" s="10" t="s">
        <v>5747</v>
      </c>
      <c r="F644" s="10" t="s">
        <v>5748</v>
      </c>
      <c r="G644" s="10" t="s">
        <v>5749</v>
      </c>
      <c r="H644" s="11">
        <v>44511.60416666667</v>
      </c>
      <c r="I644" s="11">
        <v>44511.6875</v>
      </c>
      <c r="J644" s="10" t="s">
        <v>33</v>
      </c>
      <c r="K644" s="10" t="s">
        <v>34</v>
      </c>
      <c r="N644" s="10" t="s">
        <v>296</v>
      </c>
      <c r="O644" s="18" t="s">
        <v>5750</v>
      </c>
      <c r="P644" s="10" t="s">
        <v>296</v>
      </c>
      <c r="Q644" s="10">
        <v>1.0</v>
      </c>
      <c r="R644" s="10" t="s">
        <v>35</v>
      </c>
      <c r="T644" s="10" t="s">
        <v>35</v>
      </c>
      <c r="V644" s="14" t="s">
        <v>5685</v>
      </c>
      <c r="W644" s="10"/>
      <c r="X644" s="10" t="s">
        <v>37</v>
      </c>
      <c r="Y644" s="10" t="s">
        <v>0</v>
      </c>
    </row>
    <row r="645">
      <c r="A645" s="10" t="s">
        <v>5751</v>
      </c>
      <c r="B645" s="11">
        <v>44512.458923495375</v>
      </c>
      <c r="C645" s="10" t="s">
        <v>181</v>
      </c>
      <c r="D645" s="10" t="s">
        <v>69</v>
      </c>
      <c r="E645" s="10" t="s">
        <v>1179</v>
      </c>
      <c r="F645" s="10" t="s">
        <v>5752</v>
      </c>
      <c r="G645" s="10" t="s">
        <v>5753</v>
      </c>
      <c r="H645" s="11">
        <v>44515.33333333333</v>
      </c>
      <c r="I645" s="11">
        <v>44540.83333333333</v>
      </c>
      <c r="J645" s="10" t="s">
        <v>60</v>
      </c>
      <c r="K645" s="10" t="s">
        <v>34</v>
      </c>
      <c r="N645" s="10" t="s">
        <v>35</v>
      </c>
      <c r="V645" s="14" t="s">
        <v>4065</v>
      </c>
      <c r="W645" s="10"/>
      <c r="X645" s="10" t="s">
        <v>37</v>
      </c>
      <c r="Y645" s="10" t="s">
        <v>0</v>
      </c>
    </row>
    <row r="646">
      <c r="A646" s="10" t="s">
        <v>5754</v>
      </c>
      <c r="B646" s="11">
        <v>44512.46159277778</v>
      </c>
      <c r="C646" s="10" t="s">
        <v>181</v>
      </c>
      <c r="D646" s="10" t="s">
        <v>69</v>
      </c>
      <c r="E646" s="10" t="s">
        <v>5755</v>
      </c>
      <c r="F646" s="10" t="s">
        <v>5756</v>
      </c>
      <c r="G646" s="10" t="s">
        <v>5757</v>
      </c>
      <c r="H646" s="11">
        <v>44519.60416666667</v>
      </c>
      <c r="I646" s="11">
        <v>44519.6875</v>
      </c>
      <c r="J646" s="10" t="s">
        <v>33</v>
      </c>
      <c r="K646" s="10" t="s">
        <v>34</v>
      </c>
      <c r="N646" s="10" t="s">
        <v>296</v>
      </c>
      <c r="O646" s="18" t="s">
        <v>5758</v>
      </c>
      <c r="P646" s="10" t="s">
        <v>296</v>
      </c>
      <c r="Q646" s="10">
        <v>1.0</v>
      </c>
      <c r="R646" s="10" t="s">
        <v>35</v>
      </c>
      <c r="T646" s="10" t="s">
        <v>35</v>
      </c>
      <c r="V646" s="14" t="s">
        <v>5759</v>
      </c>
      <c r="W646" s="10"/>
      <c r="X646" s="10" t="s">
        <v>37</v>
      </c>
      <c r="Y646" s="10" t="s">
        <v>0</v>
      </c>
    </row>
    <row r="647">
      <c r="A647" s="10" t="s">
        <v>5760</v>
      </c>
      <c r="B647" s="11">
        <v>44512.463029872684</v>
      </c>
      <c r="C647" s="10" t="s">
        <v>181</v>
      </c>
      <c r="D647" s="10" t="s">
        <v>69</v>
      </c>
      <c r="E647" s="10" t="s">
        <v>5481</v>
      </c>
      <c r="F647" s="10" t="s">
        <v>5761</v>
      </c>
      <c r="G647" s="10" t="s">
        <v>5762</v>
      </c>
      <c r="H647" s="11">
        <v>44519.4375</v>
      </c>
      <c r="I647" s="11">
        <v>44519.52083333333</v>
      </c>
      <c r="J647" s="10" t="s">
        <v>33</v>
      </c>
      <c r="K647" s="10" t="s">
        <v>34</v>
      </c>
      <c r="N647" s="10" t="s">
        <v>296</v>
      </c>
      <c r="O647" s="18" t="s">
        <v>5763</v>
      </c>
      <c r="P647" s="10" t="s">
        <v>296</v>
      </c>
      <c r="Q647" s="10">
        <v>1.0</v>
      </c>
      <c r="R647" s="10" t="s">
        <v>35</v>
      </c>
      <c r="T647" s="10" t="s">
        <v>35</v>
      </c>
      <c r="V647" s="14" t="s">
        <v>5764</v>
      </c>
      <c r="W647" s="10"/>
      <c r="X647" s="10" t="s">
        <v>37</v>
      </c>
      <c r="Y647" s="10" t="s">
        <v>0</v>
      </c>
    </row>
    <row r="648">
      <c r="A648" s="10" t="s">
        <v>5765</v>
      </c>
      <c r="B648" s="11">
        <v>44512.46424158565</v>
      </c>
      <c r="C648" s="10" t="s">
        <v>181</v>
      </c>
      <c r="D648" s="10" t="s">
        <v>69</v>
      </c>
      <c r="E648" s="10" t="s">
        <v>5481</v>
      </c>
      <c r="F648" s="10" t="s">
        <v>5766</v>
      </c>
      <c r="G648" s="10" t="s">
        <v>5767</v>
      </c>
      <c r="H648" s="11">
        <v>44520.60416666667</v>
      </c>
      <c r="I648" s="11">
        <v>44520.6875</v>
      </c>
      <c r="J648" s="10" t="s">
        <v>33</v>
      </c>
      <c r="K648" s="10" t="s">
        <v>34</v>
      </c>
      <c r="N648" s="10" t="s">
        <v>296</v>
      </c>
      <c r="O648" s="18" t="s">
        <v>5768</v>
      </c>
      <c r="P648" s="10" t="s">
        <v>296</v>
      </c>
      <c r="Q648" s="10">
        <v>1.0</v>
      </c>
      <c r="R648" s="10" t="s">
        <v>35</v>
      </c>
      <c r="T648" s="10" t="s">
        <v>35</v>
      </c>
      <c r="V648" s="14" t="s">
        <v>5769</v>
      </c>
      <c r="W648" s="10"/>
      <c r="X648" s="10" t="s">
        <v>37</v>
      </c>
      <c r="Y648" s="10" t="s">
        <v>0</v>
      </c>
    </row>
    <row r="649">
      <c r="A649" s="10" t="s">
        <v>5770</v>
      </c>
      <c r="B649" s="11">
        <v>44512.46539600694</v>
      </c>
      <c r="C649" s="10" t="s">
        <v>181</v>
      </c>
      <c r="D649" s="10" t="s">
        <v>69</v>
      </c>
      <c r="E649" s="10" t="s">
        <v>3733</v>
      </c>
      <c r="F649" s="10" t="s">
        <v>4049</v>
      </c>
      <c r="G649" s="10" t="s">
        <v>5771</v>
      </c>
      <c r="H649" s="11">
        <v>44516.5</v>
      </c>
      <c r="I649" s="11">
        <v>44516.54166666667</v>
      </c>
      <c r="J649" s="10" t="s">
        <v>128</v>
      </c>
      <c r="K649" s="10" t="s">
        <v>34</v>
      </c>
      <c r="N649" s="10" t="s">
        <v>35</v>
      </c>
      <c r="V649" s="14" t="s">
        <v>3658</v>
      </c>
      <c r="W649" s="10"/>
      <c r="X649" s="10" t="s">
        <v>37</v>
      </c>
      <c r="Y649" s="10" t="s">
        <v>0</v>
      </c>
    </row>
    <row r="650">
      <c r="A650" s="10" t="s">
        <v>5772</v>
      </c>
      <c r="B650" s="11">
        <v>44512.466158634255</v>
      </c>
      <c r="C650" s="10" t="s">
        <v>181</v>
      </c>
      <c r="D650" s="10" t="s">
        <v>69</v>
      </c>
      <c r="E650" s="10" t="s">
        <v>3864</v>
      </c>
      <c r="F650" s="10" t="s">
        <v>4386</v>
      </c>
      <c r="G650" s="10" t="s">
        <v>5773</v>
      </c>
      <c r="H650" s="11">
        <v>44515.72916666667</v>
      </c>
      <c r="I650" s="11">
        <v>44515.77083333333</v>
      </c>
      <c r="J650" s="10" t="s">
        <v>128</v>
      </c>
      <c r="K650" s="10" t="s">
        <v>34</v>
      </c>
      <c r="N650" s="10" t="s">
        <v>35</v>
      </c>
      <c r="V650" s="35" t="s">
        <v>4844</v>
      </c>
      <c r="W650" s="10"/>
      <c r="X650" s="10" t="s">
        <v>37</v>
      </c>
      <c r="Y650" s="10" t="s">
        <v>0</v>
      </c>
    </row>
    <row r="651">
      <c r="A651" s="10" t="s">
        <v>5774</v>
      </c>
      <c r="B651" s="11">
        <v>44512.46747979167</v>
      </c>
      <c r="C651" s="10" t="s">
        <v>181</v>
      </c>
      <c r="D651" s="10" t="s">
        <v>69</v>
      </c>
      <c r="E651" s="10" t="s">
        <v>1229</v>
      </c>
      <c r="F651" s="10" t="s">
        <v>5775</v>
      </c>
      <c r="G651" s="10" t="s">
        <v>5776</v>
      </c>
      <c r="H651" s="11">
        <v>44517.4375</v>
      </c>
      <c r="I651" s="11">
        <v>44517.47916666667</v>
      </c>
      <c r="J651" s="10" t="s">
        <v>43</v>
      </c>
      <c r="K651" s="10" t="s">
        <v>34</v>
      </c>
      <c r="N651" s="10" t="s">
        <v>296</v>
      </c>
      <c r="O651" s="18" t="s">
        <v>5777</v>
      </c>
      <c r="P651" s="10" t="s">
        <v>35</v>
      </c>
      <c r="R651" s="10" t="s">
        <v>35</v>
      </c>
      <c r="T651" s="10" t="s">
        <v>296</v>
      </c>
      <c r="U651" s="10">
        <v>1.0</v>
      </c>
      <c r="V651" s="14" t="s">
        <v>5778</v>
      </c>
      <c r="W651" s="10"/>
      <c r="X651" s="10" t="s">
        <v>37</v>
      </c>
      <c r="Y651" s="10" t="s">
        <v>0</v>
      </c>
    </row>
    <row r="652">
      <c r="A652" s="10" t="s">
        <v>5779</v>
      </c>
      <c r="B652" s="11">
        <v>44512.47254905093</v>
      </c>
      <c r="C652" s="10" t="s">
        <v>3304</v>
      </c>
      <c r="D652" s="10" t="s">
        <v>695</v>
      </c>
      <c r="E652" s="10" t="s">
        <v>4316</v>
      </c>
      <c r="F652" s="10" t="s">
        <v>5780</v>
      </c>
      <c r="G652" s="10" t="s">
        <v>5781</v>
      </c>
      <c r="H652" s="11">
        <v>44515.39583333333</v>
      </c>
      <c r="I652" s="11">
        <v>44515.99930555555</v>
      </c>
      <c r="J652" s="10" t="s">
        <v>73</v>
      </c>
      <c r="K652" s="10" t="s">
        <v>34</v>
      </c>
      <c r="N652" s="10" t="s">
        <v>35</v>
      </c>
      <c r="V652" s="14" t="s">
        <v>3464</v>
      </c>
      <c r="W652" s="10"/>
      <c r="X652" s="10" t="s">
        <v>37</v>
      </c>
      <c r="Y652" s="10" t="s">
        <v>0</v>
      </c>
    </row>
    <row r="653">
      <c r="A653" s="10" t="s">
        <v>5782</v>
      </c>
      <c r="B653" s="11">
        <v>44512.64024057871</v>
      </c>
      <c r="C653" s="10" t="s">
        <v>3304</v>
      </c>
      <c r="D653" s="10" t="s">
        <v>695</v>
      </c>
      <c r="E653" s="10" t="s">
        <v>5783</v>
      </c>
      <c r="F653" s="10" t="s">
        <v>5784</v>
      </c>
      <c r="G653" s="10" t="s">
        <v>5785</v>
      </c>
      <c r="H653" s="11">
        <v>44519.625</v>
      </c>
      <c r="I653" s="11">
        <v>44519.99930555555</v>
      </c>
      <c r="J653" s="10" t="s">
        <v>73</v>
      </c>
      <c r="K653" s="10" t="s">
        <v>34</v>
      </c>
      <c r="N653" s="10" t="s">
        <v>296</v>
      </c>
      <c r="O653" s="18" t="s">
        <v>5786</v>
      </c>
      <c r="P653" s="10" t="s">
        <v>35</v>
      </c>
      <c r="R653" s="10" t="s">
        <v>35</v>
      </c>
      <c r="T653" s="10" t="s">
        <v>296</v>
      </c>
      <c r="U653" s="10">
        <v>1.0</v>
      </c>
      <c r="V653" s="14" t="s">
        <v>3464</v>
      </c>
      <c r="W653" s="10"/>
      <c r="X653" s="10" t="s">
        <v>37</v>
      </c>
      <c r="Y653" s="10" t="s">
        <v>0</v>
      </c>
    </row>
    <row r="654">
      <c r="A654" s="10" t="s">
        <v>5787</v>
      </c>
      <c r="B654" s="11">
        <v>44512.65781899306</v>
      </c>
      <c r="C654" s="10" t="s">
        <v>96</v>
      </c>
      <c r="D654" s="10" t="s">
        <v>97</v>
      </c>
      <c r="E654" s="10" t="s">
        <v>5747</v>
      </c>
      <c r="F654" s="10" t="s">
        <v>5788</v>
      </c>
      <c r="G654" s="10" t="s">
        <v>5789</v>
      </c>
      <c r="H654" s="11">
        <v>44512.60416666667</v>
      </c>
      <c r="I654" s="11">
        <v>44512.6875</v>
      </c>
      <c r="J654" s="10" t="s">
        <v>43</v>
      </c>
      <c r="K654" s="10" t="s">
        <v>34</v>
      </c>
      <c r="N654" s="10" t="s">
        <v>296</v>
      </c>
      <c r="O654" s="18" t="s">
        <v>5790</v>
      </c>
      <c r="P654" s="10" t="s">
        <v>296</v>
      </c>
      <c r="Q654" s="10">
        <v>3.0</v>
      </c>
      <c r="R654" s="10" t="s">
        <v>35</v>
      </c>
      <c r="T654" s="10" t="s">
        <v>35</v>
      </c>
      <c r="V654" s="14" t="s">
        <v>5791</v>
      </c>
      <c r="W654" s="10"/>
      <c r="X654" s="10" t="s">
        <v>37</v>
      </c>
      <c r="Y654" s="10" t="s">
        <v>0</v>
      </c>
    </row>
    <row r="655">
      <c r="A655" s="10" t="s">
        <v>5792</v>
      </c>
      <c r="B655" s="11">
        <v>44512.66319387731</v>
      </c>
      <c r="C655" s="10" t="s">
        <v>96</v>
      </c>
      <c r="D655" s="10" t="s">
        <v>97</v>
      </c>
      <c r="E655" s="10" t="s">
        <v>5747</v>
      </c>
      <c r="F655" s="10" t="s">
        <v>5793</v>
      </c>
      <c r="G655" s="10" t="s">
        <v>5794</v>
      </c>
      <c r="H655" s="11">
        <v>44512.60416666667</v>
      </c>
      <c r="I655" s="11">
        <v>44512.6875</v>
      </c>
      <c r="J655" s="10" t="s">
        <v>43</v>
      </c>
      <c r="K655" s="10" t="s">
        <v>34</v>
      </c>
      <c r="N655" s="10" t="s">
        <v>296</v>
      </c>
      <c r="O655" s="18" t="s">
        <v>5795</v>
      </c>
      <c r="P655" s="10" t="s">
        <v>296</v>
      </c>
      <c r="Q655" s="10">
        <v>2.0</v>
      </c>
      <c r="R655" s="10" t="s">
        <v>35</v>
      </c>
      <c r="T655" s="10" t="s">
        <v>35</v>
      </c>
      <c r="V655" s="14" t="s">
        <v>5796</v>
      </c>
      <c r="W655" s="10"/>
      <c r="X655" s="10" t="s">
        <v>37</v>
      </c>
      <c r="Y655" s="10" t="s">
        <v>0</v>
      </c>
    </row>
    <row r="656">
      <c r="A656" s="10" t="s">
        <v>5797</v>
      </c>
      <c r="B656" s="11">
        <v>44512.72436893519</v>
      </c>
      <c r="C656" s="10" t="s">
        <v>150</v>
      </c>
      <c r="D656" s="10" t="s">
        <v>151</v>
      </c>
      <c r="E656" s="10" t="s">
        <v>4257</v>
      </c>
      <c r="F656" s="10" t="s">
        <v>5798</v>
      </c>
      <c r="G656" s="10" t="s">
        <v>5799</v>
      </c>
      <c r="H656" s="11">
        <v>44513.41666666667</v>
      </c>
      <c r="I656" s="11">
        <v>44513.5</v>
      </c>
      <c r="J656" s="10" t="s">
        <v>43</v>
      </c>
      <c r="K656" s="10" t="s">
        <v>34</v>
      </c>
      <c r="N656" s="10" t="s">
        <v>296</v>
      </c>
      <c r="O656" s="18" t="s">
        <v>5800</v>
      </c>
      <c r="P656" s="10" t="s">
        <v>296</v>
      </c>
      <c r="Q656" s="10">
        <v>1.0</v>
      </c>
      <c r="R656" s="10" t="s">
        <v>35</v>
      </c>
      <c r="T656" s="10" t="s">
        <v>35</v>
      </c>
      <c r="V656" s="14" t="s">
        <v>5801</v>
      </c>
      <c r="W656" s="10"/>
      <c r="X656" s="10" t="s">
        <v>37</v>
      </c>
      <c r="Y656" s="10" t="s">
        <v>0</v>
      </c>
    </row>
    <row r="657">
      <c r="A657" s="10" t="s">
        <v>5802</v>
      </c>
      <c r="B657" s="11">
        <v>44515.81218702546</v>
      </c>
      <c r="C657" s="10" t="s">
        <v>28</v>
      </c>
      <c r="D657" s="10" t="s">
        <v>29</v>
      </c>
      <c r="E657" s="10" t="s">
        <v>39</v>
      </c>
      <c r="F657" s="10" t="s">
        <v>5803</v>
      </c>
      <c r="G657" s="10" t="s">
        <v>5804</v>
      </c>
      <c r="H657" s="11">
        <v>44517.77083333333</v>
      </c>
      <c r="I657" s="11">
        <v>44517.85416666667</v>
      </c>
      <c r="J657" s="10" t="s">
        <v>43</v>
      </c>
      <c r="K657" s="10" t="s">
        <v>34</v>
      </c>
      <c r="N657" s="10" t="s">
        <v>35</v>
      </c>
      <c r="V657" s="14" t="s">
        <v>5805</v>
      </c>
      <c r="W657" s="10"/>
      <c r="X657" s="10" t="s">
        <v>37</v>
      </c>
      <c r="Y657" s="10" t="s">
        <v>0</v>
      </c>
    </row>
    <row r="658">
      <c r="A658" s="10" t="s">
        <v>5806</v>
      </c>
      <c r="B658" s="11">
        <v>44515.89579537037</v>
      </c>
      <c r="C658" s="10" t="s">
        <v>347</v>
      </c>
      <c r="D658" s="10" t="s">
        <v>348</v>
      </c>
      <c r="E658" s="10" t="s">
        <v>3429</v>
      </c>
      <c r="F658" s="10" t="s">
        <v>5807</v>
      </c>
      <c r="G658" s="10" t="s">
        <v>5808</v>
      </c>
      <c r="H658" s="11">
        <v>44516.72916666667</v>
      </c>
      <c r="I658" s="11">
        <v>44516.8125</v>
      </c>
      <c r="J658" s="10" t="s">
        <v>43</v>
      </c>
      <c r="K658" s="10" t="s">
        <v>34</v>
      </c>
      <c r="N658" s="10" t="s">
        <v>296</v>
      </c>
      <c r="O658" s="18" t="s">
        <v>5809</v>
      </c>
      <c r="P658" s="10" t="s">
        <v>296</v>
      </c>
      <c r="Q658" s="10">
        <v>1.0</v>
      </c>
      <c r="R658" s="10" t="s">
        <v>296</v>
      </c>
      <c r="S658" s="10">
        <v>1.0</v>
      </c>
      <c r="T658" s="10" t="s">
        <v>35</v>
      </c>
      <c r="V658" s="14" t="s">
        <v>5810</v>
      </c>
      <c r="W658" s="10"/>
      <c r="X658" s="10" t="s">
        <v>37</v>
      </c>
      <c r="Y658" s="10" t="s">
        <v>0</v>
      </c>
    </row>
    <row r="659">
      <c r="A659" s="10" t="s">
        <v>5811</v>
      </c>
      <c r="B659" s="11">
        <v>44515.90249309028</v>
      </c>
      <c r="C659" s="10" t="s">
        <v>347</v>
      </c>
      <c r="D659" s="10" t="s">
        <v>348</v>
      </c>
      <c r="E659" s="10" t="s">
        <v>3429</v>
      </c>
      <c r="F659" s="10" t="s">
        <v>5812</v>
      </c>
      <c r="G659" s="10" t="s">
        <v>5813</v>
      </c>
      <c r="H659" s="11">
        <v>44519.35416666667</v>
      </c>
      <c r="I659" s="11">
        <v>44519.4375</v>
      </c>
      <c r="J659" s="10" t="s">
        <v>43</v>
      </c>
      <c r="K659" s="10" t="s">
        <v>34</v>
      </c>
      <c r="N659" s="10" t="s">
        <v>296</v>
      </c>
      <c r="O659" s="18" t="s">
        <v>5814</v>
      </c>
      <c r="P659" s="10" t="s">
        <v>296</v>
      </c>
      <c r="Q659" s="10">
        <v>1.0</v>
      </c>
      <c r="R659" s="10" t="s">
        <v>296</v>
      </c>
      <c r="S659" s="10">
        <v>1.0</v>
      </c>
      <c r="T659" s="10" t="s">
        <v>35</v>
      </c>
      <c r="V659" s="14" t="s">
        <v>5815</v>
      </c>
      <c r="W659" s="10"/>
      <c r="X659" s="10" t="s">
        <v>37</v>
      </c>
      <c r="Y659" s="10" t="s">
        <v>0</v>
      </c>
    </row>
    <row r="660">
      <c r="A660" s="10" t="s">
        <v>5816</v>
      </c>
      <c r="B660" s="11">
        <v>44516.487936631944</v>
      </c>
      <c r="C660" s="10" t="s">
        <v>3304</v>
      </c>
      <c r="D660" s="10" t="s">
        <v>695</v>
      </c>
      <c r="E660" s="10" t="s">
        <v>4316</v>
      </c>
      <c r="F660" s="10" t="s">
        <v>5817</v>
      </c>
      <c r="G660" s="10" t="s">
        <v>5818</v>
      </c>
      <c r="H660" s="11">
        <v>44518.33333333333</v>
      </c>
      <c r="I660" s="11">
        <v>44518.41666666667</v>
      </c>
      <c r="J660" s="10" t="s">
        <v>43</v>
      </c>
      <c r="K660" s="10" t="s">
        <v>34</v>
      </c>
      <c r="N660" s="10" t="s">
        <v>296</v>
      </c>
      <c r="O660" s="18" t="s">
        <v>5819</v>
      </c>
      <c r="P660" s="10" t="s">
        <v>35</v>
      </c>
      <c r="R660" s="10" t="s">
        <v>296</v>
      </c>
      <c r="S660" s="10">
        <v>1.0</v>
      </c>
      <c r="T660" s="10" t="s">
        <v>35</v>
      </c>
      <c r="V660" s="14" t="s">
        <v>5820</v>
      </c>
      <c r="W660" s="10"/>
      <c r="X660" s="10" t="s">
        <v>37</v>
      </c>
      <c r="Y660" s="10" t="s">
        <v>0</v>
      </c>
    </row>
    <row r="661">
      <c r="A661" s="10" t="s">
        <v>5821</v>
      </c>
      <c r="B661" s="11">
        <v>44516.54340380787</v>
      </c>
      <c r="C661" s="10" t="s">
        <v>80</v>
      </c>
      <c r="D661" s="10" t="s">
        <v>81</v>
      </c>
      <c r="E661" s="10" t="s">
        <v>5676</v>
      </c>
      <c r="F661" s="10" t="s">
        <v>5822</v>
      </c>
      <c r="G661" s="10" t="s">
        <v>5823</v>
      </c>
      <c r="H661" s="11">
        <v>44512.60416666667</v>
      </c>
      <c r="I661" s="11">
        <v>44512.6875</v>
      </c>
      <c r="J661" s="10" t="s">
        <v>43</v>
      </c>
      <c r="K661" s="10" t="s">
        <v>34</v>
      </c>
      <c r="N661" s="10" t="s">
        <v>296</v>
      </c>
      <c r="O661" s="18" t="s">
        <v>5824</v>
      </c>
      <c r="P661" s="10" t="s">
        <v>296</v>
      </c>
      <c r="Q661" s="10">
        <v>2.0</v>
      </c>
      <c r="R661" s="10" t="s">
        <v>35</v>
      </c>
      <c r="T661" s="10" t="s">
        <v>35</v>
      </c>
      <c r="V661" s="14" t="s">
        <v>5825</v>
      </c>
      <c r="W661" s="10"/>
      <c r="X661" s="10" t="s">
        <v>37</v>
      </c>
      <c r="Y661" s="10" t="s">
        <v>0</v>
      </c>
    </row>
    <row r="662">
      <c r="A662" s="10" t="s">
        <v>5826</v>
      </c>
      <c r="B662" s="11">
        <v>44516.547811620374</v>
      </c>
      <c r="C662" s="10" t="s">
        <v>80</v>
      </c>
      <c r="D662" s="10" t="s">
        <v>81</v>
      </c>
      <c r="E662" s="10" t="s">
        <v>3135</v>
      </c>
      <c r="F662" s="10" t="s">
        <v>5822</v>
      </c>
      <c r="G662" s="10" t="s">
        <v>5827</v>
      </c>
      <c r="H662" s="11">
        <v>44512.60416666667</v>
      </c>
      <c r="I662" s="11">
        <v>44512.6875</v>
      </c>
      <c r="J662" s="10" t="s">
        <v>43</v>
      </c>
      <c r="K662" s="10" t="s">
        <v>34</v>
      </c>
      <c r="N662" s="10" t="s">
        <v>296</v>
      </c>
      <c r="O662" s="18" t="s">
        <v>5828</v>
      </c>
      <c r="P662" s="10" t="s">
        <v>296</v>
      </c>
      <c r="Q662" s="10">
        <v>2.0</v>
      </c>
      <c r="R662" s="10" t="s">
        <v>35</v>
      </c>
      <c r="T662" s="10" t="s">
        <v>35</v>
      </c>
      <c r="V662" s="14" t="s">
        <v>5829</v>
      </c>
      <c r="W662" s="10"/>
      <c r="X662" s="10" t="s">
        <v>37</v>
      </c>
      <c r="Y662" s="10" t="s">
        <v>0</v>
      </c>
    </row>
    <row r="663">
      <c r="A663" s="10" t="s">
        <v>5830</v>
      </c>
      <c r="B663" s="11">
        <v>44516.55147943287</v>
      </c>
      <c r="C663" s="10" t="s">
        <v>80</v>
      </c>
      <c r="D663" s="10" t="s">
        <v>81</v>
      </c>
      <c r="E663" s="10" t="s">
        <v>5676</v>
      </c>
      <c r="F663" s="10" t="s">
        <v>5822</v>
      </c>
      <c r="G663" s="10" t="s">
        <v>5831</v>
      </c>
      <c r="H663" s="11">
        <v>44513.60416666667</v>
      </c>
      <c r="I663" s="11">
        <v>44513.6875</v>
      </c>
      <c r="J663" s="10" t="s">
        <v>43</v>
      </c>
      <c r="K663" s="10" t="s">
        <v>34</v>
      </c>
      <c r="N663" s="10" t="s">
        <v>296</v>
      </c>
      <c r="O663" s="18" t="s">
        <v>5832</v>
      </c>
      <c r="P663" s="10" t="s">
        <v>296</v>
      </c>
      <c r="Q663" s="10">
        <v>1.0</v>
      </c>
      <c r="R663" s="10" t="s">
        <v>35</v>
      </c>
      <c r="T663" s="10" t="s">
        <v>35</v>
      </c>
      <c r="V663" s="14" t="s">
        <v>5833</v>
      </c>
      <c r="W663" s="10"/>
      <c r="X663" s="10" t="s">
        <v>37</v>
      </c>
      <c r="Y663" s="10" t="s">
        <v>0</v>
      </c>
    </row>
    <row r="664">
      <c r="A664" s="10" t="s">
        <v>5834</v>
      </c>
      <c r="B664" s="11">
        <v>44516.58230450231</v>
      </c>
      <c r="C664" s="10" t="s">
        <v>80</v>
      </c>
      <c r="D664" s="10" t="s">
        <v>81</v>
      </c>
      <c r="E664" s="10" t="s">
        <v>5676</v>
      </c>
      <c r="F664" s="10" t="s">
        <v>5822</v>
      </c>
      <c r="G664" s="10" t="s">
        <v>5835</v>
      </c>
      <c r="H664" s="11">
        <v>44513.60416666667</v>
      </c>
      <c r="I664" s="11">
        <v>44513.6875</v>
      </c>
      <c r="J664" s="10" t="s">
        <v>43</v>
      </c>
      <c r="K664" s="10" t="s">
        <v>34</v>
      </c>
      <c r="N664" s="10" t="s">
        <v>296</v>
      </c>
      <c r="O664" s="18" t="s">
        <v>5836</v>
      </c>
      <c r="P664" s="10" t="s">
        <v>296</v>
      </c>
      <c r="Q664" s="10">
        <v>1.0</v>
      </c>
      <c r="R664" s="10" t="s">
        <v>35</v>
      </c>
      <c r="T664" s="10" t="s">
        <v>35</v>
      </c>
      <c r="V664" s="14" t="s">
        <v>5837</v>
      </c>
      <c r="W664" s="10"/>
      <c r="X664" s="10" t="s">
        <v>37</v>
      </c>
      <c r="Y664" s="10" t="s">
        <v>0</v>
      </c>
    </row>
    <row r="665">
      <c r="A665" s="10" t="s">
        <v>5838</v>
      </c>
      <c r="B665" s="11">
        <v>44516.72369273148</v>
      </c>
      <c r="C665" s="10" t="s">
        <v>160</v>
      </c>
      <c r="D665" s="10" t="s">
        <v>161</v>
      </c>
      <c r="E665" s="10" t="s">
        <v>5207</v>
      </c>
      <c r="F665" s="10" t="s">
        <v>5839</v>
      </c>
      <c r="G665" s="10" t="s">
        <v>5840</v>
      </c>
      <c r="H665" s="11">
        <v>44517.5</v>
      </c>
      <c r="I665" s="11">
        <v>44517.5</v>
      </c>
      <c r="J665" s="10" t="s">
        <v>73</v>
      </c>
      <c r="K665" s="10" t="s">
        <v>34</v>
      </c>
      <c r="N665" s="10" t="s">
        <v>35</v>
      </c>
      <c r="V665" s="14" t="s">
        <v>5231</v>
      </c>
      <c r="W665" s="10"/>
      <c r="X665" s="10" t="s">
        <v>37</v>
      </c>
      <c r="Y665" s="10" t="s">
        <v>0</v>
      </c>
    </row>
    <row r="666">
      <c r="A666" s="10" t="s">
        <v>5841</v>
      </c>
      <c r="B666" s="11">
        <v>44517.434656550926</v>
      </c>
      <c r="C666" s="10" t="s">
        <v>3916</v>
      </c>
      <c r="D666" s="10" t="s">
        <v>3917</v>
      </c>
      <c r="E666" s="10" t="s">
        <v>3918</v>
      </c>
      <c r="F666" s="10" t="s">
        <v>5842</v>
      </c>
      <c r="G666" s="10" t="s">
        <v>5843</v>
      </c>
      <c r="H666" s="11">
        <v>44520.75</v>
      </c>
      <c r="I666" s="11">
        <v>44520.8125</v>
      </c>
      <c r="J666" s="10" t="s">
        <v>128</v>
      </c>
      <c r="K666" s="10" t="s">
        <v>34</v>
      </c>
      <c r="N666" s="10" t="s">
        <v>35</v>
      </c>
      <c r="V666" s="14" t="s">
        <v>5844</v>
      </c>
      <c r="W666" s="10"/>
      <c r="X666" s="10" t="s">
        <v>37</v>
      </c>
      <c r="Y666" s="10" t="s">
        <v>0</v>
      </c>
    </row>
    <row r="667">
      <c r="A667" s="10" t="s">
        <v>5845</v>
      </c>
      <c r="B667" s="11">
        <v>44518.708197534725</v>
      </c>
      <c r="C667" s="10" t="s">
        <v>160</v>
      </c>
      <c r="D667" s="10" t="s">
        <v>161</v>
      </c>
      <c r="E667" s="10" t="s">
        <v>5207</v>
      </c>
      <c r="F667" s="10" t="s">
        <v>5846</v>
      </c>
      <c r="G667" s="10" t="s">
        <v>5847</v>
      </c>
      <c r="H667" s="11">
        <v>44518.70833333333</v>
      </c>
      <c r="I667" s="11">
        <v>44518.70833333333</v>
      </c>
      <c r="J667" s="10" t="s">
        <v>73</v>
      </c>
      <c r="K667" s="10" t="s">
        <v>34</v>
      </c>
      <c r="N667" s="10" t="s">
        <v>35</v>
      </c>
      <c r="V667" s="14" t="s">
        <v>5231</v>
      </c>
      <c r="W667" s="10"/>
      <c r="X667" s="10" t="s">
        <v>37</v>
      </c>
      <c r="Y667" s="10" t="s">
        <v>0</v>
      </c>
    </row>
    <row r="668">
      <c r="A668" s="10" t="s">
        <v>5848</v>
      </c>
      <c r="B668" s="11">
        <v>44518.72625515047</v>
      </c>
      <c r="C668" s="10" t="s">
        <v>239</v>
      </c>
      <c r="D668" s="10" t="s">
        <v>240</v>
      </c>
      <c r="E668" s="10" t="s">
        <v>4561</v>
      </c>
      <c r="F668" s="10" t="s">
        <v>5849</v>
      </c>
      <c r="G668" s="10" t="s">
        <v>5850</v>
      </c>
      <c r="H668" s="11">
        <v>44520.29166666667</v>
      </c>
      <c r="I668" s="11">
        <v>44521.83333333333</v>
      </c>
      <c r="J668" s="10" t="s">
        <v>236</v>
      </c>
      <c r="K668" s="10" t="s">
        <v>61</v>
      </c>
      <c r="L668" s="10" t="s">
        <v>4997</v>
      </c>
      <c r="N668" s="10" t="s">
        <v>35</v>
      </c>
      <c r="V668" s="9"/>
      <c r="X668" s="10" t="s">
        <v>37</v>
      </c>
      <c r="Y668" s="10" t="s">
        <v>0</v>
      </c>
    </row>
    <row r="669">
      <c r="A669" s="10" t="s">
        <v>5851</v>
      </c>
      <c r="B669" s="11">
        <v>44518.75381436343</v>
      </c>
      <c r="C669" s="10" t="s">
        <v>239</v>
      </c>
      <c r="D669" s="10" t="s">
        <v>240</v>
      </c>
      <c r="E669" s="10" t="s">
        <v>4561</v>
      </c>
      <c r="F669" s="10" t="s">
        <v>5852</v>
      </c>
      <c r="G669" s="10" t="s">
        <v>5853</v>
      </c>
      <c r="H669" s="11">
        <v>44533.64583333333</v>
      </c>
      <c r="I669" s="11">
        <v>44533.6875</v>
      </c>
      <c r="J669" s="10" t="s">
        <v>128</v>
      </c>
      <c r="K669" s="10" t="s">
        <v>34</v>
      </c>
      <c r="N669" s="10" t="s">
        <v>35</v>
      </c>
      <c r="V669" s="14" t="s">
        <v>5854</v>
      </c>
      <c r="W669" s="10"/>
      <c r="X669" s="10" t="s">
        <v>37</v>
      </c>
      <c r="Y669" s="10" t="s">
        <v>0</v>
      </c>
    </row>
    <row r="670">
      <c r="A670" s="10" t="s">
        <v>5855</v>
      </c>
      <c r="B670" s="11">
        <v>44463.41625439815</v>
      </c>
      <c r="C670" s="10" t="s">
        <v>209</v>
      </c>
      <c r="D670" s="10" t="s">
        <v>210</v>
      </c>
      <c r="E670" s="10" t="s">
        <v>261</v>
      </c>
      <c r="F670" s="10" t="s">
        <v>4512</v>
      </c>
      <c r="G670" s="10" t="s">
        <v>4841</v>
      </c>
      <c r="H670" s="11">
        <v>44522.78125</v>
      </c>
      <c r="I670" s="11">
        <v>44491.82291666667</v>
      </c>
      <c r="J670" s="10" t="s">
        <v>33</v>
      </c>
      <c r="K670" s="10" t="s">
        <v>34</v>
      </c>
      <c r="N670" s="10" t="s">
        <v>35</v>
      </c>
      <c r="V670" s="14" t="s">
        <v>4514</v>
      </c>
      <c r="W670" s="10"/>
      <c r="X670" s="10" t="s">
        <v>37</v>
      </c>
      <c r="Y670" s="10" t="s">
        <v>0</v>
      </c>
    </row>
    <row r="671">
      <c r="A671" s="10" t="s">
        <v>5856</v>
      </c>
      <c r="B671" s="11">
        <v>44519.56006616898</v>
      </c>
      <c r="C671" s="10" t="s">
        <v>181</v>
      </c>
      <c r="D671" s="10" t="s">
        <v>69</v>
      </c>
      <c r="E671" s="10" t="s">
        <v>5857</v>
      </c>
      <c r="F671" s="10" t="s">
        <v>5858</v>
      </c>
      <c r="G671" s="10" t="s">
        <v>5859</v>
      </c>
      <c r="H671" s="11">
        <v>44523.60416666667</v>
      </c>
      <c r="I671" s="11">
        <v>44523.64583333333</v>
      </c>
      <c r="J671" s="10" t="s">
        <v>43</v>
      </c>
      <c r="K671" s="10" t="s">
        <v>34</v>
      </c>
      <c r="N671" s="10" t="s">
        <v>296</v>
      </c>
      <c r="O671" s="18" t="s">
        <v>5860</v>
      </c>
      <c r="P671" s="10" t="s">
        <v>35</v>
      </c>
      <c r="R671" s="10" t="s">
        <v>296</v>
      </c>
      <c r="S671" s="10">
        <v>1.0</v>
      </c>
      <c r="T671" s="10" t="s">
        <v>35</v>
      </c>
      <c r="V671" s="14" t="s">
        <v>5861</v>
      </c>
      <c r="W671" s="10"/>
      <c r="X671" s="10" t="s">
        <v>37</v>
      </c>
      <c r="Y671" s="10" t="s">
        <v>0</v>
      </c>
    </row>
    <row r="672">
      <c r="A672" s="10" t="s">
        <v>5862</v>
      </c>
      <c r="B672" s="11">
        <v>44518.756718449076</v>
      </c>
      <c r="C672" s="10" t="s">
        <v>239</v>
      </c>
      <c r="D672" s="10" t="s">
        <v>240</v>
      </c>
      <c r="E672" s="10" t="s">
        <v>4561</v>
      </c>
      <c r="F672" s="10" t="s">
        <v>5863</v>
      </c>
      <c r="G672" s="10" t="s">
        <v>5864</v>
      </c>
      <c r="H672" s="11">
        <v>44525.6875</v>
      </c>
      <c r="I672" s="11">
        <v>44525.72916666667</v>
      </c>
      <c r="J672" s="10" t="s">
        <v>128</v>
      </c>
      <c r="K672" s="10" t="s">
        <v>34</v>
      </c>
      <c r="N672" s="10" t="s">
        <v>35</v>
      </c>
      <c r="V672" s="14" t="s">
        <v>5865</v>
      </c>
      <c r="W672" s="10"/>
      <c r="X672" s="10" t="s">
        <v>37</v>
      </c>
      <c r="Y672" s="10" t="s">
        <v>0</v>
      </c>
    </row>
    <row r="673">
      <c r="A673" s="10" t="s">
        <v>5866</v>
      </c>
      <c r="B673" s="11">
        <v>44519.54236770833</v>
      </c>
      <c r="C673" s="10" t="s">
        <v>181</v>
      </c>
      <c r="D673" s="10" t="s">
        <v>69</v>
      </c>
      <c r="E673" s="10" t="s">
        <v>3733</v>
      </c>
      <c r="F673" s="10" t="s">
        <v>5867</v>
      </c>
      <c r="G673" s="10" t="s">
        <v>5868</v>
      </c>
      <c r="H673" s="11">
        <v>44532.60416666667</v>
      </c>
      <c r="I673" s="11">
        <v>44532.70833333333</v>
      </c>
      <c r="J673" s="10" t="s">
        <v>43</v>
      </c>
      <c r="K673" s="10" t="s">
        <v>34</v>
      </c>
      <c r="N673" s="10" t="s">
        <v>296</v>
      </c>
      <c r="O673" s="18" t="s">
        <v>5869</v>
      </c>
      <c r="P673" s="10" t="s">
        <v>296</v>
      </c>
      <c r="Q673" s="10">
        <v>1.0</v>
      </c>
      <c r="R673" s="10" t="s">
        <v>35</v>
      </c>
      <c r="T673" s="10" t="s">
        <v>35</v>
      </c>
      <c r="V673" s="14" t="s">
        <v>5870</v>
      </c>
      <c r="W673" s="10"/>
      <c r="X673" s="10" t="s">
        <v>37</v>
      </c>
      <c r="Y673" s="10" t="s">
        <v>0</v>
      </c>
    </row>
    <row r="674">
      <c r="A674" s="10" t="s">
        <v>5871</v>
      </c>
      <c r="B674" s="11">
        <v>44519.55559142361</v>
      </c>
      <c r="C674" s="10" t="s">
        <v>181</v>
      </c>
      <c r="D674" s="10" t="s">
        <v>69</v>
      </c>
      <c r="E674" s="10" t="s">
        <v>3733</v>
      </c>
      <c r="F674" s="10" t="s">
        <v>5872</v>
      </c>
      <c r="G674" s="10" t="s">
        <v>5873</v>
      </c>
      <c r="H674" s="11">
        <v>44532.75</v>
      </c>
      <c r="I674" s="11">
        <v>44532.85416666667</v>
      </c>
      <c r="J674" s="10" t="s">
        <v>43</v>
      </c>
      <c r="K674" s="10" t="s">
        <v>34</v>
      </c>
      <c r="N674" s="10" t="s">
        <v>35</v>
      </c>
      <c r="V674" s="14" t="s">
        <v>5874</v>
      </c>
      <c r="W674" s="10"/>
      <c r="X674" s="10" t="s">
        <v>37</v>
      </c>
      <c r="Y674" s="10" t="s">
        <v>0</v>
      </c>
    </row>
    <row r="675">
      <c r="A675" s="10" t="s">
        <v>5875</v>
      </c>
      <c r="B675" s="11">
        <v>44408.91720989584</v>
      </c>
      <c r="C675" s="10" t="s">
        <v>137</v>
      </c>
      <c r="D675" s="10" t="s">
        <v>138</v>
      </c>
      <c r="E675" s="10" t="s">
        <v>3299</v>
      </c>
      <c r="F675" s="10" t="s">
        <v>921</v>
      </c>
      <c r="G675" s="10" t="s">
        <v>3436</v>
      </c>
      <c r="H675" s="11">
        <v>44526.58333333333</v>
      </c>
      <c r="I675" s="11">
        <v>44526.66666666667</v>
      </c>
      <c r="J675" s="10" t="s">
        <v>128</v>
      </c>
      <c r="K675" s="10" t="s">
        <v>34</v>
      </c>
      <c r="N675" s="10" t="s">
        <v>35</v>
      </c>
      <c r="V675" s="9"/>
      <c r="X675" s="10" t="s">
        <v>37</v>
      </c>
      <c r="Y675" s="10" t="s">
        <v>0</v>
      </c>
    </row>
    <row r="676">
      <c r="A676" s="10" t="s">
        <v>5876</v>
      </c>
      <c r="B676" s="11">
        <v>44519.55819481482</v>
      </c>
      <c r="C676" s="10" t="s">
        <v>181</v>
      </c>
      <c r="D676" s="10" t="s">
        <v>69</v>
      </c>
      <c r="E676" s="10" t="s">
        <v>3551</v>
      </c>
      <c r="F676" s="10" t="s">
        <v>5877</v>
      </c>
      <c r="G676" s="10" t="s">
        <v>5878</v>
      </c>
      <c r="H676" s="11">
        <v>44529.39583333333</v>
      </c>
      <c r="I676" s="11">
        <v>44529.45833333333</v>
      </c>
      <c r="J676" s="10" t="s">
        <v>43</v>
      </c>
      <c r="K676" s="10" t="s">
        <v>34</v>
      </c>
      <c r="N676" s="10" t="s">
        <v>296</v>
      </c>
      <c r="O676" s="18" t="s">
        <v>5879</v>
      </c>
      <c r="P676" s="10" t="s">
        <v>35</v>
      </c>
      <c r="R676" s="10" t="s">
        <v>35</v>
      </c>
      <c r="T676" s="10" t="s">
        <v>296</v>
      </c>
      <c r="U676" s="10">
        <v>1.0</v>
      </c>
      <c r="V676" s="14" t="s">
        <v>5880</v>
      </c>
      <c r="W676" s="10"/>
      <c r="X676" s="10" t="s">
        <v>37</v>
      </c>
      <c r="Y676" s="10" t="s">
        <v>0</v>
      </c>
    </row>
    <row r="677">
      <c r="A677" s="10" t="s">
        <v>5881</v>
      </c>
      <c r="B677" s="11">
        <v>44519.539147812495</v>
      </c>
      <c r="C677" s="10" t="s">
        <v>181</v>
      </c>
      <c r="D677" s="10" t="s">
        <v>69</v>
      </c>
      <c r="E677" s="10" t="s">
        <v>3733</v>
      </c>
      <c r="F677" s="10" t="s">
        <v>5882</v>
      </c>
      <c r="G677" s="10" t="s">
        <v>5883</v>
      </c>
      <c r="H677" s="11">
        <v>44529.41666666667</v>
      </c>
      <c r="I677" s="11">
        <v>44529.5</v>
      </c>
      <c r="J677" s="10" t="s">
        <v>43</v>
      </c>
      <c r="K677" s="10" t="s">
        <v>34</v>
      </c>
      <c r="N677" s="10" t="s">
        <v>296</v>
      </c>
      <c r="O677" s="18" t="s">
        <v>5884</v>
      </c>
      <c r="P677" s="10" t="s">
        <v>296</v>
      </c>
      <c r="Q677" s="10">
        <v>1.0</v>
      </c>
      <c r="R677" s="10" t="s">
        <v>35</v>
      </c>
      <c r="T677" s="10" t="s">
        <v>35</v>
      </c>
      <c r="V677" s="14" t="s">
        <v>5885</v>
      </c>
      <c r="W677" s="10"/>
      <c r="X677" s="10" t="s">
        <v>37</v>
      </c>
      <c r="Y677" s="10" t="s">
        <v>0</v>
      </c>
    </row>
    <row r="678">
      <c r="A678" s="10" t="s">
        <v>5886</v>
      </c>
      <c r="B678" s="11">
        <v>44519.537740115746</v>
      </c>
      <c r="C678" s="10" t="s">
        <v>181</v>
      </c>
      <c r="D678" s="10" t="s">
        <v>69</v>
      </c>
      <c r="E678" s="10" t="s">
        <v>3733</v>
      </c>
      <c r="F678" s="10" t="s">
        <v>5887</v>
      </c>
      <c r="G678" s="10" t="s">
        <v>5888</v>
      </c>
      <c r="H678" s="11">
        <v>44530.64583333333</v>
      </c>
      <c r="I678" s="11">
        <v>44530.72916666667</v>
      </c>
      <c r="J678" s="10" t="s">
        <v>43</v>
      </c>
      <c r="K678" s="10" t="s">
        <v>34</v>
      </c>
      <c r="N678" s="10" t="s">
        <v>296</v>
      </c>
      <c r="O678" s="18" t="s">
        <v>5889</v>
      </c>
      <c r="P678" s="10" t="s">
        <v>296</v>
      </c>
      <c r="Q678" s="10">
        <v>1.0</v>
      </c>
      <c r="R678" s="10" t="s">
        <v>35</v>
      </c>
      <c r="T678" s="10" t="s">
        <v>35</v>
      </c>
      <c r="V678" s="14" t="s">
        <v>5890</v>
      </c>
      <c r="W678" s="10"/>
      <c r="X678" s="10" t="s">
        <v>37</v>
      </c>
      <c r="Y678" s="10" t="s">
        <v>0</v>
      </c>
    </row>
    <row r="679">
      <c r="A679" s="10" t="s">
        <v>5891</v>
      </c>
      <c r="B679" s="11">
        <v>44520.62431363426</v>
      </c>
      <c r="C679" s="10" t="s">
        <v>181</v>
      </c>
      <c r="D679" s="10" t="s">
        <v>69</v>
      </c>
      <c r="E679" s="10" t="s">
        <v>1284</v>
      </c>
      <c r="F679" s="10" t="s">
        <v>5892</v>
      </c>
      <c r="G679" s="10" t="s">
        <v>5893</v>
      </c>
      <c r="H679" s="11">
        <v>44524.35416666667</v>
      </c>
      <c r="I679" s="11">
        <v>44524.45833333333</v>
      </c>
      <c r="J679" s="10" t="s">
        <v>43</v>
      </c>
      <c r="K679" s="10" t="s">
        <v>61</v>
      </c>
      <c r="L679" s="10" t="s">
        <v>1334</v>
      </c>
      <c r="N679" s="10" t="s">
        <v>35</v>
      </c>
      <c r="V679" s="9"/>
      <c r="X679" s="45" t="s">
        <v>5470</v>
      </c>
      <c r="Y679" s="10" t="s">
        <v>0</v>
      </c>
    </row>
    <row r="680">
      <c r="A680" s="10" t="s">
        <v>5894</v>
      </c>
      <c r="B680" s="11">
        <v>44520.625213136576</v>
      </c>
      <c r="C680" s="10" t="s">
        <v>181</v>
      </c>
      <c r="D680" s="10" t="s">
        <v>69</v>
      </c>
      <c r="E680" s="10" t="s">
        <v>1284</v>
      </c>
      <c r="F680" s="10" t="s">
        <v>5895</v>
      </c>
      <c r="G680" s="10" t="s">
        <v>5896</v>
      </c>
      <c r="H680" s="11">
        <v>44526.33333333333</v>
      </c>
      <c r="I680" s="11">
        <v>44526.45833333333</v>
      </c>
      <c r="J680" s="10" t="s">
        <v>43</v>
      </c>
      <c r="K680" s="10" t="s">
        <v>61</v>
      </c>
      <c r="L680" s="10" t="s">
        <v>1334</v>
      </c>
      <c r="N680" s="10" t="s">
        <v>35</v>
      </c>
      <c r="V680" s="9"/>
      <c r="X680" s="45" t="s">
        <v>5470</v>
      </c>
      <c r="Y680" s="10" t="s">
        <v>0</v>
      </c>
    </row>
    <row r="681">
      <c r="A681" s="10" t="s">
        <v>5897</v>
      </c>
      <c r="B681" s="11">
        <v>44523.815706284724</v>
      </c>
      <c r="C681" s="10" t="s">
        <v>80</v>
      </c>
      <c r="D681" s="10" t="s">
        <v>81</v>
      </c>
      <c r="E681" s="10" t="s">
        <v>5676</v>
      </c>
      <c r="F681" s="10" t="s">
        <v>5898</v>
      </c>
      <c r="G681" s="10" t="s">
        <v>5899</v>
      </c>
      <c r="H681" s="11">
        <v>44519.6875</v>
      </c>
      <c r="I681" s="11">
        <v>44519.77083333333</v>
      </c>
      <c r="J681" s="10" t="s">
        <v>43</v>
      </c>
      <c r="K681" s="10" t="s">
        <v>34</v>
      </c>
      <c r="N681" s="10" t="s">
        <v>296</v>
      </c>
      <c r="O681" s="18" t="s">
        <v>5900</v>
      </c>
      <c r="P681" s="10" t="s">
        <v>296</v>
      </c>
      <c r="Q681" s="10">
        <v>2.0</v>
      </c>
      <c r="R681" s="10" t="s">
        <v>35</v>
      </c>
      <c r="T681" s="10" t="s">
        <v>35</v>
      </c>
      <c r="V681" s="14" t="s">
        <v>5901</v>
      </c>
      <c r="W681" s="10"/>
      <c r="X681" s="10" t="s">
        <v>5902</v>
      </c>
      <c r="Y681" s="10" t="s">
        <v>0</v>
      </c>
    </row>
    <row r="682">
      <c r="A682" s="10" t="s">
        <v>5903</v>
      </c>
      <c r="B682" s="11">
        <v>44523.82657621527</v>
      </c>
      <c r="C682" s="10" t="s">
        <v>80</v>
      </c>
      <c r="D682" s="10" t="s">
        <v>81</v>
      </c>
      <c r="E682" s="10" t="s">
        <v>5676</v>
      </c>
      <c r="F682" s="10" t="s">
        <v>5904</v>
      </c>
      <c r="G682" s="10" t="s">
        <v>5905</v>
      </c>
      <c r="H682" s="11">
        <v>44520.4375</v>
      </c>
      <c r="I682" s="11">
        <v>44520.47916666667</v>
      </c>
      <c r="J682" s="10" t="s">
        <v>43</v>
      </c>
      <c r="K682" s="10" t="s">
        <v>34</v>
      </c>
      <c r="N682" s="10" t="s">
        <v>296</v>
      </c>
      <c r="O682" s="18" t="s">
        <v>5906</v>
      </c>
      <c r="P682" s="10" t="s">
        <v>296</v>
      </c>
      <c r="Q682" s="10">
        <v>1.0</v>
      </c>
      <c r="R682" s="10" t="s">
        <v>35</v>
      </c>
      <c r="T682" s="10" t="s">
        <v>35</v>
      </c>
      <c r="V682" s="14" t="s">
        <v>5907</v>
      </c>
      <c r="W682" s="10"/>
      <c r="X682" s="10" t="s">
        <v>5902</v>
      </c>
      <c r="Y682" s="10" t="s">
        <v>0</v>
      </c>
    </row>
    <row r="683">
      <c r="A683" s="10" t="s">
        <v>5908</v>
      </c>
      <c r="B683" s="11">
        <v>44523.84073434028</v>
      </c>
      <c r="C683" s="10" t="s">
        <v>80</v>
      </c>
      <c r="D683" s="10" t="s">
        <v>81</v>
      </c>
      <c r="E683" s="10" t="s">
        <v>5676</v>
      </c>
      <c r="F683" s="10" t="s">
        <v>5909</v>
      </c>
      <c r="G683" s="10" t="s">
        <v>5910</v>
      </c>
      <c r="H683" s="11">
        <v>44519.77083333333</v>
      </c>
      <c r="I683" s="11">
        <v>44519.8125</v>
      </c>
      <c r="J683" s="10" t="s">
        <v>33</v>
      </c>
      <c r="K683" s="10" t="s">
        <v>34</v>
      </c>
      <c r="N683" s="10" t="s">
        <v>296</v>
      </c>
      <c r="O683" s="18" t="s">
        <v>5911</v>
      </c>
      <c r="P683" s="10" t="s">
        <v>35</v>
      </c>
      <c r="R683" s="10" t="s">
        <v>35</v>
      </c>
      <c r="T683" s="10" t="s">
        <v>296</v>
      </c>
      <c r="U683" s="10">
        <v>1.0</v>
      </c>
      <c r="V683" s="14" t="s">
        <v>5912</v>
      </c>
      <c r="W683" s="10"/>
      <c r="X683" s="10" t="s">
        <v>5902</v>
      </c>
      <c r="Y683" s="10" t="s">
        <v>0</v>
      </c>
    </row>
    <row r="684">
      <c r="A684" s="10" t="s">
        <v>5913</v>
      </c>
      <c r="B684" s="11">
        <v>44523.863187800926</v>
      </c>
      <c r="C684" s="10" t="s">
        <v>5914</v>
      </c>
      <c r="D684" s="10" t="s">
        <v>348</v>
      </c>
      <c r="E684" s="10" t="s">
        <v>3429</v>
      </c>
      <c r="F684" s="10" t="s">
        <v>5915</v>
      </c>
      <c r="G684" s="10" t="s">
        <v>5916</v>
      </c>
      <c r="H684" s="11">
        <v>44529.58333333333</v>
      </c>
      <c r="I684" s="11">
        <v>44529.66666666667</v>
      </c>
      <c r="J684" s="10" t="s">
        <v>43</v>
      </c>
      <c r="K684" s="10" t="s">
        <v>34</v>
      </c>
      <c r="N684" s="10" t="s">
        <v>296</v>
      </c>
      <c r="O684" s="18" t="s">
        <v>5917</v>
      </c>
      <c r="P684" s="10" t="s">
        <v>296</v>
      </c>
      <c r="Q684" s="10">
        <v>1.0</v>
      </c>
      <c r="R684" s="10" t="s">
        <v>296</v>
      </c>
      <c r="S684" s="10">
        <v>1.0</v>
      </c>
      <c r="T684" s="10" t="s">
        <v>35</v>
      </c>
      <c r="V684" s="14" t="s">
        <v>5918</v>
      </c>
      <c r="W684" s="10"/>
      <c r="X684" s="10" t="s">
        <v>5902</v>
      </c>
      <c r="Y684" s="10" t="s">
        <v>0</v>
      </c>
    </row>
    <row r="685">
      <c r="A685" s="10" t="s">
        <v>5919</v>
      </c>
      <c r="B685" s="11">
        <v>44523.92756246528</v>
      </c>
      <c r="C685" s="10" t="s">
        <v>347</v>
      </c>
      <c r="D685" s="10" t="s">
        <v>348</v>
      </c>
      <c r="E685" s="10" t="s">
        <v>3429</v>
      </c>
      <c r="F685" s="10" t="s">
        <v>5920</v>
      </c>
      <c r="G685" s="10" t="s">
        <v>5921</v>
      </c>
      <c r="H685" s="11">
        <v>44527.60416666667</v>
      </c>
      <c r="I685" s="11">
        <v>44527.6875</v>
      </c>
      <c r="J685" s="10" t="s">
        <v>43</v>
      </c>
      <c r="K685" s="10" t="s">
        <v>34</v>
      </c>
      <c r="N685" s="10" t="s">
        <v>296</v>
      </c>
      <c r="O685" s="18" t="s">
        <v>5922</v>
      </c>
      <c r="P685" s="10" t="s">
        <v>296</v>
      </c>
      <c r="Q685" s="10">
        <v>4.0</v>
      </c>
      <c r="R685" s="10" t="s">
        <v>296</v>
      </c>
      <c r="S685" s="10">
        <v>4.0</v>
      </c>
      <c r="T685" s="10" t="s">
        <v>35</v>
      </c>
      <c r="V685" s="14" t="s">
        <v>5923</v>
      </c>
      <c r="W685" s="10"/>
      <c r="X685" s="10" t="s">
        <v>5902</v>
      </c>
      <c r="Y685" s="10" t="s">
        <v>0</v>
      </c>
    </row>
    <row r="686">
      <c r="A686" s="10" t="s">
        <v>5924</v>
      </c>
      <c r="B686" s="11">
        <v>44523.92901069444</v>
      </c>
      <c r="C686" s="10" t="s">
        <v>347</v>
      </c>
      <c r="D686" s="10" t="s">
        <v>348</v>
      </c>
      <c r="E686" s="10" t="s">
        <v>3429</v>
      </c>
      <c r="F686" s="10" t="s">
        <v>5915</v>
      </c>
      <c r="G686" s="10" t="s">
        <v>5916</v>
      </c>
      <c r="H686" s="11">
        <v>44529.58333333333</v>
      </c>
      <c r="I686" s="11">
        <v>44529.66666666667</v>
      </c>
      <c r="J686" s="10" t="s">
        <v>43</v>
      </c>
      <c r="K686" s="10" t="s">
        <v>34</v>
      </c>
      <c r="N686" s="10" t="s">
        <v>296</v>
      </c>
      <c r="O686" s="18" t="s">
        <v>5925</v>
      </c>
      <c r="P686" s="10" t="s">
        <v>35</v>
      </c>
      <c r="R686" s="10" t="s">
        <v>296</v>
      </c>
      <c r="S686" s="10">
        <v>1.0</v>
      </c>
      <c r="T686" s="10" t="s">
        <v>35</v>
      </c>
      <c r="V686" s="14" t="s">
        <v>5926</v>
      </c>
      <c r="W686" s="10"/>
      <c r="X686" s="10" t="s">
        <v>5902</v>
      </c>
      <c r="Y686" s="10" t="s">
        <v>0</v>
      </c>
    </row>
    <row r="687">
      <c r="A687" s="10" t="s">
        <v>5927</v>
      </c>
      <c r="B687" s="11">
        <v>44524.51219159723</v>
      </c>
      <c r="C687" s="10" t="s">
        <v>181</v>
      </c>
      <c r="D687" s="10" t="s">
        <v>69</v>
      </c>
      <c r="E687" s="10" t="s">
        <v>1229</v>
      </c>
      <c r="F687" s="10" t="s">
        <v>5920</v>
      </c>
      <c r="G687" s="10" t="s">
        <v>5928</v>
      </c>
      <c r="H687" s="11">
        <v>44527.60416666667</v>
      </c>
      <c r="I687" s="11">
        <v>44527.6875</v>
      </c>
      <c r="J687" s="10" t="s">
        <v>43</v>
      </c>
      <c r="K687" s="10" t="s">
        <v>34</v>
      </c>
      <c r="N687" s="10" t="s">
        <v>296</v>
      </c>
      <c r="O687" s="18" t="s">
        <v>5929</v>
      </c>
      <c r="P687" s="10" t="s">
        <v>35</v>
      </c>
      <c r="R687" s="10" t="s">
        <v>296</v>
      </c>
      <c r="S687" s="10">
        <v>4.0</v>
      </c>
      <c r="T687" s="10" t="s">
        <v>35</v>
      </c>
      <c r="V687" s="14" t="s">
        <v>5930</v>
      </c>
      <c r="W687" s="10"/>
      <c r="X687" s="10" t="s">
        <v>5902</v>
      </c>
      <c r="Y687" s="10" t="s">
        <v>0</v>
      </c>
    </row>
    <row r="688">
      <c r="A688" s="10" t="s">
        <v>5931</v>
      </c>
      <c r="B688" s="11">
        <v>44524.71055703703</v>
      </c>
      <c r="C688" s="10" t="s">
        <v>137</v>
      </c>
      <c r="D688" s="10" t="s">
        <v>138</v>
      </c>
      <c r="E688" s="10" t="s">
        <v>3299</v>
      </c>
      <c r="F688" s="10" t="s">
        <v>5932</v>
      </c>
      <c r="G688" s="10" t="s">
        <v>5933</v>
      </c>
      <c r="H688" s="11">
        <v>44525.70833333333</v>
      </c>
      <c r="I688" s="11">
        <v>44525.75</v>
      </c>
      <c r="J688" s="10" t="s">
        <v>128</v>
      </c>
      <c r="K688" s="10" t="s">
        <v>34</v>
      </c>
      <c r="N688" s="10" t="s">
        <v>35</v>
      </c>
      <c r="V688" s="35" t="s">
        <v>5934</v>
      </c>
      <c r="W688" s="10"/>
      <c r="X688" s="10" t="s">
        <v>37</v>
      </c>
      <c r="Y688" s="10" t="s">
        <v>0</v>
      </c>
    </row>
    <row r="689">
      <c r="A689" s="10" t="s">
        <v>5935</v>
      </c>
      <c r="B689" s="11">
        <v>44525.506247673606</v>
      </c>
      <c r="C689" s="10" t="s">
        <v>160</v>
      </c>
      <c r="D689" s="10" t="s">
        <v>161</v>
      </c>
      <c r="E689" s="10" t="s">
        <v>5207</v>
      </c>
      <c r="F689" s="10" t="s">
        <v>5936</v>
      </c>
      <c r="G689" s="10" t="s">
        <v>5937</v>
      </c>
      <c r="H689" s="11">
        <v>44526.41666666667</v>
      </c>
      <c r="I689" s="11">
        <v>44526.5</v>
      </c>
      <c r="J689" s="10" t="s">
        <v>43</v>
      </c>
      <c r="K689" s="10" t="s">
        <v>34</v>
      </c>
      <c r="N689" s="10" t="s">
        <v>296</v>
      </c>
      <c r="O689" s="18" t="s">
        <v>5938</v>
      </c>
      <c r="P689" s="10" t="s">
        <v>35</v>
      </c>
      <c r="R689" s="10" t="s">
        <v>35</v>
      </c>
      <c r="T689" s="10" t="s">
        <v>296</v>
      </c>
      <c r="U689" s="10">
        <v>1.0</v>
      </c>
      <c r="V689" s="14" t="s">
        <v>5939</v>
      </c>
      <c r="W689" s="10"/>
      <c r="X689" s="10" t="s">
        <v>37</v>
      </c>
      <c r="Y689" s="10" t="s">
        <v>0</v>
      </c>
    </row>
    <row r="690">
      <c r="A690" s="10" t="s">
        <v>5940</v>
      </c>
      <c r="B690" s="11">
        <v>44526.4545903588</v>
      </c>
      <c r="C690" s="10" t="s">
        <v>80</v>
      </c>
      <c r="D690" s="10" t="s">
        <v>81</v>
      </c>
      <c r="E690" s="10" t="s">
        <v>5676</v>
      </c>
      <c r="F690" s="10" t="s">
        <v>5941</v>
      </c>
      <c r="G690" s="10" t="s">
        <v>5942</v>
      </c>
      <c r="H690" s="11">
        <v>44526.41666666667</v>
      </c>
      <c r="I690" s="11">
        <v>44526.45833333333</v>
      </c>
      <c r="J690" s="10" t="s">
        <v>43</v>
      </c>
      <c r="K690" s="10" t="s">
        <v>34</v>
      </c>
      <c r="N690" s="10" t="s">
        <v>296</v>
      </c>
      <c r="O690" s="18" t="s">
        <v>5943</v>
      </c>
      <c r="P690" s="10" t="s">
        <v>35</v>
      </c>
      <c r="R690" s="10" t="s">
        <v>35</v>
      </c>
      <c r="T690" s="10" t="s">
        <v>296</v>
      </c>
      <c r="U690" s="10">
        <v>1.0</v>
      </c>
      <c r="V690" s="14" t="s">
        <v>5944</v>
      </c>
      <c r="W690" s="10"/>
      <c r="X690" s="10" t="s">
        <v>37</v>
      </c>
      <c r="Y690" s="10" t="s">
        <v>0</v>
      </c>
    </row>
    <row r="691">
      <c r="A691" s="10" t="s">
        <v>5945</v>
      </c>
      <c r="B691" s="11">
        <v>44526.506184247686</v>
      </c>
      <c r="C691" s="10" t="s">
        <v>539</v>
      </c>
      <c r="D691" s="10" t="s">
        <v>540</v>
      </c>
      <c r="E691" s="10" t="s">
        <v>5946</v>
      </c>
      <c r="F691" s="10" t="s">
        <v>5947</v>
      </c>
      <c r="G691" s="10" t="s">
        <v>5948</v>
      </c>
      <c r="H691" s="11">
        <v>44534.60416666667</v>
      </c>
      <c r="I691" s="11">
        <v>44534.64583333333</v>
      </c>
      <c r="J691" s="10" t="s">
        <v>128</v>
      </c>
      <c r="K691" s="10" t="s">
        <v>34</v>
      </c>
      <c r="N691" s="10" t="s">
        <v>35</v>
      </c>
      <c r="V691" s="14" t="s">
        <v>5949</v>
      </c>
      <c r="W691" s="10"/>
      <c r="X691" s="10" t="s">
        <v>37</v>
      </c>
      <c r="Y691" s="10" t="s">
        <v>0</v>
      </c>
    </row>
    <row r="692">
      <c r="A692" s="10" t="s">
        <v>5950</v>
      </c>
      <c r="B692" s="11">
        <v>44526.574597638886</v>
      </c>
      <c r="C692" s="10" t="s">
        <v>181</v>
      </c>
      <c r="D692" s="10" t="s">
        <v>69</v>
      </c>
      <c r="E692" s="10" t="s">
        <v>3864</v>
      </c>
      <c r="F692" s="10" t="s">
        <v>5951</v>
      </c>
      <c r="G692" s="10" t="s">
        <v>5952</v>
      </c>
      <c r="H692" s="11">
        <v>44534.41666666667</v>
      </c>
      <c r="I692" s="11">
        <v>44534.45833333333</v>
      </c>
      <c r="J692" s="10" t="s">
        <v>43</v>
      </c>
      <c r="K692" s="10" t="s">
        <v>34</v>
      </c>
      <c r="N692" s="10" t="s">
        <v>296</v>
      </c>
      <c r="O692" s="18" t="s">
        <v>5953</v>
      </c>
      <c r="P692" s="10" t="s">
        <v>35</v>
      </c>
      <c r="R692" s="10" t="s">
        <v>35</v>
      </c>
      <c r="T692" s="10" t="s">
        <v>296</v>
      </c>
      <c r="U692" s="10">
        <v>1.0</v>
      </c>
      <c r="V692" s="14" t="s">
        <v>5954</v>
      </c>
      <c r="W692" s="10"/>
      <c r="X692" s="10" t="s">
        <v>37</v>
      </c>
      <c r="Y692" s="10" t="s">
        <v>0</v>
      </c>
    </row>
    <row r="693">
      <c r="A693" s="10" t="s">
        <v>5955</v>
      </c>
      <c r="B693" s="11">
        <v>44526.57613681713</v>
      </c>
      <c r="C693" s="10" t="s">
        <v>181</v>
      </c>
      <c r="D693" s="10" t="s">
        <v>69</v>
      </c>
      <c r="E693" s="10" t="s">
        <v>5956</v>
      </c>
      <c r="F693" s="10" t="s">
        <v>5957</v>
      </c>
      <c r="G693" s="10" t="s">
        <v>5958</v>
      </c>
      <c r="H693" s="11">
        <v>44531.66666666667</v>
      </c>
      <c r="I693" s="11">
        <v>44531.72916666667</v>
      </c>
      <c r="J693" s="10" t="s">
        <v>43</v>
      </c>
      <c r="K693" s="10" t="s">
        <v>34</v>
      </c>
      <c r="N693" s="10" t="s">
        <v>296</v>
      </c>
      <c r="O693" s="18" t="s">
        <v>5959</v>
      </c>
      <c r="P693" s="10" t="s">
        <v>296</v>
      </c>
      <c r="Q693" s="10">
        <v>1.0</v>
      </c>
      <c r="R693" s="10" t="s">
        <v>35</v>
      </c>
      <c r="T693" s="10" t="s">
        <v>35</v>
      </c>
      <c r="V693" s="14" t="s">
        <v>5960</v>
      </c>
      <c r="W693" s="10"/>
      <c r="X693" s="10" t="s">
        <v>37</v>
      </c>
      <c r="Y693" s="10" t="s">
        <v>0</v>
      </c>
    </row>
    <row r="694">
      <c r="A694" s="10" t="s">
        <v>5961</v>
      </c>
      <c r="B694" s="11">
        <v>44526.57734402778</v>
      </c>
      <c r="C694" s="10" t="s">
        <v>181</v>
      </c>
      <c r="D694" s="10" t="s">
        <v>69</v>
      </c>
      <c r="E694" s="10" t="s">
        <v>2979</v>
      </c>
      <c r="F694" s="10" t="s">
        <v>5962</v>
      </c>
      <c r="G694" s="10" t="s">
        <v>5963</v>
      </c>
      <c r="H694" s="11">
        <v>44533.64583333333</v>
      </c>
      <c r="I694" s="11">
        <v>44533.72916666667</v>
      </c>
      <c r="J694" s="10" t="s">
        <v>128</v>
      </c>
      <c r="K694" s="10" t="s">
        <v>61</v>
      </c>
      <c r="L694" s="10" t="s">
        <v>1334</v>
      </c>
      <c r="N694" s="10" t="s">
        <v>35</v>
      </c>
      <c r="V694" s="9"/>
      <c r="X694" s="10" t="s">
        <v>37</v>
      </c>
      <c r="Y694" s="10" t="s">
        <v>0</v>
      </c>
    </row>
    <row r="695">
      <c r="A695" s="10" t="s">
        <v>5964</v>
      </c>
      <c r="B695" s="11">
        <v>44526.578139398145</v>
      </c>
      <c r="C695" s="10" t="s">
        <v>181</v>
      </c>
      <c r="D695" s="10" t="s">
        <v>69</v>
      </c>
      <c r="E695" s="10" t="s">
        <v>4175</v>
      </c>
      <c r="F695" s="10" t="s">
        <v>5965</v>
      </c>
      <c r="G695" s="10" t="s">
        <v>5966</v>
      </c>
      <c r="H695" s="11">
        <v>44530.33333333333</v>
      </c>
      <c r="I695" s="11">
        <v>44530.66666666667</v>
      </c>
      <c r="J695" s="10" t="s">
        <v>73</v>
      </c>
      <c r="K695" s="10" t="s">
        <v>34</v>
      </c>
      <c r="N695" s="10" t="s">
        <v>35</v>
      </c>
      <c r="V695" s="14" t="s">
        <v>5967</v>
      </c>
      <c r="W695" s="10"/>
      <c r="X695" s="10" t="s">
        <v>37</v>
      </c>
      <c r="Y695" s="10" t="s">
        <v>0</v>
      </c>
    </row>
    <row r="696">
      <c r="A696" s="10" t="s">
        <v>5968</v>
      </c>
      <c r="B696" s="11">
        <v>44526.58204054398</v>
      </c>
      <c r="C696" s="10" t="s">
        <v>181</v>
      </c>
      <c r="D696" s="10" t="s">
        <v>69</v>
      </c>
      <c r="E696" s="10" t="s">
        <v>5755</v>
      </c>
      <c r="F696" s="10" t="s">
        <v>5969</v>
      </c>
      <c r="G696" s="10" t="s">
        <v>5970</v>
      </c>
      <c r="H696" s="11">
        <v>44534.25</v>
      </c>
      <c r="I696" s="11">
        <v>44535.99930555555</v>
      </c>
      <c r="J696" s="10" t="s">
        <v>128</v>
      </c>
      <c r="K696" s="10" t="s">
        <v>34</v>
      </c>
      <c r="N696" s="10" t="s">
        <v>35</v>
      </c>
      <c r="V696" s="35" t="s">
        <v>3740</v>
      </c>
      <c r="W696" s="10"/>
      <c r="X696" s="10" t="s">
        <v>37</v>
      </c>
      <c r="Y696" s="10" t="s">
        <v>0</v>
      </c>
    </row>
    <row r="697">
      <c r="A697" s="10" t="s">
        <v>5971</v>
      </c>
      <c r="B697" s="11">
        <v>44526.58355357639</v>
      </c>
      <c r="C697" s="10" t="s">
        <v>181</v>
      </c>
      <c r="D697" s="10" t="s">
        <v>69</v>
      </c>
      <c r="E697" s="10" t="s">
        <v>2979</v>
      </c>
      <c r="F697" s="10" t="s">
        <v>5972</v>
      </c>
      <c r="G697" s="10" t="s">
        <v>5973</v>
      </c>
      <c r="H697" s="11">
        <v>44534.83333333333</v>
      </c>
      <c r="I697" s="11">
        <v>44534.99930555555</v>
      </c>
      <c r="J697" s="10" t="s">
        <v>128</v>
      </c>
      <c r="K697" s="10" t="s">
        <v>34</v>
      </c>
      <c r="N697" s="10" t="s">
        <v>35</v>
      </c>
      <c r="V697" s="35" t="s">
        <v>3740</v>
      </c>
      <c r="W697" s="10"/>
      <c r="X697" s="10" t="s">
        <v>37</v>
      </c>
      <c r="Y697" s="10" t="s">
        <v>0</v>
      </c>
    </row>
    <row r="698">
      <c r="A698" s="10" t="s">
        <v>5974</v>
      </c>
      <c r="B698" s="11">
        <v>44526.58651148148</v>
      </c>
      <c r="C698" s="10" t="s">
        <v>181</v>
      </c>
      <c r="D698" s="10" t="s">
        <v>69</v>
      </c>
      <c r="E698" s="10" t="s">
        <v>1096</v>
      </c>
      <c r="F698" s="10" t="s">
        <v>5975</v>
      </c>
      <c r="G698" s="10" t="s">
        <v>5976</v>
      </c>
      <c r="H698" s="11">
        <v>44529.60416666667</v>
      </c>
      <c r="I698" s="11">
        <v>44529.6875</v>
      </c>
      <c r="J698" s="10" t="s">
        <v>128</v>
      </c>
      <c r="K698" s="10" t="s">
        <v>34</v>
      </c>
      <c r="N698" s="10" t="s">
        <v>35</v>
      </c>
      <c r="V698" s="14" t="s">
        <v>5616</v>
      </c>
      <c r="W698" s="10"/>
      <c r="X698" s="10" t="s">
        <v>37</v>
      </c>
      <c r="Y698" s="10" t="s">
        <v>0</v>
      </c>
    </row>
    <row r="699">
      <c r="A699" s="10" t="s">
        <v>5977</v>
      </c>
      <c r="B699" s="11">
        <v>44529.6232106713</v>
      </c>
      <c r="C699" s="10" t="s">
        <v>239</v>
      </c>
      <c r="D699" s="10" t="s">
        <v>240</v>
      </c>
      <c r="E699" s="10" t="s">
        <v>3998</v>
      </c>
      <c r="F699" s="10" t="s">
        <v>5978</v>
      </c>
      <c r="G699" s="10" t="s">
        <v>5979</v>
      </c>
      <c r="H699" s="11">
        <v>44512.0</v>
      </c>
      <c r="I699" s="11">
        <v>44521.0</v>
      </c>
      <c r="J699" s="10" t="s">
        <v>43</v>
      </c>
      <c r="K699" s="10" t="s">
        <v>34</v>
      </c>
      <c r="N699" s="10" t="s">
        <v>35</v>
      </c>
      <c r="V699" s="35" t="s">
        <v>4551</v>
      </c>
      <c r="W699" s="10"/>
      <c r="X699" s="10" t="s">
        <v>37</v>
      </c>
      <c r="Y699" s="10" t="s">
        <v>0</v>
      </c>
    </row>
    <row r="700">
      <c r="A700" s="10" t="s">
        <v>5980</v>
      </c>
      <c r="B700" s="11">
        <v>44547.46785894676</v>
      </c>
      <c r="C700" s="10" t="s">
        <v>239</v>
      </c>
      <c r="D700" s="10" t="s">
        <v>240</v>
      </c>
      <c r="E700" s="10" t="s">
        <v>4548</v>
      </c>
      <c r="F700" s="10" t="s">
        <v>5981</v>
      </c>
      <c r="G700" s="10" t="s">
        <v>5982</v>
      </c>
      <c r="H700" s="11">
        <v>44547.6875</v>
      </c>
      <c r="I700" s="11">
        <v>44547.72916666667</v>
      </c>
      <c r="J700" s="10" t="s">
        <v>43</v>
      </c>
      <c r="K700" s="10" t="s">
        <v>34</v>
      </c>
      <c r="N700" s="10" t="s">
        <v>35</v>
      </c>
      <c r="V700" s="18" t="s">
        <v>5983</v>
      </c>
    </row>
    <row r="701">
      <c r="A701" s="10" t="s">
        <v>5984</v>
      </c>
      <c r="B701" s="11">
        <v>44571.61201784722</v>
      </c>
      <c r="C701" s="10" t="s">
        <v>239</v>
      </c>
      <c r="D701" s="10" t="s">
        <v>240</v>
      </c>
      <c r="E701" s="10" t="s">
        <v>4561</v>
      </c>
      <c r="F701" s="10" t="s">
        <v>5985</v>
      </c>
      <c r="G701" s="10" t="s">
        <v>5986</v>
      </c>
      <c r="H701" s="11">
        <v>44548.0</v>
      </c>
      <c r="I701" s="11">
        <v>44568.99930555555</v>
      </c>
      <c r="J701" s="10" t="s">
        <v>43</v>
      </c>
      <c r="K701" s="10" t="s">
        <v>34</v>
      </c>
      <c r="N701" s="10" t="s">
        <v>35</v>
      </c>
      <c r="V701" s="10" t="s">
        <v>4551</v>
      </c>
    </row>
    <row r="702">
      <c r="A702" s="10" t="s">
        <v>5987</v>
      </c>
      <c r="B702" s="11">
        <v>44589.36224815973</v>
      </c>
      <c r="C702" s="10" t="s">
        <v>5988</v>
      </c>
      <c r="D702" s="10" t="s">
        <v>5989</v>
      </c>
      <c r="E702" s="10" t="s">
        <v>5990</v>
      </c>
      <c r="F702" s="10" t="s">
        <v>5991</v>
      </c>
      <c r="G702" s="10" t="s">
        <v>5991</v>
      </c>
      <c r="H702" s="11">
        <v>44596.5</v>
      </c>
      <c r="I702" s="11">
        <v>44596.04166666667</v>
      </c>
      <c r="J702" s="10" t="s">
        <v>236</v>
      </c>
      <c r="K702" s="10" t="s">
        <v>61</v>
      </c>
      <c r="L702" s="10" t="s">
        <v>4997</v>
      </c>
      <c r="N702" s="10" t="s">
        <v>296</v>
      </c>
      <c r="O702" s="18" t="s">
        <v>5992</v>
      </c>
      <c r="P702" s="10" t="s">
        <v>35</v>
      </c>
      <c r="R702" s="10" t="s">
        <v>296</v>
      </c>
      <c r="S702" s="10">
        <v>1.0</v>
      </c>
      <c r="T702" s="10" t="s">
        <v>35</v>
      </c>
    </row>
    <row r="703">
      <c r="A703" s="10" t="s">
        <v>5993</v>
      </c>
      <c r="B703" s="11">
        <v>44456.653715277775</v>
      </c>
      <c r="C703" s="10" t="s">
        <v>28</v>
      </c>
      <c r="D703" s="10" t="s">
        <v>29</v>
      </c>
      <c r="E703" s="10" t="s">
        <v>5994</v>
      </c>
      <c r="F703" s="10" t="s">
        <v>5995</v>
      </c>
      <c r="G703" s="10" t="s">
        <v>5996</v>
      </c>
      <c r="H703" s="46" t="s">
        <v>5997</v>
      </c>
      <c r="I703" s="46" t="s">
        <v>5998</v>
      </c>
      <c r="J703" s="10" t="s">
        <v>128</v>
      </c>
      <c r="K703" s="10" t="s">
        <v>61</v>
      </c>
      <c r="V703" s="9"/>
      <c r="X703" s="10" t="s">
        <v>3302</v>
      </c>
      <c r="Y703" s="10" t="s">
        <v>0</v>
      </c>
    </row>
    <row r="704">
      <c r="A704" s="10" t="s">
        <v>5999</v>
      </c>
      <c r="B704" s="11">
        <v>44456.653715277775</v>
      </c>
      <c r="C704" s="10" t="s">
        <v>539</v>
      </c>
      <c r="D704" s="10" t="s">
        <v>540</v>
      </c>
      <c r="E704" s="10" t="s">
        <v>5994</v>
      </c>
      <c r="F704" s="10" t="s">
        <v>5995</v>
      </c>
      <c r="G704" s="10" t="s">
        <v>5996</v>
      </c>
      <c r="H704" s="46" t="s">
        <v>5997</v>
      </c>
      <c r="I704" s="47">
        <v>44464.520833333336</v>
      </c>
      <c r="J704" s="10" t="s">
        <v>128</v>
      </c>
      <c r="K704" s="10" t="s">
        <v>61</v>
      </c>
      <c r="V704" s="9"/>
      <c r="X704" s="10" t="s">
        <v>3302</v>
      </c>
      <c r="Y704" s="10" t="s">
        <v>0</v>
      </c>
    </row>
    <row r="705">
      <c r="A705" s="10" t="s">
        <v>6000</v>
      </c>
      <c r="B705" s="11">
        <v>44456.653715277775</v>
      </c>
      <c r="C705" s="10" t="s">
        <v>374</v>
      </c>
      <c r="D705" s="10" t="s">
        <v>375</v>
      </c>
      <c r="E705" s="10" t="s">
        <v>5994</v>
      </c>
      <c r="F705" s="10" t="s">
        <v>5995</v>
      </c>
      <c r="G705" s="10" t="s">
        <v>5996</v>
      </c>
      <c r="H705" s="46" t="s">
        <v>5997</v>
      </c>
      <c r="I705" s="47">
        <v>44464.520833333336</v>
      </c>
      <c r="J705" s="10" t="s">
        <v>128</v>
      </c>
      <c r="K705" s="10" t="s">
        <v>61</v>
      </c>
      <c r="V705" s="9"/>
      <c r="X705" s="10" t="s">
        <v>3302</v>
      </c>
      <c r="Y705" s="10" t="s">
        <v>0</v>
      </c>
    </row>
    <row r="706">
      <c r="A706" s="10" t="s">
        <v>6001</v>
      </c>
      <c r="B706" s="11">
        <v>44456.653715277775</v>
      </c>
      <c r="C706" s="10" t="s">
        <v>239</v>
      </c>
      <c r="D706" s="10" t="s">
        <v>240</v>
      </c>
      <c r="E706" s="10" t="s">
        <v>5994</v>
      </c>
      <c r="F706" s="10" t="s">
        <v>5995</v>
      </c>
      <c r="G706" s="10" t="s">
        <v>5996</v>
      </c>
      <c r="H706" s="46" t="s">
        <v>5997</v>
      </c>
      <c r="I706" s="47">
        <v>44464.520833333336</v>
      </c>
      <c r="J706" s="10" t="s">
        <v>128</v>
      </c>
      <c r="K706" s="10" t="s">
        <v>61</v>
      </c>
      <c r="V706" s="9"/>
      <c r="X706" s="10" t="s">
        <v>3302</v>
      </c>
      <c r="Y706" s="10" t="s">
        <v>0</v>
      </c>
    </row>
  </sheetData>
  <autoFilter ref="$J$1:$J$1001"/>
  <hyperlinks>
    <hyperlink r:id="rId1" ref="O7"/>
    <hyperlink r:id="rId2" ref="O14"/>
    <hyperlink r:id="rId3" ref="O17"/>
    <hyperlink r:id="rId4" ref="O19"/>
    <hyperlink r:id="rId5" ref="O20"/>
    <hyperlink r:id="rId6" ref="O21"/>
    <hyperlink r:id="rId7" ref="O22"/>
    <hyperlink r:id="rId8" ref="V22"/>
    <hyperlink r:id="rId9" ref="V29"/>
    <hyperlink r:id="rId10" ref="V32"/>
    <hyperlink r:id="rId11" ref="V33"/>
    <hyperlink r:id="rId12" ref="V34"/>
    <hyperlink r:id="rId13" ref="V35"/>
    <hyperlink r:id="rId14" ref="V36"/>
    <hyperlink r:id="rId15" ref="V37"/>
    <hyperlink r:id="rId16" ref="V38"/>
    <hyperlink r:id="rId17" ref="V39"/>
    <hyperlink r:id="rId18" ref="V40"/>
    <hyperlink r:id="rId19" ref="V45"/>
    <hyperlink r:id="rId20" ref="V47"/>
    <hyperlink r:id="rId21" ref="V48"/>
    <hyperlink r:id="rId22" ref="V49"/>
    <hyperlink r:id="rId23" ref="V50"/>
    <hyperlink r:id="rId24" ref="V51"/>
    <hyperlink r:id="rId25" ref="V52"/>
    <hyperlink r:id="rId26" ref="V53"/>
    <hyperlink r:id="rId27" ref="V54"/>
    <hyperlink r:id="rId28" ref="V55"/>
    <hyperlink r:id="rId29" ref="V56"/>
    <hyperlink r:id="rId30" ref="V57"/>
    <hyperlink r:id="rId31" ref="V58"/>
    <hyperlink r:id="rId32" ref="V59"/>
    <hyperlink r:id="rId33" ref="V60"/>
    <hyperlink r:id="rId34" ref="V61"/>
    <hyperlink r:id="rId35" ref="O62"/>
    <hyperlink r:id="rId36" ref="V62"/>
    <hyperlink r:id="rId37" ref="V63"/>
    <hyperlink r:id="rId38" ref="V64"/>
    <hyperlink r:id="rId39" ref="V65"/>
    <hyperlink r:id="rId40" ref="V67"/>
    <hyperlink r:id="rId41" ref="V68"/>
    <hyperlink r:id="rId42" ref="V69"/>
    <hyperlink r:id="rId43" ref="V70"/>
    <hyperlink r:id="rId44" ref="O71"/>
    <hyperlink r:id="rId45" ref="V71"/>
    <hyperlink r:id="rId46" ref="V72"/>
    <hyperlink r:id="rId47" ref="V73"/>
    <hyperlink r:id="rId48" ref="V74"/>
    <hyperlink r:id="rId49" ref="V75"/>
    <hyperlink r:id="rId50" ref="V76"/>
    <hyperlink r:id="rId51" ref="O77"/>
    <hyperlink r:id="rId52" ref="V77"/>
    <hyperlink r:id="rId53" ref="O78"/>
    <hyperlink r:id="rId54" ref="V78"/>
    <hyperlink r:id="rId55" ref="O79"/>
    <hyperlink r:id="rId56" ref="V79"/>
    <hyperlink r:id="rId57" ref="O80"/>
    <hyperlink r:id="rId58" ref="V80"/>
    <hyperlink r:id="rId59" ref="V81"/>
    <hyperlink r:id="rId60" ref="V82"/>
    <hyperlink r:id="rId61" ref="V83"/>
    <hyperlink r:id="rId62" ref="V84"/>
    <hyperlink r:id="rId63" ref="V86"/>
    <hyperlink r:id="rId64" ref="V87"/>
    <hyperlink r:id="rId65" ref="V88"/>
    <hyperlink r:id="rId66" ref="V89"/>
    <hyperlink r:id="rId67" ref="O90"/>
    <hyperlink r:id="rId68" ref="V90"/>
    <hyperlink r:id="rId69" ref="V91"/>
    <hyperlink r:id="rId70" ref="V93"/>
    <hyperlink r:id="rId71" ref="V94"/>
    <hyperlink r:id="rId72" ref="V95"/>
    <hyperlink r:id="rId73" ref="V96"/>
    <hyperlink r:id="rId74" ref="V97"/>
    <hyperlink r:id="rId75" ref="V98"/>
    <hyperlink r:id="rId76" ref="V100"/>
    <hyperlink r:id="rId77" ref="V101"/>
    <hyperlink r:id="rId78" ref="O102"/>
    <hyperlink r:id="rId79" ref="V102"/>
    <hyperlink r:id="rId80" ref="V103"/>
    <hyperlink r:id="rId81" ref="V104"/>
    <hyperlink r:id="rId82" ref="V105"/>
    <hyperlink r:id="rId83" ref="V106"/>
    <hyperlink r:id="rId84" ref="V107"/>
    <hyperlink r:id="rId85" ref="V109"/>
    <hyperlink r:id="rId86" ref="O110"/>
    <hyperlink r:id="rId87" ref="V110"/>
    <hyperlink r:id="rId88" ref="V111"/>
    <hyperlink r:id="rId89" ref="V112"/>
    <hyperlink r:id="rId90" ref="V113"/>
    <hyperlink r:id="rId91" ref="V114"/>
    <hyperlink r:id="rId92" ref="V115"/>
    <hyperlink r:id="rId93" ref="V116"/>
    <hyperlink r:id="rId94" ref="O117"/>
    <hyperlink r:id="rId95" ref="V117"/>
    <hyperlink r:id="rId96" ref="O118"/>
    <hyperlink r:id="rId97" ref="V118"/>
    <hyperlink r:id="rId98" ref="O119"/>
    <hyperlink r:id="rId99" ref="V119"/>
    <hyperlink r:id="rId100" ref="O120"/>
    <hyperlink r:id="rId101" ref="V120"/>
    <hyperlink r:id="rId102" ref="O121"/>
    <hyperlink r:id="rId103" ref="V121"/>
    <hyperlink r:id="rId104" ref="V122"/>
    <hyperlink r:id="rId105" ref="V123"/>
    <hyperlink r:id="rId106" ref="V125"/>
    <hyperlink r:id="rId107" ref="O126"/>
    <hyperlink r:id="rId108" ref="V126"/>
    <hyperlink r:id="rId109" ref="V127"/>
    <hyperlink r:id="rId110" ref="V128"/>
    <hyperlink r:id="rId111" ref="V131"/>
    <hyperlink r:id="rId112" ref="V132"/>
    <hyperlink r:id="rId113" ref="V133"/>
    <hyperlink r:id="rId114" ref="O134"/>
    <hyperlink r:id="rId115" ref="V134"/>
    <hyperlink r:id="rId116" ref="V135"/>
    <hyperlink r:id="rId117" ref="V136"/>
    <hyperlink r:id="rId118" ref="V137"/>
    <hyperlink r:id="rId119" ref="V138"/>
    <hyperlink r:id="rId120" ref="V139"/>
    <hyperlink r:id="rId121" ref="V140"/>
    <hyperlink r:id="rId122" ref="V141"/>
    <hyperlink r:id="rId123" ref="V142"/>
    <hyperlink r:id="rId124" ref="V144"/>
    <hyperlink r:id="rId125" ref="V145"/>
    <hyperlink r:id="rId126" ref="V146"/>
    <hyperlink r:id="rId127" ref="V147"/>
    <hyperlink r:id="rId128" ref="O148"/>
    <hyperlink r:id="rId129" ref="V148"/>
    <hyperlink r:id="rId130" ref="V149"/>
    <hyperlink r:id="rId131" ref="V151"/>
    <hyperlink r:id="rId132" ref="V153"/>
    <hyperlink r:id="rId133" ref="V154"/>
    <hyperlink r:id="rId134" ref="O155"/>
    <hyperlink r:id="rId135" ref="V155"/>
    <hyperlink r:id="rId136" ref="V156"/>
    <hyperlink r:id="rId137" ref="O158"/>
    <hyperlink r:id="rId138" ref="V158"/>
    <hyperlink r:id="rId139" ref="V159"/>
    <hyperlink r:id="rId140" ref="O160"/>
    <hyperlink r:id="rId141" ref="V160"/>
    <hyperlink r:id="rId142" ref="V161"/>
    <hyperlink r:id="rId143" ref="V162"/>
    <hyperlink r:id="rId144" ref="O163"/>
    <hyperlink r:id="rId145" ref="V163"/>
    <hyperlink r:id="rId146" ref="V164"/>
    <hyperlink r:id="rId147" ref="V165"/>
    <hyperlink r:id="rId148" ref="V166"/>
    <hyperlink r:id="rId149" ref="V167"/>
    <hyperlink r:id="rId150" ref="V168"/>
    <hyperlink r:id="rId151" ref="O169"/>
    <hyperlink r:id="rId152" ref="V169"/>
    <hyperlink r:id="rId153" ref="V170"/>
    <hyperlink r:id="rId154" ref="V171"/>
    <hyperlink r:id="rId155" ref="V172"/>
    <hyperlink r:id="rId156" ref="V173"/>
    <hyperlink r:id="rId157" ref="V174"/>
    <hyperlink r:id="rId158" ref="V175"/>
    <hyperlink r:id="rId159" ref="V176"/>
    <hyperlink r:id="rId160" ref="V177"/>
    <hyperlink r:id="rId161" ref="V179"/>
    <hyperlink r:id="rId162" ref="V182"/>
    <hyperlink r:id="rId163" ref="V185"/>
    <hyperlink r:id="rId164" ref="V186"/>
    <hyperlink r:id="rId165" ref="O189"/>
    <hyperlink r:id="rId166" ref="V189"/>
    <hyperlink r:id="rId167" ref="O190"/>
    <hyperlink r:id="rId168" ref="V190"/>
    <hyperlink r:id="rId169" ref="V191"/>
    <hyperlink r:id="rId170" ref="V192"/>
    <hyperlink r:id="rId171" ref="V193"/>
    <hyperlink r:id="rId172" ref="V194"/>
    <hyperlink r:id="rId173" ref="V196"/>
    <hyperlink r:id="rId174" ref="V197"/>
    <hyperlink r:id="rId175" ref="O198"/>
    <hyperlink r:id="rId176" ref="V198"/>
    <hyperlink r:id="rId177" ref="O199"/>
    <hyperlink r:id="rId178" ref="V199"/>
    <hyperlink r:id="rId179" ref="V200"/>
    <hyperlink r:id="rId180" ref="V201"/>
    <hyperlink r:id="rId181" ref="O202"/>
    <hyperlink r:id="rId182" ref="V203"/>
    <hyperlink r:id="rId183" ref="V204"/>
    <hyperlink r:id="rId184" ref="V205"/>
    <hyperlink r:id="rId185" ref="V206"/>
    <hyperlink r:id="rId186" ref="V207"/>
    <hyperlink r:id="rId187" ref="V208"/>
    <hyperlink r:id="rId188" ref="V209"/>
    <hyperlink r:id="rId189" ref="V210"/>
    <hyperlink r:id="rId190" ref="O211"/>
    <hyperlink r:id="rId191" ref="V211"/>
    <hyperlink r:id="rId192" ref="V212"/>
    <hyperlink r:id="rId193" ref="O213"/>
    <hyperlink r:id="rId194" ref="V213"/>
    <hyperlink r:id="rId195" ref="V214"/>
    <hyperlink r:id="rId196" ref="O215"/>
    <hyperlink r:id="rId197" ref="V215"/>
    <hyperlink r:id="rId198" ref="O217"/>
    <hyperlink r:id="rId199" ref="V217"/>
    <hyperlink r:id="rId200" ref="O218"/>
    <hyperlink r:id="rId201" ref="V218"/>
    <hyperlink r:id="rId202" ref="V219"/>
    <hyperlink r:id="rId203" ref="O220"/>
    <hyperlink r:id="rId204" ref="V220"/>
    <hyperlink r:id="rId205" ref="V223"/>
    <hyperlink r:id="rId206" ref="V224"/>
    <hyperlink r:id="rId207" ref="O225"/>
    <hyperlink r:id="rId208" ref="V225"/>
    <hyperlink r:id="rId209" ref="O229"/>
    <hyperlink r:id="rId210" ref="V229"/>
    <hyperlink r:id="rId211" ref="O230"/>
    <hyperlink r:id="rId212" ref="V230"/>
    <hyperlink r:id="rId213" ref="V231"/>
    <hyperlink r:id="rId214" ref="O232"/>
    <hyperlink r:id="rId215" ref="V232"/>
    <hyperlink r:id="rId216" ref="V234"/>
    <hyperlink r:id="rId217" ref="V235"/>
    <hyperlink r:id="rId218" ref="V236"/>
    <hyperlink r:id="rId219" ref="O237"/>
    <hyperlink r:id="rId220" ref="V237"/>
    <hyperlink r:id="rId221" ref="V238"/>
    <hyperlink r:id="rId222" ref="V239"/>
    <hyperlink r:id="rId223" ref="O240"/>
    <hyperlink r:id="rId224" ref="V240"/>
    <hyperlink r:id="rId225" ref="O241"/>
    <hyperlink r:id="rId226" ref="V241"/>
    <hyperlink r:id="rId227" ref="V242"/>
    <hyperlink r:id="rId228" ref="V243"/>
    <hyperlink r:id="rId229" ref="V244"/>
    <hyperlink r:id="rId230" ref="V245"/>
    <hyperlink r:id="rId231" ref="O246"/>
    <hyperlink r:id="rId232" ref="V246"/>
    <hyperlink r:id="rId233" ref="V247"/>
    <hyperlink r:id="rId234" ref="V248"/>
    <hyperlink r:id="rId235" ref="V249"/>
    <hyperlink r:id="rId236" ref="V250"/>
    <hyperlink r:id="rId237" ref="V251"/>
    <hyperlink r:id="rId238" ref="V252"/>
    <hyperlink r:id="rId239" ref="V253"/>
    <hyperlink r:id="rId240" ref="O254"/>
    <hyperlink r:id="rId241" ref="V254"/>
    <hyperlink r:id="rId242" ref="V255"/>
    <hyperlink r:id="rId243" ref="V256"/>
    <hyperlink r:id="rId244" ref="O257"/>
    <hyperlink r:id="rId245" ref="V257"/>
    <hyperlink r:id="rId246" ref="V258"/>
    <hyperlink r:id="rId247" ref="V259"/>
    <hyperlink r:id="rId248" ref="V260"/>
    <hyperlink r:id="rId249" ref="O261"/>
    <hyperlink r:id="rId250" ref="V261"/>
    <hyperlink r:id="rId251" ref="V262"/>
    <hyperlink r:id="rId252" ref="V263"/>
    <hyperlink r:id="rId253" ref="V264"/>
    <hyperlink r:id="rId254" ref="V265"/>
    <hyperlink r:id="rId255" ref="V266"/>
    <hyperlink r:id="rId256" ref="V267"/>
    <hyperlink r:id="rId257" ref="V268"/>
    <hyperlink r:id="rId258" ref="V270"/>
    <hyperlink r:id="rId259" ref="O271"/>
    <hyperlink r:id="rId260" ref="V271"/>
    <hyperlink r:id="rId261" ref="V272"/>
    <hyperlink r:id="rId262" ref="O273"/>
    <hyperlink r:id="rId263" ref="V273"/>
    <hyperlink r:id="rId264" ref="V274"/>
    <hyperlink r:id="rId265" ref="V275"/>
    <hyperlink r:id="rId266" ref="V276"/>
    <hyperlink r:id="rId267" ref="V277"/>
    <hyperlink r:id="rId268" ref="V278"/>
    <hyperlink r:id="rId269" ref="V279"/>
    <hyperlink r:id="rId270" ref="V280"/>
    <hyperlink r:id="rId271" ref="V281"/>
    <hyperlink r:id="rId272" ref="O282"/>
    <hyperlink r:id="rId273" ref="V282"/>
    <hyperlink r:id="rId274" ref="V283"/>
    <hyperlink r:id="rId275" ref="V284"/>
    <hyperlink r:id="rId276" ref="V285"/>
    <hyperlink r:id="rId277" ref="V286"/>
    <hyperlink r:id="rId278" ref="V287"/>
    <hyperlink r:id="rId279" ref="V289"/>
    <hyperlink r:id="rId280" ref="V290"/>
    <hyperlink r:id="rId281" ref="V291"/>
    <hyperlink r:id="rId282" ref="V292"/>
    <hyperlink r:id="rId283" ref="V293"/>
    <hyperlink r:id="rId284" ref="V294"/>
    <hyperlink r:id="rId285" ref="V296"/>
    <hyperlink r:id="rId286" ref="O297"/>
    <hyperlink r:id="rId287" ref="V297"/>
    <hyperlink r:id="rId288" ref="V298"/>
    <hyperlink r:id="rId289" ref="V299"/>
    <hyperlink r:id="rId290" ref="V300"/>
    <hyperlink r:id="rId291" ref="V301"/>
    <hyperlink r:id="rId292" ref="V302"/>
    <hyperlink r:id="rId293" ref="V303"/>
    <hyperlink r:id="rId294" ref="O304"/>
    <hyperlink r:id="rId295" ref="O305"/>
    <hyperlink r:id="rId296" ref="O306"/>
    <hyperlink r:id="rId297" ref="V308"/>
    <hyperlink r:id="rId298" ref="V310"/>
    <hyperlink r:id="rId299" ref="V311"/>
    <hyperlink r:id="rId300" ref="O313"/>
    <hyperlink r:id="rId301" ref="V313"/>
    <hyperlink r:id="rId302" ref="V314"/>
    <hyperlink r:id="rId303" ref="V315"/>
    <hyperlink r:id="rId304" ref="V316"/>
    <hyperlink r:id="rId305" ref="V319"/>
    <hyperlink r:id="rId306" ref="V320"/>
    <hyperlink r:id="rId307" ref="V322"/>
    <hyperlink r:id="rId308" ref="O323"/>
    <hyperlink r:id="rId309" ref="V323"/>
    <hyperlink r:id="rId310" ref="V325"/>
    <hyperlink r:id="rId311" ref="O326"/>
    <hyperlink r:id="rId312" ref="V326"/>
    <hyperlink r:id="rId313" ref="V327"/>
    <hyperlink r:id="rId314" ref="V328"/>
    <hyperlink r:id="rId315" ref="V329"/>
    <hyperlink r:id="rId316" ref="V331"/>
    <hyperlink r:id="rId317" ref="O332"/>
    <hyperlink r:id="rId318" ref="V332"/>
    <hyperlink r:id="rId319" ref="V334"/>
    <hyperlink r:id="rId320" ref="V335"/>
    <hyperlink r:id="rId321" ref="O336"/>
    <hyperlink r:id="rId322" ref="V336"/>
    <hyperlink r:id="rId323" ref="V337"/>
    <hyperlink r:id="rId324" ref="V338"/>
    <hyperlink r:id="rId325" ref="V339"/>
    <hyperlink r:id="rId326" ref="V340"/>
    <hyperlink r:id="rId327" ref="O341"/>
    <hyperlink r:id="rId328" ref="V341"/>
    <hyperlink r:id="rId329" ref="V343"/>
    <hyperlink r:id="rId330" ref="V345"/>
    <hyperlink r:id="rId331" ref="V346"/>
    <hyperlink r:id="rId332" ref="V347"/>
    <hyperlink r:id="rId333" ref="V348"/>
    <hyperlink r:id="rId334" ref="V349"/>
    <hyperlink r:id="rId335" ref="V350"/>
    <hyperlink r:id="rId336" ref="V351"/>
    <hyperlink r:id="rId337" ref="V356"/>
    <hyperlink r:id="rId338" ref="O358"/>
    <hyperlink r:id="rId339" ref="V358"/>
    <hyperlink r:id="rId340" ref="V359"/>
    <hyperlink r:id="rId341" ref="O361"/>
    <hyperlink r:id="rId342" ref="V361"/>
    <hyperlink r:id="rId343" ref="V362"/>
    <hyperlink r:id="rId344" ref="V363"/>
    <hyperlink r:id="rId345" ref="O364"/>
    <hyperlink r:id="rId346" ref="V365"/>
    <hyperlink r:id="rId347" ref="V366"/>
    <hyperlink r:id="rId348" ref="O367"/>
    <hyperlink r:id="rId349" ref="V367"/>
    <hyperlink r:id="rId350" ref="V368"/>
    <hyperlink r:id="rId351" ref="V369"/>
    <hyperlink r:id="rId352" ref="V370"/>
    <hyperlink r:id="rId353" ref="O371"/>
    <hyperlink r:id="rId354" ref="V371"/>
    <hyperlink r:id="rId355" ref="V372"/>
    <hyperlink r:id="rId356" ref="V373"/>
    <hyperlink r:id="rId357" ref="V374"/>
    <hyperlink r:id="rId358" ref="V375"/>
    <hyperlink r:id="rId359" ref="V376"/>
    <hyperlink r:id="rId360" ref="V377"/>
    <hyperlink r:id="rId361" ref="V378"/>
    <hyperlink r:id="rId362" ref="O379"/>
    <hyperlink r:id="rId363" ref="V379"/>
    <hyperlink r:id="rId364" ref="O380"/>
    <hyperlink r:id="rId365" ref="V380"/>
    <hyperlink r:id="rId366" ref="O381"/>
    <hyperlink r:id="rId367" ref="V381"/>
    <hyperlink r:id="rId368" ref="V383"/>
    <hyperlink r:id="rId369" ref="V386"/>
    <hyperlink r:id="rId370" ref="O389"/>
    <hyperlink r:id="rId371" ref="V389"/>
    <hyperlink r:id="rId372" ref="V390"/>
    <hyperlink r:id="rId373" ref="V391"/>
    <hyperlink r:id="rId374" ref="V392"/>
    <hyperlink r:id="rId375" ref="V393"/>
    <hyperlink r:id="rId376" ref="V394"/>
    <hyperlink r:id="rId377" ref="V395"/>
    <hyperlink r:id="rId378" ref="V398"/>
    <hyperlink r:id="rId379" ref="V399"/>
    <hyperlink r:id="rId380" ref="V400"/>
    <hyperlink r:id="rId381" ref="V401"/>
    <hyperlink r:id="rId382" ref="V402"/>
    <hyperlink r:id="rId383" ref="O403"/>
    <hyperlink r:id="rId384" ref="V403"/>
    <hyperlink r:id="rId385" ref="V404"/>
    <hyperlink r:id="rId386" ref="V405"/>
    <hyperlink r:id="rId387" ref="V406"/>
    <hyperlink r:id="rId388" ref="V407"/>
    <hyperlink r:id="rId389" ref="V408"/>
    <hyperlink r:id="rId390" ref="V409"/>
    <hyperlink r:id="rId391" ref="O410"/>
    <hyperlink r:id="rId392" ref="V410"/>
    <hyperlink r:id="rId393" ref="V411"/>
    <hyperlink r:id="rId394" ref="V412"/>
    <hyperlink r:id="rId395" ref="V413"/>
    <hyperlink r:id="rId396" ref="V415"/>
    <hyperlink r:id="rId397" ref="V416"/>
    <hyperlink r:id="rId398" ref="V417"/>
    <hyperlink r:id="rId399" ref="V418"/>
    <hyperlink r:id="rId400" ref="V419"/>
    <hyperlink r:id="rId401" ref="V420"/>
    <hyperlink r:id="rId402" ref="V421"/>
    <hyperlink r:id="rId403" ref="V422"/>
    <hyperlink r:id="rId404" ref="V423"/>
    <hyperlink r:id="rId405" ref="V424"/>
    <hyperlink r:id="rId406" ref="V425"/>
    <hyperlink r:id="rId407" ref="V426"/>
    <hyperlink r:id="rId408" ref="V427"/>
    <hyperlink r:id="rId409" ref="V428"/>
    <hyperlink r:id="rId410" ref="V429"/>
    <hyperlink r:id="rId411" ref="V430"/>
    <hyperlink r:id="rId412" ref="V431"/>
    <hyperlink r:id="rId413" ref="V432"/>
    <hyperlink r:id="rId414" ref="V433"/>
    <hyperlink r:id="rId415" ref="V434"/>
    <hyperlink r:id="rId416" ref="V435"/>
    <hyperlink r:id="rId417" ref="V437"/>
    <hyperlink r:id="rId418" ref="V438"/>
    <hyperlink r:id="rId419" ref="V439"/>
    <hyperlink r:id="rId420" ref="V440"/>
    <hyperlink r:id="rId421" ref="V441"/>
    <hyperlink r:id="rId422" ref="V444"/>
    <hyperlink r:id="rId423" ref="V445"/>
    <hyperlink r:id="rId424" ref="O446"/>
    <hyperlink r:id="rId425" ref="V446"/>
    <hyperlink r:id="rId426" ref="V447"/>
    <hyperlink r:id="rId427" ref="V448"/>
    <hyperlink r:id="rId428" ref="V449"/>
    <hyperlink r:id="rId429" ref="O450"/>
    <hyperlink r:id="rId430" ref="V450"/>
    <hyperlink r:id="rId431" ref="V451"/>
    <hyperlink r:id="rId432" ref="V452"/>
    <hyperlink r:id="rId433" ref="V453"/>
    <hyperlink r:id="rId434" ref="V454"/>
    <hyperlink r:id="rId435" ref="V457"/>
    <hyperlink r:id="rId436" ref="V458"/>
    <hyperlink r:id="rId437" ref="V459"/>
    <hyperlink r:id="rId438" ref="V460"/>
    <hyperlink r:id="rId439" ref="V461"/>
    <hyperlink r:id="rId440" ref="V462"/>
    <hyperlink r:id="rId441" ref="V463"/>
    <hyperlink r:id="rId442" ref="V464"/>
    <hyperlink r:id="rId443" ref="V465"/>
    <hyperlink r:id="rId444" ref="V466"/>
    <hyperlink r:id="rId445" ref="V468"/>
    <hyperlink r:id="rId446" ref="V469"/>
    <hyperlink r:id="rId447" ref="V470"/>
    <hyperlink r:id="rId448" ref="V471"/>
    <hyperlink r:id="rId449" ref="V472"/>
    <hyperlink r:id="rId450" ref="V473"/>
    <hyperlink r:id="rId451" ref="O474"/>
    <hyperlink r:id="rId452" ref="V474"/>
    <hyperlink r:id="rId453" ref="V475"/>
    <hyperlink r:id="rId454" ref="V476"/>
    <hyperlink r:id="rId455" ref="V477"/>
    <hyperlink r:id="rId456" ref="V478"/>
    <hyperlink r:id="rId457" ref="V479"/>
    <hyperlink r:id="rId458" ref="O481"/>
    <hyperlink r:id="rId459" ref="V481"/>
    <hyperlink r:id="rId460" ref="V482"/>
    <hyperlink r:id="rId461" ref="V483"/>
    <hyperlink r:id="rId462" ref="V484"/>
    <hyperlink r:id="rId463" ref="V485"/>
    <hyperlink r:id="rId464" ref="O486"/>
    <hyperlink r:id="rId465" ref="V486"/>
    <hyperlink r:id="rId466" ref="V487"/>
    <hyperlink r:id="rId467" ref="V488"/>
    <hyperlink r:id="rId468" ref="V489"/>
    <hyperlink r:id="rId469" ref="V490"/>
    <hyperlink r:id="rId470" ref="V491"/>
    <hyperlink r:id="rId471" ref="V492"/>
    <hyperlink r:id="rId472" location="/pre-join-calling/19:meeting_MDQwNjZkNTAtMmM1NC00ZjdkLThiYzYtZGUwM2M2OWVkMDIw@thread.v2" ref="V493"/>
    <hyperlink r:id="rId473" ref="V495"/>
    <hyperlink r:id="rId474" ref="O496"/>
    <hyperlink r:id="rId475" ref="V496"/>
    <hyperlink r:id="rId476" ref="V497"/>
    <hyperlink r:id="rId477" ref="V498"/>
    <hyperlink r:id="rId478" ref="V500"/>
    <hyperlink r:id="rId479" ref="V501"/>
    <hyperlink r:id="rId480" ref="O502"/>
    <hyperlink r:id="rId481" ref="V502"/>
    <hyperlink r:id="rId482" ref="V503"/>
    <hyperlink r:id="rId483" ref="V504"/>
    <hyperlink r:id="rId484" ref="V505"/>
    <hyperlink r:id="rId485" ref="V508"/>
    <hyperlink r:id="rId486" ref="V509"/>
    <hyperlink r:id="rId487" ref="V510"/>
    <hyperlink r:id="rId488" ref="V511"/>
    <hyperlink r:id="rId489" ref="V512"/>
    <hyperlink r:id="rId490" ref="V513"/>
    <hyperlink r:id="rId491" ref="V515"/>
    <hyperlink r:id="rId492" ref="V516"/>
    <hyperlink r:id="rId493" ref="V517"/>
    <hyperlink r:id="rId494" ref="V518"/>
    <hyperlink r:id="rId495" ref="O519"/>
    <hyperlink r:id="rId496" ref="V519"/>
    <hyperlink r:id="rId497" ref="V520"/>
    <hyperlink r:id="rId498" ref="V523"/>
    <hyperlink r:id="rId499" ref="V526"/>
    <hyperlink r:id="rId500" ref="V529"/>
    <hyperlink r:id="rId501" ref="O530"/>
    <hyperlink r:id="rId502" ref="V530"/>
    <hyperlink r:id="rId503" ref="O532"/>
    <hyperlink r:id="rId504" ref="V532"/>
    <hyperlink r:id="rId505" ref="V536"/>
    <hyperlink r:id="rId506" ref="V537"/>
    <hyperlink r:id="rId507" ref="O538"/>
    <hyperlink r:id="rId508" ref="V538"/>
    <hyperlink r:id="rId509" ref="V539"/>
    <hyperlink r:id="rId510" ref="V540"/>
    <hyperlink r:id="rId511" ref="V541"/>
    <hyperlink r:id="rId512" ref="V542"/>
    <hyperlink r:id="rId513" ref="V543"/>
    <hyperlink r:id="rId514" ref="V544"/>
    <hyperlink r:id="rId515" ref="V545"/>
    <hyperlink r:id="rId516" ref="V546"/>
    <hyperlink r:id="rId517" ref="V547"/>
    <hyperlink r:id="rId518" ref="V549"/>
    <hyperlink r:id="rId519" ref="V550"/>
    <hyperlink r:id="rId520" ref="V551"/>
    <hyperlink r:id="rId521" ref="V552"/>
    <hyperlink r:id="rId522" ref="V553"/>
    <hyperlink r:id="rId523" ref="V554"/>
    <hyperlink r:id="rId524" ref="V555"/>
    <hyperlink r:id="rId525" ref="V556"/>
    <hyperlink r:id="rId526" ref="V557"/>
    <hyperlink r:id="rId527" ref="V558"/>
    <hyperlink r:id="rId528" ref="O559"/>
    <hyperlink r:id="rId529" ref="V559"/>
    <hyperlink r:id="rId530" ref="V560"/>
    <hyperlink r:id="rId531" ref="V561"/>
    <hyperlink r:id="rId532" ref="V562"/>
    <hyperlink r:id="rId533" ref="V563"/>
    <hyperlink r:id="rId534" ref="V564"/>
    <hyperlink r:id="rId535" ref="V565"/>
    <hyperlink r:id="rId536" ref="V566"/>
    <hyperlink r:id="rId537" ref="O567"/>
    <hyperlink r:id="rId538" ref="V567"/>
    <hyperlink r:id="rId539" ref="O569"/>
    <hyperlink r:id="rId540" ref="V569"/>
    <hyperlink r:id="rId541" ref="O570"/>
    <hyperlink r:id="rId542" ref="V570"/>
    <hyperlink r:id="rId543" ref="O571"/>
    <hyperlink r:id="rId544" ref="V571"/>
    <hyperlink r:id="rId545" ref="V575"/>
    <hyperlink r:id="rId546" ref="V576"/>
    <hyperlink r:id="rId547" ref="V577"/>
    <hyperlink r:id="rId548" ref="V578"/>
    <hyperlink r:id="rId549" ref="V579"/>
    <hyperlink r:id="rId550" ref="V580"/>
    <hyperlink r:id="rId551" ref="V581"/>
    <hyperlink r:id="rId552" ref="V582"/>
    <hyperlink r:id="rId553" ref="V583"/>
    <hyperlink r:id="rId554" ref="V584"/>
    <hyperlink r:id="rId555" ref="V585"/>
    <hyperlink r:id="rId556" ref="O586"/>
    <hyperlink r:id="rId557" ref="O587"/>
    <hyperlink r:id="rId558" ref="V587"/>
    <hyperlink r:id="rId559" ref="O589"/>
    <hyperlink r:id="rId560" ref="V589"/>
    <hyperlink r:id="rId561" ref="V593"/>
    <hyperlink r:id="rId562" ref="V594"/>
    <hyperlink r:id="rId563" ref="V595"/>
    <hyperlink r:id="rId564" ref="V596"/>
    <hyperlink r:id="rId565" ref="V597"/>
    <hyperlink r:id="rId566" ref="V598"/>
    <hyperlink r:id="rId567" ref="V599"/>
    <hyperlink r:id="rId568" ref="V600"/>
    <hyperlink r:id="rId569" ref="V601"/>
    <hyperlink r:id="rId570" ref="V602"/>
    <hyperlink r:id="rId571" ref="V603"/>
    <hyperlink r:id="rId572" ref="V604"/>
    <hyperlink r:id="rId573" ref="V605"/>
    <hyperlink r:id="rId574" ref="V606"/>
    <hyperlink r:id="rId575" ref="V607"/>
    <hyperlink r:id="rId576" ref="O608"/>
    <hyperlink r:id="rId577" ref="V608"/>
    <hyperlink r:id="rId578" ref="V609"/>
    <hyperlink r:id="rId579" ref="V610"/>
    <hyperlink r:id="rId580" ref="V611"/>
    <hyperlink r:id="rId581" ref="O612"/>
    <hyperlink r:id="rId582" ref="V612"/>
    <hyperlink r:id="rId583" ref="O613"/>
    <hyperlink r:id="rId584" ref="V613"/>
    <hyperlink r:id="rId585" ref="O614"/>
    <hyperlink r:id="rId586" ref="V614"/>
    <hyperlink r:id="rId587" ref="V615"/>
    <hyperlink r:id="rId588" ref="V616"/>
    <hyperlink r:id="rId589" ref="O619"/>
    <hyperlink r:id="rId590" ref="V619"/>
    <hyperlink r:id="rId591" ref="V620"/>
    <hyperlink r:id="rId592" ref="V621"/>
    <hyperlink r:id="rId593" ref="V623"/>
    <hyperlink r:id="rId594" ref="V624"/>
    <hyperlink r:id="rId595" ref="O625"/>
    <hyperlink r:id="rId596" ref="V625"/>
    <hyperlink r:id="rId597" ref="O626"/>
    <hyperlink r:id="rId598" ref="V626"/>
    <hyperlink r:id="rId599" ref="O627"/>
    <hyperlink r:id="rId600" ref="V627"/>
    <hyperlink r:id="rId601" ref="V628"/>
    <hyperlink r:id="rId602" ref="V629"/>
    <hyperlink r:id="rId603" ref="O630"/>
    <hyperlink r:id="rId604" ref="V632"/>
    <hyperlink r:id="rId605" ref="V633"/>
    <hyperlink r:id="rId606" ref="V634"/>
    <hyperlink r:id="rId607" ref="V635"/>
    <hyperlink r:id="rId608" ref="V636"/>
    <hyperlink r:id="rId609" ref="V637"/>
    <hyperlink r:id="rId610" ref="O638"/>
    <hyperlink r:id="rId611" ref="V638"/>
    <hyperlink r:id="rId612" ref="V639"/>
    <hyperlink r:id="rId613" ref="V640"/>
    <hyperlink r:id="rId614" ref="V641"/>
    <hyperlink r:id="rId615" ref="V643"/>
    <hyperlink r:id="rId616" ref="O644"/>
    <hyperlink r:id="rId617" ref="V644"/>
    <hyperlink r:id="rId618" ref="V645"/>
    <hyperlink r:id="rId619" ref="O646"/>
    <hyperlink r:id="rId620" ref="V646"/>
    <hyperlink r:id="rId621" ref="O647"/>
    <hyperlink r:id="rId622" ref="V647"/>
    <hyperlink r:id="rId623" ref="O648"/>
    <hyperlink r:id="rId624" ref="V648"/>
    <hyperlink r:id="rId625" ref="V649"/>
    <hyperlink r:id="rId626" ref="O651"/>
    <hyperlink r:id="rId627" ref="V651"/>
    <hyperlink r:id="rId628" ref="V652"/>
    <hyperlink r:id="rId629" ref="O653"/>
    <hyperlink r:id="rId630" ref="V653"/>
    <hyperlink r:id="rId631" ref="O654"/>
    <hyperlink r:id="rId632" ref="V654"/>
    <hyperlink r:id="rId633" ref="O655"/>
    <hyperlink r:id="rId634" ref="V655"/>
    <hyperlink r:id="rId635" ref="O656"/>
    <hyperlink r:id="rId636" ref="V656"/>
    <hyperlink r:id="rId637" ref="V657"/>
    <hyperlink r:id="rId638" ref="O658"/>
    <hyperlink r:id="rId639" ref="V658"/>
    <hyperlink r:id="rId640" ref="O659"/>
    <hyperlink r:id="rId641" ref="V659"/>
    <hyperlink r:id="rId642" ref="O660"/>
    <hyperlink r:id="rId643" ref="V660"/>
    <hyperlink r:id="rId644" ref="O661"/>
    <hyperlink r:id="rId645" ref="V661"/>
    <hyperlink r:id="rId646" ref="O662"/>
    <hyperlink r:id="rId647" ref="V662"/>
    <hyperlink r:id="rId648" ref="O663"/>
    <hyperlink r:id="rId649" ref="V663"/>
    <hyperlink r:id="rId650" ref="O664"/>
    <hyperlink r:id="rId651" ref="V664"/>
    <hyperlink r:id="rId652" ref="V665"/>
    <hyperlink r:id="rId653" ref="V666"/>
    <hyperlink r:id="rId654" ref="V667"/>
    <hyperlink r:id="rId655" ref="V669"/>
    <hyperlink r:id="rId656" ref="V670"/>
    <hyperlink r:id="rId657" ref="O671"/>
    <hyperlink r:id="rId658" ref="V671"/>
    <hyperlink r:id="rId659" ref="V672"/>
    <hyperlink r:id="rId660" ref="O673"/>
    <hyperlink r:id="rId661" ref="V673"/>
    <hyperlink r:id="rId662" ref="V674"/>
    <hyperlink r:id="rId663" ref="O676"/>
    <hyperlink r:id="rId664" ref="V676"/>
    <hyperlink r:id="rId665" ref="O677"/>
    <hyperlink r:id="rId666" location="success" ref="V677"/>
    <hyperlink r:id="rId667" ref="O678"/>
    <hyperlink r:id="rId668" ref="V678"/>
    <hyperlink r:id="rId669" ref="O681"/>
    <hyperlink r:id="rId670" ref="V681"/>
    <hyperlink r:id="rId671" ref="O682"/>
    <hyperlink r:id="rId672" ref="V682"/>
    <hyperlink r:id="rId673" ref="O683"/>
    <hyperlink r:id="rId674" ref="V683"/>
    <hyperlink r:id="rId675" ref="O684"/>
    <hyperlink r:id="rId676" ref="V684"/>
    <hyperlink r:id="rId677" ref="O685"/>
    <hyperlink r:id="rId678" ref="V685"/>
    <hyperlink r:id="rId679" ref="O686"/>
    <hyperlink r:id="rId680" ref="V686"/>
    <hyperlink r:id="rId681" ref="O687"/>
    <hyperlink r:id="rId682" ref="V687"/>
    <hyperlink r:id="rId683" ref="O689"/>
    <hyperlink r:id="rId684" ref="V689"/>
    <hyperlink r:id="rId685" ref="O690"/>
    <hyperlink r:id="rId686" ref="V690"/>
    <hyperlink r:id="rId687" ref="V691"/>
    <hyperlink r:id="rId688" ref="O692"/>
    <hyperlink r:id="rId689" ref="V692"/>
    <hyperlink r:id="rId690" ref="O693"/>
    <hyperlink r:id="rId691" ref="V693"/>
    <hyperlink r:id="rId692" ref="V695"/>
    <hyperlink r:id="rId693" ref="V698"/>
    <hyperlink r:id="rId694" ref="V700"/>
    <hyperlink r:id="rId695" ref="O702"/>
  </hyperlinks>
  <drawing r:id="rId696"/>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3" width="18.88"/>
    <col customWidth="1" min="4" max="4" width="43.75"/>
    <col customWidth="1" min="5" max="8" width="18.88"/>
    <col customWidth="1" min="9" max="9" width="128.0"/>
    <col customWidth="1" min="10" max="12" width="18.88"/>
    <col customWidth="1" min="13" max="13" width="31.0"/>
    <col customWidth="1" min="14" max="18" width="18.88"/>
    <col customWidth="1" min="19" max="19" width="41.0"/>
    <col customWidth="1" min="20" max="20" width="94.38"/>
    <col customWidth="1" min="21" max="25" width="18.88"/>
  </cols>
  <sheetData>
    <row r="1">
      <c r="A1" s="49" t="s">
        <v>6008</v>
      </c>
      <c r="B1" s="49" t="s">
        <v>1</v>
      </c>
      <c r="C1" s="49" t="s">
        <v>2</v>
      </c>
      <c r="D1" s="49" t="s">
        <v>6009</v>
      </c>
      <c r="E1" s="49" t="s">
        <v>6010</v>
      </c>
      <c r="F1" s="49" t="s">
        <v>6011</v>
      </c>
      <c r="G1" s="49" t="s">
        <v>7</v>
      </c>
      <c r="H1" s="49" t="s">
        <v>8</v>
      </c>
      <c r="I1" s="49" t="s">
        <v>6012</v>
      </c>
      <c r="J1" s="49" t="s">
        <v>6013</v>
      </c>
      <c r="K1" s="49" t="s">
        <v>6014</v>
      </c>
      <c r="L1" s="49" t="s">
        <v>6015</v>
      </c>
      <c r="M1" s="49" t="s">
        <v>6016</v>
      </c>
      <c r="N1" s="49" t="s">
        <v>6017</v>
      </c>
      <c r="O1" s="49" t="s">
        <v>6015</v>
      </c>
      <c r="P1" s="49" t="s">
        <v>6018</v>
      </c>
      <c r="Q1" s="49" t="s">
        <v>6019</v>
      </c>
      <c r="R1" s="49" t="s">
        <v>6020</v>
      </c>
      <c r="S1" s="49" t="s">
        <v>6021</v>
      </c>
      <c r="T1" s="10" t="s">
        <v>22</v>
      </c>
      <c r="U1" s="10" t="s">
        <v>6022</v>
      </c>
      <c r="V1" s="10" t="s">
        <v>6023</v>
      </c>
      <c r="W1" s="6" t="s">
        <v>25</v>
      </c>
      <c r="X1" s="6" t="s">
        <v>6024</v>
      </c>
    </row>
    <row r="2" hidden="1">
      <c r="A2" s="10" t="s">
        <v>224</v>
      </c>
      <c r="B2" s="11">
        <v>44230.69814775463</v>
      </c>
      <c r="C2" s="10" t="s">
        <v>361</v>
      </c>
      <c r="D2" s="10" t="s">
        <v>6025</v>
      </c>
      <c r="E2" s="10" t="s">
        <v>6026</v>
      </c>
      <c r="I2" s="18" t="s">
        <v>6027</v>
      </c>
      <c r="J2" s="10" t="s">
        <v>35</v>
      </c>
      <c r="M2" s="10" t="s">
        <v>35</v>
      </c>
      <c r="R2" s="10" t="s">
        <v>35</v>
      </c>
      <c r="S2" s="10" t="s">
        <v>6028</v>
      </c>
      <c r="T2" s="10" t="s">
        <v>6029</v>
      </c>
      <c r="U2" s="10" t="s">
        <v>37</v>
      </c>
      <c r="V2" s="10" t="s">
        <v>0</v>
      </c>
    </row>
    <row r="3" hidden="1">
      <c r="A3" s="10" t="s">
        <v>232</v>
      </c>
      <c r="B3" s="11">
        <v>44230.69890508102</v>
      </c>
      <c r="C3" s="10" t="s">
        <v>361</v>
      </c>
      <c r="D3" s="10" t="s">
        <v>6025</v>
      </c>
      <c r="E3" s="10" t="s">
        <v>6026</v>
      </c>
      <c r="I3" s="18" t="s">
        <v>6027</v>
      </c>
      <c r="J3" s="10" t="s">
        <v>35</v>
      </c>
      <c r="M3" s="10" t="s">
        <v>35</v>
      </c>
      <c r="R3" s="10" t="s">
        <v>35</v>
      </c>
      <c r="T3" s="10" t="s">
        <v>66</v>
      </c>
      <c r="U3" s="10" t="s">
        <v>37</v>
      </c>
      <c r="V3" s="10" t="s">
        <v>0</v>
      </c>
    </row>
    <row r="4" hidden="1">
      <c r="A4" s="10" t="s">
        <v>256</v>
      </c>
      <c r="B4" s="11">
        <v>44232.54507541667</v>
      </c>
      <c r="C4" s="10" t="s">
        <v>418</v>
      </c>
      <c r="D4" s="10" t="s">
        <v>6030</v>
      </c>
      <c r="J4" s="10" t="s">
        <v>35</v>
      </c>
      <c r="M4" s="10" t="s">
        <v>35</v>
      </c>
      <c r="P4" s="18" t="s">
        <v>6031</v>
      </c>
      <c r="R4" s="10" t="s">
        <v>35</v>
      </c>
      <c r="S4" s="10" t="s">
        <v>6032</v>
      </c>
      <c r="T4" s="10" t="s">
        <v>6033</v>
      </c>
      <c r="U4" s="10" t="s">
        <v>2360</v>
      </c>
      <c r="V4" s="10" t="s">
        <v>0</v>
      </c>
    </row>
    <row r="5" hidden="1">
      <c r="A5" s="10" t="s">
        <v>596</v>
      </c>
      <c r="B5" s="11">
        <v>44242.404855879635</v>
      </c>
      <c r="C5" s="10" t="s">
        <v>186</v>
      </c>
      <c r="D5" s="10" t="s">
        <v>6034</v>
      </c>
      <c r="E5" s="10" t="s">
        <v>6035</v>
      </c>
      <c r="I5" s="10" t="s">
        <v>6036</v>
      </c>
      <c r="J5" s="10" t="s">
        <v>35</v>
      </c>
      <c r="M5" s="10" t="s">
        <v>35</v>
      </c>
      <c r="R5" s="10" t="s">
        <v>35</v>
      </c>
      <c r="S5" s="10" t="s">
        <v>6037</v>
      </c>
      <c r="U5" s="10" t="s">
        <v>2360</v>
      </c>
      <c r="V5" s="10" t="s">
        <v>0</v>
      </c>
    </row>
    <row r="6" hidden="1">
      <c r="A6" s="10" t="s">
        <v>799</v>
      </c>
      <c r="B6" s="11">
        <v>44244.611485381945</v>
      </c>
      <c r="C6" s="10" t="s">
        <v>181</v>
      </c>
      <c r="D6" s="10" t="s">
        <v>6034</v>
      </c>
      <c r="E6" s="10" t="s">
        <v>6035</v>
      </c>
      <c r="I6" s="10" t="s">
        <v>6038</v>
      </c>
      <c r="J6" s="10" t="s">
        <v>35</v>
      </c>
      <c r="M6" s="10" t="s">
        <v>35</v>
      </c>
      <c r="R6" s="10" t="s">
        <v>35</v>
      </c>
      <c r="S6" s="10" t="s">
        <v>6039</v>
      </c>
      <c r="T6" s="10" t="s">
        <v>6040</v>
      </c>
      <c r="U6" s="10" t="s">
        <v>37</v>
      </c>
      <c r="V6" s="10" t="s">
        <v>0</v>
      </c>
    </row>
    <row r="7" ht="15.0" hidden="1" customHeight="1">
      <c r="A7" s="10" t="s">
        <v>580</v>
      </c>
      <c r="B7" s="11">
        <v>44246.47220260417</v>
      </c>
      <c r="C7" s="10" t="s">
        <v>137</v>
      </c>
      <c r="D7" s="10" t="s">
        <v>6025</v>
      </c>
      <c r="E7" s="10" t="s">
        <v>6041</v>
      </c>
      <c r="F7" s="10" t="s">
        <v>6042</v>
      </c>
      <c r="I7" s="10" t="s">
        <v>6043</v>
      </c>
      <c r="J7" s="10" t="s">
        <v>35</v>
      </c>
      <c r="M7" s="10" t="s">
        <v>35</v>
      </c>
      <c r="R7" s="10" t="s">
        <v>35</v>
      </c>
      <c r="S7" s="10" t="s">
        <v>6044</v>
      </c>
      <c r="T7" s="10" t="s">
        <v>6045</v>
      </c>
      <c r="U7" s="10" t="s">
        <v>165</v>
      </c>
      <c r="V7" s="10" t="s">
        <v>0</v>
      </c>
    </row>
    <row r="8" hidden="1">
      <c r="A8" s="10" t="s">
        <v>6046</v>
      </c>
      <c r="B8" s="11">
        <v>44250.49382625</v>
      </c>
      <c r="C8" s="10" t="s">
        <v>694</v>
      </c>
      <c r="D8" s="10" t="s">
        <v>6025</v>
      </c>
      <c r="E8" s="10" t="s">
        <v>6026</v>
      </c>
      <c r="I8" s="18" t="s">
        <v>6047</v>
      </c>
      <c r="J8" s="10" t="s">
        <v>35</v>
      </c>
      <c r="M8" s="10" t="s">
        <v>35</v>
      </c>
      <c r="R8" s="10" t="s">
        <v>35</v>
      </c>
      <c r="T8" s="10" t="s">
        <v>6048</v>
      </c>
      <c r="U8" s="10" t="s">
        <v>37</v>
      </c>
      <c r="V8" s="10" t="s">
        <v>0</v>
      </c>
    </row>
    <row r="9" hidden="1">
      <c r="A9" s="10" t="s">
        <v>898</v>
      </c>
      <c r="B9" s="11">
        <v>44250.49654877315</v>
      </c>
      <c r="C9" s="10" t="s">
        <v>694</v>
      </c>
      <c r="D9" s="10" t="s">
        <v>6025</v>
      </c>
      <c r="E9" s="10" t="s">
        <v>6026</v>
      </c>
      <c r="I9" s="18" t="s">
        <v>6049</v>
      </c>
      <c r="J9" s="10" t="s">
        <v>35</v>
      </c>
      <c r="M9" s="10" t="s">
        <v>35</v>
      </c>
      <c r="R9" s="10" t="s">
        <v>35</v>
      </c>
      <c r="T9" s="10" t="s">
        <v>6048</v>
      </c>
      <c r="U9" s="10" t="s">
        <v>37</v>
      </c>
      <c r="V9" s="10" t="s">
        <v>0</v>
      </c>
    </row>
    <row r="10" hidden="1">
      <c r="A10" s="10" t="s">
        <v>946</v>
      </c>
      <c r="B10" s="11">
        <v>44250.50226822917</v>
      </c>
      <c r="C10" s="10" t="s">
        <v>694</v>
      </c>
      <c r="D10" s="10" t="s">
        <v>6025</v>
      </c>
      <c r="E10" s="10" t="s">
        <v>6026</v>
      </c>
      <c r="I10" s="18" t="s">
        <v>6050</v>
      </c>
      <c r="J10" s="10" t="s">
        <v>35</v>
      </c>
      <c r="M10" s="10" t="s">
        <v>35</v>
      </c>
      <c r="R10" s="10" t="s">
        <v>35</v>
      </c>
      <c r="T10" s="10" t="s">
        <v>6048</v>
      </c>
      <c r="U10" s="10" t="s">
        <v>37</v>
      </c>
      <c r="V10" s="10" t="s">
        <v>0</v>
      </c>
    </row>
    <row r="11" hidden="1">
      <c r="A11" s="10" t="s">
        <v>1486</v>
      </c>
      <c r="B11" s="11">
        <v>44265.35310719907</v>
      </c>
      <c r="C11" s="10" t="s">
        <v>186</v>
      </c>
      <c r="D11" s="10" t="s">
        <v>6051</v>
      </c>
      <c r="E11" s="10" t="s">
        <v>61</v>
      </c>
      <c r="I11" s="10" t="s">
        <v>3740</v>
      </c>
      <c r="J11" s="10" t="s">
        <v>6052</v>
      </c>
      <c r="K11" s="10" t="s">
        <v>6053</v>
      </c>
      <c r="L11" s="10">
        <v>1.0</v>
      </c>
      <c r="M11" s="10" t="s">
        <v>35</v>
      </c>
      <c r="Q11" s="10" t="s">
        <v>3740</v>
      </c>
      <c r="R11" s="10" t="s">
        <v>6054</v>
      </c>
      <c r="S11" s="10" t="s">
        <v>6055</v>
      </c>
      <c r="T11" s="10" t="s">
        <v>6056</v>
      </c>
      <c r="U11" s="10" t="s">
        <v>2360</v>
      </c>
      <c r="V11" s="10" t="s">
        <v>0</v>
      </c>
    </row>
    <row r="12" hidden="1">
      <c r="A12" s="10" t="s">
        <v>6057</v>
      </c>
      <c r="B12" s="11">
        <v>44270.51030844907</v>
      </c>
      <c r="C12" s="10" t="s">
        <v>539</v>
      </c>
      <c r="D12" s="10" t="s">
        <v>6034</v>
      </c>
      <c r="E12" s="10" t="s">
        <v>6026</v>
      </c>
      <c r="I12" s="18" t="s">
        <v>6058</v>
      </c>
      <c r="J12" s="10" t="s">
        <v>35</v>
      </c>
      <c r="M12" s="10" t="s">
        <v>35</v>
      </c>
      <c r="R12" s="10" t="s">
        <v>35</v>
      </c>
      <c r="S12" s="10" t="s">
        <v>6059</v>
      </c>
      <c r="T12" s="10" t="s">
        <v>6048</v>
      </c>
      <c r="U12" s="10" t="s">
        <v>165</v>
      </c>
      <c r="V12" s="10" t="s">
        <v>0</v>
      </c>
    </row>
    <row r="13" hidden="1">
      <c r="A13" s="10" t="s">
        <v>1732</v>
      </c>
      <c r="B13" s="11">
        <v>44272.69719232639</v>
      </c>
      <c r="C13" s="10" t="s">
        <v>453</v>
      </c>
      <c r="D13" s="10" t="s">
        <v>6025</v>
      </c>
      <c r="E13" s="10" t="s">
        <v>6060</v>
      </c>
      <c r="I13" s="10" t="s">
        <v>6061</v>
      </c>
      <c r="J13" s="10" t="s">
        <v>35</v>
      </c>
      <c r="M13" s="10" t="s">
        <v>35</v>
      </c>
      <c r="P13" s="18" t="s">
        <v>6062</v>
      </c>
      <c r="R13" s="10" t="s">
        <v>35</v>
      </c>
      <c r="S13" s="10" t="s">
        <v>6063</v>
      </c>
      <c r="T13" s="10" t="s">
        <v>6064</v>
      </c>
      <c r="U13" s="10" t="s">
        <v>165</v>
      </c>
      <c r="V13" s="10" t="s">
        <v>0</v>
      </c>
    </row>
    <row r="14" hidden="1">
      <c r="A14" s="10" t="s">
        <v>1684</v>
      </c>
      <c r="B14" s="11">
        <v>44273.49948935185</v>
      </c>
      <c r="C14" s="10" t="s">
        <v>6065</v>
      </c>
      <c r="D14" s="10" t="s">
        <v>6025</v>
      </c>
      <c r="E14" s="10" t="s">
        <v>6026</v>
      </c>
      <c r="I14" s="18" t="s">
        <v>6066</v>
      </c>
      <c r="J14" s="10" t="s">
        <v>35</v>
      </c>
      <c r="M14" s="10" t="s">
        <v>35</v>
      </c>
      <c r="R14" s="10" t="s">
        <v>35</v>
      </c>
      <c r="T14" s="10" t="s">
        <v>6048</v>
      </c>
      <c r="U14" s="10" t="s">
        <v>37</v>
      </c>
      <c r="V14" s="10" t="s">
        <v>0</v>
      </c>
    </row>
    <row r="15" hidden="1">
      <c r="A15" s="10" t="s">
        <v>1684</v>
      </c>
      <c r="B15" s="11">
        <v>44273.500386099535</v>
      </c>
      <c r="C15" s="10" t="s">
        <v>694</v>
      </c>
      <c r="D15" s="10" t="s">
        <v>6025</v>
      </c>
      <c r="E15" s="10" t="s">
        <v>6026</v>
      </c>
      <c r="I15" s="18" t="s">
        <v>6067</v>
      </c>
      <c r="J15" s="10" t="s">
        <v>35</v>
      </c>
      <c r="M15" s="10" t="s">
        <v>35</v>
      </c>
      <c r="R15" s="10" t="s">
        <v>35</v>
      </c>
      <c r="T15" s="10" t="s">
        <v>6048</v>
      </c>
      <c r="U15" s="10" t="s">
        <v>37</v>
      </c>
      <c r="V15" s="10" t="s">
        <v>0</v>
      </c>
    </row>
    <row r="16" hidden="1">
      <c r="A16" s="10" t="s">
        <v>1688</v>
      </c>
      <c r="B16" s="11">
        <v>44273.501540185185</v>
      </c>
      <c r="C16" s="10" t="s">
        <v>694</v>
      </c>
      <c r="D16" s="10" t="s">
        <v>6025</v>
      </c>
      <c r="E16" s="10" t="s">
        <v>6026</v>
      </c>
      <c r="I16" s="18" t="s">
        <v>6067</v>
      </c>
      <c r="J16" s="10" t="s">
        <v>35</v>
      </c>
      <c r="M16" s="10" t="s">
        <v>35</v>
      </c>
      <c r="R16" s="10" t="s">
        <v>35</v>
      </c>
      <c r="T16" s="10" t="s">
        <v>6048</v>
      </c>
      <c r="U16" s="10" t="s">
        <v>37</v>
      </c>
      <c r="V16" s="10" t="s">
        <v>0</v>
      </c>
    </row>
    <row r="17" hidden="1">
      <c r="A17" s="10" t="s">
        <v>1782</v>
      </c>
      <c r="B17" s="11">
        <v>44274.69642008102</v>
      </c>
      <c r="C17" s="10" t="s">
        <v>539</v>
      </c>
      <c r="D17" s="10" t="s">
        <v>6034</v>
      </c>
      <c r="E17" s="10" t="s">
        <v>6035</v>
      </c>
      <c r="I17" s="18" t="s">
        <v>6068</v>
      </c>
      <c r="J17" s="10" t="s">
        <v>35</v>
      </c>
      <c r="M17" s="10" t="s">
        <v>35</v>
      </c>
      <c r="R17" s="10" t="s">
        <v>35</v>
      </c>
      <c r="T17" s="10" t="s">
        <v>6069</v>
      </c>
      <c r="U17" s="10" t="s">
        <v>37</v>
      </c>
      <c r="V17" s="10" t="s">
        <v>0</v>
      </c>
    </row>
    <row r="18" hidden="1">
      <c r="A18" s="10" t="s">
        <v>2001</v>
      </c>
      <c r="B18" s="11">
        <v>44286.754341203705</v>
      </c>
      <c r="C18" s="10" t="s">
        <v>28</v>
      </c>
      <c r="D18" s="10" t="s">
        <v>6025</v>
      </c>
      <c r="E18" s="10" t="s">
        <v>6041</v>
      </c>
      <c r="F18" s="10" t="s">
        <v>6070</v>
      </c>
      <c r="G18" s="11">
        <v>44294.35416666667</v>
      </c>
      <c r="H18" s="11">
        <v>44296.52083333333</v>
      </c>
      <c r="J18" s="10" t="s">
        <v>35</v>
      </c>
      <c r="M18" s="10" t="s">
        <v>35</v>
      </c>
      <c r="R18" s="10" t="s">
        <v>35</v>
      </c>
      <c r="S18" s="10" t="s">
        <v>6071</v>
      </c>
      <c r="T18" s="10" t="s">
        <v>6072</v>
      </c>
      <c r="U18" s="10" t="s">
        <v>37</v>
      </c>
      <c r="V18" s="10" t="s">
        <v>0</v>
      </c>
    </row>
    <row r="19" hidden="1">
      <c r="A19" s="10" t="s">
        <v>2015</v>
      </c>
      <c r="B19" s="11">
        <v>44286.757862071754</v>
      </c>
      <c r="C19" s="10" t="s">
        <v>28</v>
      </c>
      <c r="D19" s="10" t="s">
        <v>6025</v>
      </c>
      <c r="E19" s="10" t="s">
        <v>6041</v>
      </c>
      <c r="F19" s="10" t="s">
        <v>6070</v>
      </c>
      <c r="G19" s="11">
        <v>44303.4375</v>
      </c>
      <c r="H19" s="11">
        <v>44303.52083333333</v>
      </c>
      <c r="J19" s="10" t="s">
        <v>35</v>
      </c>
      <c r="M19" s="10" t="s">
        <v>35</v>
      </c>
      <c r="R19" s="10" t="s">
        <v>35</v>
      </c>
      <c r="S19" s="10" t="s">
        <v>6073</v>
      </c>
      <c r="T19" s="10" t="s">
        <v>6072</v>
      </c>
      <c r="U19" s="10" t="s">
        <v>37</v>
      </c>
      <c r="V19" s="10" t="s">
        <v>0</v>
      </c>
    </row>
    <row r="20" hidden="1">
      <c r="A20" s="10" t="s">
        <v>2104</v>
      </c>
      <c r="B20" s="11">
        <v>44291.41093622685</v>
      </c>
      <c r="C20" s="10" t="s">
        <v>539</v>
      </c>
      <c r="D20" s="10" t="s">
        <v>6074</v>
      </c>
      <c r="E20" s="10" t="s">
        <v>6035</v>
      </c>
      <c r="I20" s="18" t="s">
        <v>6068</v>
      </c>
      <c r="J20" s="10" t="s">
        <v>35</v>
      </c>
      <c r="M20" s="10" t="s">
        <v>35</v>
      </c>
      <c r="R20" s="10" t="s">
        <v>35</v>
      </c>
      <c r="S20" s="10" t="s">
        <v>6074</v>
      </c>
      <c r="T20" s="10" t="s">
        <v>6075</v>
      </c>
      <c r="U20" s="10" t="s">
        <v>165</v>
      </c>
      <c r="V20" s="10" t="s">
        <v>0</v>
      </c>
    </row>
    <row r="21" hidden="1">
      <c r="A21" s="10" t="s">
        <v>2058</v>
      </c>
      <c r="B21" s="11">
        <v>44291.551306458336</v>
      </c>
      <c r="C21" s="10" t="s">
        <v>694</v>
      </c>
      <c r="D21" s="10" t="s">
        <v>6025</v>
      </c>
      <c r="E21" s="10" t="s">
        <v>6041</v>
      </c>
      <c r="F21" s="10" t="s">
        <v>6042</v>
      </c>
      <c r="I21" s="18" t="s">
        <v>6076</v>
      </c>
      <c r="J21" s="10" t="s">
        <v>35</v>
      </c>
      <c r="M21" s="10" t="s">
        <v>35</v>
      </c>
      <c r="R21" s="10" t="s">
        <v>35</v>
      </c>
      <c r="T21" s="10" t="s">
        <v>6048</v>
      </c>
      <c r="U21" s="10" t="s">
        <v>37</v>
      </c>
      <c r="V21" s="10" t="s">
        <v>0</v>
      </c>
    </row>
    <row r="22" hidden="1">
      <c r="A22" s="10" t="s">
        <v>2048</v>
      </c>
      <c r="B22" s="11">
        <v>44291.55356168981</v>
      </c>
      <c r="C22" s="10" t="s">
        <v>694</v>
      </c>
      <c r="D22" s="10" t="s">
        <v>6025</v>
      </c>
      <c r="E22" s="10" t="s">
        <v>6026</v>
      </c>
      <c r="I22" s="18" t="s">
        <v>6077</v>
      </c>
      <c r="J22" s="10" t="s">
        <v>35</v>
      </c>
      <c r="M22" s="10" t="s">
        <v>35</v>
      </c>
      <c r="R22" s="10" t="s">
        <v>35</v>
      </c>
      <c r="T22" s="10" t="s">
        <v>6048</v>
      </c>
      <c r="U22" s="10" t="s">
        <v>37</v>
      </c>
      <c r="V22" s="10" t="s">
        <v>0</v>
      </c>
    </row>
    <row r="23" hidden="1">
      <c r="A23" s="10" t="s">
        <v>2044</v>
      </c>
      <c r="B23" s="11">
        <v>44291.55436409722</v>
      </c>
      <c r="C23" s="10" t="s">
        <v>694</v>
      </c>
      <c r="D23" s="10" t="s">
        <v>6025</v>
      </c>
      <c r="E23" s="10" t="s">
        <v>6026</v>
      </c>
      <c r="I23" s="18" t="s">
        <v>6078</v>
      </c>
      <c r="J23" s="10" t="s">
        <v>35</v>
      </c>
      <c r="M23" s="10" t="s">
        <v>35</v>
      </c>
      <c r="R23" s="10" t="s">
        <v>35</v>
      </c>
      <c r="T23" s="10" t="s">
        <v>6048</v>
      </c>
      <c r="U23" s="10" t="s">
        <v>37</v>
      </c>
      <c r="V23" s="10" t="s">
        <v>0</v>
      </c>
    </row>
    <row r="24" hidden="1">
      <c r="A24" s="10" t="s">
        <v>2051</v>
      </c>
      <c r="B24" s="11">
        <v>44291.577516226855</v>
      </c>
      <c r="C24" s="10" t="s">
        <v>694</v>
      </c>
      <c r="D24" s="10" t="s">
        <v>6025</v>
      </c>
      <c r="E24" s="10" t="s">
        <v>6026</v>
      </c>
      <c r="I24" s="18" t="s">
        <v>6079</v>
      </c>
      <c r="J24" s="10" t="s">
        <v>35</v>
      </c>
      <c r="M24" s="10" t="s">
        <v>35</v>
      </c>
      <c r="R24" s="10" t="s">
        <v>35</v>
      </c>
      <c r="T24" s="10" t="s">
        <v>6048</v>
      </c>
      <c r="U24" s="10" t="s">
        <v>37</v>
      </c>
      <c r="V24" s="10" t="s">
        <v>0</v>
      </c>
    </row>
    <row r="25" hidden="1">
      <c r="A25" s="10" t="s">
        <v>2187</v>
      </c>
      <c r="B25" s="11">
        <v>44293.6209553588</v>
      </c>
      <c r="C25" s="10" t="s">
        <v>694</v>
      </c>
      <c r="D25" s="10" t="s">
        <v>6025</v>
      </c>
      <c r="E25" s="10" t="s">
        <v>6041</v>
      </c>
      <c r="F25" s="10" t="s">
        <v>6042</v>
      </c>
      <c r="I25" s="18" t="s">
        <v>6080</v>
      </c>
      <c r="J25" s="10" t="s">
        <v>35</v>
      </c>
      <c r="M25" s="10" t="s">
        <v>35</v>
      </c>
      <c r="R25" s="10" t="s">
        <v>35</v>
      </c>
      <c r="T25" s="10" t="s">
        <v>6048</v>
      </c>
      <c r="U25" s="10" t="s">
        <v>37</v>
      </c>
      <c r="V25" s="10" t="s">
        <v>0</v>
      </c>
    </row>
    <row r="26" hidden="1">
      <c r="A26" s="10" t="s">
        <v>2437</v>
      </c>
      <c r="B26" s="11">
        <v>44299.571857372684</v>
      </c>
      <c r="C26" s="10" t="s">
        <v>539</v>
      </c>
      <c r="D26" s="10" t="s">
        <v>6081</v>
      </c>
      <c r="E26" s="10" t="s">
        <v>6041</v>
      </c>
      <c r="F26" s="10" t="s">
        <v>6042</v>
      </c>
      <c r="I26" s="18" t="s">
        <v>6068</v>
      </c>
      <c r="J26" s="10" t="s">
        <v>35</v>
      </c>
      <c r="M26" s="10" t="s">
        <v>35</v>
      </c>
      <c r="R26" s="10" t="s">
        <v>35</v>
      </c>
      <c r="T26" s="10" t="s">
        <v>6082</v>
      </c>
      <c r="U26" s="10" t="s">
        <v>37</v>
      </c>
      <c r="V26" s="10" t="s">
        <v>0</v>
      </c>
    </row>
    <row r="27" hidden="1">
      <c r="A27" s="10" t="s">
        <v>2446</v>
      </c>
      <c r="B27" s="11">
        <v>44299.589611620366</v>
      </c>
      <c r="C27" s="10" t="s">
        <v>539</v>
      </c>
      <c r="D27" s="10" t="s">
        <v>6081</v>
      </c>
      <c r="E27" s="10" t="s">
        <v>6041</v>
      </c>
      <c r="F27" s="10" t="s">
        <v>6042</v>
      </c>
      <c r="I27" s="18" t="s">
        <v>6068</v>
      </c>
      <c r="J27" s="10" t="s">
        <v>35</v>
      </c>
      <c r="M27" s="10" t="s">
        <v>35</v>
      </c>
      <c r="R27" s="10" t="s">
        <v>35</v>
      </c>
      <c r="T27" s="10" t="s">
        <v>6040</v>
      </c>
      <c r="U27" s="10" t="s">
        <v>37</v>
      </c>
      <c r="V27" s="10" t="s">
        <v>0</v>
      </c>
    </row>
    <row r="28" hidden="1">
      <c r="A28" s="10" t="s">
        <v>2450</v>
      </c>
      <c r="B28" s="11">
        <v>44299.60276234953</v>
      </c>
      <c r="C28" s="10" t="s">
        <v>539</v>
      </c>
      <c r="D28" s="10" t="s">
        <v>6081</v>
      </c>
      <c r="E28" s="10" t="s">
        <v>6041</v>
      </c>
      <c r="F28" s="10" t="s">
        <v>6042</v>
      </c>
      <c r="I28" s="18" t="s">
        <v>6068</v>
      </c>
      <c r="J28" s="10" t="s">
        <v>35</v>
      </c>
      <c r="M28" s="10" t="s">
        <v>35</v>
      </c>
      <c r="R28" s="10" t="s">
        <v>35</v>
      </c>
      <c r="T28" s="10" t="s">
        <v>6040</v>
      </c>
      <c r="U28" s="10" t="s">
        <v>37</v>
      </c>
      <c r="V28" s="10" t="s">
        <v>0</v>
      </c>
    </row>
    <row r="29" hidden="1">
      <c r="A29" s="10" t="s">
        <v>2984</v>
      </c>
      <c r="B29" s="11">
        <v>44323.85620221065</v>
      </c>
      <c r="C29" s="10" t="s">
        <v>392</v>
      </c>
      <c r="D29" s="10" t="s">
        <v>6083</v>
      </c>
      <c r="E29" s="10" t="s">
        <v>6060</v>
      </c>
      <c r="I29" s="18" t="s">
        <v>6084</v>
      </c>
      <c r="J29" s="10" t="s">
        <v>35</v>
      </c>
      <c r="M29" s="10" t="s">
        <v>35</v>
      </c>
      <c r="R29" s="10" t="s">
        <v>35</v>
      </c>
      <c r="T29" s="10" t="s">
        <v>6085</v>
      </c>
      <c r="U29" s="10" t="s">
        <v>6085</v>
      </c>
      <c r="V29" s="10" t="s">
        <v>0</v>
      </c>
    </row>
    <row r="30" hidden="1">
      <c r="A30" s="10" t="s">
        <v>3178</v>
      </c>
      <c r="B30" s="11">
        <v>44340.74103725694</v>
      </c>
      <c r="C30" s="10" t="s">
        <v>137</v>
      </c>
      <c r="D30" s="10" t="s">
        <v>6025</v>
      </c>
      <c r="E30" s="10" t="s">
        <v>6026</v>
      </c>
      <c r="I30" s="18" t="s">
        <v>6086</v>
      </c>
      <c r="J30" s="10" t="s">
        <v>35</v>
      </c>
      <c r="M30" s="10" t="s">
        <v>35</v>
      </c>
      <c r="R30" s="10" t="s">
        <v>35</v>
      </c>
      <c r="S30" s="10" t="s">
        <v>6087</v>
      </c>
      <c r="T30" s="10" t="s">
        <v>6088</v>
      </c>
      <c r="U30" s="10" t="s">
        <v>6089</v>
      </c>
      <c r="V30" s="10" t="s">
        <v>0</v>
      </c>
    </row>
    <row r="31" hidden="1">
      <c r="A31" s="10" t="s">
        <v>3196</v>
      </c>
      <c r="B31" s="11">
        <v>44343.58386493055</v>
      </c>
      <c r="C31" s="10" t="s">
        <v>453</v>
      </c>
      <c r="D31" s="10" t="s">
        <v>6025</v>
      </c>
      <c r="E31" s="10" t="s">
        <v>6060</v>
      </c>
      <c r="I31" s="18" t="s">
        <v>6084</v>
      </c>
      <c r="J31" s="10" t="s">
        <v>35</v>
      </c>
      <c r="M31" s="10" t="s">
        <v>35</v>
      </c>
      <c r="R31" s="10" t="s">
        <v>35</v>
      </c>
      <c r="T31" s="10" t="s">
        <v>3740</v>
      </c>
      <c r="U31" s="10" t="s">
        <v>6089</v>
      </c>
      <c r="V31" s="10" t="s">
        <v>0</v>
      </c>
    </row>
    <row r="32" hidden="1">
      <c r="A32" s="10" t="s">
        <v>3188</v>
      </c>
      <c r="B32" s="11">
        <v>44345.57423138889</v>
      </c>
      <c r="C32" s="10" t="s">
        <v>181</v>
      </c>
      <c r="D32" s="10" t="s">
        <v>6034</v>
      </c>
      <c r="E32" s="10" t="s">
        <v>6041</v>
      </c>
      <c r="F32" s="10" t="s">
        <v>6070</v>
      </c>
      <c r="G32" s="11">
        <v>44355.58333333333</v>
      </c>
      <c r="H32" s="11">
        <v>44357.83333333333</v>
      </c>
      <c r="J32" s="10" t="s">
        <v>35</v>
      </c>
      <c r="M32" s="10" t="s">
        <v>35</v>
      </c>
      <c r="R32" s="10" t="s">
        <v>35</v>
      </c>
      <c r="T32" s="10" t="s">
        <v>6090</v>
      </c>
      <c r="U32" s="10" t="s">
        <v>6089</v>
      </c>
      <c r="V32" s="10" t="s">
        <v>0</v>
      </c>
    </row>
    <row r="33" hidden="1">
      <c r="A33" s="10" t="s">
        <v>3188</v>
      </c>
      <c r="B33" s="11">
        <v>44345.58399719908</v>
      </c>
      <c r="C33" s="10" t="s">
        <v>181</v>
      </c>
      <c r="D33" s="10" t="s">
        <v>6091</v>
      </c>
      <c r="E33" s="10" t="s">
        <v>3740</v>
      </c>
      <c r="I33" s="10" t="s">
        <v>3740</v>
      </c>
      <c r="J33" s="10" t="s">
        <v>35</v>
      </c>
      <c r="M33" s="10" t="s">
        <v>35</v>
      </c>
      <c r="R33" s="10" t="s">
        <v>35</v>
      </c>
      <c r="T33" s="10" t="s">
        <v>6090</v>
      </c>
      <c r="U33" s="10" t="s">
        <v>6089</v>
      </c>
      <c r="V33" s="10" t="s">
        <v>0</v>
      </c>
    </row>
    <row r="34" hidden="1">
      <c r="A34" s="10" t="s">
        <v>3262</v>
      </c>
      <c r="B34" s="11">
        <v>44364.818115057875</v>
      </c>
      <c r="C34" s="10" t="s">
        <v>239</v>
      </c>
      <c r="D34" s="10" t="s">
        <v>6092</v>
      </c>
      <c r="E34" s="10" t="s">
        <v>6093</v>
      </c>
      <c r="I34" s="10" t="s">
        <v>6094</v>
      </c>
      <c r="J34" s="10" t="s">
        <v>35</v>
      </c>
      <c r="M34" s="10" t="s">
        <v>35</v>
      </c>
      <c r="R34" s="10" t="s">
        <v>6054</v>
      </c>
      <c r="T34" s="10" t="s">
        <v>6095</v>
      </c>
      <c r="U34" s="10" t="s">
        <v>37</v>
      </c>
      <c r="V34" s="10" t="s">
        <v>0</v>
      </c>
    </row>
    <row r="35" hidden="1">
      <c r="A35" s="10" t="s">
        <v>3262</v>
      </c>
      <c r="B35" s="11">
        <v>44389.46576136574</v>
      </c>
      <c r="C35" s="10" t="s">
        <v>6096</v>
      </c>
      <c r="D35" s="10" t="s">
        <v>6097</v>
      </c>
      <c r="E35" s="10" t="s">
        <v>6098</v>
      </c>
      <c r="I35" s="10" t="s">
        <v>6099</v>
      </c>
      <c r="J35" s="10" t="s">
        <v>6052</v>
      </c>
      <c r="K35" s="10" t="s">
        <v>6100</v>
      </c>
      <c r="L35" s="10" t="s">
        <v>6101</v>
      </c>
      <c r="M35" s="10" t="s">
        <v>35</v>
      </c>
      <c r="R35" s="10" t="s">
        <v>35</v>
      </c>
    </row>
    <row r="36" hidden="1">
      <c r="A36" s="10" t="s">
        <v>3353</v>
      </c>
      <c r="B36" s="11">
        <v>44390.863904108795</v>
      </c>
      <c r="C36" s="10" t="s">
        <v>320</v>
      </c>
      <c r="D36" s="10" t="s">
        <v>6034</v>
      </c>
      <c r="E36" s="10" t="s">
        <v>6035</v>
      </c>
      <c r="I36" s="10" t="s">
        <v>6035</v>
      </c>
      <c r="J36" s="10" t="s">
        <v>35</v>
      </c>
      <c r="M36" s="10" t="s">
        <v>35</v>
      </c>
      <c r="R36" s="10" t="s">
        <v>35</v>
      </c>
    </row>
    <row r="37">
      <c r="A37" s="10" t="s">
        <v>3398</v>
      </c>
      <c r="B37" s="11">
        <v>44406.85966872685</v>
      </c>
      <c r="C37" s="10" t="s">
        <v>28</v>
      </c>
      <c r="D37" s="10" t="s">
        <v>6025</v>
      </c>
      <c r="E37" s="10" t="s">
        <v>6102</v>
      </c>
      <c r="I37" s="10" t="s">
        <v>6103</v>
      </c>
      <c r="J37" s="10" t="s">
        <v>35</v>
      </c>
      <c r="M37" s="10" t="s">
        <v>35</v>
      </c>
      <c r="R37" s="10" t="s">
        <v>35</v>
      </c>
      <c r="S37" s="10" t="s">
        <v>6104</v>
      </c>
      <c r="U37" s="10" t="s">
        <v>3302</v>
      </c>
    </row>
    <row r="38">
      <c r="A38" s="10" t="s">
        <v>3520</v>
      </c>
      <c r="B38" s="11">
        <v>44412.795262893516</v>
      </c>
      <c r="C38" s="10" t="s">
        <v>96</v>
      </c>
      <c r="D38" s="10" t="s">
        <v>6025</v>
      </c>
      <c r="E38" s="10" t="s">
        <v>6026</v>
      </c>
      <c r="I38" s="18" t="s">
        <v>3529</v>
      </c>
      <c r="J38" s="10" t="s">
        <v>35</v>
      </c>
      <c r="M38" s="10" t="s">
        <v>35</v>
      </c>
      <c r="R38" s="10" t="s">
        <v>35</v>
      </c>
      <c r="S38" s="10" t="s">
        <v>6105</v>
      </c>
    </row>
    <row r="39">
      <c r="A39" s="10" t="s">
        <v>3983</v>
      </c>
      <c r="B39" s="11">
        <v>44433.51939952547</v>
      </c>
      <c r="C39" s="10" t="s">
        <v>418</v>
      </c>
      <c r="D39" s="10" t="s">
        <v>6030</v>
      </c>
      <c r="J39" s="10" t="s">
        <v>6052</v>
      </c>
      <c r="K39" s="10" t="s">
        <v>6106</v>
      </c>
      <c r="L39" s="10" t="s">
        <v>6107</v>
      </c>
      <c r="M39" s="10" t="s">
        <v>35</v>
      </c>
      <c r="R39" s="10" t="s">
        <v>35</v>
      </c>
      <c r="T39" s="10" t="s">
        <v>6108</v>
      </c>
      <c r="U39" s="10" t="s">
        <v>2360</v>
      </c>
    </row>
    <row r="40">
      <c r="A40" s="10" t="s">
        <v>3947</v>
      </c>
      <c r="B40" s="11">
        <v>44439.30725116898</v>
      </c>
      <c r="C40" s="10" t="s">
        <v>209</v>
      </c>
      <c r="D40" s="35" t="s">
        <v>6109</v>
      </c>
      <c r="E40" s="10" t="s">
        <v>6041</v>
      </c>
      <c r="F40" s="35" t="s">
        <v>6070</v>
      </c>
      <c r="G40" s="11">
        <v>44446.60416666667</v>
      </c>
      <c r="H40" s="11">
        <v>44446.66666666667</v>
      </c>
      <c r="J40" s="10" t="s">
        <v>35</v>
      </c>
      <c r="M40" s="10" t="s">
        <v>35</v>
      </c>
      <c r="R40" s="10" t="s">
        <v>35</v>
      </c>
      <c r="S40" s="35" t="s">
        <v>6110</v>
      </c>
      <c r="T40" s="35" t="s">
        <v>6111</v>
      </c>
      <c r="U40" s="10" t="s">
        <v>3302</v>
      </c>
      <c r="V40" s="10" t="s">
        <v>0</v>
      </c>
    </row>
    <row r="41">
      <c r="A41" s="10" t="s">
        <v>3451</v>
      </c>
      <c r="B41" s="11">
        <v>44453.852145983794</v>
      </c>
      <c r="C41" s="10" t="s">
        <v>137</v>
      </c>
      <c r="D41" s="10" t="s">
        <v>6025</v>
      </c>
      <c r="E41" s="10" t="s">
        <v>6041</v>
      </c>
      <c r="F41" s="10" t="s">
        <v>6042</v>
      </c>
      <c r="I41" s="10" t="s">
        <v>6112</v>
      </c>
      <c r="J41" s="10" t="s">
        <v>35</v>
      </c>
      <c r="M41" s="10" t="s">
        <v>35</v>
      </c>
      <c r="Q41" s="10" t="s">
        <v>3740</v>
      </c>
      <c r="R41" s="10" t="s">
        <v>35</v>
      </c>
      <c r="S41" s="10" t="s">
        <v>6113</v>
      </c>
      <c r="U41" s="10" t="s">
        <v>3302</v>
      </c>
      <c r="V41" s="10" t="s">
        <v>0</v>
      </c>
    </row>
    <row r="42">
      <c r="A42" s="10" t="s">
        <v>4782</v>
      </c>
      <c r="B42" s="11">
        <v>44457.541025625</v>
      </c>
      <c r="C42" s="10" t="s">
        <v>320</v>
      </c>
      <c r="D42" s="10" t="s">
        <v>6030</v>
      </c>
      <c r="J42" s="10" t="s">
        <v>6052</v>
      </c>
      <c r="K42" s="10" t="s">
        <v>6114</v>
      </c>
      <c r="L42" s="10" t="s">
        <v>6115</v>
      </c>
      <c r="M42" s="10" t="s">
        <v>35</v>
      </c>
      <c r="R42" s="10" t="s">
        <v>35</v>
      </c>
      <c r="T42" s="35" t="s">
        <v>6116</v>
      </c>
      <c r="U42" s="10" t="s">
        <v>2360</v>
      </c>
      <c r="V42" s="10" t="s">
        <v>0</v>
      </c>
    </row>
    <row r="43">
      <c r="A43" s="10" t="s">
        <v>5256</v>
      </c>
      <c r="B43" s="11">
        <v>44488.69806746527</v>
      </c>
      <c r="C43" s="10" t="s">
        <v>209</v>
      </c>
      <c r="D43" s="10" t="s">
        <v>6117</v>
      </c>
      <c r="E43" s="10" t="s">
        <v>6041</v>
      </c>
      <c r="F43" s="10" t="s">
        <v>6042</v>
      </c>
      <c r="I43" s="18" t="s">
        <v>5334</v>
      </c>
      <c r="J43" s="10" t="s">
        <v>35</v>
      </c>
      <c r="M43" s="10" t="s">
        <v>35</v>
      </c>
      <c r="R43" s="10" t="s">
        <v>35</v>
      </c>
      <c r="S43" s="10" t="s">
        <v>6118</v>
      </c>
      <c r="T43" s="10" t="s">
        <v>6119</v>
      </c>
      <c r="U43" s="10" t="s">
        <v>3302</v>
      </c>
      <c r="V43" s="10" t="s">
        <v>0</v>
      </c>
    </row>
    <row r="44">
      <c r="A44" s="10" t="s">
        <v>5544</v>
      </c>
      <c r="B44" s="11">
        <v>44517.36499497685</v>
      </c>
      <c r="C44" s="10" t="s">
        <v>137</v>
      </c>
      <c r="D44" s="10" t="s">
        <v>6025</v>
      </c>
      <c r="E44" s="10" t="s">
        <v>6120</v>
      </c>
      <c r="I44" s="10" t="s">
        <v>6121</v>
      </c>
      <c r="J44" s="10" t="s">
        <v>35</v>
      </c>
      <c r="M44" s="10" t="s">
        <v>35</v>
      </c>
      <c r="R44" s="10" t="s">
        <v>35</v>
      </c>
      <c r="S44" s="10" t="s">
        <v>6122</v>
      </c>
      <c r="U44" s="10" t="s">
        <v>37</v>
      </c>
      <c r="V44" s="10" t="s">
        <v>0</v>
      </c>
    </row>
    <row r="45">
      <c r="A45" s="10" t="s">
        <v>5862</v>
      </c>
      <c r="B45" s="11">
        <v>44518.742484131944</v>
      </c>
      <c r="C45" s="10" t="s">
        <v>239</v>
      </c>
      <c r="D45" s="10" t="s">
        <v>4551</v>
      </c>
      <c r="E45" s="10" t="s">
        <v>4551</v>
      </c>
      <c r="I45" s="10" t="s">
        <v>4551</v>
      </c>
      <c r="J45" s="10" t="s">
        <v>35</v>
      </c>
      <c r="M45" s="10" t="s">
        <v>35</v>
      </c>
      <c r="N45" s="10" t="s">
        <v>4551</v>
      </c>
      <c r="O45" s="10">
        <v>0.0</v>
      </c>
      <c r="R45" s="10" t="s">
        <v>6054</v>
      </c>
      <c r="U45" s="10" t="s">
        <v>2360</v>
      </c>
      <c r="V45" s="10" t="s">
        <v>0</v>
      </c>
    </row>
  </sheetData>
  <hyperlinks>
    <hyperlink r:id="rId2" ref="I2"/>
    <hyperlink r:id="rId3" ref="I3"/>
    <hyperlink r:id="rId4" ref="P4"/>
    <hyperlink r:id="rId5" ref="I8"/>
    <hyperlink r:id="rId6" ref="I9"/>
    <hyperlink r:id="rId7" ref="I10"/>
    <hyperlink r:id="rId8" ref="I12"/>
    <hyperlink r:id="rId9" ref="P13"/>
    <hyperlink r:id="rId10" ref="I14"/>
    <hyperlink r:id="rId11" ref="I15"/>
    <hyperlink r:id="rId12" ref="I16"/>
    <hyperlink r:id="rId13" ref="I17"/>
    <hyperlink r:id="rId14" ref="I20"/>
    <hyperlink r:id="rId15" ref="I21"/>
    <hyperlink r:id="rId16" ref="I22"/>
    <hyperlink r:id="rId17" ref="I23"/>
    <hyperlink r:id="rId18" ref="I24"/>
    <hyperlink r:id="rId19" ref="I25"/>
    <hyperlink r:id="rId20" ref="I26"/>
    <hyperlink r:id="rId21" ref="I27"/>
    <hyperlink r:id="rId22" ref="I28"/>
    <hyperlink r:id="rId23" ref="I29"/>
    <hyperlink r:id="rId24" ref="I30"/>
    <hyperlink r:id="rId25" ref="I31"/>
    <hyperlink r:id="rId26" ref="I38"/>
    <hyperlink r:id="rId27" ref="I43"/>
  </hyperlinks>
  <drawing r:id="rId28"/>
  <legacyDrawing r:id="rId29"/>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25"/>
    <col customWidth="1" min="2" max="2" width="14.38"/>
    <col customWidth="1" min="3" max="3" width="22.88"/>
    <col customWidth="1" min="4" max="4" width="17.63"/>
    <col customWidth="1" min="5" max="5" width="14.13"/>
    <col customWidth="1" min="6" max="6" width="15.13"/>
    <col customWidth="1" min="7" max="7" width="17.88"/>
    <col customWidth="1" min="8" max="9" width="17.0"/>
    <col customWidth="1" min="10" max="10" width="17.5"/>
    <col customWidth="1" min="11" max="11" width="11.63"/>
    <col customWidth="1" min="14" max="14" width="9.25"/>
    <col customWidth="1" min="15" max="15" width="14.38"/>
    <col customWidth="1" min="16" max="16" width="25.0"/>
    <col customWidth="1" min="18" max="18" width="33.13"/>
    <col customWidth="1" min="19" max="19" width="14.5"/>
    <col customWidth="1" min="20" max="20" width="14.38"/>
    <col customWidth="1" min="21" max="21" width="14.0"/>
    <col customWidth="1" min="22" max="22" width="14.13"/>
    <col customWidth="1" min="23" max="23" width="13.75"/>
    <col customWidth="1" min="25" max="25" width="16.5"/>
    <col customWidth="1" min="28" max="28" width="24.0"/>
    <col customWidth="1" min="30" max="30" width="15.0"/>
  </cols>
  <sheetData>
    <row r="1">
      <c r="A1" s="10" t="s">
        <v>6123</v>
      </c>
      <c r="P1" s="9"/>
      <c r="Q1" s="9"/>
      <c r="R1" s="9"/>
      <c r="S1" s="50"/>
      <c r="T1" s="50"/>
      <c r="U1" s="9"/>
      <c r="V1" s="9"/>
      <c r="W1" s="9"/>
      <c r="X1" s="9"/>
      <c r="Y1" s="9"/>
      <c r="Z1" s="9"/>
      <c r="AA1" s="9"/>
    </row>
    <row r="2">
      <c r="P2" s="9"/>
      <c r="Q2" s="9"/>
      <c r="R2" s="9"/>
      <c r="S2" s="50"/>
      <c r="T2" s="50"/>
      <c r="U2" s="9"/>
      <c r="V2" s="9"/>
      <c r="W2" s="9"/>
      <c r="X2" s="9"/>
      <c r="Y2" s="9"/>
      <c r="Z2" s="9"/>
      <c r="AA2" s="9"/>
    </row>
    <row r="3">
      <c r="P3" s="9"/>
      <c r="Q3" s="9"/>
      <c r="R3" s="9"/>
      <c r="S3" s="50"/>
      <c r="T3" s="50"/>
      <c r="U3" s="9"/>
      <c r="V3" s="9"/>
      <c r="W3" s="9"/>
      <c r="X3" s="9"/>
      <c r="Y3" s="9"/>
      <c r="Z3" s="9"/>
      <c r="AA3" s="9"/>
    </row>
    <row r="4">
      <c r="A4" s="51" t="str">
        <f>IFERROR(__xludf.DUMMYFUNCTION("QUERY(IMPORTRANGE(""https://docs.google.com/spreadsheets/d/1Kg38TbjUSEqiy7ZDRST4-4KgMwkxKZb6u3U07Xd7ZKU/edit#gid=1159427671"",""Solicitud de eventos!A:U""),CONCATENATE(""SELECT Col1, Col2, Col3, Col4, Col5, Col6, Col7,Col8, Col9, Col10, Col11, Col12, Col1"&amp;"3, Col14, Col15, Col16, Col17, Col18, Col19, Col20, Col21 WHERE Col1='"",B1,""'""), 1)"),"Id de Solicitud")</f>
        <v>Id de Solicitud</v>
      </c>
      <c r="B4" s="52" t="str">
        <f>IFERROR(__xludf.DUMMYFUNCTION("""COMPUTED_VALUE"""),"Marca temporal")</f>
        <v>Marca temporal</v>
      </c>
      <c r="C4" s="52" t="str">
        <f>IFERROR(__xludf.DUMMYFUNCTION("""COMPUTED_VALUE"""),"Dirección de correo electrónico")</f>
        <v>Dirección de correo electrónico</v>
      </c>
      <c r="D4" s="52" t="str">
        <f>IFERROR(__xludf.DUMMYFUNCTION("""COMPUTED_VALUE"""),"Nombre del grupo")</f>
        <v>Nombre del grupo</v>
      </c>
      <c r="E4" s="52" t="str">
        <f>IFERROR(__xludf.DUMMYFUNCTION("""COMPUTED_VALUE"""),"Responsable(s)")</f>
        <v>Responsable(s)</v>
      </c>
      <c r="F4" s="52" t="str">
        <f>IFERROR(__xludf.DUMMYFUNCTION("""COMPUTED_VALUE"""),"Nombre del evento")</f>
        <v>Nombre del evento</v>
      </c>
      <c r="G4" s="52" t="str">
        <f>IFERROR(__xludf.DUMMYFUNCTION("""COMPUTED_VALUE"""),"Descripción del evento")</f>
        <v>Descripción del evento</v>
      </c>
      <c r="H4" s="52" t="str">
        <f>IFERROR(__xludf.DUMMYFUNCTION("""COMPUTED_VALUE"""),"Fecha y hora de inicio del evento")</f>
        <v>Fecha y hora de inicio del evento</v>
      </c>
      <c r="I4" s="52" t="str">
        <f>IFERROR(__xludf.DUMMYFUNCTION("""COMPUTED_VALUE"""),"Fecha y hora de finalización del evento")</f>
        <v>Fecha y hora de finalización del evento</v>
      </c>
      <c r="J4" s="52" t="str">
        <f>IFERROR(__xludf.DUMMYFUNCTION("""COMPUTED_VALUE"""),"Categoria")</f>
        <v>Categoria</v>
      </c>
      <c r="K4" s="52" t="str">
        <f>IFERROR(__xludf.DUMMYFUNCTION("""COMPUTED_VALUE"""),"Tipo de evento")</f>
        <v>Tipo de evento</v>
      </c>
      <c r="L4" s="52" t="str">
        <f>IFERROR(__xludf.DUMMYFUNCTION("""COMPUTED_VALUE"""),"¿Cual evento institucional?")</f>
        <v>¿Cual evento institucional?</v>
      </c>
      <c r="M4" s="52" t="str">
        <f>IFERROR(__xludf.DUMMYFUNCTION("""COMPUTED_VALUE"""),"¿Cual evento de Bienestar Universitario?")</f>
        <v>¿Cual evento de Bienestar Universitario?</v>
      </c>
      <c r="N4" s="52" t="str">
        <f>IFERROR(__xludf.DUMMYFUNCTION("""COMPUTED_VALUE"""),"¿Posee invitados?")</f>
        <v>¿Posee invitados?</v>
      </c>
      <c r="O4" s="52" t="str">
        <f>IFERROR(__xludf.DUMMYFUNCTION("""COMPUTED_VALUE"""),"Información de invitados")</f>
        <v>Información de invitados</v>
      </c>
      <c r="P4" s="9" t="str">
        <f>IFERROR(__xludf.DUMMYFUNCTION("""COMPUTED_VALUE"""),"¿Alguno de sus invitados es local?")</f>
        <v>¿Alguno de sus invitados es local?</v>
      </c>
      <c r="Q4" s="9" t="str">
        <f>IFERROR(__xludf.DUMMYFUNCTION("""COMPUTED_VALUE"""),"¿Cuantos invitados locales?")</f>
        <v>¿Cuantos invitados locales?</v>
      </c>
      <c r="R4" s="9" t="str">
        <f>IFERROR(__xludf.DUMMYFUNCTION("""COMPUTED_VALUE"""),"¿Alguno de sus invitados es nacional?")</f>
        <v>¿Alguno de sus invitados es nacional?</v>
      </c>
      <c r="S4" s="50" t="str">
        <f>IFERROR(__xludf.DUMMYFUNCTION("""COMPUTED_VALUE"""),"¿Cuantos invitados nacionales?")</f>
        <v>¿Cuantos invitados nacionales?</v>
      </c>
      <c r="T4" s="50" t="str">
        <f>IFERROR(__xludf.DUMMYFUNCTION("""COMPUTED_VALUE"""),"¿Alguno de sus invitados es internacional?")</f>
        <v>¿Alguno de sus invitados es internacional?</v>
      </c>
      <c r="U4" s="9" t="str">
        <f>IFERROR(__xludf.DUMMYFUNCTION("""COMPUTED_VALUE"""),"¿Cuantos invitados internacionales?")</f>
        <v>¿Cuantos invitados internacionales?</v>
      </c>
      <c r="V4" s="9"/>
      <c r="W4" s="9"/>
      <c r="X4" s="9"/>
      <c r="Y4" s="9"/>
      <c r="Z4" s="9"/>
      <c r="AA4" s="9"/>
    </row>
    <row r="5">
      <c r="A5" s="52"/>
      <c r="B5" s="50"/>
      <c r="C5" s="52"/>
      <c r="D5" s="52"/>
      <c r="E5" s="52"/>
      <c r="F5" s="52"/>
      <c r="G5" s="52"/>
      <c r="H5" s="53"/>
      <c r="I5" s="53"/>
      <c r="J5" s="52"/>
      <c r="K5" s="52"/>
      <c r="L5" s="52"/>
      <c r="M5" s="52"/>
      <c r="N5" s="52"/>
      <c r="O5" s="52"/>
      <c r="P5" s="9"/>
      <c r="Q5" s="9"/>
      <c r="R5" s="9"/>
      <c r="S5" s="50"/>
      <c r="T5" s="50"/>
      <c r="U5" s="9"/>
      <c r="V5" s="9"/>
      <c r="W5" s="9"/>
      <c r="X5" s="9"/>
      <c r="Y5" s="9"/>
      <c r="Z5" s="9"/>
      <c r="AA5" s="9"/>
    </row>
    <row r="6">
      <c r="A6" s="52"/>
      <c r="B6" s="50"/>
      <c r="C6" s="52"/>
      <c r="D6" s="52"/>
      <c r="E6" s="52"/>
      <c r="F6" s="52"/>
      <c r="G6" s="52"/>
      <c r="H6" s="53"/>
      <c r="I6" s="53"/>
      <c r="J6" s="52"/>
      <c r="K6" s="52"/>
      <c r="L6" s="52"/>
      <c r="M6" s="52"/>
      <c r="N6" s="52"/>
      <c r="O6" s="52"/>
      <c r="P6" s="9"/>
      <c r="Q6" s="9"/>
      <c r="R6" s="9"/>
      <c r="S6" s="50"/>
      <c r="T6" s="50"/>
      <c r="U6" s="9"/>
      <c r="V6" s="9"/>
      <c r="W6" s="9"/>
      <c r="X6" s="9"/>
      <c r="Y6" s="9"/>
      <c r="Z6" s="9"/>
      <c r="AA6" s="9"/>
    </row>
    <row r="7">
      <c r="A7" s="52"/>
      <c r="B7" s="50"/>
      <c r="C7" s="52"/>
      <c r="D7" s="52"/>
      <c r="E7" s="52"/>
      <c r="F7" s="52"/>
      <c r="G7" s="52"/>
      <c r="H7" s="53"/>
      <c r="I7" s="53"/>
      <c r="J7" s="52"/>
      <c r="K7" s="52"/>
      <c r="L7" s="52"/>
      <c r="M7" s="52"/>
      <c r="N7" s="52"/>
      <c r="O7" s="52"/>
      <c r="P7" s="9"/>
      <c r="Q7" s="9"/>
      <c r="R7" s="9"/>
      <c r="S7" s="50"/>
      <c r="T7" s="50"/>
      <c r="U7" s="9"/>
      <c r="V7" s="9"/>
      <c r="W7" s="9"/>
      <c r="X7" s="9"/>
      <c r="Y7" s="9"/>
      <c r="Z7" s="9"/>
      <c r="AA7" s="9"/>
    </row>
    <row r="8">
      <c r="A8" s="52"/>
      <c r="B8" s="50"/>
      <c r="C8" s="52"/>
      <c r="D8" s="52"/>
      <c r="E8" s="52"/>
      <c r="F8" s="52"/>
      <c r="G8" s="52"/>
      <c r="H8" s="53"/>
      <c r="I8" s="53"/>
      <c r="J8" s="52"/>
      <c r="K8" s="52"/>
      <c r="L8" s="52"/>
      <c r="M8" s="52"/>
      <c r="N8" s="52"/>
      <c r="O8" s="52"/>
      <c r="P8" s="9"/>
      <c r="Q8" s="9"/>
      <c r="R8" s="9"/>
      <c r="S8" s="50"/>
      <c r="T8" s="50"/>
      <c r="U8" s="9"/>
      <c r="V8" s="9"/>
      <c r="W8" s="9"/>
      <c r="X8" s="9"/>
      <c r="Y8" s="9"/>
      <c r="Z8" s="9"/>
      <c r="AA8" s="9"/>
    </row>
    <row r="9">
      <c r="A9" s="52"/>
      <c r="B9" s="50"/>
      <c r="C9" s="52"/>
      <c r="D9" s="52"/>
      <c r="E9" s="52"/>
      <c r="F9" s="52"/>
      <c r="G9" s="52"/>
      <c r="H9" s="53"/>
      <c r="I9" s="53"/>
      <c r="J9" s="52"/>
      <c r="K9" s="52"/>
      <c r="L9" s="52"/>
      <c r="M9" s="52"/>
      <c r="N9" s="52"/>
      <c r="O9" s="52"/>
      <c r="P9" s="9"/>
      <c r="Q9" s="9"/>
      <c r="R9" s="9"/>
      <c r="S9" s="50"/>
      <c r="T9" s="50"/>
      <c r="U9" s="9"/>
      <c r="V9" s="9"/>
      <c r="W9" s="9"/>
      <c r="X9" s="9"/>
      <c r="Y9" s="9"/>
      <c r="Z9" s="9"/>
      <c r="AA9" s="9"/>
    </row>
    <row r="10">
      <c r="A10" s="52"/>
      <c r="B10" s="50"/>
      <c r="C10" s="52"/>
      <c r="D10" s="52"/>
      <c r="E10" s="52"/>
      <c r="F10" s="52"/>
      <c r="G10" s="52"/>
      <c r="H10" s="53"/>
      <c r="I10" s="53"/>
      <c r="J10" s="52"/>
      <c r="K10" s="52"/>
      <c r="L10" s="52"/>
      <c r="M10" s="52"/>
      <c r="N10" s="52"/>
      <c r="O10" s="52"/>
      <c r="P10" s="9"/>
      <c r="Q10" s="9"/>
      <c r="R10" s="9"/>
      <c r="S10" s="50"/>
      <c r="T10" s="50"/>
      <c r="U10" s="9"/>
      <c r="V10" s="9"/>
      <c r="W10" s="9"/>
      <c r="X10" s="9"/>
      <c r="Y10" s="9"/>
      <c r="Z10" s="9"/>
      <c r="AA10" s="9"/>
    </row>
    <row r="11">
      <c r="A11" s="52"/>
      <c r="B11" s="50"/>
      <c r="C11" s="52"/>
      <c r="D11" s="52"/>
      <c r="E11" s="52"/>
      <c r="F11" s="52"/>
      <c r="G11" s="52"/>
      <c r="H11" s="53"/>
      <c r="I11" s="53"/>
      <c r="J11" s="52"/>
      <c r="K11" s="52"/>
      <c r="L11" s="52"/>
      <c r="M11" s="52"/>
      <c r="N11" s="52"/>
      <c r="O11" s="52"/>
      <c r="P11" s="9"/>
      <c r="Q11" s="9"/>
      <c r="R11" s="9"/>
      <c r="S11" s="50"/>
      <c r="T11" s="50"/>
      <c r="U11" s="9"/>
      <c r="V11" s="9"/>
      <c r="W11" s="9"/>
      <c r="X11" s="9"/>
      <c r="Y11" s="9"/>
      <c r="Z11" s="9"/>
      <c r="AA11" s="9"/>
    </row>
    <row r="12">
      <c r="A12" s="52"/>
      <c r="B12" s="50"/>
      <c r="C12" s="52"/>
      <c r="D12" s="52"/>
      <c r="E12" s="52"/>
      <c r="F12" s="52"/>
      <c r="G12" s="52"/>
      <c r="H12" s="53"/>
      <c r="I12" s="53"/>
      <c r="J12" s="52"/>
      <c r="K12" s="52"/>
      <c r="L12" s="52"/>
      <c r="M12" s="52"/>
      <c r="N12" s="52"/>
      <c r="O12" s="52"/>
      <c r="P12" s="9"/>
      <c r="Q12" s="9"/>
      <c r="R12" s="9"/>
      <c r="S12" s="50"/>
      <c r="T12" s="50"/>
      <c r="U12" s="9"/>
      <c r="V12" s="9"/>
      <c r="W12" s="9"/>
      <c r="X12" s="9"/>
      <c r="Y12" s="9"/>
      <c r="Z12" s="9"/>
      <c r="AA12" s="9"/>
    </row>
    <row r="13">
      <c r="A13" s="52"/>
      <c r="B13" s="50"/>
      <c r="C13" s="52"/>
      <c r="D13" s="52"/>
      <c r="E13" s="52"/>
      <c r="F13" s="52"/>
      <c r="G13" s="52"/>
      <c r="H13" s="53"/>
      <c r="I13" s="53"/>
      <c r="J13" s="52"/>
      <c r="K13" s="52"/>
      <c r="L13" s="52"/>
      <c r="M13" s="52"/>
      <c r="N13" s="52"/>
      <c r="O13" s="52"/>
      <c r="P13" s="9"/>
      <c r="Q13" s="9"/>
      <c r="R13" s="9"/>
      <c r="S13" s="50"/>
      <c r="T13" s="50"/>
      <c r="U13" s="9"/>
      <c r="V13" s="9"/>
      <c r="W13" s="9"/>
      <c r="X13" s="9"/>
      <c r="Y13" s="9"/>
      <c r="Z13" s="9"/>
      <c r="AA13" s="9"/>
    </row>
    <row r="14">
      <c r="A14" s="52"/>
      <c r="B14" s="50"/>
      <c r="C14" s="52"/>
      <c r="D14" s="52"/>
      <c r="E14" s="52"/>
      <c r="F14" s="52"/>
      <c r="G14" s="52"/>
      <c r="H14" s="53"/>
      <c r="I14" s="53"/>
      <c r="J14" s="52"/>
      <c r="K14" s="52"/>
      <c r="L14" s="52"/>
      <c r="M14" s="52"/>
      <c r="N14" s="52"/>
      <c r="O14" s="52"/>
      <c r="P14" s="9"/>
      <c r="Q14" s="9"/>
      <c r="R14" s="9"/>
      <c r="S14" s="50"/>
      <c r="T14" s="50"/>
      <c r="U14" s="9"/>
      <c r="V14" s="9"/>
      <c r="W14" s="9"/>
      <c r="X14" s="9"/>
      <c r="Y14" s="9"/>
      <c r="Z14" s="9"/>
      <c r="AA14" s="9"/>
    </row>
    <row r="15">
      <c r="A15" s="52"/>
      <c r="B15" s="50"/>
      <c r="C15" s="52"/>
      <c r="D15" s="52"/>
      <c r="E15" s="52"/>
      <c r="F15" s="52"/>
      <c r="G15" s="52"/>
      <c r="H15" s="53"/>
      <c r="I15" s="53"/>
      <c r="J15" s="52"/>
      <c r="K15" s="52"/>
      <c r="L15" s="52"/>
      <c r="M15" s="52"/>
      <c r="N15" s="52"/>
      <c r="O15" s="52"/>
      <c r="P15" s="9"/>
      <c r="Q15" s="9"/>
      <c r="R15" s="9"/>
      <c r="S15" s="50"/>
      <c r="T15" s="50"/>
      <c r="U15" s="9"/>
      <c r="V15" s="9"/>
      <c r="W15" s="9"/>
      <c r="X15" s="9"/>
      <c r="Y15" s="9"/>
      <c r="Z15" s="9"/>
      <c r="AA15" s="9"/>
    </row>
    <row r="16">
      <c r="A16" s="52"/>
      <c r="B16" s="50"/>
      <c r="C16" s="52"/>
      <c r="D16" s="52"/>
      <c r="E16" s="52"/>
      <c r="F16" s="52"/>
      <c r="G16" s="52"/>
      <c r="H16" s="53"/>
      <c r="I16" s="53"/>
      <c r="J16" s="52"/>
      <c r="K16" s="52"/>
      <c r="L16" s="52"/>
      <c r="M16" s="52"/>
      <c r="N16" s="52"/>
      <c r="O16" s="52"/>
      <c r="P16" s="9"/>
      <c r="Q16" s="9"/>
      <c r="R16" s="9"/>
      <c r="S16" s="50"/>
      <c r="T16" s="50"/>
      <c r="U16" s="9"/>
      <c r="V16" s="9"/>
      <c r="W16" s="9"/>
      <c r="X16" s="9"/>
      <c r="Y16" s="9"/>
      <c r="Z16" s="9"/>
      <c r="AA16" s="9"/>
    </row>
    <row r="17">
      <c r="A17" s="52"/>
      <c r="B17" s="50"/>
      <c r="C17" s="52"/>
      <c r="D17" s="52"/>
      <c r="E17" s="52"/>
      <c r="F17" s="52"/>
      <c r="G17" s="52"/>
      <c r="H17" s="53"/>
      <c r="I17" s="53"/>
      <c r="J17" s="52"/>
      <c r="K17" s="52"/>
      <c r="L17" s="52"/>
      <c r="M17" s="52"/>
      <c r="N17" s="52"/>
      <c r="O17" s="52"/>
      <c r="P17" s="9"/>
      <c r="Q17" s="9"/>
      <c r="R17" s="9"/>
      <c r="S17" s="50"/>
      <c r="T17" s="50"/>
      <c r="U17" s="9"/>
      <c r="V17" s="9"/>
      <c r="W17" s="9"/>
      <c r="X17" s="9"/>
      <c r="Y17" s="9"/>
      <c r="Z17" s="9"/>
      <c r="AA17" s="9"/>
    </row>
    <row r="18">
      <c r="A18" s="52"/>
      <c r="B18" s="50"/>
      <c r="C18" s="52"/>
      <c r="D18" s="52"/>
      <c r="E18" s="52"/>
      <c r="F18" s="52"/>
      <c r="G18" s="52"/>
      <c r="H18" s="53"/>
      <c r="I18" s="53"/>
      <c r="J18" s="52"/>
      <c r="K18" s="52"/>
      <c r="L18" s="52"/>
      <c r="M18" s="52"/>
      <c r="N18" s="52"/>
      <c r="O18" s="52"/>
      <c r="P18" s="9"/>
      <c r="Q18" s="9"/>
      <c r="R18" s="9"/>
      <c r="S18" s="50"/>
      <c r="T18" s="50"/>
      <c r="U18" s="9"/>
      <c r="V18" s="9"/>
      <c r="W18" s="9"/>
      <c r="X18" s="9"/>
      <c r="Y18" s="9"/>
      <c r="Z18" s="9"/>
      <c r="AA18" s="9"/>
    </row>
    <row r="19">
      <c r="A19" s="52"/>
      <c r="B19" s="50"/>
      <c r="C19" s="52"/>
      <c r="D19" s="52"/>
      <c r="E19" s="52"/>
      <c r="F19" s="52"/>
      <c r="G19" s="52"/>
      <c r="H19" s="53"/>
      <c r="I19" s="53"/>
      <c r="J19" s="52"/>
      <c r="K19" s="52"/>
      <c r="L19" s="52"/>
      <c r="M19" s="52"/>
      <c r="N19" s="52"/>
      <c r="O19" s="52"/>
      <c r="P19" s="9"/>
      <c r="Q19" s="9"/>
      <c r="R19" s="9"/>
      <c r="S19" s="50"/>
      <c r="T19" s="50"/>
      <c r="U19" s="9"/>
      <c r="V19" s="9"/>
      <c r="W19" s="9"/>
      <c r="X19" s="9"/>
      <c r="Y19" s="9"/>
      <c r="Z19" s="9"/>
      <c r="AA19" s="9"/>
    </row>
    <row r="20">
      <c r="A20" s="52"/>
      <c r="B20" s="50"/>
      <c r="C20" s="52"/>
      <c r="D20" s="52"/>
      <c r="E20" s="52"/>
      <c r="F20" s="52"/>
      <c r="G20" s="52"/>
      <c r="H20" s="53"/>
      <c r="I20" s="53"/>
      <c r="J20" s="52"/>
      <c r="K20" s="52"/>
      <c r="L20" s="52"/>
      <c r="M20" s="52"/>
      <c r="N20" s="52"/>
      <c r="O20" s="52"/>
      <c r="P20" s="9"/>
      <c r="Q20" s="9"/>
      <c r="R20" s="9"/>
      <c r="S20" s="50"/>
      <c r="T20" s="50"/>
      <c r="U20" s="9"/>
      <c r="V20" s="9"/>
      <c r="W20" s="9"/>
      <c r="X20" s="9"/>
      <c r="Y20" s="9"/>
      <c r="Z20" s="9"/>
      <c r="AA20" s="9"/>
    </row>
    <row r="21">
      <c r="A21" s="52"/>
      <c r="B21" s="50"/>
      <c r="C21" s="52"/>
      <c r="D21" s="52"/>
      <c r="E21" s="52"/>
      <c r="F21" s="52"/>
      <c r="G21" s="52"/>
      <c r="H21" s="53"/>
      <c r="I21" s="53"/>
      <c r="J21" s="52"/>
      <c r="K21" s="52"/>
      <c r="L21" s="52"/>
      <c r="M21" s="52"/>
      <c r="N21" s="52"/>
      <c r="O21" s="52"/>
      <c r="P21" s="9"/>
      <c r="Q21" s="9"/>
      <c r="R21" s="9"/>
      <c r="S21" s="50"/>
      <c r="T21" s="50"/>
      <c r="U21" s="9"/>
      <c r="V21" s="9"/>
      <c r="W21" s="9"/>
      <c r="X21" s="9"/>
      <c r="Y21" s="9"/>
      <c r="Z21" s="9"/>
      <c r="AA21" s="9"/>
    </row>
    <row r="22">
      <c r="A22" s="52"/>
      <c r="B22" s="50"/>
      <c r="C22" s="52"/>
      <c r="D22" s="52"/>
      <c r="E22" s="52"/>
      <c r="F22" s="52"/>
      <c r="G22" s="52"/>
      <c r="H22" s="53"/>
      <c r="I22" s="53"/>
      <c r="J22" s="52"/>
      <c r="K22" s="52"/>
      <c r="L22" s="52"/>
      <c r="M22" s="52"/>
      <c r="N22" s="52"/>
      <c r="O22" s="52"/>
      <c r="P22" s="9"/>
      <c r="Q22" s="9"/>
      <c r="R22" s="9"/>
      <c r="S22" s="50"/>
      <c r="T22" s="50"/>
      <c r="U22" s="9"/>
      <c r="V22" s="9"/>
      <c r="W22" s="9"/>
      <c r="X22" s="9"/>
      <c r="Y22" s="9"/>
      <c r="Z22" s="9"/>
      <c r="AA22" s="9"/>
    </row>
    <row r="23">
      <c r="A23" s="52"/>
      <c r="B23" s="50"/>
      <c r="C23" s="52"/>
      <c r="D23" s="52"/>
      <c r="E23" s="52"/>
      <c r="F23" s="52"/>
      <c r="G23" s="52"/>
      <c r="H23" s="53"/>
      <c r="I23" s="53"/>
      <c r="J23" s="52"/>
      <c r="K23" s="52"/>
      <c r="L23" s="52"/>
      <c r="M23" s="52"/>
      <c r="N23" s="52"/>
      <c r="O23" s="52"/>
      <c r="P23" s="9"/>
      <c r="Q23" s="9"/>
      <c r="R23" s="9"/>
      <c r="S23" s="50"/>
      <c r="T23" s="50"/>
      <c r="U23" s="9"/>
      <c r="V23" s="9"/>
      <c r="W23" s="9"/>
      <c r="X23" s="9"/>
      <c r="Y23" s="9"/>
      <c r="Z23" s="9"/>
      <c r="AA23" s="9"/>
    </row>
    <row r="24">
      <c r="A24" s="52"/>
      <c r="B24" s="50"/>
      <c r="C24" s="52"/>
      <c r="D24" s="52"/>
      <c r="E24" s="52"/>
      <c r="F24" s="52"/>
      <c r="G24" s="52"/>
      <c r="H24" s="53"/>
      <c r="I24" s="53"/>
      <c r="J24" s="52"/>
      <c r="K24" s="52"/>
      <c r="L24" s="52"/>
      <c r="M24" s="52"/>
      <c r="N24" s="52"/>
      <c r="O24" s="52"/>
      <c r="P24" s="9"/>
      <c r="Q24" s="9"/>
      <c r="R24" s="9"/>
      <c r="S24" s="50"/>
      <c r="T24" s="50"/>
      <c r="U24" s="9"/>
      <c r="V24" s="9"/>
      <c r="W24" s="9"/>
      <c r="X24" s="9"/>
      <c r="Y24" s="9"/>
      <c r="Z24" s="9"/>
      <c r="AA24" s="9"/>
    </row>
    <row r="25">
      <c r="A25" s="52"/>
      <c r="B25" s="50"/>
      <c r="C25" s="52"/>
      <c r="D25" s="52"/>
      <c r="E25" s="52"/>
      <c r="F25" s="52"/>
      <c r="G25" s="52"/>
      <c r="H25" s="53"/>
      <c r="I25" s="53"/>
      <c r="J25" s="52"/>
      <c r="K25" s="52"/>
      <c r="L25" s="52"/>
      <c r="M25" s="52"/>
      <c r="N25" s="52"/>
      <c r="O25" s="52"/>
      <c r="P25" s="9"/>
      <c r="Q25" s="9"/>
      <c r="R25" s="9"/>
      <c r="S25" s="50"/>
      <c r="T25" s="50"/>
      <c r="U25" s="9"/>
      <c r="V25" s="9"/>
      <c r="W25" s="9"/>
      <c r="X25" s="9"/>
      <c r="Y25" s="9"/>
      <c r="Z25" s="9"/>
      <c r="AA25" s="9"/>
    </row>
    <row r="26">
      <c r="A26" s="52"/>
      <c r="B26" s="50"/>
      <c r="C26" s="52"/>
      <c r="D26" s="52"/>
      <c r="E26" s="52"/>
      <c r="F26" s="52"/>
      <c r="G26" s="52"/>
      <c r="H26" s="53"/>
      <c r="I26" s="53"/>
      <c r="J26" s="52"/>
      <c r="K26" s="52"/>
      <c r="L26" s="52"/>
      <c r="M26" s="52"/>
      <c r="N26" s="52"/>
      <c r="O26" s="52"/>
      <c r="P26" s="9"/>
      <c r="Q26" s="9"/>
      <c r="R26" s="9"/>
      <c r="S26" s="50"/>
      <c r="T26" s="50"/>
      <c r="U26" s="9"/>
      <c r="V26" s="9"/>
      <c r="W26" s="9"/>
      <c r="X26" s="9"/>
      <c r="Y26" s="9"/>
      <c r="Z26" s="9"/>
      <c r="AA26" s="9"/>
    </row>
    <row r="27">
      <c r="A27" s="52"/>
      <c r="B27" s="50"/>
      <c r="C27" s="52"/>
      <c r="D27" s="52"/>
      <c r="E27" s="52"/>
      <c r="F27" s="52"/>
      <c r="G27" s="52"/>
      <c r="H27" s="53"/>
      <c r="I27" s="53"/>
      <c r="J27" s="52"/>
      <c r="K27" s="52"/>
      <c r="L27" s="52"/>
      <c r="M27" s="52"/>
      <c r="N27" s="52"/>
      <c r="O27" s="52"/>
      <c r="P27" s="9"/>
      <c r="Q27" s="9"/>
      <c r="R27" s="9"/>
      <c r="S27" s="50"/>
      <c r="T27" s="50"/>
      <c r="U27" s="9"/>
      <c r="V27" s="9"/>
      <c r="W27" s="9"/>
      <c r="X27" s="9"/>
      <c r="Y27" s="9"/>
      <c r="Z27" s="9"/>
      <c r="AA27" s="9"/>
    </row>
    <row r="28">
      <c r="A28" s="52"/>
      <c r="B28" s="50"/>
      <c r="C28" s="52"/>
      <c r="D28" s="52"/>
      <c r="E28" s="52"/>
      <c r="F28" s="52"/>
      <c r="G28" s="52"/>
      <c r="H28" s="53"/>
      <c r="I28" s="53"/>
      <c r="J28" s="52"/>
      <c r="K28" s="52"/>
      <c r="L28" s="52"/>
      <c r="M28" s="52"/>
      <c r="N28" s="52"/>
      <c r="O28" s="52"/>
      <c r="P28" s="9"/>
      <c r="Q28" s="9"/>
      <c r="R28" s="9"/>
      <c r="S28" s="50"/>
      <c r="T28" s="50"/>
      <c r="U28" s="9"/>
      <c r="V28" s="9"/>
      <c r="W28" s="9"/>
      <c r="X28" s="9"/>
      <c r="Y28" s="9"/>
      <c r="Z28" s="9"/>
      <c r="AA28" s="9"/>
    </row>
    <row r="29">
      <c r="A29" s="52"/>
      <c r="B29" s="50"/>
      <c r="C29" s="52"/>
      <c r="D29" s="52"/>
      <c r="E29" s="52"/>
      <c r="F29" s="52"/>
      <c r="G29" s="52"/>
      <c r="H29" s="53"/>
      <c r="I29" s="53"/>
      <c r="J29" s="52"/>
      <c r="K29" s="52"/>
      <c r="L29" s="52"/>
      <c r="M29" s="52"/>
      <c r="N29" s="52"/>
      <c r="O29" s="52"/>
      <c r="P29" s="9"/>
      <c r="Q29" s="9"/>
      <c r="R29" s="9"/>
      <c r="S29" s="50"/>
      <c r="T29" s="50"/>
      <c r="U29" s="9"/>
      <c r="V29" s="9"/>
      <c r="W29" s="9"/>
      <c r="X29" s="9"/>
      <c r="Y29" s="9"/>
      <c r="Z29" s="9"/>
      <c r="AA29" s="9"/>
    </row>
    <row r="30">
      <c r="A30" s="52"/>
      <c r="B30" s="50"/>
      <c r="C30" s="52"/>
      <c r="D30" s="52"/>
      <c r="E30" s="52"/>
      <c r="F30" s="52"/>
      <c r="G30" s="52"/>
      <c r="H30" s="53"/>
      <c r="I30" s="53"/>
      <c r="J30" s="52"/>
      <c r="K30" s="52"/>
      <c r="L30" s="52"/>
      <c r="M30" s="52"/>
      <c r="N30" s="52"/>
      <c r="O30" s="52"/>
      <c r="P30" s="9"/>
      <c r="Q30" s="9"/>
      <c r="R30" s="9"/>
      <c r="S30" s="50"/>
      <c r="T30" s="50"/>
      <c r="U30" s="9"/>
      <c r="V30" s="9"/>
      <c r="W30" s="9"/>
      <c r="X30" s="9"/>
      <c r="Y30" s="9"/>
      <c r="Z30" s="9"/>
      <c r="AA30" s="9"/>
    </row>
    <row r="31">
      <c r="A31" s="52"/>
      <c r="B31" s="50"/>
      <c r="C31" s="52"/>
      <c r="D31" s="52"/>
      <c r="E31" s="52"/>
      <c r="F31" s="52"/>
      <c r="G31" s="52"/>
      <c r="H31" s="53"/>
      <c r="I31" s="53"/>
      <c r="J31" s="52"/>
      <c r="K31" s="52"/>
      <c r="L31" s="52"/>
      <c r="M31" s="52"/>
      <c r="N31" s="52"/>
      <c r="O31" s="52"/>
      <c r="P31" s="9"/>
      <c r="Q31" s="9"/>
      <c r="R31" s="9"/>
      <c r="S31" s="50"/>
      <c r="T31" s="50"/>
      <c r="U31" s="9"/>
      <c r="V31" s="9"/>
      <c r="W31" s="9"/>
      <c r="X31" s="9"/>
      <c r="Y31" s="9"/>
      <c r="Z31" s="9"/>
      <c r="AA31" s="9"/>
    </row>
    <row r="32">
      <c r="A32" s="52"/>
      <c r="B32" s="50"/>
      <c r="C32" s="52"/>
      <c r="D32" s="52"/>
      <c r="E32" s="52"/>
      <c r="F32" s="52"/>
      <c r="G32" s="52"/>
      <c r="H32" s="53"/>
      <c r="I32" s="53"/>
      <c r="J32" s="52"/>
      <c r="K32" s="52"/>
      <c r="L32" s="52"/>
      <c r="M32" s="52"/>
      <c r="N32" s="52"/>
      <c r="O32" s="52"/>
      <c r="P32" s="9"/>
      <c r="Q32" s="9"/>
      <c r="R32" s="9"/>
      <c r="S32" s="50"/>
      <c r="T32" s="50"/>
      <c r="U32" s="9"/>
      <c r="V32" s="9"/>
      <c r="W32" s="9"/>
      <c r="X32" s="9"/>
      <c r="Y32" s="9"/>
      <c r="Z32" s="9"/>
      <c r="AA32" s="9"/>
    </row>
    <row r="33">
      <c r="A33" s="52"/>
      <c r="B33" s="50"/>
      <c r="C33" s="52"/>
      <c r="D33" s="52"/>
      <c r="E33" s="52"/>
      <c r="F33" s="52"/>
      <c r="G33" s="52"/>
      <c r="H33" s="53"/>
      <c r="I33" s="53"/>
      <c r="J33" s="52"/>
      <c r="K33" s="52"/>
      <c r="L33" s="52"/>
      <c r="M33" s="52"/>
      <c r="N33" s="52"/>
      <c r="O33" s="52"/>
      <c r="P33" s="9"/>
      <c r="Q33" s="9"/>
      <c r="R33" s="9"/>
      <c r="S33" s="50"/>
      <c r="T33" s="50"/>
      <c r="U33" s="9"/>
      <c r="V33" s="9"/>
      <c r="W33" s="9"/>
      <c r="X33" s="9"/>
      <c r="Y33" s="9"/>
      <c r="Z33" s="9"/>
      <c r="AA33" s="9"/>
    </row>
    <row r="34">
      <c r="A34" s="52"/>
      <c r="B34" s="50"/>
      <c r="C34" s="52"/>
      <c r="D34" s="52"/>
      <c r="E34" s="52"/>
      <c r="F34" s="52"/>
      <c r="G34" s="52"/>
      <c r="H34" s="53"/>
      <c r="I34" s="53"/>
      <c r="J34" s="52"/>
      <c r="K34" s="52"/>
      <c r="L34" s="52"/>
      <c r="M34" s="52"/>
      <c r="N34" s="52"/>
      <c r="O34" s="52"/>
      <c r="P34" s="9"/>
      <c r="Q34" s="9"/>
      <c r="R34" s="9"/>
      <c r="S34" s="50"/>
      <c r="T34" s="50"/>
      <c r="U34" s="9"/>
      <c r="V34" s="9"/>
      <c r="W34" s="9"/>
      <c r="X34" s="9"/>
      <c r="Y34" s="9"/>
      <c r="Z34" s="9"/>
      <c r="AA34" s="9"/>
    </row>
    <row r="35">
      <c r="A35" s="52"/>
      <c r="B35" s="50"/>
      <c r="C35" s="52"/>
      <c r="D35" s="52"/>
      <c r="E35" s="52"/>
      <c r="F35" s="52"/>
      <c r="G35" s="52"/>
      <c r="H35" s="53"/>
      <c r="I35" s="53"/>
      <c r="J35" s="52"/>
      <c r="K35" s="52"/>
      <c r="L35" s="52"/>
      <c r="M35" s="52"/>
      <c r="N35" s="52"/>
      <c r="O35" s="52"/>
      <c r="P35" s="9"/>
      <c r="Q35" s="9"/>
      <c r="R35" s="9"/>
      <c r="S35" s="50"/>
      <c r="T35" s="50"/>
      <c r="U35" s="9"/>
      <c r="V35" s="9"/>
      <c r="W35" s="9"/>
      <c r="X35" s="9"/>
      <c r="Y35" s="9"/>
      <c r="Z35" s="9"/>
      <c r="AA35" s="9"/>
    </row>
    <row r="36">
      <c r="A36" s="52"/>
      <c r="B36" s="50"/>
      <c r="C36" s="52"/>
      <c r="D36" s="52"/>
      <c r="E36" s="52"/>
      <c r="F36" s="52"/>
      <c r="G36" s="52"/>
      <c r="H36" s="53"/>
      <c r="I36" s="53"/>
      <c r="J36" s="52"/>
      <c r="K36" s="52"/>
      <c r="L36" s="52"/>
      <c r="M36" s="52"/>
      <c r="N36" s="52"/>
      <c r="O36" s="52"/>
      <c r="P36" s="9"/>
      <c r="Q36" s="9"/>
      <c r="R36" s="9"/>
      <c r="S36" s="50"/>
      <c r="T36" s="50"/>
      <c r="U36" s="9"/>
      <c r="V36" s="9"/>
      <c r="W36" s="9"/>
      <c r="X36" s="9"/>
      <c r="Y36" s="9"/>
      <c r="Z36" s="9"/>
      <c r="AA36" s="9"/>
    </row>
    <row r="37">
      <c r="A37" s="52"/>
      <c r="B37" s="50"/>
      <c r="C37" s="52"/>
      <c r="D37" s="52"/>
      <c r="E37" s="52"/>
      <c r="F37" s="52"/>
      <c r="G37" s="52"/>
      <c r="H37" s="53"/>
      <c r="I37" s="53"/>
      <c r="J37" s="52"/>
      <c r="K37" s="52"/>
      <c r="L37" s="52"/>
      <c r="M37" s="52"/>
      <c r="N37" s="52"/>
      <c r="O37" s="52"/>
      <c r="P37" s="9"/>
      <c r="Q37" s="9"/>
      <c r="R37" s="9"/>
      <c r="S37" s="50"/>
      <c r="T37" s="50"/>
      <c r="U37" s="9"/>
      <c r="V37" s="9"/>
      <c r="W37" s="9"/>
      <c r="X37" s="9"/>
      <c r="Y37" s="9"/>
      <c r="Z37" s="9"/>
      <c r="AA37" s="9"/>
    </row>
    <row r="38">
      <c r="A38" s="52"/>
      <c r="B38" s="50"/>
      <c r="C38" s="52"/>
      <c r="D38" s="52"/>
      <c r="E38" s="52"/>
      <c r="F38" s="52"/>
      <c r="G38" s="52"/>
      <c r="H38" s="53"/>
      <c r="I38" s="53"/>
      <c r="J38" s="52"/>
      <c r="K38" s="52"/>
      <c r="L38" s="52"/>
      <c r="M38" s="52"/>
      <c r="N38" s="52"/>
      <c r="O38" s="52"/>
      <c r="P38" s="9"/>
      <c r="Q38" s="9"/>
      <c r="R38" s="9"/>
      <c r="S38" s="50"/>
      <c r="T38" s="50"/>
      <c r="U38" s="9"/>
      <c r="V38" s="9"/>
      <c r="W38" s="9"/>
      <c r="X38" s="9"/>
      <c r="Y38" s="9"/>
      <c r="Z38" s="9"/>
      <c r="AA38" s="9"/>
    </row>
    <row r="39">
      <c r="A39" s="52"/>
      <c r="B39" s="50"/>
      <c r="C39" s="52"/>
      <c r="D39" s="52"/>
      <c r="E39" s="52"/>
      <c r="F39" s="52"/>
      <c r="G39" s="52"/>
      <c r="H39" s="53"/>
      <c r="I39" s="53"/>
      <c r="J39" s="52"/>
      <c r="K39" s="52"/>
      <c r="L39" s="52"/>
      <c r="M39" s="52"/>
      <c r="N39" s="52"/>
      <c r="O39" s="52"/>
      <c r="P39" s="9"/>
      <c r="Q39" s="9"/>
      <c r="R39" s="9"/>
      <c r="S39" s="50"/>
      <c r="T39" s="50"/>
      <c r="U39" s="9"/>
      <c r="V39" s="9"/>
      <c r="W39" s="9"/>
      <c r="X39" s="9"/>
      <c r="Y39" s="9"/>
      <c r="Z39" s="9"/>
      <c r="AA39" s="9"/>
    </row>
    <row r="40">
      <c r="A40" s="52"/>
      <c r="B40" s="50"/>
      <c r="C40" s="52"/>
      <c r="D40" s="52"/>
      <c r="E40" s="52"/>
      <c r="F40" s="52"/>
      <c r="G40" s="52"/>
      <c r="H40" s="53"/>
      <c r="I40" s="53"/>
      <c r="J40" s="52"/>
      <c r="K40" s="52"/>
      <c r="L40" s="52"/>
      <c r="M40" s="52"/>
      <c r="N40" s="52"/>
      <c r="O40" s="52"/>
      <c r="P40" s="9"/>
      <c r="Q40" s="9"/>
      <c r="R40" s="9"/>
      <c r="S40" s="50"/>
      <c r="T40" s="50"/>
      <c r="U40" s="9"/>
      <c r="V40" s="9"/>
      <c r="W40" s="9"/>
      <c r="X40" s="9"/>
      <c r="Y40" s="9"/>
      <c r="Z40" s="9"/>
      <c r="AA40" s="9"/>
    </row>
    <row r="41">
      <c r="A41" s="52"/>
      <c r="B41" s="50"/>
      <c r="C41" s="52"/>
      <c r="D41" s="52"/>
      <c r="E41" s="52"/>
      <c r="F41" s="52"/>
      <c r="G41" s="52"/>
      <c r="H41" s="53"/>
      <c r="I41" s="53"/>
      <c r="J41" s="52"/>
      <c r="K41" s="52"/>
      <c r="L41" s="52"/>
      <c r="M41" s="52"/>
      <c r="N41" s="52"/>
      <c r="O41" s="52"/>
      <c r="P41" s="9"/>
      <c r="Q41" s="9"/>
      <c r="R41" s="9"/>
      <c r="S41" s="50"/>
      <c r="T41" s="50"/>
      <c r="U41" s="9"/>
      <c r="V41" s="9"/>
      <c r="W41" s="9"/>
      <c r="X41" s="9"/>
      <c r="Y41" s="9"/>
      <c r="Z41" s="9"/>
      <c r="AA41" s="9"/>
    </row>
    <row r="42">
      <c r="A42" s="52"/>
      <c r="B42" s="50"/>
      <c r="C42" s="52"/>
      <c r="D42" s="52"/>
      <c r="E42" s="52"/>
      <c r="F42" s="52"/>
      <c r="G42" s="52"/>
      <c r="H42" s="53"/>
      <c r="I42" s="53"/>
      <c r="J42" s="52"/>
      <c r="K42" s="52"/>
      <c r="L42" s="52"/>
      <c r="M42" s="52"/>
      <c r="N42" s="52"/>
      <c r="O42" s="52"/>
      <c r="P42" s="9"/>
      <c r="Q42" s="9"/>
      <c r="R42" s="9"/>
      <c r="S42" s="50"/>
      <c r="T42" s="50"/>
      <c r="U42" s="9"/>
      <c r="V42" s="9"/>
      <c r="W42" s="9"/>
      <c r="X42" s="9"/>
      <c r="Y42" s="9"/>
      <c r="Z42" s="9"/>
      <c r="AA42" s="9"/>
    </row>
    <row r="43">
      <c r="A43" s="52"/>
      <c r="B43" s="50"/>
      <c r="C43" s="52"/>
      <c r="D43" s="52"/>
      <c r="E43" s="52"/>
      <c r="F43" s="52"/>
      <c r="G43" s="52"/>
      <c r="H43" s="53"/>
      <c r="I43" s="53"/>
      <c r="J43" s="52"/>
      <c r="K43" s="52"/>
      <c r="L43" s="52"/>
      <c r="M43" s="52"/>
      <c r="N43" s="52"/>
      <c r="O43" s="52"/>
      <c r="P43" s="9"/>
      <c r="Q43" s="9"/>
      <c r="R43" s="9"/>
      <c r="S43" s="50"/>
      <c r="T43" s="50"/>
      <c r="U43" s="9"/>
      <c r="V43" s="9"/>
      <c r="W43" s="9"/>
      <c r="X43" s="9"/>
      <c r="Y43" s="9"/>
      <c r="Z43" s="9"/>
      <c r="AA43" s="9"/>
    </row>
    <row r="44">
      <c r="A44" s="52"/>
      <c r="B44" s="50"/>
      <c r="C44" s="52"/>
      <c r="D44" s="52"/>
      <c r="E44" s="52"/>
      <c r="F44" s="52"/>
      <c r="G44" s="52"/>
      <c r="H44" s="53"/>
      <c r="I44" s="53"/>
      <c r="J44" s="52"/>
      <c r="K44" s="52"/>
      <c r="L44" s="52"/>
      <c r="M44" s="52"/>
      <c r="N44" s="52"/>
      <c r="O44" s="52"/>
      <c r="P44" s="9"/>
      <c r="Q44" s="9"/>
      <c r="R44" s="9"/>
      <c r="S44" s="50"/>
      <c r="T44" s="50"/>
      <c r="U44" s="9"/>
      <c r="V44" s="9"/>
      <c r="W44" s="9"/>
      <c r="X44" s="9"/>
      <c r="Y44" s="9"/>
      <c r="Z44" s="9"/>
      <c r="AA44" s="9"/>
    </row>
    <row r="45">
      <c r="A45" s="52"/>
      <c r="B45" s="50"/>
      <c r="C45" s="52"/>
      <c r="D45" s="52"/>
      <c r="E45" s="52"/>
      <c r="F45" s="52"/>
      <c r="G45" s="52"/>
      <c r="H45" s="53"/>
      <c r="I45" s="53"/>
      <c r="J45" s="52"/>
      <c r="K45" s="52"/>
      <c r="L45" s="52"/>
      <c r="M45" s="52"/>
      <c r="N45" s="52"/>
      <c r="O45" s="52"/>
      <c r="P45" s="9"/>
      <c r="Q45" s="9"/>
      <c r="R45" s="9"/>
      <c r="S45" s="50"/>
      <c r="T45" s="50"/>
      <c r="U45" s="9"/>
      <c r="V45" s="9"/>
      <c r="W45" s="9"/>
      <c r="X45" s="9"/>
      <c r="Y45" s="9"/>
      <c r="Z45" s="9"/>
      <c r="AA45" s="9"/>
    </row>
    <row r="46">
      <c r="A46" s="52"/>
      <c r="B46" s="50"/>
      <c r="C46" s="52"/>
      <c r="D46" s="52"/>
      <c r="E46" s="52"/>
      <c r="F46" s="52"/>
      <c r="G46" s="52"/>
      <c r="H46" s="53"/>
      <c r="I46" s="53"/>
      <c r="J46" s="52"/>
      <c r="K46" s="52"/>
      <c r="L46" s="52"/>
      <c r="M46" s="52"/>
      <c r="N46" s="52"/>
      <c r="O46" s="52"/>
      <c r="P46" s="9"/>
      <c r="Q46" s="9"/>
      <c r="R46" s="9"/>
      <c r="S46" s="50"/>
      <c r="T46" s="50"/>
      <c r="U46" s="9"/>
      <c r="V46" s="9"/>
      <c r="W46" s="9"/>
      <c r="X46" s="9"/>
      <c r="Y46" s="9"/>
      <c r="Z46" s="9"/>
      <c r="AA46" s="9"/>
    </row>
    <row r="47">
      <c r="A47" s="52"/>
      <c r="B47" s="50"/>
      <c r="C47" s="52"/>
      <c r="D47" s="52"/>
      <c r="E47" s="52"/>
      <c r="F47" s="52"/>
      <c r="G47" s="52"/>
      <c r="H47" s="53"/>
      <c r="I47" s="53"/>
      <c r="J47" s="52"/>
      <c r="K47" s="52"/>
      <c r="L47" s="52"/>
      <c r="M47" s="52"/>
      <c r="N47" s="52"/>
      <c r="O47" s="52"/>
      <c r="P47" s="9"/>
      <c r="Q47" s="9"/>
      <c r="R47" s="9"/>
      <c r="S47" s="50"/>
      <c r="T47" s="50"/>
      <c r="U47" s="9"/>
      <c r="V47" s="9"/>
      <c r="W47" s="9"/>
      <c r="X47" s="9"/>
      <c r="Y47" s="9"/>
      <c r="Z47" s="9"/>
      <c r="AA47" s="9"/>
    </row>
    <row r="48">
      <c r="A48" s="52"/>
      <c r="B48" s="50"/>
      <c r="C48" s="52"/>
      <c r="D48" s="52"/>
      <c r="E48" s="52"/>
      <c r="F48" s="52"/>
      <c r="G48" s="52"/>
      <c r="H48" s="53"/>
      <c r="I48" s="53"/>
      <c r="J48" s="52"/>
      <c r="K48" s="52"/>
      <c r="L48" s="52"/>
      <c r="M48" s="52"/>
      <c r="N48" s="52"/>
      <c r="O48" s="52"/>
      <c r="P48" s="9"/>
      <c r="Q48" s="9"/>
      <c r="R48" s="9"/>
      <c r="S48" s="50"/>
      <c r="T48" s="50"/>
      <c r="U48" s="9"/>
      <c r="V48" s="9"/>
      <c r="W48" s="9"/>
      <c r="X48" s="9"/>
      <c r="Y48" s="9"/>
      <c r="Z48" s="9"/>
      <c r="AA48" s="9"/>
    </row>
    <row r="49">
      <c r="A49" s="52"/>
      <c r="B49" s="50"/>
      <c r="C49" s="52"/>
      <c r="D49" s="52"/>
      <c r="E49" s="52"/>
      <c r="F49" s="52"/>
      <c r="G49" s="52"/>
      <c r="H49" s="53"/>
      <c r="I49" s="53"/>
      <c r="J49" s="52"/>
      <c r="K49" s="52"/>
      <c r="L49" s="52"/>
      <c r="M49" s="52"/>
      <c r="N49" s="52"/>
      <c r="O49" s="52"/>
      <c r="P49" s="9"/>
      <c r="Q49" s="9"/>
      <c r="R49" s="9"/>
      <c r="S49" s="50"/>
      <c r="T49" s="50"/>
      <c r="U49" s="9"/>
      <c r="V49" s="9"/>
      <c r="W49" s="9"/>
      <c r="X49" s="9"/>
      <c r="Y49" s="9"/>
      <c r="Z49" s="9"/>
      <c r="AA49" s="9"/>
    </row>
    <row r="50">
      <c r="A50" s="52"/>
      <c r="B50" s="50"/>
      <c r="C50" s="52"/>
      <c r="D50" s="52"/>
      <c r="E50" s="52"/>
      <c r="F50" s="52"/>
      <c r="G50" s="52"/>
      <c r="H50" s="53"/>
      <c r="I50" s="53"/>
      <c r="J50" s="52"/>
      <c r="K50" s="52"/>
      <c r="L50" s="52"/>
      <c r="M50" s="52"/>
      <c r="N50" s="52"/>
      <c r="O50" s="52"/>
      <c r="P50" s="9"/>
      <c r="Q50" s="9"/>
      <c r="R50" s="9"/>
      <c r="S50" s="50"/>
      <c r="T50" s="50"/>
      <c r="U50" s="9"/>
      <c r="V50" s="9"/>
      <c r="W50" s="9"/>
      <c r="X50" s="9"/>
      <c r="Y50" s="9"/>
      <c r="Z50" s="9"/>
      <c r="AA50" s="9"/>
    </row>
    <row r="51">
      <c r="A51" s="52"/>
      <c r="B51" s="50"/>
      <c r="C51" s="52"/>
      <c r="D51" s="52"/>
      <c r="E51" s="52"/>
      <c r="F51" s="52"/>
      <c r="G51" s="52"/>
      <c r="H51" s="53"/>
      <c r="I51" s="53"/>
      <c r="J51" s="52"/>
      <c r="K51" s="52"/>
      <c r="L51" s="52"/>
      <c r="M51" s="52"/>
      <c r="N51" s="52"/>
      <c r="O51" s="52"/>
      <c r="P51" s="9"/>
      <c r="Q51" s="9"/>
      <c r="R51" s="9"/>
      <c r="S51" s="50"/>
      <c r="T51" s="50"/>
      <c r="U51" s="9"/>
      <c r="V51" s="9"/>
      <c r="W51" s="9"/>
      <c r="X51" s="9"/>
      <c r="Y51" s="9"/>
      <c r="Z51" s="9"/>
      <c r="AA51" s="9"/>
    </row>
    <row r="52">
      <c r="A52" s="52"/>
      <c r="B52" s="50"/>
      <c r="C52" s="52"/>
      <c r="D52" s="52"/>
      <c r="E52" s="52"/>
      <c r="F52" s="52"/>
      <c r="G52" s="52"/>
      <c r="H52" s="53"/>
      <c r="I52" s="53"/>
      <c r="J52" s="52"/>
      <c r="K52" s="52"/>
      <c r="L52" s="52"/>
      <c r="M52" s="52"/>
      <c r="N52" s="52"/>
      <c r="O52" s="52"/>
      <c r="P52" s="9"/>
      <c r="Q52" s="9"/>
      <c r="R52" s="9"/>
      <c r="S52" s="50"/>
      <c r="T52" s="50"/>
      <c r="U52" s="9"/>
      <c r="V52" s="9"/>
      <c r="W52" s="9"/>
      <c r="X52" s="9"/>
      <c r="Y52" s="9"/>
      <c r="Z52" s="9"/>
      <c r="AA52" s="9"/>
    </row>
    <row r="53">
      <c r="A53" s="52"/>
      <c r="B53" s="50"/>
      <c r="C53" s="52"/>
      <c r="D53" s="52"/>
      <c r="E53" s="52"/>
      <c r="F53" s="52"/>
      <c r="G53" s="52"/>
      <c r="H53" s="53"/>
      <c r="I53" s="53"/>
      <c r="J53" s="52"/>
      <c r="K53" s="52"/>
      <c r="L53" s="52"/>
      <c r="M53" s="52"/>
      <c r="N53" s="52"/>
      <c r="O53" s="52"/>
      <c r="P53" s="9"/>
      <c r="Q53" s="9"/>
      <c r="R53" s="9"/>
      <c r="S53" s="50"/>
      <c r="T53" s="50"/>
      <c r="U53" s="9"/>
      <c r="V53" s="9"/>
      <c r="W53" s="9"/>
      <c r="X53" s="9"/>
      <c r="Y53" s="9"/>
      <c r="Z53" s="9"/>
      <c r="AA53" s="9"/>
    </row>
    <row r="54">
      <c r="A54" s="52"/>
      <c r="B54" s="50"/>
      <c r="C54" s="52"/>
      <c r="D54" s="52"/>
      <c r="E54" s="52"/>
      <c r="F54" s="52"/>
      <c r="G54" s="52"/>
      <c r="H54" s="53"/>
      <c r="I54" s="53"/>
      <c r="J54" s="52"/>
      <c r="K54" s="52"/>
      <c r="L54" s="52"/>
      <c r="M54" s="52"/>
      <c r="N54" s="52"/>
      <c r="O54" s="52"/>
      <c r="P54" s="9"/>
      <c r="Q54" s="9"/>
      <c r="R54" s="9"/>
      <c r="S54" s="50"/>
      <c r="T54" s="50"/>
      <c r="U54" s="9"/>
      <c r="V54" s="9"/>
      <c r="W54" s="9"/>
      <c r="X54" s="9"/>
      <c r="Y54" s="9"/>
      <c r="Z54" s="9"/>
      <c r="AA54" s="9"/>
    </row>
    <row r="55">
      <c r="A55" s="52"/>
      <c r="B55" s="50"/>
      <c r="C55" s="52"/>
      <c r="D55" s="52"/>
      <c r="E55" s="52"/>
      <c r="F55" s="52"/>
      <c r="G55" s="52"/>
      <c r="H55" s="53"/>
      <c r="I55" s="53"/>
      <c r="J55" s="52"/>
      <c r="K55" s="52"/>
      <c r="L55" s="52"/>
      <c r="M55" s="52"/>
      <c r="N55" s="52"/>
      <c r="O55" s="52"/>
      <c r="P55" s="9"/>
      <c r="Q55" s="9"/>
      <c r="R55" s="9"/>
      <c r="S55" s="50"/>
      <c r="T55" s="50"/>
      <c r="U55" s="9"/>
      <c r="V55" s="9"/>
      <c r="W55" s="9"/>
      <c r="X55" s="9"/>
      <c r="Y55" s="9"/>
      <c r="Z55" s="9"/>
      <c r="AA55" s="9"/>
    </row>
    <row r="56">
      <c r="A56" s="52"/>
      <c r="B56" s="50"/>
      <c r="C56" s="52"/>
      <c r="D56" s="52"/>
      <c r="E56" s="52"/>
      <c r="F56" s="52"/>
      <c r="G56" s="52"/>
      <c r="H56" s="53"/>
      <c r="I56" s="53"/>
      <c r="J56" s="52"/>
      <c r="K56" s="52"/>
      <c r="L56" s="52"/>
      <c r="M56" s="52"/>
      <c r="N56" s="52"/>
      <c r="O56" s="52"/>
      <c r="P56" s="9"/>
      <c r="Q56" s="9"/>
      <c r="R56" s="9"/>
      <c r="S56" s="50"/>
      <c r="T56" s="50"/>
      <c r="U56" s="9"/>
      <c r="V56" s="9"/>
      <c r="W56" s="9"/>
      <c r="X56" s="9"/>
      <c r="Y56" s="9"/>
      <c r="Z56" s="9"/>
      <c r="AA56" s="9"/>
    </row>
    <row r="57">
      <c r="A57" s="52"/>
      <c r="B57" s="50"/>
      <c r="C57" s="52"/>
      <c r="D57" s="52"/>
      <c r="E57" s="52"/>
      <c r="F57" s="52"/>
      <c r="G57" s="52"/>
      <c r="H57" s="53"/>
      <c r="I57" s="53"/>
      <c r="J57" s="52"/>
      <c r="K57" s="52"/>
      <c r="L57" s="52"/>
      <c r="M57" s="52"/>
      <c r="N57" s="52"/>
      <c r="O57" s="52"/>
      <c r="P57" s="9"/>
      <c r="Q57" s="9"/>
      <c r="R57" s="9"/>
      <c r="S57" s="50"/>
      <c r="T57" s="50"/>
      <c r="U57" s="9"/>
      <c r="V57" s="9"/>
      <c r="W57" s="9"/>
      <c r="X57" s="9"/>
      <c r="Y57" s="9"/>
      <c r="Z57" s="9"/>
      <c r="AA57" s="9"/>
    </row>
    <row r="58">
      <c r="A58" s="52"/>
      <c r="B58" s="50"/>
      <c r="C58" s="52"/>
      <c r="D58" s="52"/>
      <c r="E58" s="52"/>
      <c r="F58" s="52"/>
      <c r="G58" s="52"/>
      <c r="H58" s="53"/>
      <c r="I58" s="53"/>
      <c r="J58" s="52"/>
      <c r="K58" s="52"/>
      <c r="L58" s="52"/>
      <c r="M58" s="52"/>
      <c r="N58" s="52"/>
      <c r="O58" s="52"/>
      <c r="P58" s="9"/>
      <c r="Q58" s="9"/>
      <c r="R58" s="9"/>
      <c r="S58" s="50"/>
      <c r="T58" s="50"/>
      <c r="U58" s="9"/>
      <c r="V58" s="9"/>
      <c r="W58" s="9"/>
      <c r="X58" s="9"/>
      <c r="Y58" s="9"/>
      <c r="Z58" s="9"/>
      <c r="AA58" s="9"/>
    </row>
    <row r="59">
      <c r="A59" s="52"/>
      <c r="B59" s="50"/>
      <c r="C59" s="52"/>
      <c r="D59" s="52"/>
      <c r="E59" s="52"/>
      <c r="F59" s="52"/>
      <c r="G59" s="52"/>
      <c r="H59" s="53"/>
      <c r="I59" s="53"/>
      <c r="J59" s="52"/>
      <c r="K59" s="52"/>
      <c r="L59" s="52"/>
      <c r="M59" s="52"/>
      <c r="N59" s="52"/>
      <c r="O59" s="52"/>
      <c r="P59" s="9"/>
      <c r="Q59" s="9"/>
      <c r="R59" s="9"/>
      <c r="S59" s="50"/>
      <c r="T59" s="50"/>
      <c r="U59" s="9"/>
      <c r="V59" s="9"/>
      <c r="W59" s="9"/>
      <c r="X59" s="9"/>
      <c r="Y59" s="9"/>
      <c r="Z59" s="9"/>
      <c r="AA59" s="9"/>
    </row>
    <row r="60">
      <c r="A60" s="52"/>
      <c r="B60" s="50"/>
      <c r="C60" s="52"/>
      <c r="D60" s="52"/>
      <c r="E60" s="52"/>
      <c r="F60" s="52"/>
      <c r="G60" s="52"/>
      <c r="H60" s="53"/>
      <c r="I60" s="53"/>
      <c r="J60" s="52"/>
      <c r="K60" s="52"/>
      <c r="L60" s="52"/>
      <c r="M60" s="52"/>
      <c r="N60" s="52"/>
      <c r="O60" s="52"/>
      <c r="P60" s="9"/>
      <c r="Q60" s="9"/>
      <c r="R60" s="9"/>
      <c r="S60" s="50"/>
      <c r="T60" s="50"/>
      <c r="U60" s="9"/>
      <c r="V60" s="9"/>
      <c r="W60" s="9"/>
      <c r="X60" s="9"/>
      <c r="Y60" s="9"/>
      <c r="Z60" s="9"/>
      <c r="AA60" s="9"/>
    </row>
    <row r="61">
      <c r="A61" s="52"/>
      <c r="B61" s="50"/>
      <c r="C61" s="52"/>
      <c r="D61" s="52"/>
      <c r="E61" s="52"/>
      <c r="F61" s="52"/>
      <c r="G61" s="52"/>
      <c r="H61" s="53"/>
      <c r="I61" s="53"/>
      <c r="J61" s="52"/>
      <c r="K61" s="52"/>
      <c r="L61" s="52"/>
      <c r="M61" s="52"/>
      <c r="N61" s="52"/>
      <c r="O61" s="52"/>
      <c r="P61" s="9"/>
      <c r="Q61" s="9"/>
      <c r="R61" s="9"/>
      <c r="S61" s="50"/>
      <c r="T61" s="50"/>
      <c r="U61" s="9"/>
      <c r="V61" s="9"/>
      <c r="W61" s="9"/>
      <c r="X61" s="9"/>
      <c r="Y61" s="9"/>
      <c r="Z61" s="9"/>
      <c r="AA61" s="9"/>
    </row>
    <row r="62">
      <c r="A62" s="52"/>
      <c r="B62" s="50"/>
      <c r="C62" s="52"/>
      <c r="D62" s="52"/>
      <c r="E62" s="52"/>
      <c r="F62" s="52"/>
      <c r="G62" s="52"/>
      <c r="H62" s="53"/>
      <c r="I62" s="53"/>
      <c r="J62" s="52"/>
      <c r="K62" s="52"/>
      <c r="L62" s="52"/>
      <c r="M62" s="52"/>
      <c r="N62" s="52"/>
      <c r="O62" s="52"/>
      <c r="P62" s="9"/>
      <c r="Q62" s="9"/>
      <c r="R62" s="9"/>
      <c r="S62" s="50"/>
      <c r="T62" s="50"/>
      <c r="U62" s="9"/>
      <c r="V62" s="9"/>
      <c r="W62" s="9"/>
      <c r="X62" s="9"/>
      <c r="Y62" s="9"/>
      <c r="Z62" s="9"/>
      <c r="AA62" s="9"/>
    </row>
    <row r="63">
      <c r="A63" s="52"/>
      <c r="B63" s="50"/>
      <c r="C63" s="52"/>
      <c r="D63" s="52"/>
      <c r="E63" s="52"/>
      <c r="F63" s="52"/>
      <c r="G63" s="52"/>
      <c r="H63" s="53"/>
      <c r="I63" s="53"/>
      <c r="J63" s="52"/>
      <c r="K63" s="52"/>
      <c r="L63" s="52"/>
      <c r="M63" s="52"/>
      <c r="N63" s="52"/>
      <c r="O63" s="52"/>
      <c r="P63" s="9"/>
      <c r="Q63" s="9"/>
      <c r="R63" s="9"/>
      <c r="S63" s="50"/>
      <c r="T63" s="50"/>
      <c r="U63" s="9"/>
      <c r="V63" s="9"/>
      <c r="W63" s="9"/>
      <c r="X63" s="9"/>
      <c r="Y63" s="9"/>
      <c r="Z63" s="9"/>
      <c r="AA63" s="9"/>
    </row>
    <row r="64">
      <c r="A64" s="52"/>
      <c r="B64" s="50"/>
      <c r="C64" s="52"/>
      <c r="D64" s="52"/>
      <c r="E64" s="52"/>
      <c r="F64" s="52"/>
      <c r="G64" s="52"/>
      <c r="H64" s="53"/>
      <c r="I64" s="53"/>
      <c r="J64" s="52"/>
      <c r="K64" s="52"/>
      <c r="L64" s="52"/>
      <c r="M64" s="52"/>
      <c r="N64" s="52"/>
      <c r="O64" s="52"/>
      <c r="P64" s="9"/>
      <c r="Q64" s="9"/>
      <c r="R64" s="9"/>
      <c r="S64" s="50"/>
      <c r="T64" s="50"/>
      <c r="U64" s="9"/>
      <c r="V64" s="9"/>
      <c r="W64" s="9"/>
      <c r="X64" s="9"/>
      <c r="Y64" s="9"/>
      <c r="Z64" s="9"/>
      <c r="AA64" s="9"/>
    </row>
    <row r="65">
      <c r="A65" s="52"/>
      <c r="B65" s="50"/>
      <c r="C65" s="52"/>
      <c r="D65" s="52"/>
      <c r="E65" s="52"/>
      <c r="F65" s="52"/>
      <c r="G65" s="52"/>
      <c r="H65" s="53"/>
      <c r="I65" s="53"/>
      <c r="J65" s="52"/>
      <c r="K65" s="52"/>
      <c r="L65" s="52"/>
      <c r="M65" s="52"/>
      <c r="N65" s="52"/>
      <c r="O65" s="52"/>
      <c r="P65" s="9"/>
      <c r="Q65" s="9"/>
      <c r="R65" s="9"/>
      <c r="S65" s="50"/>
      <c r="T65" s="50"/>
      <c r="U65" s="9"/>
      <c r="V65" s="9"/>
      <c r="W65" s="9"/>
      <c r="X65" s="9"/>
      <c r="Y65" s="9"/>
      <c r="Z65" s="9"/>
      <c r="AA65" s="9"/>
    </row>
    <row r="66">
      <c r="A66" s="52"/>
      <c r="B66" s="50"/>
      <c r="C66" s="52"/>
      <c r="D66" s="52"/>
      <c r="E66" s="52"/>
      <c r="F66" s="52"/>
      <c r="G66" s="52"/>
      <c r="H66" s="53"/>
      <c r="I66" s="53"/>
      <c r="J66" s="52"/>
      <c r="K66" s="52"/>
      <c r="L66" s="52"/>
      <c r="M66" s="52"/>
      <c r="N66" s="52"/>
      <c r="O66" s="52"/>
      <c r="P66" s="9"/>
      <c r="Q66" s="9"/>
      <c r="R66" s="9"/>
      <c r="S66" s="50"/>
      <c r="T66" s="50"/>
      <c r="U66" s="9"/>
      <c r="V66" s="9"/>
      <c r="W66" s="9"/>
      <c r="X66" s="9"/>
      <c r="Y66" s="9"/>
      <c r="Z66" s="9"/>
      <c r="AA66" s="9"/>
    </row>
    <row r="67">
      <c r="A67" s="52"/>
      <c r="B67" s="50"/>
      <c r="C67" s="52"/>
      <c r="D67" s="52"/>
      <c r="E67" s="52"/>
      <c r="F67" s="52"/>
      <c r="G67" s="52"/>
      <c r="H67" s="53"/>
      <c r="I67" s="53"/>
      <c r="J67" s="52"/>
      <c r="K67" s="52"/>
      <c r="L67" s="52"/>
      <c r="M67" s="52"/>
      <c r="N67" s="52"/>
      <c r="O67" s="52"/>
      <c r="P67" s="9"/>
      <c r="Q67" s="9"/>
      <c r="R67" s="9"/>
      <c r="S67" s="50"/>
      <c r="T67" s="50"/>
      <c r="U67" s="9"/>
      <c r="V67" s="9"/>
      <c r="W67" s="9"/>
      <c r="X67" s="9"/>
      <c r="Y67" s="9"/>
      <c r="Z67" s="9"/>
      <c r="AA67" s="9"/>
    </row>
    <row r="68">
      <c r="A68" s="52"/>
      <c r="B68" s="50"/>
      <c r="C68" s="52"/>
      <c r="D68" s="52"/>
      <c r="E68" s="52"/>
      <c r="F68" s="52"/>
      <c r="G68" s="52"/>
      <c r="H68" s="53"/>
      <c r="I68" s="53"/>
      <c r="J68" s="52"/>
      <c r="K68" s="52"/>
      <c r="L68" s="52"/>
      <c r="M68" s="52"/>
      <c r="N68" s="52"/>
      <c r="O68" s="52"/>
      <c r="P68" s="9"/>
      <c r="Q68" s="9"/>
      <c r="R68" s="9"/>
      <c r="S68" s="50"/>
      <c r="T68" s="50"/>
      <c r="U68" s="9"/>
      <c r="V68" s="9"/>
      <c r="W68" s="9"/>
      <c r="X68" s="9"/>
      <c r="Y68" s="9"/>
      <c r="Z68" s="9"/>
      <c r="AA68" s="9"/>
    </row>
    <row r="69">
      <c r="A69" s="52"/>
      <c r="B69" s="50"/>
      <c r="C69" s="52"/>
      <c r="D69" s="52"/>
      <c r="E69" s="52"/>
      <c r="F69" s="52"/>
      <c r="G69" s="52"/>
      <c r="H69" s="53"/>
      <c r="I69" s="53"/>
      <c r="J69" s="52"/>
      <c r="K69" s="52"/>
      <c r="L69" s="52"/>
      <c r="M69" s="52"/>
      <c r="N69" s="52"/>
      <c r="O69" s="52"/>
      <c r="P69" s="9"/>
      <c r="Q69" s="9"/>
      <c r="R69" s="9"/>
      <c r="S69" s="50"/>
      <c r="T69" s="50"/>
      <c r="U69" s="9"/>
      <c r="V69" s="9"/>
      <c r="W69" s="9"/>
      <c r="X69" s="9"/>
      <c r="Y69" s="9"/>
      <c r="Z69" s="9"/>
      <c r="AA69" s="9"/>
    </row>
    <row r="70">
      <c r="A70" s="52"/>
      <c r="B70" s="50"/>
      <c r="C70" s="52"/>
      <c r="D70" s="52"/>
      <c r="E70" s="52"/>
      <c r="F70" s="52"/>
      <c r="G70" s="52"/>
      <c r="H70" s="53"/>
      <c r="I70" s="53"/>
      <c r="J70" s="52"/>
      <c r="K70" s="52"/>
      <c r="L70" s="52"/>
      <c r="M70" s="52"/>
      <c r="N70" s="52"/>
      <c r="O70" s="52"/>
      <c r="P70" s="9"/>
      <c r="Q70" s="9"/>
      <c r="R70" s="9"/>
      <c r="S70" s="50"/>
      <c r="T70" s="50"/>
      <c r="U70" s="9"/>
      <c r="V70" s="9"/>
      <c r="W70" s="9"/>
      <c r="X70" s="9"/>
      <c r="Y70" s="9"/>
      <c r="Z70" s="9"/>
      <c r="AA70" s="9"/>
    </row>
    <row r="71">
      <c r="A71" s="52"/>
      <c r="B71" s="50"/>
      <c r="C71" s="52"/>
      <c r="D71" s="52"/>
      <c r="E71" s="52"/>
      <c r="F71" s="52"/>
      <c r="G71" s="52"/>
      <c r="H71" s="53"/>
      <c r="I71" s="53"/>
      <c r="J71" s="52"/>
      <c r="K71" s="52"/>
      <c r="L71" s="52"/>
      <c r="M71" s="52"/>
      <c r="N71" s="52"/>
      <c r="O71" s="52"/>
      <c r="P71" s="9"/>
      <c r="Q71" s="9"/>
      <c r="R71" s="9"/>
      <c r="S71" s="50"/>
      <c r="T71" s="50"/>
      <c r="U71" s="9"/>
      <c r="V71" s="9"/>
      <c r="W71" s="9"/>
      <c r="X71" s="9"/>
      <c r="Y71" s="9"/>
      <c r="Z71" s="9"/>
      <c r="AA71" s="9"/>
    </row>
    <row r="72">
      <c r="A72" s="52"/>
      <c r="B72" s="50"/>
      <c r="C72" s="52"/>
      <c r="D72" s="52"/>
      <c r="E72" s="52"/>
      <c r="F72" s="52"/>
      <c r="G72" s="52"/>
      <c r="H72" s="53"/>
      <c r="I72" s="53"/>
      <c r="J72" s="52"/>
      <c r="K72" s="52"/>
      <c r="L72" s="52"/>
      <c r="M72" s="52"/>
      <c r="N72" s="52"/>
      <c r="O72" s="52"/>
      <c r="P72" s="9"/>
      <c r="Q72" s="9"/>
      <c r="R72" s="9"/>
      <c r="S72" s="50"/>
      <c r="T72" s="50"/>
      <c r="U72" s="9"/>
      <c r="V72" s="9"/>
      <c r="W72" s="9"/>
      <c r="X72" s="9"/>
      <c r="Y72" s="9"/>
      <c r="Z72" s="9"/>
      <c r="AA72" s="9"/>
    </row>
    <row r="73">
      <c r="A73" s="52"/>
      <c r="B73" s="50"/>
      <c r="C73" s="52"/>
      <c r="D73" s="52"/>
      <c r="E73" s="52"/>
      <c r="F73" s="52"/>
      <c r="G73" s="52"/>
      <c r="H73" s="53"/>
      <c r="I73" s="53"/>
      <c r="J73" s="52"/>
      <c r="K73" s="52"/>
      <c r="L73" s="52"/>
      <c r="M73" s="52"/>
      <c r="N73" s="52"/>
      <c r="O73" s="52"/>
      <c r="P73" s="9"/>
      <c r="Q73" s="9"/>
      <c r="R73" s="9"/>
      <c r="S73" s="50"/>
      <c r="T73" s="50"/>
      <c r="U73" s="9"/>
      <c r="V73" s="9"/>
      <c r="W73" s="9"/>
      <c r="X73" s="9"/>
      <c r="Y73" s="9"/>
      <c r="Z73" s="9"/>
      <c r="AA73" s="9"/>
    </row>
    <row r="74">
      <c r="A74" s="52"/>
      <c r="B74" s="50"/>
      <c r="C74" s="52"/>
      <c r="D74" s="52"/>
      <c r="E74" s="52"/>
      <c r="F74" s="52"/>
      <c r="G74" s="52"/>
      <c r="H74" s="53"/>
      <c r="I74" s="53"/>
      <c r="J74" s="52"/>
      <c r="K74" s="52"/>
      <c r="L74" s="52"/>
      <c r="M74" s="52"/>
      <c r="N74" s="52"/>
      <c r="O74" s="52"/>
      <c r="P74" s="9"/>
      <c r="Q74" s="9"/>
      <c r="R74" s="9"/>
      <c r="S74" s="50"/>
      <c r="T74" s="50"/>
      <c r="U74" s="9"/>
      <c r="V74" s="9"/>
      <c r="W74" s="9"/>
      <c r="X74" s="9"/>
      <c r="Y74" s="9"/>
      <c r="Z74" s="9"/>
      <c r="AA74" s="9"/>
    </row>
    <row r="75">
      <c r="A75" s="52"/>
      <c r="B75" s="50"/>
      <c r="C75" s="52"/>
      <c r="D75" s="52"/>
      <c r="E75" s="52"/>
      <c r="F75" s="52"/>
      <c r="G75" s="52"/>
      <c r="H75" s="53"/>
      <c r="I75" s="53"/>
      <c r="J75" s="52"/>
      <c r="K75" s="52"/>
      <c r="L75" s="52"/>
      <c r="M75" s="52"/>
      <c r="N75" s="52"/>
      <c r="O75" s="52"/>
      <c r="P75" s="9"/>
      <c r="Q75" s="9"/>
      <c r="R75" s="9"/>
      <c r="S75" s="50"/>
      <c r="T75" s="50"/>
      <c r="U75" s="9"/>
      <c r="V75" s="9"/>
      <c r="W75" s="9"/>
      <c r="X75" s="9"/>
      <c r="Y75" s="9"/>
      <c r="Z75" s="9"/>
      <c r="AA75" s="9"/>
    </row>
    <row r="76">
      <c r="A76" s="52"/>
      <c r="B76" s="50"/>
      <c r="C76" s="52"/>
      <c r="D76" s="52"/>
      <c r="E76" s="52"/>
      <c r="F76" s="52"/>
      <c r="G76" s="52"/>
      <c r="H76" s="53"/>
      <c r="I76" s="53"/>
      <c r="J76" s="52"/>
      <c r="K76" s="52"/>
      <c r="L76" s="52"/>
      <c r="M76" s="52"/>
      <c r="N76" s="52"/>
      <c r="O76" s="52"/>
      <c r="P76" s="9"/>
      <c r="Q76" s="9"/>
      <c r="R76" s="9"/>
      <c r="S76" s="50"/>
      <c r="T76" s="50"/>
      <c r="U76" s="9"/>
      <c r="V76" s="9"/>
      <c r="W76" s="9"/>
      <c r="X76" s="9"/>
      <c r="Y76" s="9"/>
      <c r="Z76" s="9"/>
      <c r="AA76" s="9"/>
    </row>
    <row r="77">
      <c r="A77" s="52"/>
      <c r="B77" s="50"/>
      <c r="C77" s="52"/>
      <c r="D77" s="52"/>
      <c r="E77" s="52"/>
      <c r="F77" s="52"/>
      <c r="G77" s="52"/>
      <c r="H77" s="53"/>
      <c r="I77" s="53"/>
      <c r="J77" s="52"/>
      <c r="K77" s="52"/>
      <c r="L77" s="52"/>
      <c r="M77" s="52"/>
      <c r="N77" s="52"/>
      <c r="O77" s="52"/>
      <c r="P77" s="9"/>
      <c r="Q77" s="9"/>
      <c r="R77" s="9"/>
      <c r="S77" s="50"/>
      <c r="T77" s="50"/>
      <c r="U77" s="9"/>
      <c r="V77" s="9"/>
      <c r="W77" s="9"/>
      <c r="X77" s="9"/>
      <c r="Y77" s="9"/>
      <c r="Z77" s="9"/>
      <c r="AA77" s="9"/>
    </row>
    <row r="78">
      <c r="A78" s="52"/>
      <c r="B78" s="50"/>
      <c r="C78" s="52"/>
      <c r="D78" s="52"/>
      <c r="E78" s="52"/>
      <c r="F78" s="52"/>
      <c r="G78" s="52"/>
      <c r="H78" s="53"/>
      <c r="I78" s="53"/>
      <c r="J78" s="52"/>
      <c r="K78" s="52"/>
      <c r="L78" s="52"/>
      <c r="M78" s="52"/>
      <c r="N78" s="52"/>
      <c r="O78" s="52"/>
      <c r="P78" s="9"/>
      <c r="Q78" s="9"/>
      <c r="R78" s="9"/>
      <c r="S78" s="50"/>
      <c r="T78" s="50"/>
      <c r="U78" s="9"/>
      <c r="V78" s="9"/>
      <c r="W78" s="9"/>
      <c r="X78" s="9"/>
      <c r="Y78" s="9"/>
      <c r="Z78" s="9"/>
      <c r="AA78" s="9"/>
    </row>
    <row r="79">
      <c r="A79" s="52"/>
      <c r="B79" s="50"/>
      <c r="C79" s="52"/>
      <c r="D79" s="52"/>
      <c r="E79" s="52"/>
      <c r="F79" s="52"/>
      <c r="G79" s="52"/>
      <c r="H79" s="53"/>
      <c r="I79" s="53"/>
      <c r="J79" s="52"/>
      <c r="K79" s="52"/>
      <c r="L79" s="52"/>
      <c r="M79" s="52"/>
      <c r="N79" s="52"/>
      <c r="O79" s="52"/>
      <c r="P79" s="9"/>
      <c r="Q79" s="9"/>
      <c r="R79" s="9"/>
      <c r="S79" s="50"/>
      <c r="T79" s="50"/>
      <c r="U79" s="9"/>
      <c r="V79" s="9"/>
      <c r="W79" s="9"/>
      <c r="X79" s="9"/>
      <c r="Y79" s="9"/>
      <c r="Z79" s="9"/>
      <c r="AA79" s="9"/>
    </row>
    <row r="80">
      <c r="A80" s="52"/>
      <c r="B80" s="50"/>
      <c r="C80" s="52"/>
      <c r="D80" s="52"/>
      <c r="E80" s="52"/>
      <c r="F80" s="52"/>
      <c r="G80" s="52"/>
      <c r="H80" s="53"/>
      <c r="I80" s="53"/>
      <c r="J80" s="52"/>
      <c r="K80" s="52"/>
      <c r="L80" s="52"/>
      <c r="M80" s="52"/>
      <c r="N80" s="52"/>
      <c r="O80" s="52"/>
      <c r="P80" s="9"/>
      <c r="Q80" s="9"/>
      <c r="R80" s="9"/>
      <c r="S80" s="50"/>
      <c r="T80" s="50"/>
      <c r="U80" s="9"/>
      <c r="V80" s="9"/>
      <c r="W80" s="9"/>
      <c r="X80" s="9"/>
      <c r="Y80" s="9"/>
      <c r="Z80" s="9"/>
      <c r="AA80" s="9"/>
    </row>
    <row r="81">
      <c r="A81" s="52"/>
      <c r="B81" s="50"/>
      <c r="C81" s="52"/>
      <c r="D81" s="52"/>
      <c r="E81" s="52"/>
      <c r="F81" s="52"/>
      <c r="G81" s="52"/>
      <c r="H81" s="53"/>
      <c r="I81" s="53"/>
      <c r="J81" s="52"/>
      <c r="K81" s="52"/>
      <c r="L81" s="52"/>
      <c r="M81" s="52"/>
      <c r="N81" s="52"/>
      <c r="O81" s="52"/>
      <c r="P81" s="9"/>
      <c r="Q81" s="9"/>
      <c r="R81" s="9"/>
      <c r="S81" s="50"/>
      <c r="T81" s="50"/>
      <c r="U81" s="9"/>
      <c r="V81" s="9"/>
      <c r="W81" s="9"/>
      <c r="X81" s="9"/>
      <c r="Y81" s="9"/>
      <c r="Z81" s="9"/>
      <c r="AA81" s="9"/>
    </row>
    <row r="82">
      <c r="A82" s="52"/>
      <c r="B82" s="50"/>
      <c r="C82" s="52"/>
      <c r="D82" s="52"/>
      <c r="E82" s="52"/>
      <c r="F82" s="52"/>
      <c r="G82" s="52"/>
      <c r="H82" s="53"/>
      <c r="I82" s="53"/>
      <c r="J82" s="52"/>
      <c r="K82" s="52"/>
      <c r="L82" s="52"/>
      <c r="M82" s="52"/>
      <c r="N82" s="52"/>
      <c r="O82" s="52"/>
      <c r="P82" s="9"/>
      <c r="Q82" s="9"/>
      <c r="R82" s="9"/>
      <c r="S82" s="50"/>
      <c r="T82" s="50"/>
      <c r="U82" s="9"/>
      <c r="V82" s="9"/>
      <c r="W82" s="9"/>
      <c r="X82" s="9"/>
      <c r="Y82" s="9"/>
      <c r="Z82" s="9"/>
      <c r="AA82" s="9"/>
    </row>
    <row r="83">
      <c r="A83" s="52"/>
      <c r="B83" s="50"/>
      <c r="C83" s="52"/>
      <c r="D83" s="52"/>
      <c r="E83" s="52"/>
      <c r="F83" s="52"/>
      <c r="G83" s="52"/>
      <c r="H83" s="53"/>
      <c r="I83" s="53"/>
      <c r="J83" s="52"/>
      <c r="K83" s="52"/>
      <c r="L83" s="52"/>
      <c r="M83" s="52"/>
      <c r="N83" s="52"/>
      <c r="O83" s="52"/>
      <c r="P83" s="9"/>
      <c r="Q83" s="9"/>
      <c r="R83" s="9"/>
      <c r="S83" s="50"/>
      <c r="T83" s="50"/>
      <c r="U83" s="9"/>
      <c r="V83" s="9"/>
      <c r="W83" s="9"/>
      <c r="X83" s="9"/>
      <c r="Y83" s="9"/>
      <c r="Z83" s="9"/>
      <c r="AA83" s="9"/>
    </row>
    <row r="84">
      <c r="A84" s="52"/>
      <c r="B84" s="50"/>
      <c r="C84" s="52"/>
      <c r="D84" s="52"/>
      <c r="E84" s="52"/>
      <c r="F84" s="52"/>
      <c r="G84" s="52"/>
      <c r="H84" s="53"/>
      <c r="I84" s="53"/>
      <c r="J84" s="52"/>
      <c r="K84" s="52"/>
      <c r="L84" s="52"/>
      <c r="M84" s="52"/>
      <c r="N84" s="52"/>
      <c r="O84" s="52"/>
      <c r="P84" s="9"/>
      <c r="Q84" s="9"/>
      <c r="R84" s="9"/>
      <c r="S84" s="50"/>
      <c r="T84" s="50"/>
      <c r="U84" s="9"/>
      <c r="V84" s="9"/>
      <c r="W84" s="9"/>
      <c r="X84" s="9"/>
      <c r="Y84" s="9"/>
      <c r="Z84" s="9"/>
      <c r="AA84" s="9"/>
    </row>
    <row r="85">
      <c r="A85" s="52"/>
      <c r="B85" s="50"/>
      <c r="C85" s="52"/>
      <c r="D85" s="52"/>
      <c r="E85" s="52"/>
      <c r="F85" s="52"/>
      <c r="G85" s="52"/>
      <c r="H85" s="53"/>
      <c r="I85" s="53"/>
      <c r="J85" s="52"/>
      <c r="K85" s="52"/>
      <c r="L85" s="52"/>
      <c r="M85" s="52"/>
      <c r="N85" s="52"/>
      <c r="O85" s="52"/>
      <c r="P85" s="9"/>
      <c r="Q85" s="9"/>
      <c r="R85" s="9"/>
      <c r="S85" s="50"/>
      <c r="T85" s="50"/>
      <c r="U85" s="9"/>
      <c r="V85" s="9"/>
      <c r="W85" s="9"/>
      <c r="X85" s="9"/>
      <c r="Y85" s="9"/>
      <c r="Z85" s="9"/>
      <c r="AA85" s="9"/>
    </row>
    <row r="86">
      <c r="A86" s="52"/>
      <c r="B86" s="50"/>
      <c r="C86" s="52"/>
      <c r="D86" s="52"/>
      <c r="E86" s="52"/>
      <c r="F86" s="52"/>
      <c r="G86" s="52"/>
      <c r="H86" s="53"/>
      <c r="I86" s="53"/>
      <c r="J86" s="52"/>
      <c r="K86" s="52"/>
      <c r="L86" s="52"/>
      <c r="M86" s="52"/>
      <c r="N86" s="52"/>
      <c r="O86" s="52"/>
      <c r="P86" s="9"/>
      <c r="Q86" s="9"/>
      <c r="R86" s="9"/>
      <c r="S86" s="50"/>
      <c r="T86" s="50"/>
      <c r="U86" s="9"/>
      <c r="V86" s="9"/>
      <c r="W86" s="9"/>
      <c r="X86" s="9"/>
      <c r="Y86" s="9"/>
      <c r="Z86" s="9"/>
      <c r="AA86" s="9"/>
    </row>
    <row r="87">
      <c r="A87" s="52"/>
      <c r="B87" s="50"/>
      <c r="C87" s="52"/>
      <c r="D87" s="52"/>
      <c r="E87" s="52"/>
      <c r="F87" s="52"/>
      <c r="G87" s="52"/>
      <c r="H87" s="53"/>
      <c r="I87" s="53"/>
      <c r="J87" s="52"/>
      <c r="K87" s="52"/>
      <c r="L87" s="52"/>
      <c r="M87" s="52"/>
      <c r="N87" s="52"/>
      <c r="O87" s="52"/>
      <c r="P87" s="9"/>
      <c r="Q87" s="9"/>
      <c r="R87" s="9"/>
      <c r="S87" s="50"/>
      <c r="T87" s="50"/>
      <c r="U87" s="9"/>
      <c r="V87" s="9"/>
      <c r="W87" s="9"/>
      <c r="X87" s="9"/>
      <c r="Y87" s="9"/>
      <c r="Z87" s="9"/>
      <c r="AA87" s="9"/>
    </row>
    <row r="88">
      <c r="A88" s="52"/>
      <c r="B88" s="50"/>
      <c r="C88" s="52"/>
      <c r="D88" s="52"/>
      <c r="E88" s="52"/>
      <c r="F88" s="52"/>
      <c r="G88" s="52"/>
      <c r="H88" s="53"/>
      <c r="I88" s="53"/>
      <c r="J88" s="52"/>
      <c r="K88" s="52"/>
      <c r="L88" s="52"/>
      <c r="M88" s="52"/>
      <c r="N88" s="52"/>
      <c r="O88" s="52"/>
      <c r="P88" s="9"/>
      <c r="Q88" s="9"/>
      <c r="R88" s="9"/>
      <c r="S88" s="50"/>
      <c r="T88" s="50"/>
      <c r="U88" s="9"/>
      <c r="V88" s="9"/>
      <c r="W88" s="9"/>
      <c r="X88" s="9"/>
      <c r="Y88" s="9"/>
      <c r="Z88" s="9"/>
      <c r="AA88" s="9"/>
    </row>
    <row r="89">
      <c r="A89" s="52"/>
      <c r="B89" s="50"/>
      <c r="C89" s="52"/>
      <c r="D89" s="52"/>
      <c r="E89" s="52"/>
      <c r="F89" s="52"/>
      <c r="G89" s="52"/>
      <c r="H89" s="53"/>
      <c r="I89" s="53"/>
      <c r="J89" s="52"/>
      <c r="K89" s="52"/>
      <c r="L89" s="52"/>
      <c r="M89" s="52"/>
      <c r="N89" s="52"/>
      <c r="O89" s="52"/>
      <c r="P89" s="9"/>
      <c r="Q89" s="9"/>
      <c r="R89" s="9"/>
      <c r="S89" s="50"/>
      <c r="T89" s="50"/>
      <c r="U89" s="9"/>
      <c r="V89" s="9"/>
      <c r="W89" s="9"/>
      <c r="X89" s="9"/>
      <c r="Y89" s="9"/>
      <c r="Z89" s="9"/>
      <c r="AA89" s="9"/>
    </row>
    <row r="90">
      <c r="A90" s="52"/>
      <c r="B90" s="50"/>
      <c r="C90" s="52"/>
      <c r="D90" s="52"/>
      <c r="E90" s="52"/>
      <c r="F90" s="52"/>
      <c r="G90" s="52"/>
      <c r="H90" s="53"/>
      <c r="I90" s="53"/>
      <c r="J90" s="52"/>
      <c r="K90" s="52"/>
      <c r="L90" s="52"/>
      <c r="M90" s="52"/>
      <c r="N90" s="52"/>
      <c r="O90" s="52"/>
      <c r="P90" s="9"/>
      <c r="Q90" s="9"/>
      <c r="R90" s="9"/>
      <c r="S90" s="50"/>
      <c r="T90" s="50"/>
      <c r="U90" s="9"/>
      <c r="V90" s="9"/>
      <c r="W90" s="9"/>
      <c r="X90" s="9"/>
      <c r="Y90" s="9"/>
      <c r="Z90" s="9"/>
      <c r="AA90" s="9"/>
    </row>
    <row r="91">
      <c r="A91" s="52"/>
      <c r="B91" s="50"/>
      <c r="C91" s="52"/>
      <c r="D91" s="52"/>
      <c r="E91" s="52"/>
      <c r="F91" s="52"/>
      <c r="G91" s="52"/>
      <c r="H91" s="53"/>
      <c r="I91" s="53"/>
      <c r="J91" s="52"/>
      <c r="K91" s="52"/>
      <c r="L91" s="52"/>
      <c r="M91" s="52"/>
      <c r="N91" s="52"/>
      <c r="O91" s="52"/>
      <c r="P91" s="9"/>
      <c r="Q91" s="9"/>
      <c r="R91" s="9"/>
      <c r="S91" s="50"/>
      <c r="T91" s="50"/>
      <c r="U91" s="9"/>
      <c r="V91" s="9"/>
      <c r="W91" s="9"/>
      <c r="X91" s="9"/>
      <c r="Y91" s="9"/>
      <c r="Z91" s="9"/>
      <c r="AA91" s="9"/>
    </row>
    <row r="92">
      <c r="A92" s="52"/>
      <c r="B92" s="50"/>
      <c r="C92" s="52"/>
      <c r="D92" s="52"/>
      <c r="E92" s="52"/>
      <c r="F92" s="52"/>
      <c r="G92" s="52"/>
      <c r="H92" s="53"/>
      <c r="I92" s="53"/>
      <c r="J92" s="52"/>
      <c r="K92" s="52"/>
      <c r="L92" s="52"/>
      <c r="M92" s="52"/>
      <c r="N92" s="52"/>
      <c r="O92" s="52"/>
      <c r="P92" s="9"/>
      <c r="Q92" s="9"/>
      <c r="R92" s="9"/>
      <c r="S92" s="50"/>
      <c r="T92" s="50"/>
      <c r="U92" s="9"/>
      <c r="V92" s="9"/>
      <c r="W92" s="9"/>
      <c r="X92" s="9"/>
      <c r="Y92" s="9"/>
      <c r="Z92" s="9"/>
      <c r="AA92" s="9"/>
    </row>
    <row r="93">
      <c r="A93" s="52"/>
      <c r="B93" s="50"/>
      <c r="C93" s="52"/>
      <c r="D93" s="52"/>
      <c r="E93" s="52"/>
      <c r="F93" s="52"/>
      <c r="G93" s="52"/>
      <c r="H93" s="53"/>
      <c r="I93" s="53"/>
      <c r="J93" s="52"/>
      <c r="K93" s="52"/>
      <c r="L93" s="52"/>
      <c r="M93" s="52"/>
      <c r="N93" s="52"/>
      <c r="O93" s="52"/>
      <c r="P93" s="9"/>
      <c r="Q93" s="9"/>
      <c r="R93" s="9"/>
      <c r="S93" s="50"/>
      <c r="T93" s="50"/>
      <c r="U93" s="9"/>
      <c r="V93" s="9"/>
      <c r="W93" s="9"/>
      <c r="X93" s="9"/>
      <c r="Y93" s="9"/>
      <c r="Z93" s="9"/>
      <c r="AA93" s="9"/>
    </row>
    <row r="94">
      <c r="A94" s="52"/>
      <c r="B94" s="50"/>
      <c r="C94" s="52"/>
      <c r="D94" s="52"/>
      <c r="E94" s="52"/>
      <c r="F94" s="52"/>
      <c r="G94" s="52"/>
      <c r="H94" s="53"/>
      <c r="I94" s="53"/>
      <c r="J94" s="52"/>
      <c r="K94" s="52"/>
      <c r="L94" s="52"/>
      <c r="M94" s="52"/>
      <c r="N94" s="52"/>
      <c r="O94" s="52"/>
      <c r="P94" s="9"/>
      <c r="Q94" s="9"/>
      <c r="R94" s="9"/>
      <c r="S94" s="50"/>
      <c r="T94" s="50"/>
      <c r="U94" s="9"/>
      <c r="V94" s="9"/>
      <c r="W94" s="9"/>
      <c r="X94" s="9"/>
      <c r="Y94" s="9"/>
      <c r="Z94" s="9"/>
      <c r="AA94" s="9"/>
    </row>
    <row r="95">
      <c r="A95" s="52"/>
      <c r="B95" s="50"/>
      <c r="C95" s="52"/>
      <c r="D95" s="52"/>
      <c r="E95" s="52"/>
      <c r="F95" s="52"/>
      <c r="G95" s="52"/>
      <c r="H95" s="53"/>
      <c r="I95" s="53"/>
      <c r="J95" s="52"/>
      <c r="K95" s="52"/>
      <c r="L95" s="52"/>
      <c r="M95" s="52"/>
      <c r="N95" s="52"/>
      <c r="O95" s="52"/>
      <c r="P95" s="9"/>
      <c r="Q95" s="9"/>
      <c r="R95" s="9"/>
      <c r="S95" s="50"/>
      <c r="T95" s="50"/>
      <c r="U95" s="9"/>
      <c r="V95" s="9"/>
      <c r="W95" s="9"/>
      <c r="X95" s="9"/>
      <c r="Y95" s="9"/>
      <c r="Z95" s="9"/>
      <c r="AA95" s="9"/>
    </row>
    <row r="96">
      <c r="A96" s="52"/>
      <c r="B96" s="50"/>
      <c r="C96" s="52"/>
      <c r="D96" s="52"/>
      <c r="E96" s="52"/>
      <c r="F96" s="52"/>
      <c r="G96" s="52"/>
      <c r="H96" s="53"/>
      <c r="I96" s="53"/>
      <c r="J96" s="52"/>
      <c r="K96" s="52"/>
      <c r="L96" s="52"/>
      <c r="M96" s="52"/>
      <c r="N96" s="52"/>
      <c r="O96" s="52"/>
      <c r="P96" s="9"/>
      <c r="Q96" s="9"/>
      <c r="R96" s="9"/>
      <c r="S96" s="50"/>
      <c r="T96" s="50"/>
      <c r="U96" s="9"/>
      <c r="V96" s="9"/>
      <c r="W96" s="9"/>
      <c r="X96" s="9"/>
      <c r="Y96" s="9"/>
      <c r="Z96" s="9"/>
      <c r="AA96" s="9"/>
    </row>
    <row r="97">
      <c r="A97" s="52"/>
      <c r="B97" s="50"/>
      <c r="C97" s="52"/>
      <c r="D97" s="52"/>
      <c r="E97" s="52"/>
      <c r="F97" s="52"/>
      <c r="G97" s="52"/>
      <c r="H97" s="53"/>
      <c r="I97" s="53"/>
      <c r="J97" s="52"/>
      <c r="K97" s="52"/>
      <c r="L97" s="52"/>
      <c r="M97" s="52"/>
      <c r="N97" s="52"/>
      <c r="O97" s="52"/>
      <c r="P97" s="9"/>
      <c r="Q97" s="9"/>
      <c r="R97" s="9"/>
      <c r="S97" s="50"/>
      <c r="T97" s="50"/>
      <c r="U97" s="9"/>
      <c r="V97" s="9"/>
      <c r="W97" s="9"/>
      <c r="X97" s="9"/>
      <c r="Y97" s="9"/>
      <c r="Z97" s="9"/>
      <c r="AA97" s="9"/>
    </row>
    <row r="98">
      <c r="A98" s="52"/>
      <c r="B98" s="50"/>
      <c r="C98" s="52"/>
      <c r="D98" s="52"/>
      <c r="E98" s="52"/>
      <c r="F98" s="52"/>
      <c r="G98" s="52"/>
      <c r="H98" s="53"/>
      <c r="I98" s="53"/>
      <c r="J98" s="52"/>
      <c r="K98" s="52"/>
      <c r="L98" s="52"/>
      <c r="M98" s="52"/>
      <c r="N98" s="52"/>
      <c r="O98" s="52"/>
      <c r="P98" s="9"/>
      <c r="Q98" s="9"/>
      <c r="R98" s="9"/>
      <c r="S98" s="50"/>
      <c r="T98" s="50"/>
      <c r="U98" s="9"/>
      <c r="V98" s="9"/>
      <c r="W98" s="9"/>
      <c r="X98" s="9"/>
      <c r="Y98" s="9"/>
      <c r="Z98" s="9"/>
      <c r="AA98" s="9"/>
    </row>
    <row r="99">
      <c r="A99" s="52"/>
      <c r="B99" s="50"/>
      <c r="C99" s="52"/>
      <c r="D99" s="52"/>
      <c r="E99" s="52"/>
      <c r="F99" s="52"/>
      <c r="G99" s="52"/>
      <c r="H99" s="53"/>
      <c r="I99" s="53"/>
      <c r="J99" s="52"/>
      <c r="K99" s="52"/>
      <c r="L99" s="52"/>
      <c r="M99" s="52"/>
      <c r="N99" s="52"/>
      <c r="O99" s="52"/>
      <c r="P99" s="9"/>
      <c r="Q99" s="9"/>
      <c r="R99" s="9"/>
      <c r="S99" s="50"/>
      <c r="T99" s="50"/>
      <c r="U99" s="9"/>
      <c r="V99" s="9"/>
      <c r="W99" s="9"/>
      <c r="X99" s="9"/>
      <c r="Y99" s="9"/>
      <c r="Z99" s="9"/>
      <c r="AA99" s="9"/>
    </row>
    <row r="100">
      <c r="A100" s="52"/>
      <c r="B100" s="50"/>
      <c r="C100" s="52"/>
      <c r="D100" s="52"/>
      <c r="E100" s="52"/>
      <c r="F100" s="52"/>
      <c r="G100" s="52"/>
      <c r="H100" s="53"/>
      <c r="I100" s="53"/>
      <c r="J100" s="52"/>
      <c r="K100" s="52"/>
      <c r="L100" s="52"/>
      <c r="M100" s="52"/>
      <c r="N100" s="52"/>
      <c r="O100" s="52"/>
      <c r="P100" s="9"/>
      <c r="Q100" s="9"/>
      <c r="R100" s="9"/>
      <c r="S100" s="50"/>
      <c r="T100" s="50"/>
      <c r="U100" s="9"/>
      <c r="V100" s="9"/>
      <c r="W100" s="9"/>
      <c r="X100" s="9"/>
      <c r="Y100" s="9"/>
      <c r="Z100" s="9"/>
      <c r="AA100" s="9"/>
    </row>
    <row r="101">
      <c r="A101" s="52"/>
      <c r="B101" s="50"/>
      <c r="C101" s="52"/>
      <c r="D101" s="52"/>
      <c r="E101" s="52"/>
      <c r="F101" s="52"/>
      <c r="G101" s="52"/>
      <c r="H101" s="53"/>
      <c r="I101" s="53"/>
      <c r="J101" s="52"/>
      <c r="K101" s="52"/>
      <c r="L101" s="52"/>
      <c r="M101" s="52"/>
      <c r="N101" s="52"/>
      <c r="O101" s="52"/>
      <c r="P101" s="9"/>
      <c r="Q101" s="9"/>
      <c r="R101" s="9"/>
      <c r="S101" s="50"/>
      <c r="T101" s="50"/>
      <c r="U101" s="9"/>
      <c r="V101" s="9"/>
      <c r="W101" s="9"/>
      <c r="X101" s="9"/>
      <c r="Y101" s="9"/>
      <c r="Z101" s="9"/>
      <c r="AA101" s="9"/>
    </row>
    <row r="102">
      <c r="A102" s="52"/>
      <c r="B102" s="50"/>
      <c r="C102" s="52"/>
      <c r="D102" s="52"/>
      <c r="E102" s="52"/>
      <c r="F102" s="52"/>
      <c r="G102" s="52"/>
      <c r="H102" s="53"/>
      <c r="I102" s="53"/>
      <c r="J102" s="52"/>
      <c r="K102" s="52"/>
      <c r="L102" s="52"/>
      <c r="M102" s="52"/>
      <c r="N102" s="52"/>
      <c r="O102" s="52"/>
      <c r="P102" s="9"/>
      <c r="Q102" s="9"/>
      <c r="R102" s="9"/>
      <c r="S102" s="50"/>
      <c r="T102" s="50"/>
      <c r="U102" s="9"/>
      <c r="V102" s="9"/>
      <c r="W102" s="9"/>
      <c r="X102" s="9"/>
      <c r="Y102" s="9"/>
      <c r="Z102" s="9"/>
      <c r="AA102" s="9"/>
    </row>
    <row r="103">
      <c r="A103" s="52"/>
      <c r="B103" s="50"/>
      <c r="C103" s="52"/>
      <c r="D103" s="52"/>
      <c r="E103" s="52"/>
      <c r="F103" s="52"/>
      <c r="G103" s="52"/>
      <c r="H103" s="53"/>
      <c r="I103" s="53"/>
      <c r="J103" s="52"/>
      <c r="K103" s="52"/>
      <c r="L103" s="52"/>
      <c r="M103" s="52"/>
      <c r="N103" s="52"/>
      <c r="O103" s="52"/>
      <c r="P103" s="9"/>
      <c r="Q103" s="9"/>
      <c r="R103" s="9"/>
      <c r="S103" s="50"/>
      <c r="T103" s="50"/>
      <c r="U103" s="9"/>
      <c r="V103" s="9"/>
      <c r="W103" s="9"/>
      <c r="X103" s="9"/>
      <c r="Y103" s="9"/>
      <c r="Z103" s="9"/>
      <c r="AA103" s="9"/>
    </row>
    <row r="104">
      <c r="A104" s="52"/>
      <c r="B104" s="50"/>
      <c r="C104" s="52"/>
      <c r="D104" s="52"/>
      <c r="E104" s="52"/>
      <c r="F104" s="52"/>
      <c r="G104" s="52"/>
      <c r="H104" s="53"/>
      <c r="I104" s="53"/>
      <c r="J104" s="52"/>
      <c r="K104" s="52"/>
      <c r="L104" s="52"/>
      <c r="M104" s="52"/>
      <c r="N104" s="52"/>
      <c r="O104" s="52"/>
      <c r="P104" s="9"/>
      <c r="Q104" s="9"/>
      <c r="R104" s="9"/>
      <c r="S104" s="50"/>
      <c r="T104" s="50"/>
      <c r="U104" s="9"/>
      <c r="V104" s="9"/>
      <c r="W104" s="9"/>
      <c r="X104" s="9"/>
      <c r="Y104" s="9"/>
      <c r="Z104" s="9"/>
      <c r="AA104" s="9"/>
    </row>
    <row r="105">
      <c r="A105" s="52"/>
      <c r="B105" s="50"/>
      <c r="C105" s="52"/>
      <c r="D105" s="52"/>
      <c r="E105" s="52"/>
      <c r="F105" s="52"/>
      <c r="G105" s="52"/>
      <c r="H105" s="53"/>
      <c r="I105" s="53"/>
      <c r="J105" s="52"/>
      <c r="K105" s="52"/>
      <c r="L105" s="52"/>
      <c r="M105" s="52"/>
      <c r="N105" s="52"/>
      <c r="O105" s="52"/>
      <c r="P105" s="9"/>
      <c r="Q105" s="9"/>
      <c r="R105" s="9"/>
      <c r="S105" s="50"/>
      <c r="T105" s="50"/>
      <c r="U105" s="9"/>
      <c r="V105" s="9"/>
      <c r="W105" s="9"/>
      <c r="X105" s="9"/>
      <c r="Y105" s="9"/>
      <c r="Z105" s="9"/>
      <c r="AA105" s="9"/>
    </row>
    <row r="106">
      <c r="A106" s="52"/>
      <c r="B106" s="50"/>
      <c r="C106" s="52"/>
      <c r="D106" s="52"/>
      <c r="E106" s="52"/>
      <c r="F106" s="52"/>
      <c r="G106" s="52"/>
      <c r="H106" s="53"/>
      <c r="I106" s="53"/>
      <c r="J106" s="52"/>
      <c r="K106" s="52"/>
      <c r="L106" s="52"/>
      <c r="M106" s="52"/>
      <c r="N106" s="52"/>
      <c r="O106" s="52"/>
      <c r="P106" s="9"/>
      <c r="Q106" s="9"/>
      <c r="R106" s="9"/>
      <c r="S106" s="50"/>
      <c r="T106" s="50"/>
      <c r="U106" s="9"/>
      <c r="V106" s="9"/>
      <c r="W106" s="9"/>
      <c r="X106" s="9"/>
      <c r="Y106" s="9"/>
      <c r="Z106" s="9"/>
      <c r="AA106" s="9"/>
    </row>
    <row r="107">
      <c r="A107" s="52"/>
      <c r="B107" s="50"/>
      <c r="C107" s="52"/>
      <c r="D107" s="52"/>
      <c r="E107" s="52"/>
      <c r="F107" s="52"/>
      <c r="G107" s="52"/>
      <c r="H107" s="53"/>
      <c r="I107" s="53"/>
      <c r="J107" s="52"/>
      <c r="K107" s="52"/>
      <c r="L107" s="52"/>
      <c r="M107" s="52"/>
      <c r="N107" s="52"/>
      <c r="O107" s="52"/>
      <c r="P107" s="9"/>
      <c r="Q107" s="9"/>
      <c r="R107" s="9"/>
      <c r="S107" s="50"/>
      <c r="T107" s="50"/>
      <c r="U107" s="9"/>
      <c r="V107" s="9"/>
      <c r="W107" s="9"/>
      <c r="X107" s="9"/>
      <c r="Y107" s="9"/>
      <c r="Z107" s="9"/>
      <c r="AA107" s="9"/>
    </row>
    <row r="108">
      <c r="A108" s="52"/>
      <c r="B108" s="50"/>
      <c r="C108" s="52"/>
      <c r="D108" s="52"/>
      <c r="E108" s="52"/>
      <c r="F108" s="52"/>
      <c r="G108" s="52"/>
      <c r="H108" s="53"/>
      <c r="I108" s="53"/>
      <c r="J108" s="52"/>
      <c r="K108" s="52"/>
      <c r="L108" s="52"/>
      <c r="M108" s="52"/>
      <c r="N108" s="52"/>
      <c r="O108" s="52"/>
      <c r="P108" s="9"/>
      <c r="Q108" s="9"/>
      <c r="R108" s="9"/>
      <c r="S108" s="50"/>
      <c r="T108" s="50"/>
      <c r="U108" s="9"/>
      <c r="V108" s="9"/>
      <c r="W108" s="9"/>
      <c r="X108" s="9"/>
      <c r="Y108" s="9"/>
      <c r="Z108" s="9"/>
      <c r="AA108" s="9"/>
    </row>
    <row r="109">
      <c r="A109" s="52"/>
      <c r="B109" s="50"/>
      <c r="C109" s="52"/>
      <c r="D109" s="52"/>
      <c r="E109" s="52"/>
      <c r="F109" s="52"/>
      <c r="G109" s="52"/>
      <c r="H109" s="53"/>
      <c r="I109" s="53"/>
      <c r="J109" s="52"/>
      <c r="K109" s="52"/>
      <c r="L109" s="52"/>
      <c r="M109" s="52"/>
      <c r="N109" s="52"/>
      <c r="O109" s="52"/>
      <c r="P109" s="9"/>
      <c r="Q109" s="9"/>
      <c r="R109" s="9"/>
      <c r="S109" s="50"/>
      <c r="T109" s="50"/>
      <c r="U109" s="9"/>
      <c r="V109" s="9"/>
      <c r="W109" s="9"/>
      <c r="X109" s="9"/>
      <c r="Y109" s="9"/>
      <c r="Z109" s="9"/>
      <c r="AA109" s="9"/>
    </row>
    <row r="110">
      <c r="A110" s="52"/>
      <c r="B110" s="50"/>
      <c r="C110" s="52"/>
      <c r="D110" s="52"/>
      <c r="E110" s="52"/>
      <c r="F110" s="52"/>
      <c r="G110" s="52"/>
      <c r="H110" s="53"/>
      <c r="I110" s="53"/>
      <c r="J110" s="52"/>
      <c r="K110" s="52"/>
      <c r="L110" s="52"/>
      <c r="M110" s="52"/>
      <c r="N110" s="52"/>
      <c r="O110" s="52"/>
      <c r="P110" s="9"/>
      <c r="Q110" s="9"/>
      <c r="R110" s="9"/>
      <c r="S110" s="50"/>
      <c r="T110" s="50"/>
      <c r="U110" s="9"/>
      <c r="V110" s="9"/>
      <c r="W110" s="9"/>
      <c r="X110" s="9"/>
      <c r="Y110" s="9"/>
      <c r="Z110" s="9"/>
      <c r="AA110" s="9"/>
    </row>
    <row r="111">
      <c r="A111" s="52"/>
      <c r="B111" s="50"/>
      <c r="C111" s="52"/>
      <c r="D111" s="52"/>
      <c r="E111" s="52"/>
      <c r="F111" s="52"/>
      <c r="G111" s="52"/>
      <c r="H111" s="53"/>
      <c r="I111" s="53"/>
      <c r="J111" s="52"/>
      <c r="K111" s="52"/>
      <c r="L111" s="52"/>
      <c r="M111" s="52"/>
      <c r="N111" s="52"/>
      <c r="O111" s="52"/>
      <c r="P111" s="9"/>
      <c r="Q111" s="9"/>
      <c r="R111" s="9"/>
      <c r="S111" s="50"/>
      <c r="T111" s="50"/>
      <c r="U111" s="9"/>
      <c r="V111" s="9"/>
      <c r="W111" s="9"/>
      <c r="X111" s="9"/>
      <c r="Y111" s="9"/>
      <c r="Z111" s="9"/>
      <c r="AA111" s="9"/>
    </row>
    <row r="112">
      <c r="A112" s="52"/>
      <c r="B112" s="50"/>
      <c r="C112" s="52"/>
      <c r="D112" s="52"/>
      <c r="E112" s="52"/>
      <c r="F112" s="52"/>
      <c r="G112" s="52"/>
      <c r="H112" s="53"/>
      <c r="I112" s="53"/>
      <c r="J112" s="52"/>
      <c r="K112" s="52"/>
      <c r="L112" s="52"/>
      <c r="M112" s="52"/>
      <c r="N112" s="52"/>
      <c r="O112" s="52"/>
      <c r="P112" s="9"/>
      <c r="Q112" s="9"/>
      <c r="R112" s="9"/>
      <c r="S112" s="50"/>
      <c r="T112" s="50"/>
      <c r="U112" s="9"/>
      <c r="V112" s="9"/>
      <c r="W112" s="9"/>
      <c r="X112" s="9"/>
      <c r="Y112" s="9"/>
      <c r="Z112" s="9"/>
      <c r="AA112" s="9"/>
    </row>
    <row r="113">
      <c r="A113" s="52"/>
      <c r="B113" s="50"/>
      <c r="C113" s="52"/>
      <c r="D113" s="52"/>
      <c r="E113" s="52"/>
      <c r="F113" s="52"/>
      <c r="G113" s="52"/>
      <c r="H113" s="53"/>
      <c r="I113" s="53"/>
      <c r="J113" s="52"/>
      <c r="K113" s="52"/>
      <c r="L113" s="52"/>
      <c r="M113" s="52"/>
      <c r="N113" s="52"/>
      <c r="O113" s="52"/>
      <c r="P113" s="9"/>
      <c r="Q113" s="9"/>
      <c r="R113" s="9"/>
      <c r="S113" s="50"/>
      <c r="T113" s="50"/>
      <c r="U113" s="9"/>
      <c r="V113" s="9"/>
      <c r="W113" s="9"/>
      <c r="X113" s="9"/>
      <c r="Y113" s="9"/>
      <c r="Z113" s="9"/>
      <c r="AA113" s="9"/>
    </row>
    <row r="114">
      <c r="A114" s="52"/>
      <c r="B114" s="50"/>
      <c r="C114" s="52"/>
      <c r="D114" s="52"/>
      <c r="E114" s="52"/>
      <c r="F114" s="52"/>
      <c r="G114" s="52"/>
      <c r="H114" s="53"/>
      <c r="I114" s="53"/>
      <c r="J114" s="52"/>
      <c r="K114" s="52"/>
      <c r="L114" s="52"/>
      <c r="M114" s="52"/>
      <c r="N114" s="52"/>
      <c r="O114" s="52"/>
      <c r="P114" s="9"/>
      <c r="Q114" s="9"/>
      <c r="R114" s="9"/>
      <c r="S114" s="50"/>
      <c r="T114" s="50"/>
      <c r="U114" s="9"/>
      <c r="V114" s="9"/>
      <c r="W114" s="9"/>
      <c r="X114" s="9"/>
      <c r="Y114" s="9"/>
      <c r="Z114" s="9"/>
      <c r="AA114" s="9"/>
    </row>
    <row r="115">
      <c r="A115" s="52"/>
      <c r="B115" s="50"/>
      <c r="C115" s="52"/>
      <c r="D115" s="52"/>
      <c r="E115" s="52"/>
      <c r="F115" s="52"/>
      <c r="G115" s="52"/>
      <c r="H115" s="53"/>
      <c r="I115" s="53"/>
      <c r="J115" s="52"/>
      <c r="K115" s="52"/>
      <c r="L115" s="52"/>
      <c r="M115" s="52"/>
      <c r="N115" s="52"/>
      <c r="O115" s="52"/>
      <c r="P115" s="9"/>
      <c r="Q115" s="9"/>
      <c r="R115" s="9"/>
      <c r="S115" s="50"/>
      <c r="T115" s="50"/>
      <c r="U115" s="9"/>
      <c r="V115" s="9"/>
      <c r="W115" s="9"/>
      <c r="X115" s="9"/>
      <c r="Y115" s="9"/>
      <c r="Z115" s="9"/>
      <c r="AA115" s="9"/>
    </row>
    <row r="116">
      <c r="A116" s="52"/>
      <c r="B116" s="50"/>
      <c r="C116" s="52"/>
      <c r="D116" s="52"/>
      <c r="E116" s="52"/>
      <c r="F116" s="52"/>
      <c r="G116" s="52"/>
      <c r="H116" s="53"/>
      <c r="I116" s="53"/>
      <c r="J116" s="52"/>
      <c r="K116" s="52"/>
      <c r="L116" s="52"/>
      <c r="M116" s="52"/>
      <c r="N116" s="52"/>
      <c r="O116" s="52"/>
      <c r="P116" s="9"/>
      <c r="Q116" s="9"/>
      <c r="R116" s="9"/>
      <c r="S116" s="50"/>
      <c r="T116" s="50"/>
      <c r="U116" s="9"/>
      <c r="V116" s="9"/>
      <c r="W116" s="9"/>
      <c r="X116" s="9"/>
      <c r="Y116" s="9"/>
      <c r="Z116" s="9"/>
      <c r="AA116" s="9"/>
    </row>
    <row r="117">
      <c r="A117" s="52"/>
      <c r="B117" s="50"/>
      <c r="C117" s="52"/>
      <c r="D117" s="52"/>
      <c r="E117" s="52"/>
      <c r="F117" s="52"/>
      <c r="G117" s="52"/>
      <c r="H117" s="53"/>
      <c r="I117" s="53"/>
      <c r="J117" s="52"/>
      <c r="K117" s="52"/>
      <c r="L117" s="52"/>
      <c r="M117" s="52"/>
      <c r="N117" s="52"/>
      <c r="O117" s="52"/>
      <c r="P117" s="9"/>
      <c r="Q117" s="9"/>
      <c r="R117" s="9"/>
      <c r="S117" s="50"/>
      <c r="T117" s="50"/>
      <c r="U117" s="9"/>
      <c r="V117" s="9"/>
      <c r="W117" s="9"/>
      <c r="X117" s="9"/>
      <c r="Y117" s="9"/>
      <c r="Z117" s="9"/>
      <c r="AA117" s="9"/>
    </row>
    <row r="118">
      <c r="A118" s="52"/>
      <c r="B118" s="50"/>
      <c r="C118" s="52"/>
      <c r="D118" s="52"/>
      <c r="E118" s="52"/>
      <c r="F118" s="52"/>
      <c r="G118" s="52"/>
      <c r="H118" s="53"/>
      <c r="I118" s="53"/>
      <c r="J118" s="52"/>
      <c r="K118" s="52"/>
      <c r="L118" s="52"/>
      <c r="M118" s="52"/>
      <c r="N118" s="52"/>
      <c r="O118" s="52"/>
      <c r="P118" s="9"/>
      <c r="Q118" s="9"/>
      <c r="R118" s="9"/>
      <c r="S118" s="50"/>
      <c r="T118" s="50"/>
      <c r="U118" s="9"/>
      <c r="V118" s="9"/>
      <c r="W118" s="9"/>
      <c r="X118" s="9"/>
      <c r="Y118" s="9"/>
      <c r="Z118" s="9"/>
      <c r="AA118" s="9"/>
    </row>
    <row r="119">
      <c r="A119" s="52"/>
      <c r="B119" s="50"/>
      <c r="C119" s="52"/>
      <c r="D119" s="52"/>
      <c r="E119" s="52"/>
      <c r="F119" s="52"/>
      <c r="G119" s="52"/>
      <c r="H119" s="53"/>
      <c r="I119" s="53"/>
      <c r="J119" s="52"/>
      <c r="K119" s="52"/>
      <c r="L119" s="52"/>
      <c r="M119" s="52"/>
      <c r="N119" s="52"/>
      <c r="O119" s="52"/>
      <c r="P119" s="9"/>
      <c r="Q119" s="9"/>
      <c r="R119" s="9"/>
      <c r="S119" s="50"/>
      <c r="T119" s="50"/>
      <c r="U119" s="9"/>
      <c r="V119" s="9"/>
      <c r="W119" s="9"/>
      <c r="X119" s="9"/>
      <c r="Y119" s="9"/>
      <c r="Z119" s="9"/>
      <c r="AA119" s="9"/>
    </row>
    <row r="120">
      <c r="A120" s="52"/>
      <c r="B120" s="50"/>
      <c r="C120" s="52"/>
      <c r="D120" s="52"/>
      <c r="E120" s="52"/>
      <c r="F120" s="52"/>
      <c r="G120" s="52"/>
      <c r="H120" s="53"/>
      <c r="I120" s="53"/>
      <c r="J120" s="52"/>
      <c r="K120" s="52"/>
      <c r="L120" s="52"/>
      <c r="M120" s="52"/>
      <c r="N120" s="52"/>
      <c r="O120" s="52"/>
      <c r="P120" s="9"/>
      <c r="Q120" s="9"/>
      <c r="R120" s="9"/>
      <c r="S120" s="50"/>
      <c r="T120" s="50"/>
      <c r="U120" s="9"/>
      <c r="V120" s="9"/>
      <c r="W120" s="9"/>
      <c r="X120" s="9"/>
      <c r="Y120" s="9"/>
      <c r="Z120" s="9"/>
      <c r="AA120" s="9"/>
    </row>
    <row r="121">
      <c r="A121" s="52"/>
      <c r="B121" s="50"/>
      <c r="C121" s="52"/>
      <c r="D121" s="52"/>
      <c r="E121" s="52"/>
      <c r="F121" s="52"/>
      <c r="G121" s="52"/>
      <c r="H121" s="53"/>
      <c r="I121" s="53"/>
      <c r="J121" s="52"/>
      <c r="K121" s="52"/>
      <c r="L121" s="52"/>
      <c r="M121" s="52"/>
      <c r="N121" s="52"/>
      <c r="O121" s="52"/>
      <c r="P121" s="9"/>
      <c r="Q121" s="9"/>
      <c r="R121" s="9"/>
      <c r="S121" s="50"/>
      <c r="T121" s="50"/>
      <c r="U121" s="9"/>
      <c r="V121" s="9"/>
      <c r="W121" s="9"/>
      <c r="X121" s="9"/>
      <c r="Y121" s="9"/>
      <c r="Z121" s="9"/>
      <c r="AA121" s="9"/>
    </row>
    <row r="122">
      <c r="A122" s="52"/>
      <c r="B122" s="50"/>
      <c r="C122" s="52"/>
      <c r="D122" s="52"/>
      <c r="E122" s="52"/>
      <c r="F122" s="52"/>
      <c r="G122" s="52"/>
      <c r="H122" s="53"/>
      <c r="I122" s="53"/>
      <c r="J122" s="52"/>
      <c r="K122" s="52"/>
      <c r="L122" s="52"/>
      <c r="M122" s="52"/>
      <c r="N122" s="52"/>
      <c r="O122" s="52"/>
      <c r="P122" s="9"/>
      <c r="Q122" s="9"/>
      <c r="R122" s="9"/>
      <c r="S122" s="50"/>
      <c r="T122" s="50"/>
      <c r="U122" s="9"/>
      <c r="V122" s="9"/>
      <c r="W122" s="9"/>
      <c r="X122" s="9"/>
      <c r="Y122" s="9"/>
      <c r="Z122" s="9"/>
      <c r="AA122" s="9"/>
    </row>
    <row r="123">
      <c r="A123" s="52"/>
      <c r="B123" s="50"/>
      <c r="C123" s="52"/>
      <c r="D123" s="52"/>
      <c r="E123" s="52"/>
      <c r="F123" s="52"/>
      <c r="G123" s="52"/>
      <c r="H123" s="53"/>
      <c r="I123" s="53"/>
      <c r="J123" s="52"/>
      <c r="K123" s="52"/>
      <c r="L123" s="52"/>
      <c r="M123" s="52"/>
      <c r="N123" s="52"/>
      <c r="O123" s="52"/>
      <c r="P123" s="9"/>
      <c r="Q123" s="9"/>
      <c r="R123" s="9"/>
      <c r="S123" s="50"/>
      <c r="T123" s="50"/>
      <c r="U123" s="9"/>
      <c r="V123" s="9"/>
      <c r="W123" s="9"/>
      <c r="X123" s="9"/>
      <c r="Y123" s="9"/>
      <c r="Z123" s="9"/>
      <c r="AA123" s="9"/>
    </row>
    <row r="124">
      <c r="A124" s="52"/>
      <c r="B124" s="50"/>
      <c r="C124" s="52"/>
      <c r="D124" s="52"/>
      <c r="E124" s="52"/>
      <c r="F124" s="52"/>
      <c r="G124" s="52"/>
      <c r="H124" s="53"/>
      <c r="I124" s="53"/>
      <c r="J124" s="52"/>
      <c r="K124" s="52"/>
      <c r="L124" s="52"/>
      <c r="M124" s="52"/>
      <c r="N124" s="52"/>
      <c r="O124" s="52"/>
      <c r="P124" s="9"/>
      <c r="Q124" s="9"/>
      <c r="R124" s="9"/>
      <c r="S124" s="50"/>
      <c r="T124" s="50"/>
      <c r="U124" s="9"/>
      <c r="V124" s="9"/>
      <c r="W124" s="9"/>
      <c r="X124" s="9"/>
      <c r="Y124" s="9"/>
      <c r="Z124" s="9"/>
      <c r="AA124" s="9"/>
    </row>
    <row r="125">
      <c r="A125" s="52"/>
      <c r="B125" s="50"/>
      <c r="C125" s="52"/>
      <c r="D125" s="52"/>
      <c r="E125" s="52"/>
      <c r="F125" s="52"/>
      <c r="G125" s="52"/>
      <c r="H125" s="53"/>
      <c r="I125" s="53"/>
      <c r="J125" s="52"/>
      <c r="K125" s="52"/>
      <c r="L125" s="52"/>
      <c r="M125" s="52"/>
      <c r="N125" s="52"/>
      <c r="O125" s="52"/>
      <c r="P125" s="9"/>
      <c r="Q125" s="9"/>
      <c r="R125" s="9"/>
      <c r="S125" s="50"/>
      <c r="T125" s="50"/>
      <c r="U125" s="9"/>
      <c r="V125" s="9"/>
      <c r="W125" s="9"/>
      <c r="X125" s="9"/>
      <c r="Y125" s="9"/>
      <c r="Z125" s="9"/>
      <c r="AA125" s="9"/>
    </row>
    <row r="126">
      <c r="A126" s="52"/>
      <c r="B126" s="50"/>
      <c r="C126" s="52"/>
      <c r="D126" s="52"/>
      <c r="E126" s="52"/>
      <c r="F126" s="52"/>
      <c r="G126" s="52"/>
      <c r="H126" s="53"/>
      <c r="I126" s="53"/>
      <c r="J126" s="52"/>
      <c r="K126" s="52"/>
      <c r="L126" s="52"/>
      <c r="M126" s="52"/>
      <c r="N126" s="52"/>
      <c r="O126" s="52"/>
      <c r="P126" s="9"/>
      <c r="Q126" s="9"/>
      <c r="R126" s="9"/>
      <c r="S126" s="50"/>
      <c r="T126" s="50"/>
      <c r="U126" s="9"/>
      <c r="V126" s="9"/>
      <c r="W126" s="9"/>
      <c r="X126" s="9"/>
      <c r="Y126" s="9"/>
      <c r="Z126" s="9"/>
      <c r="AA126" s="9"/>
    </row>
    <row r="127">
      <c r="A127" s="52"/>
      <c r="B127" s="50"/>
      <c r="C127" s="52"/>
      <c r="D127" s="52"/>
      <c r="E127" s="52"/>
      <c r="F127" s="52"/>
      <c r="G127" s="52"/>
      <c r="H127" s="53"/>
      <c r="I127" s="53"/>
      <c r="J127" s="52"/>
      <c r="K127" s="52"/>
      <c r="L127" s="52"/>
      <c r="M127" s="52"/>
      <c r="N127" s="52"/>
      <c r="O127" s="52"/>
      <c r="P127" s="9"/>
      <c r="Q127" s="9"/>
      <c r="R127" s="9"/>
      <c r="S127" s="50"/>
      <c r="T127" s="50"/>
      <c r="U127" s="9"/>
      <c r="V127" s="9"/>
      <c r="W127" s="9"/>
      <c r="X127" s="9"/>
      <c r="Y127" s="9"/>
      <c r="Z127" s="9"/>
      <c r="AA127" s="9"/>
    </row>
    <row r="128">
      <c r="A128" s="52"/>
      <c r="B128" s="50"/>
      <c r="C128" s="52"/>
      <c r="D128" s="52"/>
      <c r="E128" s="52"/>
      <c r="F128" s="52"/>
      <c r="G128" s="52"/>
      <c r="H128" s="53"/>
      <c r="I128" s="53"/>
      <c r="J128" s="52"/>
      <c r="K128" s="52"/>
      <c r="L128" s="52"/>
      <c r="M128" s="52"/>
      <c r="N128" s="52"/>
      <c r="O128" s="52"/>
      <c r="P128" s="9"/>
      <c r="Q128" s="9"/>
      <c r="R128" s="9"/>
      <c r="S128" s="50"/>
      <c r="T128" s="50"/>
      <c r="U128" s="9"/>
      <c r="V128" s="9"/>
      <c r="W128" s="9"/>
      <c r="X128" s="9"/>
      <c r="Y128" s="9"/>
      <c r="Z128" s="9"/>
      <c r="AA128" s="9"/>
    </row>
    <row r="129">
      <c r="A129" s="52"/>
      <c r="B129" s="50"/>
      <c r="C129" s="52"/>
      <c r="D129" s="52"/>
      <c r="E129" s="52"/>
      <c r="F129" s="52"/>
      <c r="G129" s="52"/>
      <c r="H129" s="53"/>
      <c r="I129" s="53"/>
      <c r="J129" s="52"/>
      <c r="K129" s="52"/>
      <c r="L129" s="52"/>
      <c r="M129" s="52"/>
      <c r="N129" s="52"/>
      <c r="O129" s="52"/>
      <c r="P129" s="9"/>
      <c r="Q129" s="9"/>
      <c r="R129" s="9"/>
      <c r="S129" s="50"/>
      <c r="T129" s="50"/>
      <c r="U129" s="9"/>
      <c r="V129" s="9"/>
      <c r="W129" s="9"/>
      <c r="X129" s="9"/>
      <c r="Y129" s="9"/>
      <c r="Z129" s="9"/>
      <c r="AA129" s="9"/>
    </row>
    <row r="130">
      <c r="A130" s="52"/>
      <c r="B130" s="50"/>
      <c r="C130" s="52"/>
      <c r="D130" s="52"/>
      <c r="E130" s="52"/>
      <c r="F130" s="52"/>
      <c r="G130" s="52"/>
      <c r="H130" s="53"/>
      <c r="I130" s="53"/>
      <c r="J130" s="52"/>
      <c r="K130" s="52"/>
      <c r="L130" s="52"/>
      <c r="M130" s="52"/>
      <c r="N130" s="52"/>
      <c r="O130" s="52"/>
      <c r="P130" s="9"/>
      <c r="Q130" s="9"/>
      <c r="R130" s="9"/>
      <c r="S130" s="50"/>
      <c r="T130" s="50"/>
      <c r="U130" s="9"/>
      <c r="V130" s="9"/>
      <c r="W130" s="9"/>
      <c r="X130" s="9"/>
      <c r="Y130" s="9"/>
      <c r="Z130" s="9"/>
      <c r="AA130" s="9"/>
    </row>
    <row r="131">
      <c r="A131" s="52"/>
      <c r="B131" s="50"/>
      <c r="C131" s="52"/>
      <c r="D131" s="52"/>
      <c r="E131" s="52"/>
      <c r="F131" s="52"/>
      <c r="G131" s="52"/>
      <c r="H131" s="53"/>
      <c r="I131" s="53"/>
      <c r="J131" s="52"/>
      <c r="K131" s="52"/>
      <c r="L131" s="52"/>
      <c r="M131" s="52"/>
      <c r="N131" s="52"/>
      <c r="O131" s="52"/>
      <c r="P131" s="9"/>
      <c r="Q131" s="9"/>
      <c r="R131" s="9"/>
      <c r="S131" s="50"/>
      <c r="T131" s="50"/>
      <c r="U131" s="9"/>
      <c r="V131" s="9"/>
      <c r="W131" s="9"/>
      <c r="X131" s="9"/>
      <c r="Y131" s="9"/>
      <c r="Z131" s="9"/>
      <c r="AA131" s="9"/>
    </row>
    <row r="132">
      <c r="A132" s="52"/>
      <c r="B132" s="50"/>
      <c r="C132" s="52"/>
      <c r="D132" s="52"/>
      <c r="E132" s="52"/>
      <c r="F132" s="52"/>
      <c r="G132" s="52"/>
      <c r="H132" s="53"/>
      <c r="I132" s="53"/>
      <c r="J132" s="52"/>
      <c r="K132" s="52"/>
      <c r="L132" s="52"/>
      <c r="M132" s="52"/>
      <c r="N132" s="52"/>
      <c r="O132" s="52"/>
      <c r="P132" s="9"/>
      <c r="Q132" s="9"/>
      <c r="R132" s="9"/>
      <c r="S132" s="50"/>
      <c r="T132" s="50"/>
      <c r="U132" s="9"/>
      <c r="V132" s="9"/>
      <c r="W132" s="9"/>
      <c r="X132" s="9"/>
      <c r="Y132" s="9"/>
      <c r="Z132" s="9"/>
      <c r="AA132" s="9"/>
    </row>
    <row r="133">
      <c r="A133" s="52"/>
      <c r="B133" s="50"/>
      <c r="C133" s="52"/>
      <c r="D133" s="52"/>
      <c r="E133" s="52"/>
      <c r="F133" s="52"/>
      <c r="G133" s="52"/>
      <c r="H133" s="53"/>
      <c r="I133" s="53"/>
      <c r="J133" s="52"/>
      <c r="K133" s="52"/>
      <c r="L133" s="52"/>
      <c r="M133" s="52"/>
      <c r="N133" s="52"/>
      <c r="O133" s="52"/>
      <c r="P133" s="9"/>
      <c r="Q133" s="9"/>
      <c r="R133" s="9"/>
      <c r="S133" s="50"/>
      <c r="T133" s="50"/>
      <c r="U133" s="9"/>
      <c r="V133" s="9"/>
      <c r="W133" s="9"/>
      <c r="X133" s="9"/>
      <c r="Y133" s="9"/>
      <c r="Z133" s="9"/>
      <c r="AA133" s="9"/>
    </row>
    <row r="134">
      <c r="A134" s="52"/>
      <c r="B134" s="50"/>
      <c r="C134" s="52"/>
      <c r="D134" s="52"/>
      <c r="E134" s="52"/>
      <c r="F134" s="52"/>
      <c r="G134" s="52"/>
      <c r="H134" s="53"/>
      <c r="I134" s="53"/>
      <c r="J134" s="52"/>
      <c r="K134" s="52"/>
      <c r="L134" s="52"/>
      <c r="M134" s="52"/>
      <c r="N134" s="52"/>
      <c r="O134" s="52"/>
      <c r="P134" s="9"/>
      <c r="Q134" s="9"/>
      <c r="R134" s="9"/>
      <c r="S134" s="50"/>
      <c r="T134" s="50"/>
      <c r="U134" s="9"/>
      <c r="V134" s="9"/>
      <c r="W134" s="9"/>
      <c r="X134" s="9"/>
      <c r="Y134" s="9"/>
      <c r="Z134" s="9"/>
      <c r="AA134" s="9"/>
    </row>
    <row r="135">
      <c r="A135" s="52"/>
      <c r="B135" s="50"/>
      <c r="C135" s="52"/>
      <c r="D135" s="52"/>
      <c r="E135" s="52"/>
      <c r="F135" s="52"/>
      <c r="G135" s="52"/>
      <c r="H135" s="53"/>
      <c r="I135" s="53"/>
      <c r="J135" s="52"/>
      <c r="K135" s="52"/>
      <c r="L135" s="52"/>
      <c r="M135" s="52"/>
      <c r="N135" s="52"/>
      <c r="O135" s="52"/>
      <c r="P135" s="9"/>
      <c r="Q135" s="9"/>
      <c r="R135" s="9"/>
      <c r="S135" s="50"/>
      <c r="T135" s="50"/>
      <c r="U135" s="9"/>
      <c r="V135" s="9"/>
      <c r="W135" s="9"/>
      <c r="X135" s="9"/>
      <c r="Y135" s="9"/>
      <c r="Z135" s="9"/>
      <c r="AA135" s="9"/>
    </row>
    <row r="136">
      <c r="A136" s="52"/>
      <c r="B136" s="50"/>
      <c r="C136" s="52"/>
      <c r="D136" s="52"/>
      <c r="E136" s="52"/>
      <c r="F136" s="52"/>
      <c r="G136" s="52"/>
      <c r="H136" s="53"/>
      <c r="I136" s="53"/>
      <c r="J136" s="52"/>
      <c r="K136" s="52"/>
      <c r="L136" s="52"/>
      <c r="M136" s="52"/>
      <c r="N136" s="52"/>
      <c r="O136" s="52"/>
      <c r="P136" s="9"/>
      <c r="Q136" s="9"/>
      <c r="R136" s="9"/>
      <c r="S136" s="50"/>
      <c r="T136" s="50"/>
      <c r="U136" s="9"/>
      <c r="V136" s="9"/>
      <c r="W136" s="9"/>
      <c r="X136" s="9"/>
      <c r="Y136" s="9"/>
      <c r="Z136" s="9"/>
      <c r="AA136" s="9"/>
    </row>
    <row r="137">
      <c r="A137" s="52"/>
      <c r="B137" s="50"/>
      <c r="C137" s="52"/>
      <c r="D137" s="52"/>
      <c r="E137" s="52"/>
      <c r="F137" s="52"/>
      <c r="G137" s="52"/>
      <c r="H137" s="53"/>
      <c r="I137" s="53"/>
      <c r="J137" s="52"/>
      <c r="K137" s="52"/>
      <c r="L137" s="52"/>
      <c r="M137" s="52"/>
      <c r="N137" s="52"/>
      <c r="O137" s="52"/>
      <c r="P137" s="9"/>
      <c r="Q137" s="9"/>
      <c r="R137" s="9"/>
      <c r="S137" s="50"/>
      <c r="T137" s="50"/>
      <c r="U137" s="9"/>
      <c r="V137" s="9"/>
      <c r="W137" s="9"/>
      <c r="X137" s="9"/>
      <c r="Y137" s="9"/>
      <c r="Z137" s="9"/>
      <c r="AA137" s="9"/>
    </row>
    <row r="138">
      <c r="A138" s="52"/>
      <c r="B138" s="50"/>
      <c r="C138" s="52"/>
      <c r="D138" s="52"/>
      <c r="E138" s="52"/>
      <c r="F138" s="52"/>
      <c r="G138" s="52"/>
      <c r="H138" s="53"/>
      <c r="I138" s="53"/>
      <c r="J138" s="52"/>
      <c r="K138" s="52"/>
      <c r="L138" s="52"/>
      <c r="M138" s="52"/>
      <c r="N138" s="52"/>
      <c r="O138" s="52"/>
      <c r="P138" s="9"/>
      <c r="Q138" s="9"/>
      <c r="R138" s="9"/>
      <c r="S138" s="50"/>
      <c r="T138" s="50"/>
      <c r="U138" s="9"/>
      <c r="V138" s="9"/>
      <c r="W138" s="9"/>
      <c r="X138" s="9"/>
      <c r="Y138" s="9"/>
      <c r="Z138" s="9"/>
      <c r="AA138" s="9"/>
    </row>
    <row r="139">
      <c r="A139" s="52"/>
      <c r="B139" s="50"/>
      <c r="C139" s="52"/>
      <c r="D139" s="52"/>
      <c r="E139" s="52"/>
      <c r="F139" s="52"/>
      <c r="G139" s="52"/>
      <c r="H139" s="53"/>
      <c r="I139" s="53"/>
      <c r="J139" s="52"/>
      <c r="K139" s="52"/>
      <c r="L139" s="52"/>
      <c r="M139" s="52"/>
      <c r="N139" s="52"/>
      <c r="O139" s="52"/>
      <c r="P139" s="9"/>
      <c r="Q139" s="9"/>
      <c r="R139" s="9"/>
      <c r="S139" s="50"/>
      <c r="T139" s="50"/>
      <c r="U139" s="9"/>
      <c r="V139" s="9"/>
      <c r="W139" s="9"/>
      <c r="X139" s="9"/>
      <c r="Y139" s="9"/>
      <c r="Z139" s="9"/>
      <c r="AA139" s="9"/>
    </row>
    <row r="140">
      <c r="A140" s="52"/>
      <c r="B140" s="50"/>
      <c r="C140" s="52"/>
      <c r="D140" s="52"/>
      <c r="E140" s="52"/>
      <c r="F140" s="52"/>
      <c r="G140" s="52"/>
      <c r="H140" s="53"/>
      <c r="I140" s="53"/>
      <c r="J140" s="52"/>
      <c r="K140" s="52"/>
      <c r="L140" s="52"/>
      <c r="M140" s="52"/>
      <c r="N140" s="52"/>
      <c r="O140" s="52"/>
      <c r="P140" s="9"/>
      <c r="Q140" s="9"/>
      <c r="R140" s="9"/>
      <c r="S140" s="50"/>
      <c r="T140" s="50"/>
      <c r="U140" s="9"/>
      <c r="V140" s="9"/>
      <c r="W140" s="9"/>
      <c r="X140" s="9"/>
      <c r="Y140" s="9"/>
      <c r="Z140" s="9"/>
      <c r="AA140" s="9"/>
    </row>
    <row r="141">
      <c r="A141" s="52"/>
      <c r="B141" s="50"/>
      <c r="C141" s="52"/>
      <c r="D141" s="52"/>
      <c r="E141" s="52"/>
      <c r="F141" s="52"/>
      <c r="G141" s="52"/>
      <c r="H141" s="53"/>
      <c r="I141" s="53"/>
      <c r="J141" s="52"/>
      <c r="K141" s="52"/>
      <c r="L141" s="52"/>
      <c r="M141" s="52"/>
      <c r="N141" s="52"/>
      <c r="O141" s="52"/>
      <c r="P141" s="9"/>
      <c r="Q141" s="9"/>
      <c r="R141" s="9"/>
      <c r="S141" s="50"/>
      <c r="T141" s="50"/>
      <c r="U141" s="9"/>
      <c r="V141" s="9"/>
      <c r="W141" s="9"/>
      <c r="X141" s="9"/>
      <c r="Y141" s="9"/>
      <c r="Z141" s="9"/>
      <c r="AA141" s="9"/>
    </row>
    <row r="142">
      <c r="A142" s="52"/>
      <c r="B142" s="50"/>
      <c r="C142" s="52"/>
      <c r="D142" s="52"/>
      <c r="E142" s="52"/>
      <c r="F142" s="52"/>
      <c r="G142" s="52"/>
      <c r="H142" s="53"/>
      <c r="I142" s="53"/>
      <c r="J142" s="52"/>
      <c r="K142" s="52"/>
      <c r="L142" s="52"/>
      <c r="M142" s="52"/>
      <c r="N142" s="52"/>
      <c r="O142" s="52"/>
      <c r="P142" s="9"/>
      <c r="Q142" s="9"/>
      <c r="R142" s="9"/>
      <c r="S142" s="50"/>
      <c r="T142" s="50"/>
      <c r="U142" s="9"/>
      <c r="V142" s="9"/>
      <c r="W142" s="9"/>
      <c r="X142" s="9"/>
      <c r="Y142" s="9"/>
      <c r="Z142" s="9"/>
      <c r="AA142" s="9"/>
    </row>
    <row r="143">
      <c r="A143" s="52"/>
      <c r="B143" s="50"/>
      <c r="C143" s="52"/>
      <c r="D143" s="52"/>
      <c r="E143" s="52"/>
      <c r="F143" s="52"/>
      <c r="G143" s="52"/>
      <c r="H143" s="53"/>
      <c r="I143" s="53"/>
      <c r="J143" s="52"/>
      <c r="K143" s="52"/>
      <c r="L143" s="52"/>
      <c r="M143" s="52"/>
      <c r="N143" s="52"/>
      <c r="O143" s="52"/>
      <c r="P143" s="9"/>
      <c r="Q143" s="9"/>
      <c r="R143" s="9"/>
      <c r="S143" s="50"/>
      <c r="T143" s="50"/>
      <c r="U143" s="9"/>
      <c r="V143" s="9"/>
      <c r="W143" s="9"/>
      <c r="X143" s="9"/>
      <c r="Y143" s="9"/>
      <c r="Z143" s="9"/>
      <c r="AA143" s="9"/>
    </row>
    <row r="144">
      <c r="A144" s="52"/>
      <c r="B144" s="50"/>
      <c r="C144" s="52"/>
      <c r="D144" s="52"/>
      <c r="E144" s="52"/>
      <c r="F144" s="52"/>
      <c r="G144" s="52"/>
      <c r="H144" s="53"/>
      <c r="I144" s="53"/>
      <c r="J144" s="52"/>
      <c r="K144" s="52"/>
      <c r="L144" s="52"/>
      <c r="M144" s="52"/>
      <c r="N144" s="52"/>
      <c r="O144" s="52"/>
      <c r="P144" s="9"/>
      <c r="Q144" s="9"/>
      <c r="R144" s="9"/>
      <c r="S144" s="50"/>
      <c r="T144" s="50"/>
      <c r="U144" s="9"/>
      <c r="V144" s="9"/>
      <c r="W144" s="9"/>
      <c r="X144" s="9"/>
      <c r="Y144" s="9"/>
      <c r="Z144" s="9"/>
      <c r="AA144" s="9"/>
    </row>
    <row r="145">
      <c r="A145" s="52"/>
      <c r="B145" s="50"/>
      <c r="C145" s="52"/>
      <c r="D145" s="52"/>
      <c r="E145" s="52"/>
      <c r="F145" s="52"/>
      <c r="G145" s="52"/>
      <c r="H145" s="53"/>
      <c r="I145" s="53"/>
      <c r="J145" s="52"/>
      <c r="K145" s="52"/>
      <c r="L145" s="52"/>
      <c r="M145" s="52"/>
      <c r="N145" s="52"/>
      <c r="O145" s="52"/>
      <c r="P145" s="9"/>
      <c r="Q145" s="9"/>
      <c r="R145" s="9"/>
      <c r="S145" s="50"/>
      <c r="T145" s="50"/>
      <c r="U145" s="9"/>
      <c r="V145" s="9"/>
      <c r="W145" s="9"/>
      <c r="X145" s="9"/>
      <c r="Y145" s="9"/>
      <c r="Z145" s="9"/>
      <c r="AA145" s="9"/>
    </row>
    <row r="146">
      <c r="A146" s="52"/>
      <c r="B146" s="50"/>
      <c r="C146" s="52"/>
      <c r="D146" s="52"/>
      <c r="E146" s="52"/>
      <c r="F146" s="52"/>
      <c r="G146" s="52"/>
      <c r="H146" s="53"/>
      <c r="I146" s="53"/>
      <c r="J146" s="52"/>
      <c r="K146" s="52"/>
      <c r="L146" s="52"/>
      <c r="M146" s="52"/>
      <c r="N146" s="52"/>
      <c r="O146" s="52"/>
      <c r="P146" s="9"/>
      <c r="Q146" s="9"/>
      <c r="R146" s="9"/>
      <c r="S146" s="50"/>
      <c r="T146" s="50"/>
      <c r="U146" s="9"/>
      <c r="V146" s="9"/>
      <c r="W146" s="9"/>
      <c r="X146" s="9"/>
      <c r="Y146" s="9"/>
      <c r="Z146" s="9"/>
      <c r="AA146" s="9"/>
    </row>
    <row r="147">
      <c r="A147" s="52"/>
      <c r="B147" s="50"/>
      <c r="C147" s="52"/>
      <c r="D147" s="52"/>
      <c r="E147" s="52"/>
      <c r="F147" s="52"/>
      <c r="G147" s="52"/>
      <c r="H147" s="53"/>
      <c r="I147" s="53"/>
      <c r="J147" s="52"/>
      <c r="K147" s="52"/>
      <c r="L147" s="52"/>
      <c r="M147" s="52"/>
      <c r="N147" s="52"/>
      <c r="O147" s="52"/>
      <c r="P147" s="9"/>
      <c r="Q147" s="9"/>
      <c r="R147" s="9"/>
      <c r="S147" s="50"/>
      <c r="T147" s="50"/>
      <c r="U147" s="9"/>
      <c r="V147" s="9"/>
      <c r="W147" s="9"/>
      <c r="X147" s="9"/>
      <c r="Y147" s="9"/>
      <c r="Z147" s="9"/>
      <c r="AA147" s="9"/>
    </row>
    <row r="148">
      <c r="A148" s="52"/>
      <c r="B148" s="50"/>
      <c r="C148" s="52"/>
      <c r="D148" s="52"/>
      <c r="E148" s="52"/>
      <c r="F148" s="52"/>
      <c r="G148" s="52"/>
      <c r="H148" s="53"/>
      <c r="I148" s="53"/>
      <c r="J148" s="52"/>
      <c r="K148" s="52"/>
      <c r="L148" s="52"/>
      <c r="M148" s="52"/>
      <c r="N148" s="52"/>
      <c r="O148" s="52"/>
      <c r="P148" s="9"/>
      <c r="Q148" s="9"/>
      <c r="R148" s="9"/>
      <c r="S148" s="50"/>
      <c r="T148" s="50"/>
      <c r="U148" s="9"/>
      <c r="V148" s="9"/>
      <c r="W148" s="9"/>
      <c r="X148" s="9"/>
      <c r="Y148" s="9"/>
      <c r="Z148" s="9"/>
      <c r="AA148" s="9"/>
    </row>
    <row r="149">
      <c r="A149" s="52"/>
      <c r="B149" s="50"/>
      <c r="C149" s="52"/>
      <c r="D149" s="52"/>
      <c r="E149" s="52"/>
      <c r="F149" s="52"/>
      <c r="G149" s="52"/>
      <c r="H149" s="53"/>
      <c r="I149" s="53"/>
      <c r="J149" s="52"/>
      <c r="K149" s="52"/>
      <c r="L149" s="52"/>
      <c r="M149" s="52"/>
      <c r="N149" s="52"/>
      <c r="O149" s="52"/>
      <c r="P149" s="9"/>
      <c r="Q149" s="9"/>
      <c r="R149" s="9"/>
      <c r="S149" s="50"/>
      <c r="T149" s="50"/>
      <c r="U149" s="9"/>
      <c r="V149" s="9"/>
      <c r="W149" s="9"/>
      <c r="X149" s="9"/>
      <c r="Y149" s="9"/>
      <c r="Z149" s="9"/>
      <c r="AA149" s="9"/>
    </row>
    <row r="150">
      <c r="A150" s="52"/>
      <c r="B150" s="50"/>
      <c r="C150" s="52"/>
      <c r="D150" s="52"/>
      <c r="E150" s="52"/>
      <c r="F150" s="52"/>
      <c r="G150" s="52"/>
      <c r="H150" s="53"/>
      <c r="I150" s="53"/>
      <c r="J150" s="52"/>
      <c r="K150" s="52"/>
      <c r="L150" s="52"/>
      <c r="M150" s="52"/>
      <c r="N150" s="52"/>
      <c r="O150" s="52"/>
      <c r="P150" s="9"/>
      <c r="Q150" s="9"/>
      <c r="R150" s="9"/>
      <c r="S150" s="50"/>
      <c r="T150" s="50"/>
      <c r="U150" s="9"/>
      <c r="V150" s="9"/>
      <c r="W150" s="9"/>
      <c r="X150" s="9"/>
      <c r="Y150" s="9"/>
      <c r="Z150" s="9"/>
      <c r="AA150" s="9"/>
    </row>
    <row r="151">
      <c r="A151" s="52"/>
      <c r="B151" s="50"/>
      <c r="C151" s="52"/>
      <c r="D151" s="52"/>
      <c r="E151" s="52"/>
      <c r="F151" s="52"/>
      <c r="G151" s="52"/>
      <c r="H151" s="53"/>
      <c r="I151" s="53"/>
      <c r="J151" s="52"/>
      <c r="K151" s="52"/>
      <c r="L151" s="52"/>
      <c r="M151" s="52"/>
      <c r="N151" s="52"/>
      <c r="O151" s="52"/>
      <c r="P151" s="9"/>
      <c r="Q151" s="9"/>
      <c r="R151" s="9"/>
      <c r="S151" s="50"/>
      <c r="T151" s="50"/>
      <c r="U151" s="9"/>
      <c r="V151" s="9"/>
      <c r="W151" s="9"/>
      <c r="X151" s="9"/>
      <c r="Y151" s="9"/>
      <c r="Z151" s="9"/>
      <c r="AA151" s="9"/>
    </row>
    <row r="152">
      <c r="A152" s="52"/>
      <c r="B152" s="50"/>
      <c r="C152" s="52"/>
      <c r="D152" s="52"/>
      <c r="E152" s="52"/>
      <c r="F152" s="52"/>
      <c r="G152" s="52"/>
      <c r="H152" s="53"/>
      <c r="I152" s="53"/>
      <c r="J152" s="52"/>
      <c r="K152" s="52"/>
      <c r="L152" s="52"/>
      <c r="M152" s="52"/>
      <c r="N152" s="52"/>
      <c r="O152" s="52"/>
      <c r="P152" s="9"/>
      <c r="Q152" s="9"/>
      <c r="R152" s="9"/>
      <c r="S152" s="50"/>
      <c r="T152" s="50"/>
      <c r="U152" s="9"/>
      <c r="V152" s="9"/>
      <c r="W152" s="9"/>
      <c r="X152" s="9"/>
      <c r="Y152" s="9"/>
      <c r="Z152" s="9"/>
      <c r="AA152" s="9"/>
    </row>
    <row r="153">
      <c r="A153" s="52"/>
      <c r="B153" s="50"/>
      <c r="C153" s="52"/>
      <c r="D153" s="52"/>
      <c r="E153" s="52"/>
      <c r="F153" s="52"/>
      <c r="G153" s="52"/>
      <c r="H153" s="53"/>
      <c r="I153" s="53"/>
      <c r="J153" s="52"/>
      <c r="K153" s="52"/>
      <c r="L153" s="52"/>
      <c r="M153" s="52"/>
      <c r="N153" s="52"/>
      <c r="O153" s="52"/>
      <c r="P153" s="9"/>
      <c r="Q153" s="9"/>
      <c r="R153" s="9"/>
      <c r="S153" s="50"/>
      <c r="T153" s="50"/>
      <c r="U153" s="9"/>
      <c r="V153" s="9"/>
      <c r="W153" s="9"/>
      <c r="X153" s="9"/>
      <c r="Y153" s="9"/>
      <c r="Z153" s="9"/>
      <c r="AA153" s="9"/>
    </row>
    <row r="154">
      <c r="A154" s="52"/>
      <c r="B154" s="50"/>
      <c r="C154" s="52"/>
      <c r="D154" s="52"/>
      <c r="E154" s="52"/>
      <c r="F154" s="52"/>
      <c r="G154" s="52"/>
      <c r="H154" s="53"/>
      <c r="I154" s="53"/>
      <c r="J154" s="52"/>
      <c r="K154" s="52"/>
      <c r="L154" s="52"/>
      <c r="M154" s="52"/>
      <c r="N154" s="52"/>
      <c r="O154" s="52"/>
      <c r="P154" s="9"/>
      <c r="Q154" s="9"/>
      <c r="R154" s="9"/>
      <c r="S154" s="50"/>
      <c r="T154" s="50"/>
      <c r="U154" s="9"/>
      <c r="V154" s="9"/>
      <c r="W154" s="9"/>
      <c r="X154" s="9"/>
      <c r="Y154" s="9"/>
      <c r="Z154" s="9"/>
      <c r="AA154" s="9"/>
    </row>
    <row r="155">
      <c r="A155" s="52"/>
      <c r="B155" s="50"/>
      <c r="C155" s="52"/>
      <c r="D155" s="52"/>
      <c r="E155" s="52"/>
      <c r="F155" s="52"/>
      <c r="G155" s="52"/>
      <c r="H155" s="53"/>
      <c r="I155" s="53"/>
      <c r="J155" s="52"/>
      <c r="K155" s="52"/>
      <c r="L155" s="52"/>
      <c r="M155" s="52"/>
      <c r="N155" s="52"/>
      <c r="O155" s="52"/>
      <c r="P155" s="9"/>
      <c r="Q155" s="9"/>
      <c r="R155" s="9"/>
      <c r="S155" s="50"/>
      <c r="T155" s="50"/>
      <c r="U155" s="9"/>
      <c r="V155" s="9"/>
      <c r="W155" s="9"/>
      <c r="X155" s="9"/>
      <c r="Y155" s="9"/>
      <c r="Z155" s="9"/>
      <c r="AA155" s="9"/>
    </row>
    <row r="156">
      <c r="A156" s="52"/>
      <c r="B156" s="50"/>
      <c r="C156" s="52"/>
      <c r="D156" s="52"/>
      <c r="E156" s="52"/>
      <c r="F156" s="52"/>
      <c r="G156" s="52"/>
      <c r="H156" s="53"/>
      <c r="I156" s="53"/>
      <c r="J156" s="52"/>
      <c r="K156" s="52"/>
      <c r="L156" s="52"/>
      <c r="M156" s="52"/>
      <c r="N156" s="52"/>
      <c r="O156" s="52"/>
      <c r="P156" s="9"/>
      <c r="Q156" s="9"/>
      <c r="R156" s="9"/>
      <c r="S156" s="50"/>
      <c r="T156" s="50"/>
      <c r="U156" s="9"/>
      <c r="V156" s="9"/>
      <c r="W156" s="9"/>
      <c r="X156" s="9"/>
      <c r="Y156" s="9"/>
      <c r="Z156" s="9"/>
      <c r="AA156" s="9"/>
    </row>
    <row r="157">
      <c r="A157" s="52"/>
      <c r="B157" s="50"/>
      <c r="C157" s="52"/>
      <c r="D157" s="52"/>
      <c r="E157" s="52"/>
      <c r="F157" s="52"/>
      <c r="G157" s="52"/>
      <c r="H157" s="53"/>
      <c r="I157" s="53"/>
      <c r="J157" s="52"/>
      <c r="K157" s="52"/>
      <c r="L157" s="52"/>
      <c r="M157" s="52"/>
      <c r="N157" s="52"/>
      <c r="O157" s="52"/>
      <c r="P157" s="9"/>
      <c r="Q157" s="9"/>
      <c r="R157" s="9"/>
      <c r="S157" s="50"/>
      <c r="T157" s="50"/>
      <c r="U157" s="9"/>
      <c r="V157" s="9"/>
      <c r="W157" s="9"/>
      <c r="X157" s="9"/>
      <c r="Y157" s="9"/>
      <c r="Z157" s="9"/>
      <c r="AA157" s="9"/>
    </row>
    <row r="158">
      <c r="A158" s="52"/>
      <c r="B158" s="50"/>
      <c r="C158" s="52"/>
      <c r="D158" s="52"/>
      <c r="E158" s="52"/>
      <c r="F158" s="52"/>
      <c r="G158" s="52"/>
      <c r="H158" s="53"/>
      <c r="I158" s="53"/>
      <c r="J158" s="52"/>
      <c r="K158" s="52"/>
      <c r="L158" s="52"/>
      <c r="M158" s="52"/>
      <c r="N158" s="52"/>
      <c r="O158" s="52"/>
      <c r="P158" s="9"/>
      <c r="Q158" s="9"/>
      <c r="R158" s="9"/>
      <c r="S158" s="50"/>
      <c r="T158" s="50"/>
      <c r="U158" s="9"/>
      <c r="V158" s="9"/>
      <c r="W158" s="9"/>
      <c r="X158" s="9"/>
      <c r="Y158" s="9"/>
      <c r="Z158" s="9"/>
      <c r="AA158" s="9"/>
    </row>
    <row r="159">
      <c r="A159" s="52"/>
      <c r="B159" s="50"/>
      <c r="C159" s="52"/>
      <c r="D159" s="52"/>
      <c r="E159" s="52"/>
      <c r="F159" s="52"/>
      <c r="G159" s="52"/>
      <c r="H159" s="53"/>
      <c r="I159" s="53"/>
      <c r="J159" s="52"/>
      <c r="K159" s="52"/>
      <c r="L159" s="52"/>
      <c r="M159" s="52"/>
      <c r="N159" s="52"/>
      <c r="O159" s="52"/>
      <c r="P159" s="9"/>
      <c r="Q159" s="9"/>
      <c r="R159" s="9"/>
      <c r="S159" s="50"/>
      <c r="T159" s="50"/>
      <c r="U159" s="9"/>
      <c r="V159" s="9"/>
      <c r="W159" s="9"/>
      <c r="X159" s="9"/>
      <c r="Y159" s="9"/>
      <c r="Z159" s="9"/>
      <c r="AA159" s="9"/>
    </row>
    <row r="160">
      <c r="A160" s="52"/>
      <c r="B160" s="50"/>
      <c r="C160" s="52"/>
      <c r="D160" s="52"/>
      <c r="E160" s="52"/>
      <c r="F160" s="52"/>
      <c r="G160" s="52"/>
      <c r="H160" s="53"/>
      <c r="I160" s="53"/>
      <c r="J160" s="52"/>
      <c r="K160" s="52"/>
      <c r="L160" s="52"/>
      <c r="M160" s="52"/>
      <c r="N160" s="52"/>
      <c r="O160" s="52"/>
      <c r="P160" s="9"/>
      <c r="Q160" s="9"/>
      <c r="R160" s="9"/>
      <c r="S160" s="50"/>
      <c r="T160" s="50"/>
      <c r="U160" s="9"/>
      <c r="V160" s="9"/>
      <c r="W160" s="9"/>
      <c r="X160" s="9"/>
      <c r="Y160" s="9"/>
      <c r="Z160" s="9"/>
      <c r="AA160" s="9"/>
    </row>
    <row r="161">
      <c r="A161" s="52"/>
      <c r="B161" s="50"/>
      <c r="C161" s="52"/>
      <c r="D161" s="52"/>
      <c r="E161" s="52"/>
      <c r="F161" s="52"/>
      <c r="G161" s="52"/>
      <c r="H161" s="53"/>
      <c r="I161" s="53"/>
      <c r="J161" s="52"/>
      <c r="K161" s="52"/>
      <c r="L161" s="52"/>
      <c r="M161" s="52"/>
      <c r="N161" s="52"/>
      <c r="O161" s="52"/>
      <c r="P161" s="9"/>
      <c r="Q161" s="9"/>
      <c r="R161" s="9"/>
      <c r="S161" s="50"/>
      <c r="T161" s="50"/>
      <c r="U161" s="9"/>
      <c r="V161" s="9"/>
      <c r="W161" s="9"/>
      <c r="X161" s="9"/>
      <c r="Y161" s="9"/>
      <c r="Z161" s="9"/>
      <c r="AA161" s="9"/>
    </row>
    <row r="162">
      <c r="A162" s="52"/>
      <c r="B162" s="50"/>
      <c r="C162" s="52"/>
      <c r="D162" s="52"/>
      <c r="E162" s="52"/>
      <c r="F162" s="52"/>
      <c r="G162" s="52"/>
      <c r="H162" s="53"/>
      <c r="I162" s="53"/>
      <c r="J162" s="52"/>
      <c r="K162" s="52"/>
      <c r="L162" s="52"/>
      <c r="M162" s="52"/>
      <c r="N162" s="52"/>
      <c r="O162" s="52"/>
      <c r="P162" s="9"/>
      <c r="Q162" s="9"/>
      <c r="R162" s="9"/>
      <c r="S162" s="50"/>
      <c r="T162" s="50"/>
      <c r="U162" s="9"/>
      <c r="V162" s="9"/>
      <c r="W162" s="9"/>
      <c r="X162" s="9"/>
      <c r="Y162" s="9"/>
      <c r="Z162" s="9"/>
      <c r="AA162" s="9"/>
    </row>
    <row r="163">
      <c r="A163" s="52"/>
      <c r="B163" s="50"/>
      <c r="C163" s="52"/>
      <c r="D163" s="52"/>
      <c r="E163" s="52"/>
      <c r="F163" s="52"/>
      <c r="G163" s="52"/>
      <c r="H163" s="53"/>
      <c r="I163" s="53"/>
      <c r="J163" s="52"/>
      <c r="K163" s="52"/>
      <c r="L163" s="52"/>
      <c r="M163" s="52"/>
      <c r="N163" s="52"/>
      <c r="O163" s="52"/>
      <c r="P163" s="9"/>
      <c r="Q163" s="9"/>
      <c r="R163" s="9"/>
      <c r="S163" s="50"/>
      <c r="T163" s="50"/>
      <c r="U163" s="9"/>
      <c r="V163" s="9"/>
      <c r="W163" s="9"/>
      <c r="X163" s="9"/>
      <c r="Y163" s="9"/>
      <c r="Z163" s="9"/>
      <c r="AA163" s="9"/>
    </row>
    <row r="164">
      <c r="A164" s="52"/>
      <c r="B164" s="50"/>
      <c r="C164" s="52"/>
      <c r="D164" s="52"/>
      <c r="E164" s="52"/>
      <c r="F164" s="52"/>
      <c r="G164" s="52"/>
      <c r="H164" s="53"/>
      <c r="I164" s="53"/>
      <c r="J164" s="52"/>
      <c r="K164" s="52"/>
      <c r="L164" s="52"/>
      <c r="M164" s="52"/>
      <c r="N164" s="52"/>
      <c r="O164" s="52"/>
      <c r="P164" s="9"/>
      <c r="Q164" s="9"/>
      <c r="R164" s="9"/>
      <c r="S164" s="50"/>
      <c r="T164" s="50"/>
      <c r="U164" s="9"/>
      <c r="V164" s="9"/>
      <c r="W164" s="9"/>
      <c r="X164" s="9"/>
      <c r="Y164" s="9"/>
      <c r="Z164" s="9"/>
      <c r="AA164" s="9"/>
    </row>
    <row r="165">
      <c r="A165" s="52"/>
      <c r="B165" s="50"/>
      <c r="C165" s="52"/>
      <c r="D165" s="52"/>
      <c r="E165" s="52"/>
      <c r="F165" s="52"/>
      <c r="G165" s="52"/>
      <c r="H165" s="53"/>
      <c r="I165" s="53"/>
      <c r="J165" s="52"/>
      <c r="K165" s="52"/>
      <c r="L165" s="52"/>
      <c r="M165" s="52"/>
      <c r="N165" s="52"/>
      <c r="O165" s="52"/>
      <c r="P165" s="9"/>
      <c r="Q165" s="9"/>
      <c r="R165" s="9"/>
      <c r="S165" s="50"/>
      <c r="T165" s="50"/>
      <c r="U165" s="9"/>
      <c r="V165" s="9"/>
      <c r="W165" s="9"/>
      <c r="X165" s="9"/>
      <c r="Y165" s="9"/>
      <c r="Z165" s="9"/>
      <c r="AA165" s="9"/>
    </row>
    <row r="166">
      <c r="A166" s="52"/>
      <c r="B166" s="50"/>
      <c r="C166" s="52"/>
      <c r="D166" s="52"/>
      <c r="E166" s="52"/>
      <c r="F166" s="52"/>
      <c r="G166" s="52"/>
      <c r="H166" s="53"/>
      <c r="I166" s="53"/>
      <c r="J166" s="52"/>
      <c r="K166" s="52"/>
      <c r="L166" s="52"/>
      <c r="M166" s="52"/>
      <c r="N166" s="52"/>
      <c r="O166" s="52"/>
      <c r="P166" s="9"/>
      <c r="Q166" s="9"/>
      <c r="R166" s="9"/>
      <c r="S166" s="50"/>
      <c r="T166" s="50"/>
      <c r="U166" s="9"/>
      <c r="V166" s="9"/>
      <c r="W166" s="9"/>
      <c r="X166" s="9"/>
      <c r="Y166" s="9"/>
      <c r="Z166" s="9"/>
      <c r="AA166" s="9"/>
    </row>
    <row r="167">
      <c r="A167" s="52"/>
      <c r="B167" s="50"/>
      <c r="C167" s="52"/>
      <c r="D167" s="52"/>
      <c r="E167" s="52"/>
      <c r="F167" s="52"/>
      <c r="G167" s="52"/>
      <c r="H167" s="53"/>
      <c r="I167" s="53"/>
      <c r="J167" s="52"/>
      <c r="K167" s="52"/>
      <c r="L167" s="52"/>
      <c r="M167" s="52"/>
      <c r="N167" s="52"/>
      <c r="O167" s="52"/>
      <c r="P167" s="9"/>
      <c r="Q167" s="9"/>
      <c r="R167" s="9"/>
      <c r="S167" s="50"/>
      <c r="T167" s="50"/>
      <c r="U167" s="9"/>
      <c r="V167" s="9"/>
      <c r="W167" s="9"/>
      <c r="X167" s="9"/>
      <c r="Y167" s="9"/>
      <c r="Z167" s="9"/>
      <c r="AA167" s="9"/>
    </row>
    <row r="168">
      <c r="A168" s="52"/>
      <c r="B168" s="50"/>
      <c r="C168" s="52"/>
      <c r="D168" s="52"/>
      <c r="E168" s="52"/>
      <c r="F168" s="52"/>
      <c r="G168" s="52"/>
      <c r="H168" s="53"/>
      <c r="I168" s="53"/>
      <c r="J168" s="52"/>
      <c r="K168" s="52"/>
      <c r="L168" s="52"/>
      <c r="M168" s="52"/>
      <c r="N168" s="52"/>
      <c r="O168" s="52"/>
      <c r="P168" s="9"/>
      <c r="Q168" s="9"/>
      <c r="R168" s="9"/>
      <c r="S168" s="50"/>
      <c r="T168" s="50"/>
      <c r="U168" s="9"/>
      <c r="V168" s="9"/>
      <c r="W168" s="9"/>
      <c r="X168" s="9"/>
      <c r="Y168" s="9"/>
      <c r="Z168" s="9"/>
      <c r="AA168" s="9"/>
    </row>
    <row r="169">
      <c r="A169" s="52"/>
      <c r="B169" s="50"/>
      <c r="C169" s="52"/>
      <c r="D169" s="52"/>
      <c r="E169" s="52"/>
      <c r="F169" s="52"/>
      <c r="G169" s="52"/>
      <c r="H169" s="53"/>
      <c r="I169" s="53"/>
      <c r="J169" s="52"/>
      <c r="K169" s="52"/>
      <c r="L169" s="52"/>
      <c r="M169" s="52"/>
      <c r="N169" s="52"/>
      <c r="O169" s="52"/>
      <c r="P169" s="9"/>
      <c r="Q169" s="9"/>
      <c r="R169" s="9"/>
      <c r="S169" s="50"/>
      <c r="T169" s="50"/>
      <c r="U169" s="9"/>
      <c r="V169" s="9"/>
      <c r="W169" s="9"/>
      <c r="X169" s="9"/>
      <c r="Y169" s="9"/>
      <c r="Z169" s="9"/>
      <c r="AA169" s="9"/>
    </row>
    <row r="170">
      <c r="A170" s="52"/>
      <c r="B170" s="50"/>
      <c r="C170" s="52"/>
      <c r="D170" s="52"/>
      <c r="E170" s="52"/>
      <c r="F170" s="52"/>
      <c r="G170" s="52"/>
      <c r="H170" s="53"/>
      <c r="I170" s="53"/>
      <c r="J170" s="52"/>
      <c r="K170" s="52"/>
      <c r="L170" s="52"/>
      <c r="M170" s="52"/>
      <c r="N170" s="52"/>
      <c r="O170" s="52"/>
      <c r="P170" s="9"/>
      <c r="Q170" s="9"/>
      <c r="R170" s="9"/>
      <c r="S170" s="50"/>
      <c r="T170" s="50"/>
      <c r="U170" s="9"/>
      <c r="V170" s="9"/>
      <c r="W170" s="9"/>
      <c r="X170" s="9"/>
      <c r="Y170" s="9"/>
      <c r="Z170" s="9"/>
      <c r="AA170" s="9"/>
    </row>
    <row r="171">
      <c r="A171" s="52"/>
      <c r="B171" s="50"/>
      <c r="C171" s="52"/>
      <c r="D171" s="52"/>
      <c r="E171" s="52"/>
      <c r="F171" s="52"/>
      <c r="G171" s="52"/>
      <c r="H171" s="53"/>
      <c r="I171" s="53"/>
      <c r="J171" s="52"/>
      <c r="K171" s="52"/>
      <c r="L171" s="52"/>
      <c r="M171" s="52"/>
      <c r="N171" s="52"/>
      <c r="O171" s="52"/>
      <c r="P171" s="9"/>
      <c r="Q171" s="9"/>
      <c r="R171" s="9"/>
      <c r="S171" s="50"/>
      <c r="T171" s="50"/>
      <c r="U171" s="9"/>
      <c r="V171" s="9"/>
      <c r="W171" s="9"/>
      <c r="X171" s="9"/>
      <c r="Y171" s="9"/>
      <c r="Z171" s="9"/>
      <c r="AA171" s="9"/>
    </row>
    <row r="172">
      <c r="A172" s="52"/>
      <c r="B172" s="50"/>
      <c r="C172" s="52"/>
      <c r="D172" s="52"/>
      <c r="E172" s="52"/>
      <c r="F172" s="52"/>
      <c r="G172" s="52"/>
      <c r="H172" s="53"/>
      <c r="I172" s="53"/>
      <c r="J172" s="52"/>
      <c r="K172" s="52"/>
      <c r="L172" s="52"/>
      <c r="M172" s="52"/>
      <c r="N172" s="52"/>
      <c r="O172" s="52"/>
      <c r="P172" s="9"/>
      <c r="Q172" s="9"/>
      <c r="R172" s="9"/>
      <c r="S172" s="50"/>
      <c r="T172" s="50"/>
      <c r="U172" s="9"/>
      <c r="V172" s="9"/>
      <c r="W172" s="9"/>
      <c r="X172" s="9"/>
      <c r="Y172" s="9"/>
      <c r="Z172" s="9"/>
      <c r="AA172" s="9"/>
    </row>
    <row r="173">
      <c r="A173" s="52"/>
      <c r="B173" s="50"/>
      <c r="C173" s="52"/>
      <c r="D173" s="52"/>
      <c r="E173" s="52"/>
      <c r="F173" s="52"/>
      <c r="G173" s="52"/>
      <c r="H173" s="53"/>
      <c r="I173" s="53"/>
      <c r="J173" s="52"/>
      <c r="K173" s="52"/>
      <c r="L173" s="52"/>
      <c r="M173" s="52"/>
      <c r="N173" s="52"/>
      <c r="O173" s="52"/>
      <c r="P173" s="9"/>
      <c r="Q173" s="9"/>
      <c r="R173" s="9"/>
      <c r="S173" s="50"/>
      <c r="T173" s="50"/>
      <c r="U173" s="9"/>
      <c r="V173" s="9"/>
      <c r="W173" s="9"/>
      <c r="X173" s="9"/>
      <c r="Y173" s="9"/>
      <c r="Z173" s="9"/>
      <c r="AA173" s="9"/>
    </row>
    <row r="174">
      <c r="A174" s="52"/>
      <c r="B174" s="50"/>
      <c r="C174" s="52"/>
      <c r="D174" s="52"/>
      <c r="E174" s="52"/>
      <c r="F174" s="52"/>
      <c r="G174" s="52"/>
      <c r="H174" s="53"/>
      <c r="I174" s="53"/>
      <c r="J174" s="52"/>
      <c r="K174" s="52"/>
      <c r="L174" s="52"/>
      <c r="M174" s="52"/>
      <c r="N174" s="52"/>
      <c r="O174" s="52"/>
      <c r="P174" s="9"/>
      <c r="Q174" s="9"/>
      <c r="R174" s="9"/>
      <c r="S174" s="50"/>
      <c r="T174" s="50"/>
      <c r="U174" s="9"/>
      <c r="V174" s="9"/>
      <c r="W174" s="9"/>
      <c r="X174" s="9"/>
      <c r="Y174" s="9"/>
      <c r="Z174" s="9"/>
      <c r="AA174" s="9"/>
    </row>
    <row r="175">
      <c r="A175" s="52"/>
      <c r="B175" s="50"/>
      <c r="C175" s="52"/>
      <c r="D175" s="52"/>
      <c r="E175" s="52"/>
      <c r="F175" s="52"/>
      <c r="G175" s="52"/>
      <c r="H175" s="53"/>
      <c r="I175" s="53"/>
      <c r="J175" s="52"/>
      <c r="K175" s="52"/>
      <c r="L175" s="52"/>
      <c r="M175" s="52"/>
      <c r="N175" s="52"/>
      <c r="O175" s="52"/>
      <c r="P175" s="9"/>
      <c r="Q175" s="9"/>
      <c r="R175" s="9"/>
      <c r="S175" s="50"/>
      <c r="T175" s="50"/>
      <c r="U175" s="9"/>
      <c r="V175" s="9"/>
      <c r="W175" s="9"/>
      <c r="X175" s="9"/>
      <c r="Y175" s="9"/>
      <c r="Z175" s="9"/>
      <c r="AA175" s="9"/>
    </row>
    <row r="176">
      <c r="A176" s="52"/>
      <c r="B176" s="50"/>
      <c r="C176" s="52"/>
      <c r="D176" s="52"/>
      <c r="E176" s="52"/>
      <c r="F176" s="52"/>
      <c r="G176" s="52"/>
      <c r="H176" s="53"/>
      <c r="I176" s="53"/>
      <c r="J176" s="52"/>
      <c r="K176" s="52"/>
      <c r="L176" s="52"/>
      <c r="M176" s="52"/>
      <c r="N176" s="52"/>
      <c r="O176" s="52"/>
      <c r="P176" s="9"/>
      <c r="Q176" s="9"/>
      <c r="R176" s="9"/>
      <c r="S176" s="50"/>
      <c r="T176" s="50"/>
      <c r="U176" s="9"/>
      <c r="V176" s="9"/>
      <c r="W176" s="9"/>
      <c r="X176" s="9"/>
      <c r="Y176" s="9"/>
      <c r="Z176" s="9"/>
      <c r="AA176" s="9"/>
    </row>
    <row r="177">
      <c r="A177" s="52"/>
      <c r="B177" s="50"/>
      <c r="C177" s="52"/>
      <c r="D177" s="52"/>
      <c r="E177" s="52"/>
      <c r="F177" s="52"/>
      <c r="G177" s="52"/>
      <c r="H177" s="53"/>
      <c r="I177" s="53"/>
      <c r="J177" s="52"/>
      <c r="K177" s="52"/>
      <c r="L177" s="52"/>
      <c r="M177" s="52"/>
      <c r="N177" s="52"/>
      <c r="O177" s="52"/>
      <c r="P177" s="9"/>
      <c r="Q177" s="9"/>
      <c r="R177" s="9"/>
      <c r="S177" s="50"/>
      <c r="T177" s="50"/>
      <c r="U177" s="9"/>
      <c r="V177" s="9"/>
      <c r="W177" s="9"/>
      <c r="X177" s="9"/>
      <c r="Y177" s="9"/>
      <c r="Z177" s="9"/>
      <c r="AA177" s="9"/>
    </row>
    <row r="178">
      <c r="A178" s="52"/>
      <c r="B178" s="50"/>
      <c r="C178" s="52"/>
      <c r="D178" s="52"/>
      <c r="E178" s="52"/>
      <c r="F178" s="52"/>
      <c r="G178" s="52"/>
      <c r="H178" s="53"/>
      <c r="I178" s="53"/>
      <c r="J178" s="52"/>
      <c r="K178" s="52"/>
      <c r="L178" s="52"/>
      <c r="M178" s="52"/>
      <c r="N178" s="52"/>
      <c r="O178" s="52"/>
      <c r="P178" s="9"/>
      <c r="Q178" s="9"/>
      <c r="R178" s="9"/>
      <c r="S178" s="50"/>
      <c r="T178" s="50"/>
      <c r="U178" s="9"/>
      <c r="V178" s="9"/>
      <c r="W178" s="9"/>
      <c r="X178" s="9"/>
      <c r="Y178" s="9"/>
      <c r="Z178" s="9"/>
      <c r="AA178" s="9"/>
    </row>
    <row r="179">
      <c r="A179" s="52"/>
      <c r="B179" s="50"/>
      <c r="C179" s="52"/>
      <c r="D179" s="52"/>
      <c r="E179" s="52"/>
      <c r="F179" s="52"/>
      <c r="G179" s="52"/>
      <c r="H179" s="53"/>
      <c r="I179" s="53"/>
      <c r="J179" s="52"/>
      <c r="K179" s="52"/>
      <c r="L179" s="52"/>
      <c r="M179" s="52"/>
      <c r="N179" s="52"/>
      <c r="O179" s="52"/>
      <c r="P179" s="9"/>
      <c r="Q179" s="9"/>
      <c r="R179" s="9"/>
      <c r="S179" s="50"/>
      <c r="T179" s="50"/>
      <c r="U179" s="9"/>
      <c r="V179" s="9"/>
      <c r="W179" s="9"/>
      <c r="X179" s="9"/>
      <c r="Y179" s="9"/>
      <c r="Z179" s="9"/>
      <c r="AA179" s="9"/>
    </row>
    <row r="180">
      <c r="A180" s="52"/>
      <c r="B180" s="50"/>
      <c r="C180" s="52"/>
      <c r="D180" s="52"/>
      <c r="E180" s="52"/>
      <c r="F180" s="52"/>
      <c r="G180" s="52"/>
      <c r="H180" s="53"/>
      <c r="I180" s="53"/>
      <c r="J180" s="52"/>
      <c r="K180" s="52"/>
      <c r="L180" s="52"/>
      <c r="M180" s="52"/>
      <c r="N180" s="52"/>
      <c r="O180" s="52"/>
      <c r="P180" s="9"/>
      <c r="Q180" s="9"/>
      <c r="R180" s="9"/>
      <c r="S180" s="50"/>
      <c r="T180" s="50"/>
      <c r="U180" s="9"/>
      <c r="V180" s="9"/>
      <c r="W180" s="9"/>
      <c r="X180" s="9"/>
      <c r="Y180" s="9"/>
      <c r="Z180" s="9"/>
      <c r="AA180" s="9"/>
    </row>
    <row r="181">
      <c r="A181" s="52"/>
      <c r="B181" s="50"/>
      <c r="C181" s="52"/>
      <c r="D181" s="52"/>
      <c r="E181" s="52"/>
      <c r="F181" s="52"/>
      <c r="G181" s="52"/>
      <c r="H181" s="53"/>
      <c r="I181" s="53"/>
      <c r="J181" s="52"/>
      <c r="K181" s="52"/>
      <c r="L181" s="52"/>
      <c r="M181" s="52"/>
      <c r="N181" s="52"/>
      <c r="O181" s="52"/>
      <c r="P181" s="9"/>
      <c r="Q181" s="9"/>
      <c r="R181" s="9"/>
      <c r="S181" s="50"/>
      <c r="T181" s="50"/>
      <c r="U181" s="9"/>
      <c r="V181" s="9"/>
      <c r="W181" s="9"/>
      <c r="X181" s="9"/>
      <c r="Y181" s="9"/>
      <c r="Z181" s="9"/>
      <c r="AA181" s="9"/>
    </row>
    <row r="182">
      <c r="A182" s="52"/>
      <c r="B182" s="50"/>
      <c r="C182" s="52"/>
      <c r="D182" s="52"/>
      <c r="E182" s="52"/>
      <c r="F182" s="52"/>
      <c r="G182" s="52"/>
      <c r="H182" s="53"/>
      <c r="I182" s="53"/>
      <c r="J182" s="52"/>
      <c r="K182" s="52"/>
      <c r="L182" s="52"/>
      <c r="M182" s="52"/>
      <c r="N182" s="52"/>
      <c r="O182" s="52"/>
      <c r="P182" s="9"/>
      <c r="Q182" s="9"/>
      <c r="R182" s="9"/>
      <c r="S182" s="50"/>
      <c r="T182" s="50"/>
      <c r="U182" s="9"/>
      <c r="V182" s="9"/>
      <c r="W182" s="9"/>
      <c r="X182" s="9"/>
      <c r="Y182" s="9"/>
      <c r="Z182" s="9"/>
      <c r="AA182" s="9"/>
    </row>
    <row r="183">
      <c r="A183" s="52"/>
      <c r="B183" s="50"/>
      <c r="C183" s="52"/>
      <c r="D183" s="52"/>
      <c r="E183" s="52"/>
      <c r="F183" s="52"/>
      <c r="G183" s="52"/>
      <c r="H183" s="53"/>
      <c r="I183" s="53"/>
      <c r="J183" s="52"/>
      <c r="K183" s="52"/>
      <c r="L183" s="52"/>
      <c r="M183" s="52"/>
      <c r="N183" s="52"/>
      <c r="O183" s="52"/>
      <c r="P183" s="9"/>
      <c r="Q183" s="9"/>
      <c r="R183" s="9"/>
      <c r="S183" s="50"/>
      <c r="T183" s="50"/>
      <c r="U183" s="9"/>
      <c r="V183" s="9"/>
      <c r="W183" s="9"/>
      <c r="X183" s="9"/>
      <c r="Y183" s="9"/>
      <c r="Z183" s="9"/>
      <c r="AA183" s="9"/>
    </row>
    <row r="184">
      <c r="A184" s="52"/>
      <c r="B184" s="50"/>
      <c r="C184" s="52"/>
      <c r="D184" s="52"/>
      <c r="E184" s="52"/>
      <c r="F184" s="52"/>
      <c r="G184" s="52"/>
      <c r="H184" s="53"/>
      <c r="I184" s="53"/>
      <c r="J184" s="52"/>
      <c r="K184" s="52"/>
      <c r="L184" s="52"/>
      <c r="M184" s="52"/>
      <c r="N184" s="52"/>
      <c r="O184" s="52"/>
      <c r="P184" s="9"/>
      <c r="Q184" s="9"/>
      <c r="R184" s="9"/>
      <c r="S184" s="50"/>
      <c r="T184" s="50"/>
      <c r="U184" s="9"/>
      <c r="V184" s="9"/>
      <c r="W184" s="9"/>
      <c r="X184" s="9"/>
      <c r="Y184" s="9"/>
      <c r="Z184" s="9"/>
      <c r="AA184" s="9"/>
    </row>
    <row r="185">
      <c r="A185" s="52"/>
      <c r="B185" s="50"/>
      <c r="C185" s="52"/>
      <c r="D185" s="52"/>
      <c r="E185" s="52"/>
      <c r="F185" s="52"/>
      <c r="G185" s="52"/>
      <c r="H185" s="53"/>
      <c r="I185" s="53"/>
      <c r="J185" s="52"/>
      <c r="K185" s="52"/>
      <c r="L185" s="52"/>
      <c r="M185" s="52"/>
      <c r="N185" s="52"/>
      <c r="O185" s="52"/>
      <c r="P185" s="9"/>
      <c r="Q185" s="9"/>
      <c r="R185" s="9"/>
      <c r="S185" s="50"/>
      <c r="T185" s="50"/>
      <c r="U185" s="9"/>
      <c r="V185" s="9"/>
      <c r="W185" s="9"/>
      <c r="X185" s="9"/>
      <c r="Y185" s="9"/>
      <c r="Z185" s="9"/>
      <c r="AA185" s="9"/>
    </row>
    <row r="186">
      <c r="A186" s="52"/>
      <c r="B186" s="50"/>
      <c r="C186" s="52"/>
      <c r="D186" s="52"/>
      <c r="E186" s="52"/>
      <c r="F186" s="52"/>
      <c r="G186" s="52"/>
      <c r="H186" s="53"/>
      <c r="I186" s="53"/>
      <c r="J186" s="52"/>
      <c r="K186" s="52"/>
      <c r="L186" s="52"/>
      <c r="M186" s="52"/>
      <c r="N186" s="52"/>
      <c r="O186" s="52"/>
      <c r="P186" s="9"/>
      <c r="Q186" s="9"/>
      <c r="R186" s="9"/>
      <c r="S186" s="50"/>
      <c r="T186" s="50"/>
      <c r="U186" s="9"/>
      <c r="V186" s="9"/>
      <c r="W186" s="9"/>
      <c r="X186" s="9"/>
      <c r="Y186" s="9"/>
      <c r="Z186" s="9"/>
      <c r="AA186" s="9"/>
    </row>
    <row r="187">
      <c r="A187" s="52"/>
      <c r="B187" s="50"/>
      <c r="C187" s="52"/>
      <c r="D187" s="52"/>
      <c r="E187" s="52"/>
      <c r="F187" s="52"/>
      <c r="G187" s="52"/>
      <c r="H187" s="53"/>
      <c r="I187" s="53"/>
      <c r="J187" s="52"/>
      <c r="K187" s="52"/>
      <c r="L187" s="52"/>
      <c r="M187" s="52"/>
      <c r="N187" s="52"/>
      <c r="O187" s="52"/>
      <c r="P187" s="9"/>
      <c r="Q187" s="9"/>
      <c r="R187" s="9"/>
      <c r="S187" s="50"/>
      <c r="T187" s="50"/>
      <c r="U187" s="9"/>
      <c r="V187" s="9"/>
      <c r="W187" s="9"/>
      <c r="X187" s="9"/>
      <c r="Y187" s="9"/>
      <c r="Z187" s="9"/>
      <c r="AA187" s="9"/>
    </row>
    <row r="188">
      <c r="A188" s="52"/>
      <c r="B188" s="50"/>
      <c r="C188" s="52"/>
      <c r="D188" s="52"/>
      <c r="E188" s="52"/>
      <c r="F188" s="52"/>
      <c r="G188" s="52"/>
      <c r="H188" s="53"/>
      <c r="I188" s="53"/>
      <c r="J188" s="52"/>
      <c r="K188" s="52"/>
      <c r="L188" s="52"/>
      <c r="M188" s="52"/>
      <c r="N188" s="52"/>
      <c r="O188" s="52"/>
      <c r="P188" s="9"/>
      <c r="Q188" s="9"/>
      <c r="R188" s="9"/>
      <c r="S188" s="50"/>
      <c r="T188" s="50"/>
      <c r="U188" s="9"/>
      <c r="V188" s="9"/>
      <c r="W188" s="9"/>
      <c r="X188" s="9"/>
      <c r="Y188" s="9"/>
      <c r="Z188" s="9"/>
      <c r="AA188" s="9"/>
    </row>
    <row r="189">
      <c r="A189" s="52"/>
      <c r="B189" s="50"/>
      <c r="C189" s="52"/>
      <c r="D189" s="52"/>
      <c r="E189" s="52"/>
      <c r="F189" s="52"/>
      <c r="G189" s="52"/>
      <c r="H189" s="53"/>
      <c r="I189" s="53"/>
      <c r="J189" s="52"/>
      <c r="K189" s="52"/>
      <c r="L189" s="52"/>
      <c r="M189" s="52"/>
      <c r="N189" s="52"/>
      <c r="O189" s="52"/>
      <c r="P189" s="9"/>
      <c r="Q189" s="9"/>
      <c r="R189" s="9"/>
      <c r="S189" s="50"/>
      <c r="T189" s="50"/>
      <c r="U189" s="9"/>
      <c r="V189" s="9"/>
      <c r="W189" s="9"/>
      <c r="X189" s="9"/>
      <c r="Y189" s="9"/>
      <c r="Z189" s="9"/>
      <c r="AA189" s="9"/>
    </row>
    <row r="190">
      <c r="A190" s="52"/>
      <c r="B190" s="50"/>
      <c r="C190" s="52"/>
      <c r="D190" s="52"/>
      <c r="E190" s="52"/>
      <c r="F190" s="52"/>
      <c r="G190" s="52"/>
      <c r="H190" s="53"/>
      <c r="I190" s="53"/>
      <c r="J190" s="52"/>
      <c r="K190" s="52"/>
      <c r="L190" s="52"/>
      <c r="M190" s="52"/>
      <c r="N190" s="52"/>
      <c r="O190" s="52"/>
      <c r="P190" s="9"/>
      <c r="Q190" s="9"/>
      <c r="R190" s="9"/>
      <c r="S190" s="50"/>
      <c r="T190" s="50"/>
      <c r="U190" s="9"/>
      <c r="V190" s="9"/>
      <c r="W190" s="9"/>
      <c r="X190" s="9"/>
      <c r="Y190" s="9"/>
      <c r="Z190" s="9"/>
      <c r="AA190" s="9"/>
    </row>
    <row r="191">
      <c r="A191" s="52"/>
      <c r="B191" s="50"/>
      <c r="C191" s="52"/>
      <c r="D191" s="52"/>
      <c r="E191" s="52"/>
      <c r="F191" s="52"/>
      <c r="G191" s="52"/>
      <c r="H191" s="53"/>
      <c r="I191" s="53"/>
      <c r="J191" s="52"/>
      <c r="K191" s="52"/>
      <c r="L191" s="52"/>
      <c r="M191" s="52"/>
      <c r="N191" s="52"/>
      <c r="O191" s="52"/>
      <c r="P191" s="9"/>
      <c r="Q191" s="9"/>
      <c r="R191" s="9"/>
      <c r="S191" s="50"/>
      <c r="T191" s="50"/>
      <c r="U191" s="9"/>
      <c r="V191" s="9"/>
      <c r="W191" s="9"/>
      <c r="X191" s="9"/>
      <c r="Y191" s="9"/>
      <c r="Z191" s="9"/>
      <c r="AA191" s="9"/>
    </row>
    <row r="192">
      <c r="A192" s="52"/>
      <c r="B192" s="50"/>
      <c r="C192" s="52"/>
      <c r="D192" s="52"/>
      <c r="E192" s="52"/>
      <c r="F192" s="52"/>
      <c r="G192" s="52"/>
      <c r="H192" s="53"/>
      <c r="I192" s="53"/>
      <c r="J192" s="52"/>
      <c r="K192" s="52"/>
      <c r="L192" s="52"/>
      <c r="M192" s="52"/>
      <c r="N192" s="52"/>
      <c r="O192" s="52"/>
      <c r="P192" s="9"/>
      <c r="Q192" s="9"/>
      <c r="R192" s="9"/>
      <c r="S192" s="50"/>
      <c r="T192" s="50"/>
      <c r="U192" s="9"/>
      <c r="V192" s="9"/>
      <c r="W192" s="9"/>
      <c r="X192" s="9"/>
      <c r="Y192" s="9"/>
      <c r="Z192" s="9"/>
      <c r="AA192" s="9"/>
    </row>
    <row r="193">
      <c r="A193" s="52"/>
      <c r="B193" s="50"/>
      <c r="C193" s="52"/>
      <c r="D193" s="52"/>
      <c r="E193" s="52"/>
      <c r="F193" s="52"/>
      <c r="G193" s="52"/>
      <c r="H193" s="53"/>
      <c r="I193" s="53"/>
      <c r="J193" s="52"/>
      <c r="K193" s="52"/>
      <c r="L193" s="52"/>
      <c r="M193" s="52"/>
      <c r="N193" s="52"/>
      <c r="O193" s="52"/>
      <c r="P193" s="9"/>
      <c r="Q193" s="9"/>
      <c r="R193" s="9"/>
      <c r="S193" s="50"/>
      <c r="T193" s="50"/>
      <c r="U193" s="9"/>
      <c r="V193" s="9"/>
      <c r="W193" s="9"/>
      <c r="X193" s="9"/>
      <c r="Y193" s="9"/>
      <c r="Z193" s="9"/>
      <c r="AA193" s="9"/>
    </row>
    <row r="194">
      <c r="A194" s="52"/>
      <c r="B194" s="50"/>
      <c r="C194" s="52"/>
      <c r="D194" s="52"/>
      <c r="E194" s="52"/>
      <c r="F194" s="52"/>
      <c r="G194" s="52"/>
      <c r="H194" s="53"/>
      <c r="I194" s="53"/>
      <c r="J194" s="52"/>
      <c r="K194" s="52"/>
      <c r="L194" s="52"/>
      <c r="M194" s="52"/>
      <c r="N194" s="52"/>
      <c r="O194" s="52"/>
      <c r="P194" s="9"/>
      <c r="Q194" s="9"/>
      <c r="R194" s="9"/>
      <c r="S194" s="50"/>
      <c r="T194" s="50"/>
      <c r="U194" s="9"/>
      <c r="V194" s="9"/>
      <c r="W194" s="9"/>
      <c r="X194" s="9"/>
      <c r="Y194" s="9"/>
      <c r="Z194" s="9"/>
      <c r="AA194" s="9"/>
    </row>
    <row r="195">
      <c r="A195" s="52"/>
      <c r="B195" s="50"/>
      <c r="C195" s="52"/>
      <c r="D195" s="52"/>
      <c r="E195" s="52"/>
      <c r="F195" s="52"/>
      <c r="G195" s="52"/>
      <c r="H195" s="53"/>
      <c r="I195" s="53"/>
      <c r="J195" s="52"/>
      <c r="K195" s="52"/>
      <c r="L195" s="52"/>
      <c r="M195" s="52"/>
      <c r="N195" s="52"/>
      <c r="O195" s="52"/>
      <c r="P195" s="9"/>
      <c r="Q195" s="9"/>
      <c r="R195" s="9"/>
      <c r="S195" s="50"/>
      <c r="T195" s="50"/>
      <c r="U195" s="9"/>
      <c r="V195" s="9"/>
      <c r="W195" s="9"/>
      <c r="X195" s="9"/>
      <c r="Y195" s="9"/>
      <c r="Z195" s="9"/>
      <c r="AA195" s="9"/>
    </row>
    <row r="196">
      <c r="A196" s="52"/>
      <c r="B196" s="50"/>
      <c r="C196" s="52"/>
      <c r="D196" s="52"/>
      <c r="E196" s="52"/>
      <c r="F196" s="52"/>
      <c r="G196" s="52"/>
      <c r="H196" s="53"/>
      <c r="I196" s="53"/>
      <c r="J196" s="52"/>
      <c r="K196" s="52"/>
      <c r="L196" s="52"/>
      <c r="M196" s="52"/>
      <c r="N196" s="52"/>
      <c r="O196" s="52"/>
      <c r="P196" s="9"/>
      <c r="Q196" s="9"/>
      <c r="R196" s="9"/>
      <c r="S196" s="50"/>
      <c r="T196" s="50"/>
      <c r="U196" s="9"/>
      <c r="V196" s="9"/>
      <c r="W196" s="9"/>
      <c r="X196" s="9"/>
      <c r="Y196" s="9"/>
      <c r="Z196" s="9"/>
      <c r="AA196" s="9"/>
    </row>
    <row r="197">
      <c r="A197" s="52"/>
      <c r="B197" s="50"/>
      <c r="C197" s="52"/>
      <c r="D197" s="52"/>
      <c r="E197" s="52"/>
      <c r="F197" s="52"/>
      <c r="G197" s="52"/>
      <c r="H197" s="53"/>
      <c r="I197" s="53"/>
      <c r="J197" s="52"/>
      <c r="K197" s="52"/>
      <c r="L197" s="52"/>
      <c r="M197" s="52"/>
      <c r="N197" s="52"/>
      <c r="O197" s="52"/>
      <c r="P197" s="9"/>
      <c r="Q197" s="9"/>
      <c r="R197" s="9"/>
      <c r="S197" s="50"/>
      <c r="T197" s="50"/>
      <c r="U197" s="9"/>
      <c r="V197" s="9"/>
      <c r="W197" s="9"/>
      <c r="X197" s="9"/>
      <c r="Y197" s="9"/>
      <c r="Z197" s="9"/>
      <c r="AA197" s="9"/>
    </row>
    <row r="198">
      <c r="A198" s="52"/>
      <c r="B198" s="50"/>
      <c r="C198" s="52"/>
      <c r="D198" s="52"/>
      <c r="E198" s="52"/>
      <c r="F198" s="52"/>
      <c r="G198" s="52"/>
      <c r="H198" s="53"/>
      <c r="I198" s="53"/>
      <c r="J198" s="52"/>
      <c r="K198" s="52"/>
      <c r="L198" s="52"/>
      <c r="M198" s="52"/>
      <c r="N198" s="52"/>
      <c r="O198" s="52"/>
      <c r="P198" s="9"/>
      <c r="Q198" s="9"/>
      <c r="R198" s="9"/>
      <c r="S198" s="50"/>
      <c r="T198" s="50"/>
      <c r="U198" s="9"/>
      <c r="V198" s="9"/>
      <c r="W198" s="9"/>
      <c r="X198" s="9"/>
      <c r="Y198" s="9"/>
      <c r="Z198" s="9"/>
      <c r="AA198" s="9"/>
    </row>
    <row r="199">
      <c r="A199" s="52"/>
      <c r="B199" s="50"/>
      <c r="C199" s="52"/>
      <c r="D199" s="52"/>
      <c r="E199" s="52"/>
      <c r="F199" s="52"/>
      <c r="G199" s="52"/>
      <c r="H199" s="53"/>
      <c r="I199" s="53"/>
      <c r="J199" s="52"/>
      <c r="K199" s="52"/>
      <c r="L199" s="52"/>
      <c r="M199" s="52"/>
      <c r="N199" s="52"/>
      <c r="O199" s="52"/>
      <c r="P199" s="9"/>
      <c r="Q199" s="9"/>
      <c r="R199" s="9"/>
      <c r="S199" s="50"/>
      <c r="T199" s="50"/>
      <c r="U199" s="9"/>
      <c r="V199" s="9"/>
      <c r="W199" s="9"/>
      <c r="X199" s="9"/>
      <c r="Y199" s="9"/>
      <c r="Z199" s="9"/>
      <c r="AA199" s="9"/>
    </row>
    <row r="200">
      <c r="A200" s="52"/>
      <c r="B200" s="50"/>
      <c r="C200" s="52"/>
      <c r="D200" s="52"/>
      <c r="E200" s="52"/>
      <c r="F200" s="52"/>
      <c r="G200" s="52"/>
      <c r="H200" s="53"/>
      <c r="I200" s="53"/>
      <c r="J200" s="52"/>
      <c r="K200" s="52"/>
      <c r="L200" s="52"/>
      <c r="M200" s="52"/>
      <c r="N200" s="52"/>
      <c r="O200" s="52"/>
      <c r="P200" s="9"/>
      <c r="Q200" s="9"/>
      <c r="R200" s="9"/>
      <c r="S200" s="50"/>
      <c r="T200" s="50"/>
      <c r="U200" s="9"/>
      <c r="V200" s="9"/>
      <c r="W200" s="9"/>
      <c r="X200" s="9"/>
      <c r="Y200" s="9"/>
      <c r="Z200" s="9"/>
      <c r="AA200" s="9"/>
    </row>
    <row r="201">
      <c r="A201" s="52"/>
      <c r="B201" s="50"/>
      <c r="C201" s="52"/>
      <c r="D201" s="52"/>
      <c r="E201" s="52"/>
      <c r="F201" s="52"/>
      <c r="G201" s="52"/>
      <c r="H201" s="53"/>
      <c r="I201" s="53"/>
      <c r="J201" s="52"/>
      <c r="K201" s="52"/>
      <c r="L201" s="52"/>
      <c r="M201" s="52"/>
      <c r="N201" s="52"/>
      <c r="O201" s="52"/>
      <c r="P201" s="9"/>
      <c r="Q201" s="9"/>
      <c r="R201" s="9"/>
      <c r="S201" s="50"/>
      <c r="T201" s="50"/>
      <c r="U201" s="9"/>
      <c r="V201" s="9"/>
      <c r="W201" s="9"/>
      <c r="X201" s="9"/>
      <c r="Y201" s="9"/>
      <c r="Z201" s="9"/>
      <c r="AA201" s="9"/>
    </row>
    <row r="202">
      <c r="A202" s="52"/>
      <c r="B202" s="50"/>
      <c r="C202" s="52"/>
      <c r="D202" s="52"/>
      <c r="E202" s="52"/>
      <c r="F202" s="52"/>
      <c r="G202" s="52"/>
      <c r="H202" s="53"/>
      <c r="I202" s="53"/>
      <c r="J202" s="52"/>
      <c r="K202" s="52"/>
      <c r="L202" s="52"/>
      <c r="M202" s="52"/>
      <c r="N202" s="52"/>
      <c r="O202" s="52"/>
      <c r="P202" s="9"/>
      <c r="Q202" s="9"/>
      <c r="R202" s="9"/>
      <c r="S202" s="50"/>
      <c r="T202" s="50"/>
      <c r="U202" s="9"/>
      <c r="V202" s="9"/>
      <c r="W202" s="9"/>
      <c r="X202" s="9"/>
      <c r="Y202" s="9"/>
      <c r="Z202" s="9"/>
      <c r="AA202" s="9"/>
    </row>
    <row r="203">
      <c r="A203" s="52"/>
      <c r="B203" s="50"/>
      <c r="C203" s="52"/>
      <c r="D203" s="52"/>
      <c r="E203" s="52"/>
      <c r="F203" s="52"/>
      <c r="G203" s="52"/>
      <c r="H203" s="53"/>
      <c r="I203" s="53"/>
      <c r="J203" s="52"/>
      <c r="K203" s="52"/>
      <c r="L203" s="52"/>
      <c r="M203" s="52"/>
      <c r="N203" s="52"/>
      <c r="O203" s="52"/>
      <c r="P203" s="9"/>
      <c r="Q203" s="9"/>
      <c r="R203" s="9"/>
      <c r="S203" s="50"/>
      <c r="T203" s="50"/>
      <c r="U203" s="9"/>
      <c r="V203" s="9"/>
      <c r="W203" s="9"/>
      <c r="X203" s="9"/>
      <c r="Y203" s="9"/>
      <c r="Z203" s="9"/>
      <c r="AA203" s="9"/>
    </row>
    <row r="204">
      <c r="A204" s="52"/>
      <c r="B204" s="50"/>
      <c r="C204" s="52"/>
      <c r="D204" s="52"/>
      <c r="E204" s="52"/>
      <c r="F204" s="52"/>
      <c r="G204" s="52"/>
      <c r="H204" s="53"/>
      <c r="I204" s="53"/>
      <c r="J204" s="52"/>
      <c r="K204" s="52"/>
      <c r="L204" s="52"/>
      <c r="M204" s="52"/>
      <c r="N204" s="52"/>
      <c r="O204" s="52"/>
      <c r="P204" s="9"/>
      <c r="Q204" s="9"/>
      <c r="R204" s="9"/>
      <c r="S204" s="50"/>
      <c r="T204" s="50"/>
      <c r="U204" s="9"/>
      <c r="V204" s="9"/>
      <c r="W204" s="9"/>
      <c r="X204" s="9"/>
      <c r="Y204" s="9"/>
      <c r="Z204" s="9"/>
      <c r="AA204" s="9"/>
    </row>
    <row r="205">
      <c r="A205" s="52"/>
      <c r="B205" s="50"/>
      <c r="C205" s="52"/>
      <c r="D205" s="52"/>
      <c r="E205" s="52"/>
      <c r="F205" s="52"/>
      <c r="G205" s="52"/>
      <c r="H205" s="53"/>
      <c r="I205" s="53"/>
      <c r="J205" s="52"/>
      <c r="K205" s="52"/>
      <c r="L205" s="52"/>
      <c r="M205" s="52"/>
      <c r="N205" s="52"/>
      <c r="O205" s="52"/>
      <c r="P205" s="9"/>
      <c r="Q205" s="9"/>
      <c r="R205" s="9"/>
      <c r="S205" s="50"/>
      <c r="T205" s="50"/>
      <c r="U205" s="9"/>
      <c r="V205" s="9"/>
      <c r="W205" s="9"/>
      <c r="X205" s="9"/>
      <c r="Y205" s="9"/>
      <c r="Z205" s="9"/>
      <c r="AA205" s="9"/>
    </row>
    <row r="206">
      <c r="A206" s="52"/>
      <c r="B206" s="50"/>
      <c r="C206" s="52"/>
      <c r="D206" s="52"/>
      <c r="E206" s="52"/>
      <c r="F206" s="52"/>
      <c r="G206" s="52"/>
      <c r="H206" s="53"/>
      <c r="I206" s="53"/>
      <c r="J206" s="52"/>
      <c r="K206" s="52"/>
      <c r="L206" s="52"/>
      <c r="M206" s="52"/>
      <c r="N206" s="52"/>
      <c r="O206" s="52"/>
      <c r="P206" s="9"/>
      <c r="Q206" s="9"/>
      <c r="R206" s="9"/>
      <c r="S206" s="50"/>
      <c r="T206" s="50"/>
      <c r="U206" s="9"/>
      <c r="V206" s="9"/>
      <c r="W206" s="9"/>
      <c r="X206" s="9"/>
      <c r="Y206" s="9"/>
      <c r="Z206" s="9"/>
      <c r="AA206" s="9"/>
    </row>
    <row r="207">
      <c r="A207" s="52"/>
      <c r="B207" s="50"/>
      <c r="C207" s="52"/>
      <c r="D207" s="52"/>
      <c r="E207" s="52"/>
      <c r="F207" s="52"/>
      <c r="G207" s="52"/>
      <c r="H207" s="53"/>
      <c r="I207" s="53"/>
      <c r="J207" s="52"/>
      <c r="K207" s="52"/>
      <c r="L207" s="52"/>
      <c r="M207" s="52"/>
      <c r="N207" s="52"/>
      <c r="O207" s="52"/>
      <c r="P207" s="9"/>
      <c r="Q207" s="9"/>
      <c r="R207" s="9"/>
      <c r="S207" s="50"/>
      <c r="T207" s="50"/>
      <c r="U207" s="9"/>
      <c r="V207" s="9"/>
      <c r="W207" s="9"/>
      <c r="X207" s="9"/>
      <c r="Y207" s="9"/>
      <c r="Z207" s="9"/>
      <c r="AA207" s="9"/>
    </row>
    <row r="208">
      <c r="A208" s="52"/>
      <c r="B208" s="50"/>
      <c r="C208" s="52"/>
      <c r="D208" s="52"/>
      <c r="E208" s="52"/>
      <c r="F208" s="52"/>
      <c r="G208" s="52"/>
      <c r="H208" s="53"/>
      <c r="I208" s="53"/>
      <c r="J208" s="52"/>
      <c r="K208" s="52"/>
      <c r="L208" s="52"/>
      <c r="M208" s="52"/>
      <c r="N208" s="52"/>
      <c r="O208" s="52"/>
      <c r="P208" s="9"/>
      <c r="Q208" s="9"/>
      <c r="R208" s="9"/>
      <c r="S208" s="50"/>
      <c r="T208" s="50"/>
      <c r="U208" s="9"/>
      <c r="V208" s="9"/>
      <c r="W208" s="9"/>
      <c r="X208" s="9"/>
      <c r="Y208" s="9"/>
      <c r="Z208" s="9"/>
      <c r="AA208" s="9"/>
    </row>
    <row r="209">
      <c r="A209" s="52"/>
      <c r="B209" s="50"/>
      <c r="C209" s="52"/>
      <c r="D209" s="52"/>
      <c r="E209" s="52"/>
      <c r="F209" s="52"/>
      <c r="G209" s="52"/>
      <c r="H209" s="53"/>
      <c r="I209" s="53"/>
      <c r="J209" s="52"/>
      <c r="K209" s="52"/>
      <c r="L209" s="52"/>
      <c r="M209" s="52"/>
      <c r="N209" s="52"/>
      <c r="O209" s="52"/>
      <c r="P209" s="9"/>
      <c r="Q209" s="9"/>
      <c r="R209" s="9"/>
      <c r="S209" s="50"/>
      <c r="T209" s="50"/>
      <c r="U209" s="9"/>
      <c r="V209" s="9"/>
      <c r="W209" s="9"/>
      <c r="X209" s="9"/>
      <c r="Y209" s="9"/>
      <c r="Z209" s="9"/>
      <c r="AA209" s="9"/>
    </row>
    <row r="210">
      <c r="A210" s="52"/>
      <c r="B210" s="50"/>
      <c r="C210" s="52"/>
      <c r="D210" s="52"/>
      <c r="E210" s="52"/>
      <c r="F210" s="52"/>
      <c r="G210" s="52"/>
      <c r="H210" s="53"/>
      <c r="I210" s="53"/>
      <c r="J210" s="52"/>
      <c r="K210" s="52"/>
      <c r="L210" s="52"/>
      <c r="M210" s="52"/>
      <c r="N210" s="52"/>
      <c r="O210" s="52"/>
      <c r="P210" s="9"/>
      <c r="Q210" s="9"/>
      <c r="R210" s="9"/>
      <c r="S210" s="50"/>
      <c r="T210" s="50"/>
      <c r="U210" s="9"/>
      <c r="V210" s="9"/>
      <c r="W210" s="9"/>
      <c r="X210" s="9"/>
      <c r="Y210" s="9"/>
      <c r="Z210" s="9"/>
      <c r="AA210" s="9"/>
    </row>
    <row r="211">
      <c r="A211" s="52"/>
      <c r="B211" s="50"/>
      <c r="C211" s="52"/>
      <c r="D211" s="52"/>
      <c r="E211" s="52"/>
      <c r="F211" s="52"/>
      <c r="G211" s="52"/>
      <c r="H211" s="53"/>
      <c r="I211" s="53"/>
      <c r="J211" s="52"/>
      <c r="K211" s="52"/>
      <c r="L211" s="52"/>
      <c r="M211" s="52"/>
      <c r="N211" s="52"/>
      <c r="O211" s="52"/>
      <c r="P211" s="9"/>
      <c r="Q211" s="9"/>
      <c r="R211" s="9"/>
      <c r="S211" s="50"/>
      <c r="T211" s="50"/>
      <c r="U211" s="9"/>
      <c r="V211" s="9"/>
      <c r="W211" s="9"/>
      <c r="X211" s="9"/>
      <c r="Y211" s="9"/>
      <c r="Z211" s="9"/>
      <c r="AA211" s="9"/>
    </row>
    <row r="212">
      <c r="A212" s="52"/>
      <c r="B212" s="50"/>
      <c r="C212" s="52"/>
      <c r="D212" s="52"/>
      <c r="E212" s="52"/>
      <c r="F212" s="52"/>
      <c r="G212" s="52"/>
      <c r="H212" s="53"/>
      <c r="I212" s="53"/>
      <c r="J212" s="52"/>
      <c r="K212" s="52"/>
      <c r="L212" s="52"/>
      <c r="M212" s="52"/>
      <c r="N212" s="52"/>
      <c r="O212" s="52"/>
      <c r="P212" s="9"/>
      <c r="Q212" s="9"/>
      <c r="R212" s="9"/>
      <c r="S212" s="50"/>
      <c r="T212" s="50"/>
      <c r="U212" s="9"/>
      <c r="V212" s="9"/>
      <c r="W212" s="9"/>
      <c r="X212" s="9"/>
      <c r="Y212" s="9"/>
      <c r="Z212" s="9"/>
      <c r="AA212" s="9"/>
    </row>
    <row r="213">
      <c r="A213" s="52"/>
      <c r="B213" s="50"/>
      <c r="C213" s="52"/>
      <c r="D213" s="52"/>
      <c r="E213" s="52"/>
      <c r="F213" s="52"/>
      <c r="G213" s="52"/>
      <c r="H213" s="53"/>
      <c r="I213" s="53"/>
      <c r="J213" s="52"/>
      <c r="K213" s="52"/>
      <c r="L213" s="52"/>
      <c r="M213" s="52"/>
      <c r="N213" s="52"/>
      <c r="O213" s="52"/>
      <c r="P213" s="9"/>
      <c r="Q213" s="9"/>
      <c r="R213" s="9"/>
      <c r="S213" s="50"/>
      <c r="T213" s="50"/>
      <c r="U213" s="9"/>
      <c r="V213" s="9"/>
      <c r="W213" s="9"/>
      <c r="X213" s="9"/>
      <c r="Y213" s="9"/>
      <c r="Z213" s="9"/>
      <c r="AA213" s="9"/>
    </row>
    <row r="214">
      <c r="A214" s="52"/>
      <c r="B214" s="50"/>
      <c r="C214" s="52"/>
      <c r="D214" s="52"/>
      <c r="E214" s="52"/>
      <c r="F214" s="52"/>
      <c r="G214" s="52"/>
      <c r="H214" s="53"/>
      <c r="I214" s="53"/>
      <c r="J214" s="52"/>
      <c r="K214" s="52"/>
      <c r="L214" s="52"/>
      <c r="M214" s="52"/>
      <c r="N214" s="52"/>
      <c r="O214" s="52"/>
      <c r="P214" s="9"/>
      <c r="Q214" s="9"/>
      <c r="R214" s="9"/>
      <c r="S214" s="50"/>
      <c r="T214" s="50"/>
      <c r="U214" s="9"/>
      <c r="V214" s="9"/>
      <c r="W214" s="9"/>
      <c r="X214" s="9"/>
      <c r="Y214" s="9"/>
      <c r="Z214" s="9"/>
      <c r="AA214" s="9"/>
    </row>
    <row r="215">
      <c r="A215" s="52"/>
      <c r="B215" s="50"/>
      <c r="C215" s="52"/>
      <c r="D215" s="52"/>
      <c r="E215" s="52"/>
      <c r="F215" s="52"/>
      <c r="G215" s="52"/>
      <c r="H215" s="53"/>
      <c r="I215" s="53"/>
      <c r="J215" s="52"/>
      <c r="K215" s="52"/>
      <c r="L215" s="52"/>
      <c r="M215" s="52"/>
      <c r="N215" s="52"/>
      <c r="O215" s="52"/>
      <c r="P215" s="9"/>
      <c r="Q215" s="9"/>
      <c r="R215" s="9"/>
      <c r="S215" s="50"/>
      <c r="T215" s="50"/>
      <c r="U215" s="9"/>
      <c r="V215" s="9"/>
      <c r="W215" s="9"/>
      <c r="X215" s="9"/>
      <c r="Y215" s="9"/>
      <c r="Z215" s="9"/>
      <c r="AA215" s="9"/>
    </row>
    <row r="216">
      <c r="A216" s="52"/>
      <c r="B216" s="50"/>
      <c r="C216" s="52"/>
      <c r="D216" s="52"/>
      <c r="E216" s="52"/>
      <c r="F216" s="52"/>
      <c r="G216" s="52"/>
      <c r="H216" s="53"/>
      <c r="I216" s="53"/>
      <c r="J216" s="52"/>
      <c r="K216" s="52"/>
      <c r="L216" s="52"/>
      <c r="M216" s="52"/>
      <c r="N216" s="52"/>
      <c r="O216" s="52"/>
      <c r="P216" s="9"/>
      <c r="Q216" s="9"/>
      <c r="R216" s="9"/>
      <c r="S216" s="50"/>
      <c r="T216" s="50"/>
      <c r="U216" s="9"/>
      <c r="V216" s="9"/>
      <c r="W216" s="9"/>
      <c r="X216" s="9"/>
      <c r="Y216" s="9"/>
      <c r="Z216" s="9"/>
      <c r="AA216" s="9"/>
    </row>
    <row r="217">
      <c r="A217" s="52"/>
      <c r="B217" s="50"/>
      <c r="C217" s="52"/>
      <c r="D217" s="52"/>
      <c r="E217" s="52"/>
      <c r="F217" s="52"/>
      <c r="G217" s="52"/>
      <c r="H217" s="53"/>
      <c r="I217" s="53"/>
      <c r="J217" s="52"/>
      <c r="K217" s="52"/>
      <c r="L217" s="52"/>
      <c r="M217" s="52"/>
      <c r="N217" s="52"/>
      <c r="O217" s="52"/>
      <c r="P217" s="9"/>
      <c r="Q217" s="9"/>
      <c r="R217" s="9"/>
      <c r="S217" s="50"/>
      <c r="T217" s="50"/>
      <c r="U217" s="9"/>
      <c r="V217" s="9"/>
      <c r="W217" s="9"/>
      <c r="X217" s="9"/>
      <c r="Y217" s="9"/>
      <c r="Z217" s="9"/>
      <c r="AA217" s="9"/>
    </row>
    <row r="218">
      <c r="A218" s="52"/>
      <c r="B218" s="50"/>
      <c r="C218" s="52"/>
      <c r="D218" s="52"/>
      <c r="E218" s="52"/>
      <c r="F218" s="52"/>
      <c r="G218" s="52"/>
      <c r="H218" s="53"/>
      <c r="I218" s="53"/>
      <c r="J218" s="52"/>
      <c r="K218" s="52"/>
      <c r="L218" s="52"/>
      <c r="M218" s="52"/>
      <c r="N218" s="52"/>
      <c r="O218" s="52"/>
      <c r="P218" s="9"/>
      <c r="Q218" s="9"/>
      <c r="R218" s="9"/>
      <c r="S218" s="50"/>
      <c r="T218" s="50"/>
      <c r="U218" s="9"/>
      <c r="V218" s="9"/>
      <c r="W218" s="9"/>
      <c r="X218" s="9"/>
      <c r="Y218" s="9"/>
      <c r="Z218" s="9"/>
      <c r="AA218" s="9"/>
    </row>
    <row r="219">
      <c r="A219" s="52"/>
      <c r="B219" s="50"/>
      <c r="C219" s="52"/>
      <c r="D219" s="52"/>
      <c r="E219" s="52"/>
      <c r="F219" s="52"/>
      <c r="G219" s="52"/>
      <c r="H219" s="53"/>
      <c r="I219" s="53"/>
      <c r="J219" s="52"/>
      <c r="K219" s="52"/>
      <c r="L219" s="52"/>
      <c r="M219" s="52"/>
      <c r="N219" s="52"/>
      <c r="O219" s="52"/>
      <c r="P219" s="9"/>
      <c r="Q219" s="9"/>
      <c r="R219" s="9"/>
      <c r="S219" s="50"/>
      <c r="T219" s="50"/>
      <c r="U219" s="9"/>
      <c r="V219" s="9"/>
      <c r="W219" s="9"/>
      <c r="X219" s="9"/>
      <c r="Y219" s="9"/>
      <c r="Z219" s="9"/>
      <c r="AA219" s="9"/>
    </row>
    <row r="220">
      <c r="A220" s="52"/>
      <c r="B220" s="50"/>
      <c r="C220" s="52"/>
      <c r="D220" s="52"/>
      <c r="E220" s="52"/>
      <c r="F220" s="52"/>
      <c r="G220" s="52"/>
      <c r="H220" s="53"/>
      <c r="I220" s="53"/>
      <c r="J220" s="52"/>
      <c r="K220" s="52"/>
      <c r="L220" s="52"/>
      <c r="M220" s="52"/>
      <c r="N220" s="52"/>
      <c r="O220" s="52"/>
      <c r="P220" s="9"/>
      <c r="Q220" s="9"/>
      <c r="R220" s="9"/>
      <c r="S220" s="50"/>
      <c r="T220" s="50"/>
      <c r="U220" s="9"/>
      <c r="V220" s="9"/>
      <c r="W220" s="9"/>
      <c r="X220" s="9"/>
      <c r="Y220" s="9"/>
      <c r="Z220" s="9"/>
      <c r="AA220" s="9"/>
    </row>
    <row r="221">
      <c r="A221" s="52"/>
      <c r="B221" s="50"/>
      <c r="C221" s="52"/>
      <c r="D221" s="52"/>
      <c r="E221" s="52"/>
      <c r="F221" s="52"/>
      <c r="G221" s="52"/>
      <c r="H221" s="53"/>
      <c r="I221" s="53"/>
      <c r="J221" s="52"/>
      <c r="K221" s="52"/>
      <c r="L221" s="52"/>
      <c r="M221" s="52"/>
      <c r="N221" s="52"/>
      <c r="O221" s="52"/>
      <c r="P221" s="9"/>
      <c r="Q221" s="9"/>
      <c r="R221" s="9"/>
      <c r="S221" s="50"/>
      <c r="T221" s="50"/>
      <c r="U221" s="9"/>
      <c r="V221" s="9"/>
      <c r="W221" s="9"/>
      <c r="X221" s="9"/>
      <c r="Y221" s="9"/>
      <c r="Z221" s="9"/>
      <c r="AA221" s="9"/>
    </row>
    <row r="222">
      <c r="A222" s="52"/>
      <c r="B222" s="50"/>
      <c r="C222" s="52"/>
      <c r="D222" s="52"/>
      <c r="E222" s="52"/>
      <c r="F222" s="52"/>
      <c r="G222" s="52"/>
      <c r="H222" s="53"/>
      <c r="I222" s="53"/>
      <c r="J222" s="52"/>
      <c r="K222" s="52"/>
      <c r="L222" s="52"/>
      <c r="M222" s="52"/>
      <c r="N222" s="52"/>
      <c r="O222" s="52"/>
      <c r="P222" s="9"/>
      <c r="Q222" s="9"/>
      <c r="R222" s="9"/>
      <c r="S222" s="50"/>
      <c r="T222" s="50"/>
      <c r="U222" s="9"/>
      <c r="V222" s="9"/>
      <c r="W222" s="9"/>
      <c r="X222" s="9"/>
      <c r="Y222" s="9"/>
      <c r="Z222" s="9"/>
      <c r="AA222" s="9"/>
    </row>
    <row r="223">
      <c r="A223" s="52"/>
      <c r="B223" s="50"/>
      <c r="C223" s="52"/>
      <c r="D223" s="52"/>
      <c r="E223" s="52"/>
      <c r="F223" s="52"/>
      <c r="G223" s="52"/>
      <c r="H223" s="53"/>
      <c r="I223" s="53"/>
      <c r="J223" s="52"/>
      <c r="K223" s="52"/>
      <c r="L223" s="52"/>
      <c r="M223" s="52"/>
      <c r="N223" s="52"/>
      <c r="O223" s="52"/>
      <c r="P223" s="9"/>
      <c r="Q223" s="9"/>
      <c r="R223" s="9"/>
      <c r="S223" s="50"/>
      <c r="T223" s="50"/>
      <c r="U223" s="9"/>
      <c r="V223" s="9"/>
      <c r="W223" s="9"/>
      <c r="X223" s="9"/>
      <c r="Y223" s="9"/>
      <c r="Z223" s="9"/>
      <c r="AA223" s="9"/>
    </row>
    <row r="224">
      <c r="A224" s="52"/>
      <c r="B224" s="50"/>
      <c r="C224" s="52"/>
      <c r="D224" s="52"/>
      <c r="E224" s="52"/>
      <c r="F224" s="52"/>
      <c r="G224" s="52"/>
      <c r="H224" s="53"/>
      <c r="I224" s="53"/>
      <c r="J224" s="52"/>
      <c r="K224" s="52"/>
      <c r="L224" s="52"/>
      <c r="M224" s="52"/>
      <c r="N224" s="52"/>
      <c r="O224" s="52"/>
      <c r="P224" s="9"/>
      <c r="Q224" s="9"/>
      <c r="R224" s="9"/>
      <c r="S224" s="50"/>
      <c r="T224" s="50"/>
      <c r="U224" s="9"/>
      <c r="V224" s="9"/>
      <c r="W224" s="9"/>
      <c r="X224" s="9"/>
      <c r="Y224" s="9"/>
      <c r="Z224" s="9"/>
      <c r="AA224" s="9"/>
    </row>
    <row r="225">
      <c r="A225" s="52"/>
      <c r="B225" s="50"/>
      <c r="C225" s="52"/>
      <c r="D225" s="52"/>
      <c r="E225" s="52"/>
      <c r="F225" s="52"/>
      <c r="G225" s="52"/>
      <c r="H225" s="53"/>
      <c r="I225" s="53"/>
      <c r="J225" s="52"/>
      <c r="K225" s="52"/>
      <c r="L225" s="52"/>
      <c r="M225" s="52"/>
      <c r="N225" s="52"/>
      <c r="O225" s="52"/>
      <c r="P225" s="9"/>
      <c r="Q225" s="9"/>
      <c r="R225" s="9"/>
      <c r="S225" s="50"/>
      <c r="T225" s="50"/>
      <c r="U225" s="9"/>
      <c r="V225" s="9"/>
      <c r="W225" s="9"/>
      <c r="X225" s="9"/>
      <c r="Y225" s="9"/>
      <c r="Z225" s="9"/>
      <c r="AA225" s="9"/>
    </row>
    <row r="226">
      <c r="A226" s="52"/>
      <c r="B226" s="50"/>
      <c r="C226" s="52"/>
      <c r="D226" s="52"/>
      <c r="E226" s="52"/>
      <c r="F226" s="52"/>
      <c r="G226" s="52"/>
      <c r="H226" s="53"/>
      <c r="I226" s="53"/>
      <c r="J226" s="52"/>
      <c r="K226" s="52"/>
      <c r="L226" s="52"/>
      <c r="M226" s="52"/>
      <c r="N226" s="52"/>
      <c r="O226" s="52"/>
      <c r="P226" s="9"/>
      <c r="Q226" s="9"/>
      <c r="R226" s="9"/>
      <c r="S226" s="50"/>
      <c r="T226" s="50"/>
      <c r="U226" s="9"/>
      <c r="V226" s="9"/>
      <c r="W226" s="9"/>
      <c r="X226" s="9"/>
      <c r="Y226" s="9"/>
      <c r="Z226" s="9"/>
      <c r="AA226" s="9"/>
    </row>
    <row r="227">
      <c r="A227" s="52"/>
      <c r="B227" s="50"/>
      <c r="C227" s="52"/>
      <c r="D227" s="52"/>
      <c r="E227" s="52"/>
      <c r="F227" s="52"/>
      <c r="G227" s="52"/>
      <c r="H227" s="53"/>
      <c r="I227" s="53"/>
      <c r="J227" s="52"/>
      <c r="K227" s="52"/>
      <c r="L227" s="52"/>
      <c r="M227" s="52"/>
      <c r="N227" s="52"/>
      <c r="O227" s="52"/>
      <c r="P227" s="9"/>
      <c r="Q227" s="9"/>
      <c r="R227" s="9"/>
      <c r="S227" s="50"/>
      <c r="T227" s="50"/>
      <c r="U227" s="9"/>
      <c r="V227" s="9"/>
      <c r="W227" s="9"/>
      <c r="X227" s="9"/>
      <c r="Y227" s="9"/>
      <c r="Z227" s="9"/>
      <c r="AA227" s="9"/>
    </row>
    <row r="228">
      <c r="A228" s="52"/>
      <c r="B228" s="50"/>
      <c r="C228" s="52"/>
      <c r="D228" s="52"/>
      <c r="E228" s="52"/>
      <c r="F228" s="52"/>
      <c r="G228" s="52"/>
      <c r="H228" s="53"/>
      <c r="I228" s="53"/>
      <c r="J228" s="52"/>
      <c r="K228" s="52"/>
      <c r="L228" s="52"/>
      <c r="M228" s="52"/>
      <c r="N228" s="52"/>
      <c r="O228" s="52"/>
      <c r="P228" s="9"/>
      <c r="Q228" s="9"/>
      <c r="R228" s="9"/>
      <c r="S228" s="50"/>
      <c r="T228" s="50"/>
      <c r="U228" s="9"/>
      <c r="V228" s="9"/>
      <c r="W228" s="9"/>
      <c r="X228" s="9"/>
      <c r="Y228" s="9"/>
      <c r="Z228" s="9"/>
      <c r="AA228" s="9"/>
    </row>
    <row r="229">
      <c r="A229" s="52"/>
      <c r="B229" s="50"/>
      <c r="C229" s="52"/>
      <c r="D229" s="52"/>
      <c r="E229" s="52"/>
      <c r="F229" s="52"/>
      <c r="G229" s="52"/>
      <c r="H229" s="53"/>
      <c r="I229" s="53"/>
      <c r="J229" s="52"/>
      <c r="K229" s="52"/>
      <c r="L229" s="52"/>
      <c r="M229" s="52"/>
      <c r="N229" s="52"/>
      <c r="O229" s="52"/>
      <c r="P229" s="9"/>
      <c r="Q229" s="9"/>
      <c r="R229" s="9"/>
      <c r="S229" s="50"/>
      <c r="T229" s="50"/>
      <c r="U229" s="9"/>
      <c r="V229" s="9"/>
      <c r="W229" s="9"/>
      <c r="X229" s="9"/>
      <c r="Y229" s="9"/>
      <c r="Z229" s="9"/>
      <c r="AA229" s="9"/>
    </row>
    <row r="230">
      <c r="A230" s="52"/>
      <c r="B230" s="50"/>
      <c r="C230" s="52"/>
      <c r="D230" s="52"/>
      <c r="E230" s="52"/>
      <c r="F230" s="52"/>
      <c r="G230" s="52"/>
      <c r="H230" s="53"/>
      <c r="I230" s="53"/>
      <c r="J230" s="52"/>
      <c r="K230" s="52"/>
      <c r="L230" s="52"/>
      <c r="M230" s="52"/>
      <c r="N230" s="52"/>
      <c r="O230" s="52"/>
      <c r="P230" s="9"/>
      <c r="Q230" s="9"/>
      <c r="R230" s="9"/>
      <c r="S230" s="50"/>
      <c r="T230" s="50"/>
      <c r="U230" s="9"/>
      <c r="V230" s="9"/>
      <c r="W230" s="9"/>
      <c r="X230" s="9"/>
      <c r="Y230" s="9"/>
      <c r="Z230" s="9"/>
      <c r="AA230" s="9"/>
    </row>
    <row r="231">
      <c r="A231" s="52"/>
      <c r="B231" s="50"/>
      <c r="C231" s="52"/>
      <c r="D231" s="52"/>
      <c r="E231" s="52"/>
      <c r="F231" s="52"/>
      <c r="G231" s="52"/>
      <c r="H231" s="53"/>
      <c r="I231" s="53"/>
      <c r="J231" s="52"/>
      <c r="K231" s="52"/>
      <c r="L231" s="52"/>
      <c r="M231" s="52"/>
      <c r="N231" s="52"/>
      <c r="O231" s="52"/>
      <c r="P231" s="9"/>
      <c r="Q231" s="9"/>
      <c r="R231" s="9"/>
      <c r="S231" s="50"/>
      <c r="T231" s="50"/>
      <c r="U231" s="9"/>
      <c r="V231" s="9"/>
      <c r="W231" s="9"/>
      <c r="X231" s="9"/>
      <c r="Y231" s="9"/>
      <c r="Z231" s="9"/>
      <c r="AA231" s="9"/>
    </row>
    <row r="232">
      <c r="A232" s="52"/>
      <c r="B232" s="50"/>
      <c r="C232" s="52"/>
      <c r="D232" s="52"/>
      <c r="E232" s="52"/>
      <c r="F232" s="52"/>
      <c r="G232" s="52"/>
      <c r="H232" s="53"/>
      <c r="I232" s="53"/>
      <c r="J232" s="52"/>
      <c r="K232" s="52"/>
      <c r="L232" s="52"/>
      <c r="M232" s="52"/>
      <c r="N232" s="52"/>
      <c r="O232" s="52"/>
      <c r="P232" s="9"/>
      <c r="Q232" s="9"/>
      <c r="R232" s="9"/>
      <c r="S232" s="50"/>
      <c r="T232" s="50"/>
      <c r="U232" s="9"/>
      <c r="V232" s="9"/>
      <c r="W232" s="9"/>
      <c r="X232" s="9"/>
      <c r="Y232" s="9"/>
      <c r="Z232" s="9"/>
      <c r="AA232" s="9"/>
    </row>
    <row r="233">
      <c r="A233" s="52"/>
      <c r="B233" s="50"/>
      <c r="C233" s="52"/>
      <c r="D233" s="52"/>
      <c r="E233" s="52"/>
      <c r="F233" s="52"/>
      <c r="G233" s="52"/>
      <c r="H233" s="53"/>
      <c r="I233" s="53"/>
      <c r="J233" s="52"/>
      <c r="K233" s="52"/>
      <c r="L233" s="52"/>
      <c r="M233" s="52"/>
      <c r="N233" s="52"/>
      <c r="O233" s="52"/>
      <c r="P233" s="9"/>
      <c r="Q233" s="9"/>
      <c r="R233" s="9"/>
      <c r="S233" s="50"/>
      <c r="T233" s="50"/>
      <c r="U233" s="9"/>
      <c r="V233" s="9"/>
      <c r="W233" s="9"/>
      <c r="X233" s="9"/>
      <c r="Y233" s="9"/>
      <c r="Z233" s="9"/>
      <c r="AA233" s="9"/>
    </row>
    <row r="234">
      <c r="A234" s="52"/>
      <c r="B234" s="50"/>
      <c r="C234" s="52"/>
      <c r="D234" s="52"/>
      <c r="E234" s="52"/>
      <c r="F234" s="52"/>
      <c r="G234" s="52"/>
      <c r="H234" s="53"/>
      <c r="I234" s="53"/>
      <c r="J234" s="52"/>
      <c r="K234" s="52"/>
      <c r="L234" s="52"/>
      <c r="M234" s="52"/>
      <c r="N234" s="52"/>
      <c r="O234" s="52"/>
      <c r="P234" s="9"/>
      <c r="Q234" s="9"/>
      <c r="R234" s="9"/>
      <c r="S234" s="50"/>
      <c r="T234" s="50"/>
      <c r="U234" s="9"/>
      <c r="V234" s="9"/>
      <c r="W234" s="9"/>
      <c r="X234" s="9"/>
      <c r="Y234" s="9"/>
      <c r="Z234" s="9"/>
      <c r="AA234" s="9"/>
    </row>
    <row r="235">
      <c r="A235" s="52"/>
      <c r="B235" s="50"/>
      <c r="C235" s="52"/>
      <c r="D235" s="52"/>
      <c r="E235" s="52"/>
      <c r="F235" s="52"/>
      <c r="G235" s="52"/>
      <c r="H235" s="53"/>
      <c r="I235" s="53"/>
      <c r="J235" s="52"/>
      <c r="K235" s="52"/>
      <c r="L235" s="52"/>
      <c r="M235" s="52"/>
      <c r="N235" s="52"/>
      <c r="O235" s="52"/>
      <c r="P235" s="9"/>
      <c r="Q235" s="9"/>
      <c r="R235" s="9"/>
      <c r="S235" s="50"/>
      <c r="T235" s="50"/>
      <c r="U235" s="9"/>
      <c r="V235" s="9"/>
      <c r="W235" s="9"/>
      <c r="X235" s="9"/>
      <c r="Y235" s="9"/>
      <c r="Z235" s="9"/>
      <c r="AA235" s="9"/>
    </row>
    <row r="236">
      <c r="A236" s="52"/>
      <c r="B236" s="50"/>
      <c r="C236" s="52"/>
      <c r="D236" s="52"/>
      <c r="E236" s="52"/>
      <c r="F236" s="52"/>
      <c r="G236" s="52"/>
      <c r="H236" s="53"/>
      <c r="I236" s="53"/>
      <c r="J236" s="52"/>
      <c r="K236" s="52"/>
      <c r="L236" s="52"/>
      <c r="M236" s="52"/>
      <c r="N236" s="52"/>
      <c r="O236" s="52"/>
      <c r="P236" s="9"/>
      <c r="Q236" s="9"/>
      <c r="R236" s="9"/>
      <c r="S236" s="50"/>
      <c r="T236" s="50"/>
      <c r="U236" s="9"/>
      <c r="V236" s="9"/>
      <c r="W236" s="9"/>
      <c r="X236" s="9"/>
      <c r="Y236" s="9"/>
      <c r="Z236" s="9"/>
      <c r="AA236" s="9"/>
    </row>
    <row r="237">
      <c r="A237" s="52"/>
      <c r="B237" s="50"/>
      <c r="C237" s="52"/>
      <c r="D237" s="52"/>
      <c r="E237" s="52"/>
      <c r="F237" s="52"/>
      <c r="G237" s="52"/>
      <c r="H237" s="53"/>
      <c r="I237" s="53"/>
      <c r="J237" s="52"/>
      <c r="K237" s="52"/>
      <c r="L237" s="52"/>
      <c r="M237" s="52"/>
      <c r="N237" s="52"/>
      <c r="O237" s="52"/>
      <c r="P237" s="9"/>
      <c r="Q237" s="9"/>
      <c r="R237" s="9"/>
      <c r="S237" s="50"/>
      <c r="T237" s="50"/>
      <c r="U237" s="9"/>
      <c r="V237" s="9"/>
      <c r="W237" s="9"/>
      <c r="X237" s="9"/>
      <c r="Y237" s="9"/>
      <c r="Z237" s="9"/>
      <c r="AA237" s="9"/>
    </row>
    <row r="238">
      <c r="A238" s="52"/>
      <c r="B238" s="50"/>
      <c r="C238" s="52"/>
      <c r="D238" s="52"/>
      <c r="E238" s="52"/>
      <c r="F238" s="52"/>
      <c r="G238" s="52"/>
      <c r="H238" s="53"/>
      <c r="I238" s="53"/>
      <c r="J238" s="52"/>
      <c r="K238" s="52"/>
      <c r="L238" s="52"/>
      <c r="M238" s="52"/>
      <c r="N238" s="52"/>
      <c r="O238" s="52"/>
      <c r="P238" s="9"/>
      <c r="Q238" s="9"/>
      <c r="R238" s="9"/>
      <c r="S238" s="50"/>
      <c r="T238" s="50"/>
      <c r="U238" s="9"/>
      <c r="V238" s="9"/>
      <c r="W238" s="9"/>
      <c r="X238" s="9"/>
      <c r="Y238" s="9"/>
      <c r="Z238" s="9"/>
      <c r="AA238" s="9"/>
    </row>
    <row r="239">
      <c r="A239" s="52"/>
      <c r="B239" s="50"/>
      <c r="C239" s="52"/>
      <c r="D239" s="52"/>
      <c r="E239" s="52"/>
      <c r="F239" s="52"/>
      <c r="G239" s="52"/>
      <c r="H239" s="53"/>
      <c r="I239" s="53"/>
      <c r="J239" s="52"/>
      <c r="K239" s="52"/>
      <c r="L239" s="52"/>
      <c r="M239" s="52"/>
      <c r="N239" s="52"/>
      <c r="O239" s="52"/>
      <c r="P239" s="9"/>
      <c r="Q239" s="9"/>
      <c r="R239" s="9"/>
      <c r="S239" s="50"/>
      <c r="T239" s="50"/>
      <c r="U239" s="9"/>
      <c r="V239" s="9"/>
      <c r="W239" s="9"/>
      <c r="X239" s="9"/>
      <c r="Y239" s="9"/>
      <c r="Z239" s="9"/>
      <c r="AA239" s="9"/>
    </row>
    <row r="240">
      <c r="A240" s="52"/>
      <c r="B240" s="50"/>
      <c r="C240" s="52"/>
      <c r="D240" s="52"/>
      <c r="E240" s="52"/>
      <c r="F240" s="52"/>
      <c r="G240" s="52"/>
      <c r="H240" s="53"/>
      <c r="I240" s="53"/>
      <c r="J240" s="52"/>
      <c r="K240" s="52"/>
      <c r="L240" s="52"/>
      <c r="M240" s="52"/>
      <c r="N240" s="52"/>
      <c r="O240" s="52"/>
      <c r="P240" s="9"/>
      <c r="Q240" s="9"/>
      <c r="R240" s="9"/>
      <c r="S240" s="50"/>
      <c r="T240" s="50"/>
      <c r="U240" s="9"/>
      <c r="V240" s="9"/>
      <c r="W240" s="9"/>
      <c r="X240" s="9"/>
      <c r="Y240" s="9"/>
      <c r="Z240" s="9"/>
      <c r="AA240" s="9"/>
    </row>
    <row r="241">
      <c r="A241" s="52"/>
      <c r="B241" s="50"/>
      <c r="C241" s="52"/>
      <c r="D241" s="52"/>
      <c r="E241" s="52"/>
      <c r="F241" s="52"/>
      <c r="G241" s="52"/>
      <c r="H241" s="53"/>
      <c r="I241" s="53"/>
      <c r="J241" s="52"/>
      <c r="K241" s="52"/>
      <c r="L241" s="52"/>
      <c r="M241" s="52"/>
      <c r="N241" s="52"/>
      <c r="O241" s="52"/>
      <c r="P241" s="9"/>
      <c r="Q241" s="9"/>
      <c r="R241" s="9"/>
      <c r="S241" s="50"/>
      <c r="T241" s="50"/>
      <c r="U241" s="9"/>
      <c r="V241" s="9"/>
      <c r="W241" s="9"/>
      <c r="X241" s="9"/>
      <c r="Y241" s="9"/>
      <c r="Z241" s="9"/>
      <c r="AA241" s="9"/>
    </row>
    <row r="242">
      <c r="A242" s="52"/>
      <c r="B242" s="50"/>
      <c r="C242" s="52"/>
      <c r="D242" s="52"/>
      <c r="E242" s="52"/>
      <c r="F242" s="52"/>
      <c r="G242" s="52"/>
      <c r="H242" s="53"/>
      <c r="I242" s="53"/>
      <c r="J242" s="52"/>
      <c r="K242" s="52"/>
      <c r="L242" s="52"/>
      <c r="M242" s="52"/>
      <c r="N242" s="52"/>
      <c r="O242" s="52"/>
      <c r="P242" s="9"/>
      <c r="Q242" s="9"/>
      <c r="R242" s="9"/>
      <c r="S242" s="50"/>
      <c r="T242" s="50"/>
      <c r="U242" s="9"/>
      <c r="V242" s="9"/>
      <c r="W242" s="9"/>
      <c r="X242" s="9"/>
      <c r="Y242" s="9"/>
      <c r="Z242" s="9"/>
      <c r="AA242" s="9"/>
    </row>
    <row r="243">
      <c r="A243" s="52"/>
      <c r="B243" s="50"/>
      <c r="C243" s="52"/>
      <c r="D243" s="52"/>
      <c r="E243" s="52"/>
      <c r="F243" s="52"/>
      <c r="G243" s="52"/>
      <c r="H243" s="53"/>
      <c r="I243" s="53"/>
      <c r="J243" s="52"/>
      <c r="K243" s="52"/>
      <c r="L243" s="52"/>
      <c r="M243" s="52"/>
      <c r="N243" s="52"/>
      <c r="O243" s="52"/>
      <c r="P243" s="9"/>
      <c r="Q243" s="9"/>
      <c r="R243" s="9"/>
      <c r="S243" s="50"/>
      <c r="T243" s="50"/>
      <c r="U243" s="9"/>
      <c r="V243" s="9"/>
      <c r="W243" s="9"/>
      <c r="X243" s="9"/>
      <c r="Y243" s="9"/>
      <c r="Z243" s="9"/>
      <c r="AA243" s="9"/>
    </row>
    <row r="244">
      <c r="A244" s="52"/>
      <c r="B244" s="50"/>
      <c r="C244" s="52"/>
      <c r="D244" s="52"/>
      <c r="E244" s="52"/>
      <c r="F244" s="52"/>
      <c r="G244" s="52"/>
      <c r="H244" s="53"/>
      <c r="I244" s="53"/>
      <c r="J244" s="52"/>
      <c r="K244" s="52"/>
      <c r="L244" s="52"/>
      <c r="M244" s="52"/>
      <c r="N244" s="52"/>
      <c r="O244" s="52"/>
      <c r="P244" s="9"/>
      <c r="Q244" s="9"/>
      <c r="R244" s="9"/>
      <c r="S244" s="50"/>
      <c r="T244" s="50"/>
      <c r="U244" s="9"/>
      <c r="V244" s="9"/>
      <c r="W244" s="9"/>
      <c r="X244" s="9"/>
      <c r="Y244" s="9"/>
      <c r="Z244" s="9"/>
      <c r="AA244" s="9"/>
    </row>
    <row r="245">
      <c r="A245" s="52"/>
      <c r="B245" s="50"/>
      <c r="C245" s="52"/>
      <c r="D245" s="52"/>
      <c r="E245" s="52"/>
      <c r="F245" s="52"/>
      <c r="G245" s="52"/>
      <c r="H245" s="53"/>
      <c r="I245" s="53"/>
      <c r="J245" s="52"/>
      <c r="K245" s="52"/>
      <c r="L245" s="52"/>
      <c r="M245" s="52"/>
      <c r="N245" s="52"/>
      <c r="O245" s="52"/>
      <c r="P245" s="9"/>
      <c r="Q245" s="9"/>
      <c r="R245" s="9"/>
      <c r="S245" s="50"/>
      <c r="T245" s="50"/>
      <c r="U245" s="9"/>
      <c r="V245" s="9"/>
      <c r="W245" s="9"/>
      <c r="X245" s="9"/>
      <c r="Y245" s="9"/>
      <c r="Z245" s="9"/>
      <c r="AA245" s="9"/>
    </row>
    <row r="246">
      <c r="A246" s="52"/>
      <c r="B246" s="50"/>
      <c r="C246" s="52"/>
      <c r="D246" s="52"/>
      <c r="E246" s="52"/>
      <c r="F246" s="52"/>
      <c r="G246" s="52"/>
      <c r="H246" s="53"/>
      <c r="I246" s="53"/>
      <c r="J246" s="52"/>
      <c r="K246" s="52"/>
      <c r="L246" s="52"/>
      <c r="M246" s="52"/>
      <c r="N246" s="52"/>
      <c r="O246" s="52"/>
      <c r="P246" s="9"/>
      <c r="Q246" s="9"/>
      <c r="R246" s="9"/>
      <c r="S246" s="50"/>
      <c r="T246" s="50"/>
      <c r="U246" s="9"/>
      <c r="V246" s="9"/>
      <c r="W246" s="9"/>
      <c r="X246" s="9"/>
      <c r="Y246" s="9"/>
      <c r="Z246" s="9"/>
      <c r="AA246" s="9"/>
    </row>
    <row r="247">
      <c r="A247" s="52"/>
      <c r="B247" s="50"/>
      <c r="C247" s="52"/>
      <c r="D247" s="52"/>
      <c r="E247" s="52"/>
      <c r="F247" s="52"/>
      <c r="G247" s="52"/>
      <c r="H247" s="53"/>
      <c r="I247" s="53"/>
      <c r="J247" s="52"/>
      <c r="K247" s="52"/>
      <c r="L247" s="52"/>
      <c r="M247" s="52"/>
      <c r="N247" s="52"/>
      <c r="O247" s="52"/>
      <c r="P247" s="9"/>
      <c r="Q247" s="9"/>
      <c r="R247" s="9"/>
      <c r="S247" s="50"/>
      <c r="T247" s="50"/>
      <c r="U247" s="9"/>
      <c r="V247" s="9"/>
      <c r="W247" s="9"/>
      <c r="X247" s="9"/>
      <c r="Y247" s="9"/>
      <c r="Z247" s="9"/>
      <c r="AA247" s="9"/>
    </row>
    <row r="248">
      <c r="A248" s="52"/>
      <c r="B248" s="50"/>
      <c r="C248" s="52"/>
      <c r="D248" s="52"/>
      <c r="E248" s="52"/>
      <c r="F248" s="52"/>
      <c r="G248" s="52"/>
      <c r="H248" s="53"/>
      <c r="I248" s="53"/>
      <c r="J248" s="52"/>
      <c r="K248" s="52"/>
      <c r="L248" s="52"/>
      <c r="M248" s="52"/>
      <c r="N248" s="52"/>
      <c r="O248" s="52"/>
      <c r="P248" s="9"/>
      <c r="Q248" s="9"/>
      <c r="R248" s="9"/>
      <c r="S248" s="50"/>
      <c r="T248" s="50"/>
      <c r="U248" s="9"/>
      <c r="V248" s="9"/>
      <c r="W248" s="9"/>
      <c r="X248" s="9"/>
      <c r="Y248" s="9"/>
      <c r="Z248" s="9"/>
      <c r="AA248" s="9"/>
    </row>
    <row r="249">
      <c r="A249" s="52"/>
      <c r="B249" s="50"/>
      <c r="C249" s="52"/>
      <c r="D249" s="52"/>
      <c r="E249" s="52"/>
      <c r="F249" s="52"/>
      <c r="G249" s="52"/>
      <c r="H249" s="53"/>
      <c r="I249" s="53"/>
      <c r="J249" s="52"/>
      <c r="K249" s="52"/>
      <c r="L249" s="52"/>
      <c r="M249" s="52"/>
      <c r="N249" s="52"/>
      <c r="O249" s="52"/>
      <c r="P249" s="9"/>
      <c r="Q249" s="9"/>
      <c r="R249" s="9"/>
      <c r="S249" s="50"/>
      <c r="T249" s="50"/>
      <c r="U249" s="9"/>
      <c r="V249" s="9"/>
      <c r="W249" s="9"/>
      <c r="X249" s="9"/>
      <c r="Y249" s="9"/>
      <c r="Z249" s="9"/>
      <c r="AA249" s="9"/>
    </row>
    <row r="250">
      <c r="A250" s="52"/>
      <c r="B250" s="50"/>
      <c r="C250" s="52"/>
      <c r="D250" s="52"/>
      <c r="E250" s="52"/>
      <c r="F250" s="52"/>
      <c r="G250" s="52"/>
      <c r="H250" s="53"/>
      <c r="I250" s="53"/>
      <c r="J250" s="52"/>
      <c r="K250" s="52"/>
      <c r="L250" s="52"/>
      <c r="M250" s="52"/>
      <c r="N250" s="52"/>
      <c r="O250" s="52"/>
      <c r="P250" s="9"/>
      <c r="Q250" s="9"/>
      <c r="R250" s="9"/>
      <c r="S250" s="50"/>
      <c r="T250" s="50"/>
      <c r="U250" s="9"/>
      <c r="V250" s="9"/>
      <c r="W250" s="9"/>
      <c r="X250" s="9"/>
      <c r="Y250" s="9"/>
      <c r="Z250" s="9"/>
      <c r="AA250" s="9"/>
    </row>
    <row r="251">
      <c r="A251" s="52"/>
      <c r="B251" s="50"/>
      <c r="C251" s="52"/>
      <c r="D251" s="52"/>
      <c r="E251" s="52"/>
      <c r="F251" s="52"/>
      <c r="G251" s="52"/>
      <c r="H251" s="53"/>
      <c r="I251" s="53"/>
      <c r="J251" s="52"/>
      <c r="K251" s="52"/>
      <c r="L251" s="52"/>
      <c r="M251" s="52"/>
      <c r="N251" s="52"/>
      <c r="O251" s="52"/>
      <c r="P251" s="9"/>
      <c r="Q251" s="9"/>
      <c r="R251" s="9"/>
      <c r="S251" s="50"/>
      <c r="T251" s="50"/>
      <c r="U251" s="9"/>
      <c r="V251" s="9"/>
      <c r="W251" s="9"/>
      <c r="X251" s="9"/>
      <c r="Y251" s="9"/>
      <c r="Z251" s="9"/>
      <c r="AA251" s="9"/>
    </row>
    <row r="252">
      <c r="A252" s="52"/>
      <c r="B252" s="50"/>
      <c r="C252" s="52"/>
      <c r="D252" s="52"/>
      <c r="E252" s="52"/>
      <c r="F252" s="52"/>
      <c r="G252" s="52"/>
      <c r="H252" s="53"/>
      <c r="I252" s="53"/>
      <c r="J252" s="52"/>
      <c r="K252" s="52"/>
      <c r="L252" s="52"/>
      <c r="M252" s="52"/>
      <c r="N252" s="52"/>
      <c r="O252" s="52"/>
      <c r="P252" s="9"/>
      <c r="Q252" s="9"/>
      <c r="R252" s="9"/>
      <c r="S252" s="50"/>
      <c r="T252" s="50"/>
      <c r="U252" s="9"/>
      <c r="V252" s="9"/>
      <c r="W252" s="9"/>
      <c r="X252" s="9"/>
      <c r="Y252" s="9"/>
      <c r="Z252" s="9"/>
      <c r="AA252" s="9"/>
    </row>
    <row r="253">
      <c r="A253" s="52"/>
      <c r="B253" s="50"/>
      <c r="C253" s="52"/>
      <c r="D253" s="52"/>
      <c r="E253" s="52"/>
      <c r="F253" s="52"/>
      <c r="G253" s="52"/>
      <c r="H253" s="53"/>
      <c r="I253" s="53"/>
      <c r="J253" s="52"/>
      <c r="K253" s="52"/>
      <c r="L253" s="52"/>
      <c r="M253" s="52"/>
      <c r="N253" s="52"/>
      <c r="O253" s="52"/>
      <c r="P253" s="9"/>
      <c r="Q253" s="9"/>
      <c r="R253" s="9"/>
      <c r="S253" s="50"/>
      <c r="T253" s="50"/>
      <c r="U253" s="9"/>
      <c r="V253" s="9"/>
      <c r="W253" s="9"/>
      <c r="X253" s="9"/>
      <c r="Y253" s="9"/>
      <c r="Z253" s="9"/>
      <c r="AA253" s="9"/>
    </row>
    <row r="254">
      <c r="A254" s="52"/>
      <c r="B254" s="50"/>
      <c r="C254" s="52"/>
      <c r="D254" s="52"/>
      <c r="E254" s="52"/>
      <c r="F254" s="52"/>
      <c r="G254" s="52"/>
      <c r="H254" s="53"/>
      <c r="I254" s="53"/>
      <c r="J254" s="52"/>
      <c r="K254" s="52"/>
      <c r="L254" s="52"/>
      <c r="M254" s="52"/>
      <c r="N254" s="52"/>
      <c r="O254" s="52"/>
      <c r="P254" s="9"/>
      <c r="Q254" s="9"/>
      <c r="R254" s="9"/>
      <c r="S254" s="50"/>
      <c r="T254" s="50"/>
      <c r="U254" s="9"/>
      <c r="V254" s="9"/>
      <c r="W254" s="9"/>
      <c r="X254" s="9"/>
      <c r="Y254" s="9"/>
      <c r="Z254" s="9"/>
      <c r="AA254" s="9"/>
    </row>
    <row r="255">
      <c r="A255" s="52"/>
      <c r="B255" s="50"/>
      <c r="C255" s="52"/>
      <c r="D255" s="52"/>
      <c r="E255" s="52"/>
      <c r="F255" s="52"/>
      <c r="G255" s="52"/>
      <c r="H255" s="53"/>
      <c r="I255" s="53"/>
      <c r="J255" s="52"/>
      <c r="K255" s="52"/>
      <c r="L255" s="52"/>
      <c r="M255" s="52"/>
      <c r="N255" s="52"/>
      <c r="O255" s="52"/>
      <c r="P255" s="9"/>
      <c r="Q255" s="9"/>
      <c r="R255" s="9"/>
      <c r="S255" s="50"/>
      <c r="T255" s="50"/>
      <c r="U255" s="9"/>
      <c r="V255" s="9"/>
      <c r="W255" s="9"/>
      <c r="X255" s="9"/>
      <c r="Y255" s="9"/>
      <c r="Z255" s="9"/>
      <c r="AA255" s="9"/>
    </row>
    <row r="256">
      <c r="A256" s="52"/>
      <c r="B256" s="50"/>
      <c r="C256" s="52"/>
      <c r="D256" s="52"/>
      <c r="E256" s="52"/>
      <c r="F256" s="52"/>
      <c r="G256" s="52"/>
      <c r="H256" s="53"/>
      <c r="I256" s="53"/>
      <c r="J256" s="52"/>
      <c r="K256" s="52"/>
      <c r="L256" s="52"/>
      <c r="M256" s="52"/>
      <c r="N256" s="52"/>
      <c r="O256" s="52"/>
      <c r="P256" s="9"/>
      <c r="Q256" s="9"/>
      <c r="R256" s="9"/>
      <c r="S256" s="50"/>
      <c r="T256" s="50"/>
      <c r="U256" s="9"/>
      <c r="V256" s="9"/>
      <c r="W256" s="9"/>
      <c r="X256" s="9"/>
      <c r="Y256" s="9"/>
      <c r="Z256" s="9"/>
      <c r="AA256" s="9"/>
    </row>
    <row r="257">
      <c r="A257" s="52"/>
      <c r="B257" s="50"/>
      <c r="C257" s="52"/>
      <c r="D257" s="52"/>
      <c r="E257" s="52"/>
      <c r="F257" s="52"/>
      <c r="G257" s="52"/>
      <c r="H257" s="53"/>
      <c r="I257" s="53"/>
      <c r="J257" s="52"/>
      <c r="K257" s="52"/>
      <c r="L257" s="52"/>
      <c r="M257" s="52"/>
      <c r="N257" s="52"/>
      <c r="O257" s="52"/>
      <c r="P257" s="9"/>
      <c r="Q257" s="9"/>
      <c r="R257" s="9"/>
      <c r="S257" s="50"/>
      <c r="T257" s="50"/>
      <c r="U257" s="9"/>
      <c r="V257" s="9"/>
      <c r="W257" s="9"/>
      <c r="X257" s="9"/>
      <c r="Y257" s="9"/>
      <c r="Z257" s="9"/>
      <c r="AA257" s="9"/>
    </row>
    <row r="258">
      <c r="A258" s="52"/>
      <c r="B258" s="50"/>
      <c r="C258" s="52"/>
      <c r="D258" s="52"/>
      <c r="E258" s="52"/>
      <c r="F258" s="52"/>
      <c r="G258" s="52"/>
      <c r="H258" s="53"/>
      <c r="I258" s="53"/>
      <c r="J258" s="52"/>
      <c r="K258" s="52"/>
      <c r="L258" s="52"/>
      <c r="M258" s="52"/>
      <c r="N258" s="52"/>
      <c r="O258" s="52"/>
      <c r="P258" s="9"/>
      <c r="Q258" s="9"/>
      <c r="R258" s="9"/>
      <c r="S258" s="50"/>
      <c r="T258" s="50"/>
      <c r="U258" s="9"/>
      <c r="V258" s="9"/>
      <c r="W258" s="9"/>
      <c r="X258" s="9"/>
      <c r="Y258" s="9"/>
      <c r="Z258" s="9"/>
      <c r="AA258" s="9"/>
    </row>
    <row r="259">
      <c r="A259" s="52"/>
      <c r="B259" s="50"/>
      <c r="C259" s="52"/>
      <c r="D259" s="52"/>
      <c r="E259" s="52"/>
      <c r="F259" s="52"/>
      <c r="G259" s="52"/>
      <c r="H259" s="53"/>
      <c r="I259" s="53"/>
      <c r="J259" s="52"/>
      <c r="K259" s="52"/>
      <c r="L259" s="52"/>
      <c r="M259" s="52"/>
      <c r="N259" s="52"/>
      <c r="O259" s="52"/>
      <c r="P259" s="9"/>
      <c r="Q259" s="9"/>
      <c r="R259" s="9"/>
      <c r="S259" s="50"/>
      <c r="T259" s="50"/>
      <c r="U259" s="9"/>
      <c r="V259" s="9"/>
      <c r="W259" s="9"/>
      <c r="X259" s="9"/>
      <c r="Y259" s="9"/>
      <c r="Z259" s="9"/>
      <c r="AA259" s="9"/>
    </row>
    <row r="260">
      <c r="A260" s="52"/>
      <c r="B260" s="50"/>
      <c r="C260" s="52"/>
      <c r="D260" s="52"/>
      <c r="E260" s="52"/>
      <c r="F260" s="52"/>
      <c r="G260" s="52"/>
      <c r="H260" s="53"/>
      <c r="I260" s="53"/>
      <c r="J260" s="52"/>
      <c r="K260" s="52"/>
      <c r="L260" s="52"/>
      <c r="M260" s="52"/>
      <c r="N260" s="52"/>
      <c r="O260" s="52"/>
      <c r="P260" s="9"/>
      <c r="Q260" s="9"/>
      <c r="R260" s="9"/>
      <c r="S260" s="50"/>
      <c r="T260" s="50"/>
      <c r="U260" s="9"/>
      <c r="V260" s="9"/>
      <c r="W260" s="9"/>
      <c r="X260" s="9"/>
      <c r="Y260" s="9"/>
      <c r="Z260" s="9"/>
      <c r="AA260" s="9"/>
    </row>
    <row r="261">
      <c r="A261" s="52"/>
      <c r="B261" s="50"/>
      <c r="C261" s="52"/>
      <c r="D261" s="52"/>
      <c r="E261" s="52"/>
      <c r="F261" s="52"/>
      <c r="G261" s="52"/>
      <c r="H261" s="53"/>
      <c r="I261" s="53"/>
      <c r="J261" s="52"/>
      <c r="K261" s="52"/>
      <c r="L261" s="52"/>
      <c r="M261" s="52"/>
      <c r="N261" s="52"/>
      <c r="O261" s="52"/>
      <c r="P261" s="9"/>
      <c r="Q261" s="9"/>
      <c r="R261" s="9"/>
      <c r="S261" s="50"/>
      <c r="T261" s="50"/>
      <c r="U261" s="9"/>
      <c r="V261" s="9"/>
      <c r="W261" s="9"/>
      <c r="X261" s="9"/>
      <c r="Y261" s="9"/>
      <c r="Z261" s="9"/>
      <c r="AA261" s="9"/>
    </row>
    <row r="262">
      <c r="A262" s="52"/>
      <c r="B262" s="50"/>
      <c r="C262" s="52"/>
      <c r="D262" s="52"/>
      <c r="E262" s="52"/>
      <c r="F262" s="52"/>
      <c r="G262" s="52"/>
      <c r="H262" s="53"/>
      <c r="I262" s="53"/>
      <c r="J262" s="52"/>
      <c r="K262" s="52"/>
      <c r="L262" s="52"/>
      <c r="M262" s="52"/>
      <c r="N262" s="52"/>
      <c r="O262" s="52"/>
      <c r="P262" s="9"/>
      <c r="Q262" s="9"/>
      <c r="R262" s="9"/>
      <c r="S262" s="50"/>
      <c r="T262" s="50"/>
      <c r="U262" s="9"/>
      <c r="V262" s="9"/>
      <c r="W262" s="9"/>
      <c r="X262" s="9"/>
      <c r="Y262" s="9"/>
      <c r="Z262" s="9"/>
      <c r="AA262" s="9"/>
    </row>
    <row r="263">
      <c r="A263" s="52"/>
      <c r="B263" s="50"/>
      <c r="C263" s="52"/>
      <c r="D263" s="52"/>
      <c r="E263" s="52"/>
      <c r="F263" s="52"/>
      <c r="G263" s="52"/>
      <c r="H263" s="53"/>
      <c r="I263" s="53"/>
      <c r="J263" s="52"/>
      <c r="K263" s="52"/>
      <c r="L263" s="52"/>
      <c r="M263" s="52"/>
      <c r="N263" s="52"/>
      <c r="O263" s="52"/>
      <c r="P263" s="9"/>
      <c r="Q263" s="9"/>
      <c r="R263" s="9"/>
      <c r="S263" s="50"/>
      <c r="T263" s="50"/>
      <c r="U263" s="9"/>
      <c r="V263" s="9"/>
      <c r="W263" s="9"/>
      <c r="X263" s="9"/>
      <c r="Y263" s="9"/>
      <c r="Z263" s="9"/>
      <c r="AA263" s="9"/>
    </row>
    <row r="264">
      <c r="A264" s="52"/>
      <c r="B264" s="50"/>
      <c r="C264" s="52"/>
      <c r="D264" s="52"/>
      <c r="E264" s="52"/>
      <c r="F264" s="52"/>
      <c r="G264" s="52"/>
      <c r="H264" s="53"/>
      <c r="I264" s="53"/>
      <c r="J264" s="52"/>
      <c r="K264" s="52"/>
      <c r="L264" s="52"/>
      <c r="M264" s="52"/>
      <c r="N264" s="52"/>
      <c r="O264" s="52"/>
      <c r="P264" s="9"/>
      <c r="Q264" s="9"/>
      <c r="R264" s="9"/>
      <c r="S264" s="50"/>
      <c r="T264" s="50"/>
      <c r="U264" s="9"/>
      <c r="V264" s="9"/>
      <c r="W264" s="9"/>
      <c r="X264" s="9"/>
      <c r="Y264" s="9"/>
      <c r="Z264" s="9"/>
      <c r="AA264" s="9"/>
    </row>
    <row r="265">
      <c r="A265" s="52"/>
      <c r="B265" s="50"/>
      <c r="C265" s="52"/>
      <c r="D265" s="52"/>
      <c r="E265" s="52"/>
      <c r="F265" s="52"/>
      <c r="G265" s="52"/>
      <c r="H265" s="53"/>
      <c r="I265" s="53"/>
      <c r="J265" s="52"/>
      <c r="K265" s="52"/>
      <c r="L265" s="52"/>
      <c r="M265" s="52"/>
      <c r="N265" s="52"/>
      <c r="O265" s="52"/>
      <c r="P265" s="9"/>
      <c r="Q265" s="9"/>
      <c r="R265" s="9"/>
      <c r="S265" s="50"/>
      <c r="T265" s="50"/>
      <c r="U265" s="9"/>
      <c r="V265" s="9"/>
      <c r="W265" s="9"/>
      <c r="X265" s="9"/>
      <c r="Y265" s="9"/>
      <c r="Z265" s="9"/>
      <c r="AA265" s="9"/>
    </row>
    <row r="266">
      <c r="A266" s="52"/>
      <c r="B266" s="50"/>
      <c r="C266" s="52"/>
      <c r="D266" s="52"/>
      <c r="E266" s="52"/>
      <c r="F266" s="52"/>
      <c r="G266" s="52"/>
      <c r="H266" s="53"/>
      <c r="I266" s="53"/>
      <c r="J266" s="52"/>
      <c r="K266" s="52"/>
      <c r="L266" s="52"/>
      <c r="M266" s="52"/>
      <c r="N266" s="52"/>
      <c r="O266" s="52"/>
      <c r="P266" s="9"/>
      <c r="Q266" s="9"/>
      <c r="R266" s="9"/>
      <c r="S266" s="50"/>
      <c r="T266" s="50"/>
      <c r="U266" s="9"/>
      <c r="V266" s="9"/>
      <c r="W266" s="9"/>
      <c r="X266" s="9"/>
      <c r="Y266" s="9"/>
      <c r="Z266" s="9"/>
      <c r="AA266" s="9"/>
    </row>
    <row r="267">
      <c r="A267" s="52"/>
      <c r="B267" s="50"/>
      <c r="C267" s="52"/>
      <c r="D267" s="52"/>
      <c r="E267" s="52"/>
      <c r="F267" s="52"/>
      <c r="G267" s="52"/>
      <c r="H267" s="53"/>
      <c r="I267" s="53"/>
      <c r="J267" s="52"/>
      <c r="K267" s="52"/>
      <c r="L267" s="52"/>
      <c r="M267" s="52"/>
      <c r="N267" s="52"/>
      <c r="O267" s="52"/>
      <c r="P267" s="9"/>
      <c r="Q267" s="9"/>
      <c r="R267" s="9"/>
      <c r="S267" s="50"/>
      <c r="T267" s="50"/>
      <c r="U267" s="9"/>
      <c r="V267" s="9"/>
      <c r="W267" s="9"/>
      <c r="X267" s="9"/>
      <c r="Y267" s="9"/>
      <c r="Z267" s="9"/>
      <c r="AA267" s="9"/>
    </row>
    <row r="268">
      <c r="A268" s="52"/>
      <c r="B268" s="50"/>
      <c r="C268" s="52"/>
      <c r="D268" s="52"/>
      <c r="E268" s="52"/>
      <c r="F268" s="52"/>
      <c r="G268" s="52"/>
      <c r="H268" s="53"/>
      <c r="I268" s="53"/>
      <c r="J268" s="52"/>
      <c r="K268" s="52"/>
      <c r="L268" s="52"/>
      <c r="M268" s="52"/>
      <c r="N268" s="52"/>
      <c r="O268" s="52"/>
      <c r="P268" s="9"/>
      <c r="Q268" s="9"/>
      <c r="R268" s="9"/>
      <c r="S268" s="50"/>
      <c r="T268" s="50"/>
      <c r="U268" s="9"/>
      <c r="V268" s="9"/>
      <c r="W268" s="9"/>
      <c r="X268" s="9"/>
      <c r="Y268" s="9"/>
      <c r="Z268" s="9"/>
      <c r="AA268" s="9"/>
    </row>
    <row r="269">
      <c r="A269" s="52"/>
      <c r="B269" s="50"/>
      <c r="C269" s="52"/>
      <c r="D269" s="52"/>
      <c r="E269" s="52"/>
      <c r="F269" s="52"/>
      <c r="G269" s="52"/>
      <c r="H269" s="53"/>
      <c r="I269" s="53"/>
      <c r="J269" s="52"/>
      <c r="K269" s="52"/>
      <c r="L269" s="52"/>
      <c r="M269" s="52"/>
      <c r="N269" s="52"/>
      <c r="O269" s="52"/>
      <c r="P269" s="9"/>
      <c r="Q269" s="9"/>
      <c r="R269" s="9"/>
      <c r="S269" s="50"/>
      <c r="T269" s="50"/>
      <c r="U269" s="9"/>
      <c r="V269" s="9"/>
      <c r="W269" s="9"/>
      <c r="X269" s="9"/>
      <c r="Y269" s="9"/>
      <c r="Z269" s="9"/>
      <c r="AA269" s="9"/>
    </row>
    <row r="270">
      <c r="A270" s="52"/>
      <c r="B270" s="50"/>
      <c r="C270" s="52"/>
      <c r="D270" s="52"/>
      <c r="E270" s="52"/>
      <c r="F270" s="52"/>
      <c r="G270" s="52"/>
      <c r="H270" s="53"/>
      <c r="I270" s="53"/>
      <c r="J270" s="52"/>
      <c r="K270" s="52"/>
      <c r="L270" s="52"/>
      <c r="M270" s="52"/>
      <c r="N270" s="52"/>
      <c r="O270" s="52"/>
      <c r="P270" s="9"/>
      <c r="Q270" s="9"/>
      <c r="R270" s="9"/>
      <c r="S270" s="50"/>
      <c r="T270" s="50"/>
      <c r="U270" s="9"/>
      <c r="V270" s="9"/>
      <c r="W270" s="9"/>
      <c r="X270" s="9"/>
      <c r="Y270" s="9"/>
      <c r="Z270" s="9"/>
      <c r="AA270" s="9"/>
    </row>
    <row r="271">
      <c r="A271" s="52"/>
      <c r="B271" s="50"/>
      <c r="C271" s="52"/>
      <c r="D271" s="52"/>
      <c r="E271" s="52"/>
      <c r="F271" s="52"/>
      <c r="G271" s="52"/>
      <c r="H271" s="53"/>
      <c r="I271" s="53"/>
      <c r="J271" s="52"/>
      <c r="K271" s="52"/>
      <c r="L271" s="52"/>
      <c r="M271" s="52"/>
      <c r="N271" s="52"/>
      <c r="O271" s="52"/>
      <c r="P271" s="9"/>
      <c r="Q271" s="9"/>
      <c r="R271" s="9"/>
      <c r="S271" s="50"/>
      <c r="T271" s="50"/>
      <c r="U271" s="9"/>
      <c r="V271" s="9"/>
      <c r="W271" s="9"/>
      <c r="X271" s="9"/>
      <c r="Y271" s="9"/>
      <c r="Z271" s="9"/>
      <c r="AA271" s="9"/>
    </row>
    <row r="272">
      <c r="A272" s="52"/>
      <c r="B272" s="50"/>
      <c r="C272" s="52"/>
      <c r="D272" s="52"/>
      <c r="E272" s="52"/>
      <c r="F272" s="52"/>
      <c r="G272" s="52"/>
      <c r="H272" s="53"/>
      <c r="I272" s="53"/>
      <c r="J272" s="52"/>
      <c r="K272" s="52"/>
      <c r="L272" s="52"/>
      <c r="M272" s="52"/>
      <c r="N272" s="52"/>
      <c r="O272" s="52"/>
      <c r="P272" s="9"/>
      <c r="Q272" s="9"/>
      <c r="R272" s="9"/>
      <c r="S272" s="50"/>
      <c r="T272" s="50"/>
      <c r="U272" s="9"/>
      <c r="V272" s="9"/>
      <c r="W272" s="9"/>
      <c r="X272" s="9"/>
      <c r="Y272" s="9"/>
      <c r="Z272" s="9"/>
      <c r="AA272" s="9"/>
    </row>
    <row r="273">
      <c r="A273" s="52"/>
      <c r="B273" s="50"/>
      <c r="C273" s="52"/>
      <c r="D273" s="52"/>
      <c r="E273" s="52"/>
      <c r="F273" s="52"/>
      <c r="G273" s="52"/>
      <c r="H273" s="53"/>
      <c r="I273" s="53"/>
      <c r="J273" s="52"/>
      <c r="K273" s="52"/>
      <c r="L273" s="52"/>
      <c r="M273" s="52"/>
      <c r="N273" s="52"/>
      <c r="O273" s="52"/>
      <c r="P273" s="9"/>
      <c r="Q273" s="9"/>
      <c r="R273" s="9"/>
      <c r="S273" s="50"/>
      <c r="T273" s="50"/>
      <c r="U273" s="9"/>
      <c r="V273" s="9"/>
      <c r="W273" s="9"/>
      <c r="X273" s="9"/>
      <c r="Y273" s="9"/>
      <c r="Z273" s="9"/>
      <c r="AA273" s="9"/>
    </row>
    <row r="274">
      <c r="A274" s="52"/>
      <c r="B274" s="50"/>
      <c r="C274" s="52"/>
      <c r="D274" s="52"/>
      <c r="E274" s="52"/>
      <c r="F274" s="52"/>
      <c r="G274" s="52"/>
      <c r="H274" s="53"/>
      <c r="I274" s="53"/>
      <c r="J274" s="52"/>
      <c r="K274" s="52"/>
      <c r="L274" s="52"/>
      <c r="M274" s="52"/>
      <c r="N274" s="52"/>
      <c r="O274" s="52"/>
      <c r="P274" s="9"/>
      <c r="Q274" s="9"/>
      <c r="R274" s="9"/>
      <c r="S274" s="50"/>
      <c r="T274" s="50"/>
      <c r="U274" s="9"/>
      <c r="V274" s="9"/>
      <c r="W274" s="9"/>
      <c r="X274" s="9"/>
      <c r="Y274" s="9"/>
      <c r="Z274" s="9"/>
      <c r="AA274" s="9"/>
    </row>
    <row r="275">
      <c r="A275" s="52"/>
      <c r="B275" s="50"/>
      <c r="C275" s="52"/>
      <c r="D275" s="52"/>
      <c r="E275" s="52"/>
      <c r="F275" s="52"/>
      <c r="G275" s="52"/>
      <c r="H275" s="53"/>
      <c r="I275" s="53"/>
      <c r="J275" s="52"/>
      <c r="K275" s="52"/>
      <c r="L275" s="52"/>
      <c r="M275" s="52"/>
      <c r="N275" s="52"/>
      <c r="O275" s="52"/>
      <c r="P275" s="9"/>
      <c r="Q275" s="9"/>
      <c r="R275" s="9"/>
      <c r="S275" s="50"/>
      <c r="T275" s="50"/>
      <c r="U275" s="9"/>
      <c r="V275" s="9"/>
      <c r="W275" s="9"/>
      <c r="X275" s="9"/>
      <c r="Y275" s="9"/>
      <c r="Z275" s="9"/>
      <c r="AA275" s="9"/>
    </row>
    <row r="276">
      <c r="A276" s="52"/>
      <c r="B276" s="50"/>
      <c r="C276" s="52"/>
      <c r="D276" s="52"/>
      <c r="E276" s="52"/>
      <c r="F276" s="52"/>
      <c r="G276" s="52"/>
      <c r="H276" s="53"/>
      <c r="I276" s="53"/>
      <c r="J276" s="52"/>
      <c r="K276" s="52"/>
      <c r="L276" s="52"/>
      <c r="M276" s="52"/>
      <c r="N276" s="52"/>
      <c r="O276" s="52"/>
      <c r="P276" s="9"/>
      <c r="Q276" s="9"/>
      <c r="R276" s="9"/>
      <c r="S276" s="50"/>
      <c r="T276" s="50"/>
      <c r="U276" s="9"/>
      <c r="V276" s="9"/>
      <c r="W276" s="9"/>
      <c r="X276" s="9"/>
      <c r="Y276" s="9"/>
      <c r="Z276" s="9"/>
      <c r="AA276" s="9"/>
    </row>
    <row r="277">
      <c r="A277" s="52"/>
      <c r="B277" s="50"/>
      <c r="C277" s="52"/>
      <c r="D277" s="52"/>
      <c r="E277" s="52"/>
      <c r="F277" s="52"/>
      <c r="G277" s="52"/>
      <c r="H277" s="53"/>
      <c r="I277" s="53"/>
      <c r="J277" s="52"/>
      <c r="K277" s="52"/>
      <c r="L277" s="52"/>
      <c r="M277" s="52"/>
      <c r="N277" s="52"/>
      <c r="O277" s="52"/>
      <c r="P277" s="9"/>
      <c r="Q277" s="9"/>
      <c r="R277" s="9"/>
      <c r="S277" s="50"/>
      <c r="T277" s="50"/>
      <c r="U277" s="9"/>
      <c r="V277" s="9"/>
      <c r="W277" s="9"/>
      <c r="X277" s="9"/>
      <c r="Y277" s="9"/>
      <c r="Z277" s="9"/>
      <c r="AA277" s="9"/>
    </row>
    <row r="278">
      <c r="A278" s="52"/>
      <c r="B278" s="50"/>
      <c r="C278" s="52"/>
      <c r="D278" s="52"/>
      <c r="E278" s="52"/>
      <c r="F278" s="52"/>
      <c r="G278" s="52"/>
      <c r="H278" s="53"/>
      <c r="I278" s="53"/>
      <c r="J278" s="52"/>
      <c r="K278" s="52"/>
      <c r="L278" s="52"/>
      <c r="M278" s="52"/>
      <c r="N278" s="52"/>
      <c r="O278" s="52"/>
      <c r="P278" s="9"/>
      <c r="Q278" s="9"/>
      <c r="R278" s="9"/>
      <c r="S278" s="50"/>
      <c r="T278" s="50"/>
      <c r="U278" s="9"/>
      <c r="V278" s="9"/>
      <c r="W278" s="9"/>
      <c r="X278" s="9"/>
      <c r="Y278" s="9"/>
      <c r="Z278" s="9"/>
      <c r="AA278" s="9"/>
    </row>
    <row r="279">
      <c r="A279" s="52"/>
      <c r="B279" s="50"/>
      <c r="C279" s="52"/>
      <c r="D279" s="52"/>
      <c r="E279" s="52"/>
      <c r="F279" s="52"/>
      <c r="G279" s="52"/>
      <c r="H279" s="53"/>
      <c r="I279" s="53"/>
      <c r="J279" s="52"/>
      <c r="K279" s="52"/>
      <c r="L279" s="52"/>
      <c r="M279" s="52"/>
      <c r="N279" s="52"/>
      <c r="O279" s="52"/>
      <c r="P279" s="9"/>
      <c r="Q279" s="9"/>
      <c r="R279" s="9"/>
      <c r="S279" s="50"/>
      <c r="T279" s="50"/>
      <c r="U279" s="9"/>
      <c r="V279" s="9"/>
      <c r="W279" s="9"/>
      <c r="X279" s="9"/>
      <c r="Y279" s="9"/>
      <c r="Z279" s="9"/>
      <c r="AA279" s="9"/>
    </row>
    <row r="280">
      <c r="A280" s="52"/>
      <c r="B280" s="50"/>
      <c r="C280" s="52"/>
      <c r="D280" s="52"/>
      <c r="E280" s="52"/>
      <c r="F280" s="52"/>
      <c r="G280" s="52"/>
      <c r="H280" s="53"/>
      <c r="I280" s="53"/>
      <c r="J280" s="52"/>
      <c r="K280" s="52"/>
      <c r="L280" s="52"/>
      <c r="M280" s="52"/>
      <c r="N280" s="52"/>
      <c r="O280" s="52"/>
      <c r="P280" s="9"/>
      <c r="Q280" s="9"/>
      <c r="R280" s="9"/>
      <c r="S280" s="50"/>
      <c r="T280" s="50"/>
      <c r="U280" s="9"/>
      <c r="V280" s="9"/>
      <c r="W280" s="9"/>
      <c r="X280" s="9"/>
      <c r="Y280" s="9"/>
      <c r="Z280" s="9"/>
      <c r="AA280" s="9"/>
    </row>
    <row r="281">
      <c r="A281" s="52"/>
      <c r="B281" s="50"/>
      <c r="C281" s="52"/>
      <c r="D281" s="52"/>
      <c r="E281" s="52"/>
      <c r="F281" s="52"/>
      <c r="G281" s="52"/>
      <c r="H281" s="53"/>
      <c r="I281" s="53"/>
      <c r="J281" s="52"/>
      <c r="K281" s="52"/>
      <c r="L281" s="52"/>
      <c r="M281" s="52"/>
      <c r="N281" s="52"/>
      <c r="O281" s="52"/>
      <c r="P281" s="9"/>
      <c r="Q281" s="9"/>
      <c r="R281" s="9"/>
      <c r="S281" s="50"/>
      <c r="T281" s="50"/>
      <c r="U281" s="9"/>
      <c r="V281" s="9"/>
      <c r="W281" s="9"/>
      <c r="X281" s="9"/>
      <c r="Y281" s="9"/>
      <c r="Z281" s="9"/>
      <c r="AA281" s="9"/>
    </row>
    <row r="282">
      <c r="A282" s="52"/>
      <c r="B282" s="50"/>
      <c r="C282" s="52"/>
      <c r="D282" s="52"/>
      <c r="E282" s="52"/>
      <c r="F282" s="52"/>
      <c r="G282" s="52"/>
      <c r="H282" s="53"/>
      <c r="I282" s="53"/>
      <c r="J282" s="52"/>
      <c r="K282" s="52"/>
      <c r="L282" s="52"/>
      <c r="M282" s="52"/>
      <c r="N282" s="52"/>
      <c r="O282" s="52"/>
      <c r="P282" s="9"/>
      <c r="Q282" s="9"/>
      <c r="R282" s="9"/>
      <c r="S282" s="50"/>
      <c r="T282" s="50"/>
      <c r="U282" s="9"/>
      <c r="V282" s="9"/>
      <c r="W282" s="9"/>
      <c r="X282" s="9"/>
      <c r="Y282" s="9"/>
      <c r="Z282" s="9"/>
      <c r="AA282" s="9"/>
    </row>
    <row r="283">
      <c r="A283" s="52"/>
      <c r="B283" s="50"/>
      <c r="C283" s="52"/>
      <c r="D283" s="52"/>
      <c r="E283" s="52"/>
      <c r="F283" s="52"/>
      <c r="G283" s="52"/>
      <c r="H283" s="53"/>
      <c r="I283" s="53"/>
      <c r="J283" s="52"/>
      <c r="K283" s="52"/>
      <c r="L283" s="52"/>
      <c r="M283" s="52"/>
      <c r="N283" s="52"/>
      <c r="O283" s="52"/>
      <c r="P283" s="9"/>
      <c r="Q283" s="9"/>
      <c r="R283" s="9"/>
      <c r="S283" s="50"/>
      <c r="T283" s="50"/>
      <c r="U283" s="9"/>
      <c r="V283" s="9"/>
      <c r="W283" s="9"/>
      <c r="X283" s="9"/>
      <c r="Y283" s="9"/>
      <c r="Z283" s="9"/>
      <c r="AA283" s="9"/>
    </row>
    <row r="284">
      <c r="A284" s="52"/>
      <c r="B284" s="50"/>
      <c r="C284" s="52"/>
      <c r="D284" s="52"/>
      <c r="E284" s="52"/>
      <c r="F284" s="52"/>
      <c r="G284" s="52"/>
      <c r="H284" s="53"/>
      <c r="I284" s="53"/>
      <c r="J284" s="52"/>
      <c r="K284" s="52"/>
      <c r="L284" s="52"/>
      <c r="M284" s="52"/>
      <c r="N284" s="52"/>
      <c r="O284" s="52"/>
      <c r="P284" s="9"/>
      <c r="Q284" s="9"/>
      <c r="R284" s="9"/>
      <c r="S284" s="50"/>
      <c r="T284" s="50"/>
      <c r="U284" s="9"/>
      <c r="V284" s="9"/>
      <c r="W284" s="9"/>
      <c r="X284" s="9"/>
      <c r="Y284" s="9"/>
      <c r="Z284" s="9"/>
      <c r="AA284" s="9"/>
    </row>
    <row r="285">
      <c r="A285" s="52"/>
      <c r="B285" s="50"/>
      <c r="C285" s="52"/>
      <c r="D285" s="52"/>
      <c r="E285" s="52"/>
      <c r="F285" s="52"/>
      <c r="G285" s="52"/>
      <c r="H285" s="53"/>
      <c r="I285" s="53"/>
      <c r="J285" s="52"/>
      <c r="K285" s="52"/>
      <c r="L285" s="52"/>
      <c r="M285" s="52"/>
      <c r="N285" s="52"/>
      <c r="O285" s="52"/>
      <c r="P285" s="9"/>
      <c r="Q285" s="9"/>
      <c r="R285" s="9"/>
      <c r="S285" s="50"/>
      <c r="T285" s="50"/>
      <c r="U285" s="9"/>
      <c r="V285" s="9"/>
      <c r="W285" s="9"/>
      <c r="X285" s="9"/>
      <c r="Y285" s="9"/>
      <c r="Z285" s="9"/>
      <c r="AA285" s="9"/>
    </row>
    <row r="286">
      <c r="A286" s="52"/>
      <c r="B286" s="50"/>
      <c r="C286" s="52"/>
      <c r="D286" s="52"/>
      <c r="E286" s="52"/>
      <c r="F286" s="52"/>
      <c r="G286" s="52"/>
      <c r="H286" s="53"/>
      <c r="I286" s="53"/>
      <c r="J286" s="52"/>
      <c r="K286" s="52"/>
      <c r="L286" s="52"/>
      <c r="M286" s="52"/>
      <c r="N286" s="52"/>
      <c r="O286" s="52"/>
      <c r="P286" s="9"/>
      <c r="Q286" s="9"/>
      <c r="R286" s="9"/>
      <c r="S286" s="50"/>
      <c r="T286" s="50"/>
      <c r="U286" s="9"/>
      <c r="V286" s="9"/>
      <c r="W286" s="9"/>
      <c r="X286" s="9"/>
      <c r="Y286" s="9"/>
      <c r="Z286" s="9"/>
      <c r="AA286" s="9"/>
    </row>
    <row r="287">
      <c r="A287" s="52"/>
      <c r="B287" s="50"/>
      <c r="C287" s="52"/>
      <c r="D287" s="52"/>
      <c r="E287" s="52"/>
      <c r="F287" s="52"/>
      <c r="G287" s="52"/>
      <c r="H287" s="53"/>
      <c r="I287" s="53"/>
      <c r="J287" s="52"/>
      <c r="K287" s="52"/>
      <c r="L287" s="52"/>
      <c r="M287" s="52"/>
      <c r="N287" s="52"/>
      <c r="O287" s="52"/>
      <c r="P287" s="9"/>
      <c r="Q287" s="9"/>
      <c r="R287" s="9"/>
      <c r="S287" s="50"/>
      <c r="T287" s="50"/>
      <c r="U287" s="9"/>
      <c r="V287" s="9"/>
      <c r="W287" s="9"/>
      <c r="X287" s="9"/>
      <c r="Y287" s="9"/>
      <c r="Z287" s="9"/>
      <c r="AA287" s="9"/>
    </row>
    <row r="288">
      <c r="A288" s="52"/>
      <c r="B288" s="50"/>
      <c r="C288" s="52"/>
      <c r="D288" s="52"/>
      <c r="E288" s="52"/>
      <c r="F288" s="52"/>
      <c r="G288" s="52"/>
      <c r="H288" s="53"/>
      <c r="I288" s="53"/>
      <c r="J288" s="52"/>
      <c r="K288" s="52"/>
      <c r="L288" s="52"/>
      <c r="M288" s="52"/>
      <c r="N288" s="52"/>
      <c r="O288" s="52"/>
      <c r="P288" s="9"/>
      <c r="Q288" s="9"/>
      <c r="R288" s="9"/>
      <c r="S288" s="50"/>
      <c r="T288" s="50"/>
      <c r="U288" s="9"/>
      <c r="V288" s="9"/>
      <c r="W288" s="9"/>
      <c r="X288" s="9"/>
      <c r="Y288" s="9"/>
      <c r="Z288" s="9"/>
      <c r="AA288" s="9"/>
    </row>
    <row r="289">
      <c r="A289" s="52"/>
      <c r="B289" s="50"/>
      <c r="C289" s="52"/>
      <c r="D289" s="52"/>
      <c r="E289" s="52"/>
      <c r="F289" s="52"/>
      <c r="G289" s="52"/>
      <c r="H289" s="53"/>
      <c r="I289" s="53"/>
      <c r="J289" s="52"/>
      <c r="K289" s="52"/>
      <c r="L289" s="52"/>
      <c r="M289" s="52"/>
      <c r="N289" s="52"/>
      <c r="O289" s="52"/>
      <c r="P289" s="9"/>
      <c r="Q289" s="9"/>
      <c r="R289" s="9"/>
      <c r="S289" s="50"/>
      <c r="T289" s="50"/>
      <c r="U289" s="9"/>
      <c r="V289" s="9"/>
      <c r="W289" s="9"/>
      <c r="X289" s="9"/>
      <c r="Y289" s="9"/>
      <c r="Z289" s="9"/>
      <c r="AA289" s="9"/>
    </row>
    <row r="290">
      <c r="A290" s="52"/>
      <c r="B290" s="50"/>
      <c r="C290" s="52"/>
      <c r="D290" s="52"/>
      <c r="E290" s="52"/>
      <c r="F290" s="52"/>
      <c r="G290" s="52"/>
      <c r="H290" s="53"/>
      <c r="I290" s="53"/>
      <c r="J290" s="52"/>
      <c r="K290" s="52"/>
      <c r="L290" s="52"/>
      <c r="M290" s="52"/>
      <c r="N290" s="52"/>
      <c r="O290" s="52"/>
      <c r="P290" s="9"/>
      <c r="Q290" s="9"/>
      <c r="R290" s="9"/>
      <c r="S290" s="50"/>
      <c r="T290" s="50"/>
      <c r="U290" s="9"/>
      <c r="V290" s="9"/>
      <c r="W290" s="9"/>
      <c r="X290" s="9"/>
      <c r="Y290" s="9"/>
      <c r="Z290" s="9"/>
      <c r="AA290" s="9"/>
    </row>
    <row r="291">
      <c r="A291" s="52"/>
      <c r="B291" s="50"/>
      <c r="C291" s="52"/>
      <c r="D291" s="52"/>
      <c r="E291" s="52"/>
      <c r="F291" s="52"/>
      <c r="G291" s="52"/>
      <c r="H291" s="53"/>
      <c r="I291" s="53"/>
      <c r="J291" s="52"/>
      <c r="K291" s="52"/>
      <c r="L291" s="52"/>
      <c r="M291" s="52"/>
      <c r="N291" s="52"/>
      <c r="O291" s="52"/>
      <c r="P291" s="9"/>
      <c r="Q291" s="9"/>
      <c r="R291" s="9"/>
      <c r="S291" s="50"/>
      <c r="T291" s="50"/>
      <c r="U291" s="9"/>
      <c r="V291" s="9"/>
      <c r="W291" s="9"/>
      <c r="X291" s="9"/>
      <c r="Y291" s="9"/>
      <c r="Z291" s="9"/>
      <c r="AA291" s="9"/>
    </row>
    <row r="292">
      <c r="A292" s="52"/>
      <c r="B292" s="50"/>
      <c r="C292" s="52"/>
      <c r="D292" s="52"/>
      <c r="E292" s="52"/>
      <c r="F292" s="52"/>
      <c r="G292" s="52"/>
      <c r="H292" s="53"/>
      <c r="I292" s="53"/>
      <c r="J292" s="52"/>
      <c r="K292" s="52"/>
      <c r="L292" s="52"/>
      <c r="M292" s="52"/>
      <c r="N292" s="52"/>
      <c r="O292" s="52"/>
      <c r="P292" s="9"/>
      <c r="Q292" s="9"/>
      <c r="R292" s="9"/>
      <c r="S292" s="50"/>
      <c r="T292" s="50"/>
      <c r="U292" s="9"/>
      <c r="V292" s="9"/>
      <c r="W292" s="9"/>
      <c r="X292" s="9"/>
      <c r="Y292" s="9"/>
      <c r="Z292" s="9"/>
      <c r="AA292" s="9"/>
    </row>
    <row r="293">
      <c r="A293" s="52"/>
      <c r="B293" s="50"/>
      <c r="C293" s="52"/>
      <c r="D293" s="52"/>
      <c r="E293" s="52"/>
      <c r="F293" s="52"/>
      <c r="G293" s="52"/>
      <c r="H293" s="53"/>
      <c r="I293" s="53"/>
      <c r="J293" s="52"/>
      <c r="K293" s="52"/>
      <c r="L293" s="52"/>
      <c r="M293" s="52"/>
      <c r="N293" s="52"/>
      <c r="O293" s="52"/>
      <c r="P293" s="9"/>
      <c r="Q293" s="9"/>
      <c r="R293" s="9"/>
      <c r="S293" s="50"/>
      <c r="T293" s="50"/>
      <c r="U293" s="9"/>
      <c r="V293" s="9"/>
      <c r="W293" s="9"/>
      <c r="X293" s="9"/>
      <c r="Y293" s="9"/>
      <c r="Z293" s="9"/>
      <c r="AA293" s="9"/>
    </row>
    <row r="294">
      <c r="A294" s="52"/>
      <c r="B294" s="50"/>
      <c r="C294" s="52"/>
      <c r="D294" s="52"/>
      <c r="E294" s="52"/>
      <c r="F294" s="52"/>
      <c r="G294" s="52"/>
      <c r="H294" s="53"/>
      <c r="I294" s="53"/>
      <c r="J294" s="52"/>
      <c r="K294" s="52"/>
      <c r="L294" s="52"/>
      <c r="M294" s="52"/>
      <c r="N294" s="52"/>
      <c r="O294" s="52"/>
      <c r="P294" s="9"/>
      <c r="Q294" s="9"/>
      <c r="R294" s="9"/>
      <c r="S294" s="50"/>
      <c r="T294" s="50"/>
      <c r="U294" s="9"/>
      <c r="V294" s="9"/>
      <c r="W294" s="9"/>
      <c r="X294" s="9"/>
      <c r="Y294" s="9"/>
      <c r="Z294" s="9"/>
      <c r="AA294" s="9"/>
    </row>
    <row r="295">
      <c r="A295" s="52"/>
      <c r="B295" s="50"/>
      <c r="C295" s="52"/>
      <c r="D295" s="52"/>
      <c r="E295" s="52"/>
      <c r="F295" s="52"/>
      <c r="G295" s="52"/>
      <c r="H295" s="53"/>
      <c r="I295" s="53"/>
      <c r="J295" s="52"/>
      <c r="K295" s="52"/>
      <c r="L295" s="52"/>
      <c r="M295" s="52"/>
      <c r="N295" s="52"/>
      <c r="O295" s="52"/>
      <c r="P295" s="9"/>
      <c r="Q295" s="9"/>
      <c r="R295" s="9"/>
      <c r="S295" s="50"/>
      <c r="T295" s="50"/>
      <c r="U295" s="9"/>
      <c r="V295" s="9"/>
      <c r="W295" s="9"/>
      <c r="X295" s="9"/>
      <c r="Y295" s="9"/>
      <c r="Z295" s="9"/>
      <c r="AA295" s="9"/>
    </row>
    <row r="296">
      <c r="A296" s="52"/>
      <c r="B296" s="50"/>
      <c r="C296" s="52"/>
      <c r="D296" s="52"/>
      <c r="E296" s="52"/>
      <c r="F296" s="52"/>
      <c r="G296" s="52"/>
      <c r="H296" s="53"/>
      <c r="I296" s="53"/>
      <c r="J296" s="52"/>
      <c r="K296" s="52"/>
      <c r="L296" s="52"/>
      <c r="M296" s="52"/>
      <c r="N296" s="52"/>
      <c r="O296" s="52"/>
      <c r="P296" s="9"/>
      <c r="Q296" s="9"/>
      <c r="R296" s="9"/>
      <c r="S296" s="50"/>
      <c r="T296" s="50"/>
      <c r="U296" s="9"/>
      <c r="V296" s="9"/>
      <c r="W296" s="9"/>
      <c r="X296" s="9"/>
      <c r="Y296" s="9"/>
      <c r="Z296" s="9"/>
      <c r="AA296" s="9"/>
    </row>
    <row r="297">
      <c r="A297" s="52"/>
      <c r="B297" s="50"/>
      <c r="C297" s="52"/>
      <c r="D297" s="52"/>
      <c r="E297" s="52"/>
      <c r="F297" s="52"/>
      <c r="G297" s="52"/>
      <c r="H297" s="53"/>
      <c r="I297" s="53"/>
      <c r="J297" s="52"/>
      <c r="K297" s="52"/>
      <c r="L297" s="52"/>
      <c r="M297" s="52"/>
      <c r="N297" s="52"/>
      <c r="O297" s="52"/>
      <c r="P297" s="9"/>
      <c r="Q297" s="9"/>
      <c r="R297" s="9"/>
      <c r="S297" s="50"/>
      <c r="T297" s="50"/>
      <c r="U297" s="9"/>
      <c r="V297" s="9"/>
      <c r="W297" s="9"/>
      <c r="X297" s="9"/>
      <c r="Y297" s="9"/>
      <c r="Z297" s="9"/>
      <c r="AA297" s="9"/>
    </row>
    <row r="298">
      <c r="A298" s="52"/>
      <c r="B298" s="50"/>
      <c r="C298" s="52"/>
      <c r="D298" s="52"/>
      <c r="E298" s="52"/>
      <c r="F298" s="52"/>
      <c r="G298" s="52"/>
      <c r="H298" s="53"/>
      <c r="I298" s="53"/>
      <c r="J298" s="52"/>
      <c r="K298" s="52"/>
      <c r="L298" s="52"/>
      <c r="M298" s="52"/>
      <c r="N298" s="52"/>
      <c r="O298" s="52"/>
      <c r="P298" s="9"/>
      <c r="Q298" s="9"/>
      <c r="R298" s="9"/>
      <c r="S298" s="50"/>
      <c r="T298" s="50"/>
      <c r="U298" s="9"/>
      <c r="V298" s="9"/>
      <c r="W298" s="9"/>
      <c r="X298" s="9"/>
      <c r="Y298" s="9"/>
      <c r="Z298" s="9"/>
      <c r="AA298" s="9"/>
    </row>
    <row r="299">
      <c r="A299" s="52"/>
      <c r="B299" s="50"/>
      <c r="C299" s="52"/>
      <c r="D299" s="52"/>
      <c r="E299" s="52"/>
      <c r="F299" s="52"/>
      <c r="G299" s="52"/>
      <c r="H299" s="53"/>
      <c r="I299" s="53"/>
      <c r="J299" s="52"/>
      <c r="K299" s="52"/>
      <c r="L299" s="52"/>
      <c r="M299" s="52"/>
      <c r="N299" s="52"/>
      <c r="O299" s="52"/>
      <c r="P299" s="9"/>
      <c r="Q299" s="9"/>
      <c r="R299" s="9"/>
      <c r="S299" s="50"/>
      <c r="T299" s="50"/>
      <c r="U299" s="9"/>
      <c r="V299" s="9"/>
      <c r="W299" s="9"/>
      <c r="X299" s="9"/>
      <c r="Y299" s="9"/>
      <c r="Z299" s="9"/>
      <c r="AA299" s="9"/>
    </row>
    <row r="300">
      <c r="A300" s="52"/>
      <c r="B300" s="50"/>
      <c r="C300" s="52"/>
      <c r="D300" s="52"/>
      <c r="E300" s="52"/>
      <c r="F300" s="52"/>
      <c r="G300" s="52"/>
      <c r="H300" s="53"/>
      <c r="I300" s="53"/>
      <c r="J300" s="52"/>
      <c r="K300" s="52"/>
      <c r="L300" s="52"/>
      <c r="M300" s="52"/>
      <c r="N300" s="52"/>
      <c r="O300" s="52"/>
      <c r="P300" s="9"/>
      <c r="Q300" s="9"/>
      <c r="R300" s="9"/>
      <c r="S300" s="50"/>
      <c r="T300" s="50"/>
      <c r="U300" s="9"/>
      <c r="V300" s="9"/>
      <c r="W300" s="9"/>
      <c r="X300" s="9"/>
      <c r="Y300" s="9"/>
      <c r="Z300" s="9"/>
      <c r="AA300" s="9"/>
    </row>
    <row r="301">
      <c r="A301" s="52"/>
      <c r="B301" s="50"/>
      <c r="C301" s="52"/>
      <c r="D301" s="52"/>
      <c r="E301" s="52"/>
      <c r="F301" s="52"/>
      <c r="G301" s="52"/>
      <c r="H301" s="53"/>
      <c r="I301" s="53"/>
      <c r="J301" s="52"/>
      <c r="K301" s="52"/>
      <c r="L301" s="52"/>
      <c r="M301" s="52"/>
      <c r="N301" s="52"/>
      <c r="O301" s="52"/>
      <c r="P301" s="9"/>
      <c r="Q301" s="9"/>
      <c r="R301" s="9"/>
      <c r="S301" s="50"/>
      <c r="T301" s="50"/>
      <c r="U301" s="9"/>
      <c r="V301" s="9"/>
      <c r="W301" s="9"/>
      <c r="X301" s="9"/>
      <c r="Y301" s="9"/>
      <c r="Z301" s="9"/>
      <c r="AA301" s="9"/>
    </row>
    <row r="302">
      <c r="A302" s="52"/>
      <c r="B302" s="50"/>
      <c r="C302" s="52"/>
      <c r="D302" s="52"/>
      <c r="E302" s="52"/>
      <c r="F302" s="52"/>
      <c r="G302" s="52"/>
      <c r="H302" s="53"/>
      <c r="I302" s="53"/>
      <c r="J302" s="52"/>
      <c r="K302" s="52"/>
      <c r="L302" s="52"/>
      <c r="M302" s="52"/>
      <c r="N302" s="52"/>
      <c r="O302" s="52"/>
      <c r="P302" s="9"/>
      <c r="Q302" s="9"/>
      <c r="R302" s="9"/>
      <c r="S302" s="50"/>
      <c r="T302" s="50"/>
      <c r="U302" s="9"/>
      <c r="V302" s="9"/>
      <c r="W302" s="9"/>
      <c r="X302" s="9"/>
      <c r="Y302" s="9"/>
      <c r="Z302" s="9"/>
      <c r="AA302" s="9"/>
    </row>
    <row r="303">
      <c r="A303" s="52"/>
      <c r="B303" s="50"/>
      <c r="C303" s="52"/>
      <c r="D303" s="52"/>
      <c r="E303" s="52"/>
      <c r="F303" s="52"/>
      <c r="G303" s="52"/>
      <c r="H303" s="53"/>
      <c r="I303" s="53"/>
      <c r="J303" s="52"/>
      <c r="K303" s="52"/>
      <c r="L303" s="52"/>
      <c r="M303" s="52"/>
      <c r="N303" s="52"/>
      <c r="O303" s="52"/>
      <c r="P303" s="9"/>
      <c r="Q303" s="9"/>
      <c r="R303" s="9"/>
      <c r="S303" s="50"/>
      <c r="T303" s="50"/>
      <c r="U303" s="9"/>
      <c r="V303" s="9"/>
      <c r="W303" s="9"/>
      <c r="X303" s="9"/>
      <c r="Y303" s="9"/>
      <c r="Z303" s="9"/>
      <c r="AA303" s="9"/>
    </row>
    <row r="304">
      <c r="A304" s="52"/>
      <c r="B304" s="50"/>
      <c r="C304" s="52"/>
      <c r="D304" s="52"/>
      <c r="E304" s="52"/>
      <c r="F304" s="52"/>
      <c r="G304" s="52"/>
      <c r="H304" s="53"/>
      <c r="I304" s="53"/>
      <c r="J304" s="52"/>
      <c r="K304" s="52"/>
      <c r="L304" s="52"/>
      <c r="M304" s="52"/>
      <c r="N304" s="52"/>
      <c r="O304" s="52"/>
      <c r="P304" s="9"/>
      <c r="Q304" s="9"/>
      <c r="R304" s="9"/>
      <c r="S304" s="50"/>
      <c r="T304" s="50"/>
      <c r="U304" s="9"/>
      <c r="V304" s="9"/>
      <c r="W304" s="9"/>
      <c r="X304" s="9"/>
      <c r="Y304" s="9"/>
      <c r="Z304" s="9"/>
      <c r="AA304" s="9"/>
    </row>
    <row r="305">
      <c r="A305" s="52"/>
      <c r="B305" s="50"/>
      <c r="C305" s="52"/>
      <c r="D305" s="52"/>
      <c r="E305" s="52"/>
      <c r="F305" s="52"/>
      <c r="G305" s="52"/>
      <c r="H305" s="53"/>
      <c r="I305" s="53"/>
      <c r="J305" s="52"/>
      <c r="K305" s="52"/>
      <c r="L305" s="52"/>
      <c r="M305" s="52"/>
      <c r="N305" s="52"/>
      <c r="O305" s="52"/>
      <c r="P305" s="9"/>
      <c r="Q305" s="9"/>
      <c r="R305" s="9"/>
      <c r="S305" s="50"/>
      <c r="T305" s="50"/>
      <c r="U305" s="9"/>
      <c r="V305" s="9"/>
      <c r="W305" s="9"/>
      <c r="X305" s="9"/>
      <c r="Y305" s="9"/>
      <c r="Z305" s="9"/>
      <c r="AA305" s="9"/>
    </row>
    <row r="306">
      <c r="A306" s="52"/>
      <c r="B306" s="50"/>
      <c r="C306" s="52"/>
      <c r="D306" s="52"/>
      <c r="E306" s="52"/>
      <c r="F306" s="52"/>
      <c r="G306" s="52"/>
      <c r="H306" s="53"/>
      <c r="I306" s="53"/>
      <c r="J306" s="52"/>
      <c r="K306" s="52"/>
      <c r="L306" s="52"/>
      <c r="M306" s="52"/>
      <c r="N306" s="52"/>
      <c r="O306" s="52"/>
      <c r="P306" s="9"/>
      <c r="Q306" s="9"/>
      <c r="R306" s="9"/>
      <c r="S306" s="50"/>
      <c r="T306" s="50"/>
      <c r="U306" s="9"/>
      <c r="V306" s="9"/>
      <c r="W306" s="9"/>
      <c r="X306" s="9"/>
      <c r="Y306" s="9"/>
      <c r="Z306" s="9"/>
      <c r="AA306" s="9"/>
    </row>
    <row r="307">
      <c r="A307" s="52"/>
      <c r="B307" s="50"/>
      <c r="C307" s="52"/>
      <c r="D307" s="52"/>
      <c r="E307" s="52"/>
      <c r="F307" s="52"/>
      <c r="G307" s="52"/>
      <c r="H307" s="53"/>
      <c r="I307" s="53"/>
      <c r="J307" s="52"/>
      <c r="K307" s="52"/>
      <c r="L307" s="52"/>
      <c r="M307" s="52"/>
      <c r="N307" s="52"/>
      <c r="O307" s="52"/>
      <c r="P307" s="9"/>
      <c r="Q307" s="9"/>
      <c r="R307" s="9"/>
      <c r="S307" s="50"/>
      <c r="T307" s="50"/>
      <c r="U307" s="9"/>
      <c r="V307" s="9"/>
      <c r="W307" s="9"/>
      <c r="X307" s="9"/>
      <c r="Y307" s="9"/>
      <c r="Z307" s="9"/>
      <c r="AA307" s="9"/>
    </row>
    <row r="308">
      <c r="A308" s="52"/>
      <c r="B308" s="50"/>
      <c r="C308" s="52"/>
      <c r="D308" s="52"/>
      <c r="E308" s="52"/>
      <c r="F308" s="52"/>
      <c r="G308" s="52"/>
      <c r="H308" s="53"/>
      <c r="I308" s="53"/>
      <c r="J308" s="52"/>
      <c r="K308" s="52"/>
      <c r="L308" s="52"/>
      <c r="M308" s="52"/>
      <c r="N308" s="52"/>
      <c r="O308" s="52"/>
      <c r="P308" s="9"/>
      <c r="Q308" s="9"/>
      <c r="R308" s="9"/>
      <c r="S308" s="50"/>
      <c r="T308" s="50"/>
      <c r="U308" s="9"/>
      <c r="V308" s="9"/>
      <c r="W308" s="9"/>
      <c r="X308" s="9"/>
      <c r="Y308" s="9"/>
      <c r="Z308" s="9"/>
      <c r="AA308" s="9"/>
    </row>
    <row r="309">
      <c r="A309" s="52"/>
      <c r="B309" s="50"/>
      <c r="C309" s="52"/>
      <c r="D309" s="52"/>
      <c r="E309" s="52"/>
      <c r="F309" s="52"/>
      <c r="G309" s="52"/>
      <c r="H309" s="53"/>
      <c r="I309" s="53"/>
      <c r="J309" s="52"/>
      <c r="K309" s="52"/>
      <c r="L309" s="52"/>
      <c r="M309" s="52"/>
      <c r="N309" s="52"/>
      <c r="O309" s="52"/>
      <c r="P309" s="9"/>
      <c r="Q309" s="9"/>
      <c r="R309" s="9"/>
      <c r="S309" s="50"/>
      <c r="T309" s="50"/>
      <c r="U309" s="9"/>
      <c r="V309" s="9"/>
      <c r="W309" s="9"/>
      <c r="X309" s="9"/>
      <c r="Y309" s="9"/>
      <c r="Z309" s="9"/>
      <c r="AA309" s="9"/>
    </row>
    <row r="310">
      <c r="A310" s="52"/>
      <c r="B310" s="50"/>
      <c r="C310" s="52"/>
      <c r="D310" s="52"/>
      <c r="E310" s="52"/>
      <c r="F310" s="52"/>
      <c r="G310" s="52"/>
      <c r="H310" s="53"/>
      <c r="I310" s="53"/>
      <c r="J310" s="52"/>
      <c r="K310" s="52"/>
      <c r="L310" s="52"/>
      <c r="M310" s="52"/>
      <c r="N310" s="52"/>
      <c r="O310" s="52"/>
      <c r="P310" s="9"/>
      <c r="Q310" s="9"/>
      <c r="R310" s="9"/>
      <c r="S310" s="50"/>
      <c r="T310" s="50"/>
      <c r="U310" s="9"/>
      <c r="V310" s="9"/>
      <c r="W310" s="9"/>
      <c r="X310" s="9"/>
      <c r="Y310" s="9"/>
      <c r="Z310" s="9"/>
      <c r="AA310" s="9"/>
    </row>
    <row r="311">
      <c r="A311" s="52"/>
      <c r="B311" s="50"/>
      <c r="C311" s="52"/>
      <c r="D311" s="52"/>
      <c r="E311" s="52"/>
      <c r="F311" s="52"/>
      <c r="G311" s="52"/>
      <c r="H311" s="53"/>
      <c r="I311" s="53"/>
      <c r="J311" s="52"/>
      <c r="K311" s="52"/>
      <c r="L311" s="52"/>
      <c r="M311" s="52"/>
      <c r="N311" s="52"/>
      <c r="O311" s="52"/>
      <c r="P311" s="9"/>
      <c r="Q311" s="9"/>
      <c r="R311" s="9"/>
      <c r="S311" s="50"/>
      <c r="T311" s="50"/>
      <c r="U311" s="9"/>
      <c r="V311" s="9"/>
      <c r="W311" s="9"/>
      <c r="X311" s="9"/>
      <c r="Y311" s="9"/>
      <c r="Z311" s="9"/>
      <c r="AA311" s="9"/>
    </row>
    <row r="312">
      <c r="A312" s="52"/>
      <c r="B312" s="50"/>
      <c r="C312" s="52"/>
      <c r="D312" s="52"/>
      <c r="E312" s="52"/>
      <c r="F312" s="52"/>
      <c r="G312" s="52"/>
      <c r="H312" s="53"/>
      <c r="I312" s="53"/>
      <c r="J312" s="52"/>
      <c r="K312" s="52"/>
      <c r="L312" s="52"/>
      <c r="M312" s="52"/>
      <c r="N312" s="52"/>
      <c r="O312" s="52"/>
      <c r="P312" s="9"/>
      <c r="Q312" s="9"/>
      <c r="R312" s="9"/>
      <c r="S312" s="50"/>
      <c r="T312" s="50"/>
      <c r="U312" s="9"/>
      <c r="V312" s="9"/>
      <c r="W312" s="9"/>
      <c r="X312" s="9"/>
      <c r="Y312" s="9"/>
      <c r="Z312" s="9"/>
      <c r="AA312" s="9"/>
    </row>
    <row r="313">
      <c r="A313" s="52"/>
      <c r="B313" s="50"/>
      <c r="C313" s="52"/>
      <c r="D313" s="52"/>
      <c r="E313" s="52"/>
      <c r="F313" s="52"/>
      <c r="G313" s="52"/>
      <c r="H313" s="53"/>
      <c r="I313" s="53"/>
      <c r="J313" s="52"/>
      <c r="K313" s="52"/>
      <c r="L313" s="52"/>
      <c r="M313" s="52"/>
      <c r="N313" s="52"/>
      <c r="O313" s="52"/>
      <c r="P313" s="9"/>
      <c r="Q313" s="9"/>
      <c r="R313" s="9"/>
      <c r="S313" s="50"/>
      <c r="T313" s="50"/>
      <c r="U313" s="9"/>
      <c r="V313" s="9"/>
      <c r="W313" s="9"/>
      <c r="X313" s="9"/>
      <c r="Y313" s="9"/>
      <c r="Z313" s="9"/>
      <c r="AA313" s="9"/>
    </row>
    <row r="314">
      <c r="A314" s="52"/>
      <c r="B314" s="50"/>
      <c r="C314" s="52"/>
      <c r="D314" s="52"/>
      <c r="E314" s="52"/>
      <c r="F314" s="52"/>
      <c r="G314" s="52"/>
      <c r="H314" s="53"/>
      <c r="I314" s="53"/>
      <c r="J314" s="52"/>
      <c r="K314" s="52"/>
      <c r="L314" s="52"/>
      <c r="M314" s="52"/>
      <c r="N314" s="52"/>
      <c r="O314" s="52"/>
      <c r="P314" s="9"/>
      <c r="Q314" s="9"/>
      <c r="R314" s="9"/>
      <c r="S314" s="50"/>
      <c r="T314" s="50"/>
      <c r="U314" s="9"/>
      <c r="V314" s="9"/>
      <c r="W314" s="9"/>
      <c r="X314" s="9"/>
      <c r="Y314" s="9"/>
      <c r="Z314" s="9"/>
      <c r="AA314" s="9"/>
    </row>
    <row r="315">
      <c r="A315" s="52"/>
      <c r="B315" s="50"/>
      <c r="C315" s="52"/>
      <c r="D315" s="52"/>
      <c r="E315" s="52"/>
      <c r="F315" s="52"/>
      <c r="G315" s="52"/>
      <c r="H315" s="53"/>
      <c r="I315" s="53"/>
      <c r="J315" s="52"/>
      <c r="K315" s="52"/>
      <c r="L315" s="52"/>
      <c r="M315" s="52"/>
      <c r="N315" s="52"/>
      <c r="O315" s="52"/>
      <c r="P315" s="9"/>
      <c r="Q315" s="9"/>
      <c r="R315" s="9"/>
      <c r="S315" s="50"/>
      <c r="T315" s="50"/>
      <c r="U315" s="9"/>
      <c r="V315" s="9"/>
      <c r="W315" s="9"/>
      <c r="X315" s="9"/>
      <c r="Y315" s="9"/>
      <c r="Z315" s="9"/>
      <c r="AA315" s="9"/>
    </row>
    <row r="316">
      <c r="A316" s="52"/>
      <c r="B316" s="50"/>
      <c r="C316" s="52"/>
      <c r="D316" s="52"/>
      <c r="E316" s="52"/>
      <c r="F316" s="52"/>
      <c r="G316" s="52"/>
      <c r="H316" s="53"/>
      <c r="I316" s="53"/>
      <c r="J316" s="52"/>
      <c r="K316" s="52"/>
      <c r="L316" s="52"/>
      <c r="M316" s="52"/>
      <c r="N316" s="52"/>
      <c r="O316" s="52"/>
      <c r="P316" s="9"/>
      <c r="Q316" s="9"/>
      <c r="R316" s="9"/>
      <c r="S316" s="50"/>
      <c r="T316" s="50"/>
      <c r="U316" s="9"/>
      <c r="V316" s="9"/>
      <c r="W316" s="9"/>
      <c r="X316" s="9"/>
      <c r="Y316" s="9"/>
      <c r="Z316" s="9"/>
      <c r="AA316" s="9"/>
    </row>
    <row r="317">
      <c r="A317" s="52"/>
      <c r="B317" s="50"/>
      <c r="C317" s="52"/>
      <c r="D317" s="52"/>
      <c r="E317" s="52"/>
      <c r="F317" s="52"/>
      <c r="G317" s="52"/>
      <c r="H317" s="53"/>
      <c r="I317" s="53"/>
      <c r="J317" s="52"/>
      <c r="K317" s="52"/>
      <c r="L317" s="52"/>
      <c r="M317" s="52"/>
      <c r="N317" s="52"/>
      <c r="O317" s="52"/>
      <c r="P317" s="9"/>
      <c r="Q317" s="9"/>
      <c r="R317" s="9"/>
      <c r="S317" s="50"/>
      <c r="T317" s="50"/>
      <c r="U317" s="9"/>
      <c r="V317" s="9"/>
      <c r="W317" s="9"/>
      <c r="X317" s="9"/>
      <c r="Y317" s="9"/>
      <c r="Z317" s="9"/>
      <c r="AA317" s="9"/>
    </row>
    <row r="318">
      <c r="A318" s="52"/>
      <c r="B318" s="50"/>
      <c r="C318" s="52"/>
      <c r="D318" s="52"/>
      <c r="E318" s="52"/>
      <c r="F318" s="52"/>
      <c r="G318" s="52"/>
      <c r="H318" s="53"/>
      <c r="I318" s="53"/>
      <c r="J318" s="52"/>
      <c r="K318" s="52"/>
      <c r="L318" s="52"/>
      <c r="M318" s="52"/>
      <c r="N318" s="52"/>
      <c r="O318" s="52"/>
      <c r="P318" s="9"/>
      <c r="Q318" s="9"/>
      <c r="R318" s="9"/>
      <c r="S318" s="50"/>
      <c r="T318" s="50"/>
      <c r="U318" s="9"/>
      <c r="V318" s="9"/>
      <c r="W318" s="9"/>
      <c r="X318" s="9"/>
      <c r="Y318" s="9"/>
      <c r="Z318" s="9"/>
      <c r="AA318" s="9"/>
    </row>
    <row r="319">
      <c r="A319" s="52"/>
      <c r="B319" s="50"/>
      <c r="C319" s="52"/>
      <c r="D319" s="52"/>
      <c r="E319" s="52"/>
      <c r="F319" s="52"/>
      <c r="G319" s="52"/>
      <c r="H319" s="53"/>
      <c r="I319" s="53"/>
      <c r="J319" s="52"/>
      <c r="K319" s="52"/>
      <c r="L319" s="52"/>
      <c r="M319" s="52"/>
      <c r="N319" s="52"/>
      <c r="O319" s="52"/>
      <c r="P319" s="9"/>
      <c r="Q319" s="9"/>
      <c r="R319" s="9"/>
      <c r="S319" s="50"/>
      <c r="T319" s="50"/>
      <c r="U319" s="9"/>
      <c r="V319" s="9"/>
      <c r="W319" s="9"/>
      <c r="X319" s="9"/>
      <c r="Y319" s="9"/>
      <c r="Z319" s="9"/>
      <c r="AA319" s="9"/>
    </row>
    <row r="320">
      <c r="A320" s="52"/>
      <c r="B320" s="50"/>
      <c r="C320" s="52"/>
      <c r="D320" s="52"/>
      <c r="E320" s="52"/>
      <c r="F320" s="52"/>
      <c r="G320" s="52"/>
      <c r="H320" s="53"/>
      <c r="I320" s="53"/>
      <c r="J320" s="52"/>
      <c r="K320" s="52"/>
      <c r="L320" s="52"/>
      <c r="M320" s="52"/>
      <c r="N320" s="52"/>
      <c r="O320" s="52"/>
      <c r="P320" s="9"/>
      <c r="Q320" s="9"/>
      <c r="R320" s="9"/>
      <c r="S320" s="50"/>
      <c r="T320" s="50"/>
      <c r="U320" s="9"/>
      <c r="V320" s="9"/>
      <c r="W320" s="9"/>
      <c r="X320" s="9"/>
      <c r="Y320" s="9"/>
      <c r="Z320" s="9"/>
      <c r="AA320" s="9"/>
    </row>
    <row r="321">
      <c r="A321" s="52"/>
      <c r="B321" s="50"/>
      <c r="C321" s="52"/>
      <c r="D321" s="52"/>
      <c r="E321" s="52"/>
      <c r="F321" s="52"/>
      <c r="G321" s="52"/>
      <c r="H321" s="53"/>
      <c r="I321" s="53"/>
      <c r="J321" s="52"/>
      <c r="K321" s="52"/>
      <c r="L321" s="52"/>
      <c r="M321" s="52"/>
      <c r="N321" s="52"/>
      <c r="O321" s="52"/>
      <c r="P321" s="9"/>
      <c r="Q321" s="9"/>
      <c r="R321" s="9"/>
      <c r="S321" s="50"/>
      <c r="T321" s="50"/>
      <c r="U321" s="9"/>
      <c r="V321" s="9"/>
      <c r="W321" s="9"/>
      <c r="X321" s="9"/>
      <c r="Y321" s="9"/>
      <c r="Z321" s="9"/>
      <c r="AA321" s="9"/>
    </row>
    <row r="322">
      <c r="A322" s="52"/>
      <c r="B322" s="50"/>
      <c r="C322" s="52"/>
      <c r="D322" s="52"/>
      <c r="E322" s="52"/>
      <c r="F322" s="52"/>
      <c r="G322" s="52"/>
      <c r="H322" s="53"/>
      <c r="I322" s="53"/>
      <c r="J322" s="52"/>
      <c r="K322" s="52"/>
      <c r="L322" s="52"/>
      <c r="M322" s="52"/>
      <c r="N322" s="52"/>
      <c r="O322" s="52"/>
      <c r="P322" s="9"/>
      <c r="Q322" s="9"/>
      <c r="R322" s="9"/>
      <c r="S322" s="50"/>
      <c r="T322" s="50"/>
      <c r="U322" s="9"/>
      <c r="V322" s="9"/>
      <c r="W322" s="9"/>
      <c r="X322" s="9"/>
      <c r="Y322" s="9"/>
      <c r="Z322" s="9"/>
      <c r="AA322" s="9"/>
    </row>
    <row r="323">
      <c r="A323" s="52"/>
      <c r="B323" s="50"/>
      <c r="C323" s="52"/>
      <c r="D323" s="52"/>
      <c r="E323" s="52"/>
      <c r="F323" s="52"/>
      <c r="G323" s="52"/>
      <c r="H323" s="53"/>
      <c r="I323" s="53"/>
      <c r="J323" s="52"/>
      <c r="K323" s="52"/>
      <c r="L323" s="52"/>
      <c r="M323" s="52"/>
      <c r="N323" s="52"/>
      <c r="O323" s="52"/>
      <c r="P323" s="9"/>
      <c r="Q323" s="9"/>
      <c r="R323" s="9"/>
      <c r="S323" s="50"/>
      <c r="T323" s="50"/>
      <c r="U323" s="9"/>
      <c r="V323" s="9"/>
      <c r="W323" s="9"/>
      <c r="X323" s="9"/>
      <c r="Y323" s="9"/>
      <c r="Z323" s="9"/>
      <c r="AA323" s="9"/>
    </row>
    <row r="324">
      <c r="A324" s="52"/>
      <c r="B324" s="50"/>
      <c r="C324" s="52"/>
      <c r="D324" s="52"/>
      <c r="E324" s="52"/>
      <c r="F324" s="52"/>
      <c r="G324" s="52"/>
      <c r="H324" s="53"/>
      <c r="I324" s="53"/>
      <c r="J324" s="52"/>
      <c r="K324" s="52"/>
      <c r="L324" s="52"/>
      <c r="M324" s="52"/>
      <c r="N324" s="52"/>
      <c r="O324" s="52"/>
      <c r="P324" s="9"/>
      <c r="Q324" s="9"/>
      <c r="R324" s="9"/>
      <c r="S324" s="50"/>
      <c r="T324" s="50"/>
      <c r="U324" s="9"/>
      <c r="V324" s="9"/>
      <c r="W324" s="9"/>
      <c r="X324" s="9"/>
      <c r="Y324" s="9"/>
      <c r="Z324" s="9"/>
      <c r="AA324" s="9"/>
    </row>
    <row r="325">
      <c r="A325" s="52"/>
      <c r="B325" s="50"/>
      <c r="C325" s="52"/>
      <c r="D325" s="52"/>
      <c r="E325" s="52"/>
      <c r="F325" s="52"/>
      <c r="G325" s="52"/>
      <c r="H325" s="53"/>
      <c r="I325" s="53"/>
      <c r="J325" s="52"/>
      <c r="K325" s="52"/>
      <c r="L325" s="52"/>
      <c r="M325" s="52"/>
      <c r="N325" s="52"/>
      <c r="O325" s="52"/>
      <c r="P325" s="9"/>
      <c r="Q325" s="9"/>
      <c r="R325" s="9"/>
      <c r="S325" s="50"/>
      <c r="T325" s="50"/>
      <c r="U325" s="9"/>
      <c r="V325" s="9"/>
      <c r="W325" s="9"/>
      <c r="X325" s="9"/>
      <c r="Y325" s="9"/>
      <c r="Z325" s="9"/>
      <c r="AA325" s="9"/>
    </row>
    <row r="326">
      <c r="A326" s="52"/>
      <c r="B326" s="50"/>
      <c r="C326" s="52"/>
      <c r="D326" s="52"/>
      <c r="E326" s="52"/>
      <c r="F326" s="52"/>
      <c r="G326" s="52"/>
      <c r="H326" s="53"/>
      <c r="I326" s="53"/>
      <c r="J326" s="52"/>
      <c r="K326" s="52"/>
      <c r="L326" s="52"/>
      <c r="M326" s="52"/>
      <c r="N326" s="52"/>
      <c r="O326" s="52"/>
      <c r="P326" s="9"/>
      <c r="Q326" s="9"/>
      <c r="R326" s="9"/>
      <c r="S326" s="50"/>
      <c r="T326" s="50"/>
      <c r="U326" s="9"/>
      <c r="V326" s="9"/>
      <c r="W326" s="9"/>
      <c r="X326" s="9"/>
      <c r="Y326" s="9"/>
      <c r="Z326" s="9"/>
      <c r="AA326" s="9"/>
    </row>
    <row r="327">
      <c r="A327" s="52"/>
      <c r="B327" s="50"/>
      <c r="C327" s="52"/>
      <c r="D327" s="52"/>
      <c r="E327" s="52"/>
      <c r="F327" s="52"/>
      <c r="G327" s="52"/>
      <c r="H327" s="53"/>
      <c r="I327" s="53"/>
      <c r="J327" s="52"/>
      <c r="K327" s="52"/>
      <c r="L327" s="52"/>
      <c r="M327" s="52"/>
      <c r="N327" s="52"/>
      <c r="O327" s="52"/>
      <c r="P327" s="9"/>
      <c r="Q327" s="9"/>
      <c r="R327" s="9"/>
      <c r="S327" s="50"/>
      <c r="T327" s="50"/>
      <c r="U327" s="9"/>
      <c r="V327" s="9"/>
      <c r="W327" s="9"/>
      <c r="X327" s="9"/>
      <c r="Y327" s="9"/>
      <c r="Z327" s="9"/>
      <c r="AA327" s="9"/>
    </row>
    <row r="328">
      <c r="A328" s="52"/>
      <c r="B328" s="50"/>
      <c r="C328" s="52"/>
      <c r="D328" s="52"/>
      <c r="E328" s="52"/>
      <c r="F328" s="52"/>
      <c r="G328" s="52"/>
      <c r="H328" s="53"/>
      <c r="I328" s="53"/>
      <c r="J328" s="52"/>
      <c r="K328" s="52"/>
      <c r="L328" s="52"/>
      <c r="M328" s="52"/>
      <c r="N328" s="52"/>
      <c r="O328" s="52"/>
      <c r="P328" s="9"/>
      <c r="Q328" s="9"/>
      <c r="R328" s="9"/>
      <c r="S328" s="50"/>
      <c r="T328" s="50"/>
      <c r="U328" s="9"/>
      <c r="V328" s="9"/>
      <c r="W328" s="9"/>
      <c r="X328" s="9"/>
      <c r="Y328" s="9"/>
      <c r="Z328" s="9"/>
      <c r="AA328" s="9"/>
    </row>
    <row r="329">
      <c r="A329" s="52"/>
      <c r="B329" s="50"/>
      <c r="C329" s="52"/>
      <c r="D329" s="52"/>
      <c r="E329" s="52"/>
      <c r="F329" s="52"/>
      <c r="G329" s="52"/>
      <c r="H329" s="53"/>
      <c r="I329" s="53"/>
      <c r="J329" s="52"/>
      <c r="K329" s="52"/>
      <c r="L329" s="52"/>
      <c r="M329" s="52"/>
      <c r="N329" s="52"/>
      <c r="O329" s="52"/>
      <c r="P329" s="9"/>
      <c r="Q329" s="9"/>
      <c r="R329" s="9"/>
      <c r="S329" s="50"/>
      <c r="T329" s="50"/>
      <c r="U329" s="9"/>
      <c r="V329" s="9"/>
      <c r="W329" s="9"/>
      <c r="X329" s="9"/>
      <c r="Y329" s="9"/>
      <c r="Z329" s="9"/>
      <c r="AA329" s="9"/>
    </row>
    <row r="330">
      <c r="A330" s="52"/>
      <c r="B330" s="50"/>
      <c r="C330" s="52"/>
      <c r="D330" s="52"/>
      <c r="E330" s="52"/>
      <c r="F330" s="52"/>
      <c r="G330" s="52"/>
      <c r="H330" s="53"/>
      <c r="I330" s="53"/>
      <c r="J330" s="52"/>
      <c r="K330" s="52"/>
      <c r="L330" s="52"/>
      <c r="M330" s="52"/>
      <c r="N330" s="52"/>
      <c r="O330" s="52"/>
      <c r="P330" s="9"/>
      <c r="Q330" s="9"/>
      <c r="R330" s="9"/>
      <c r="S330" s="50"/>
      <c r="T330" s="50"/>
      <c r="U330" s="9"/>
      <c r="V330" s="9"/>
      <c r="W330" s="9"/>
      <c r="X330" s="9"/>
      <c r="Y330" s="9"/>
      <c r="Z330" s="9"/>
      <c r="AA330" s="9"/>
    </row>
    <row r="331">
      <c r="A331" s="52"/>
      <c r="B331" s="50"/>
      <c r="C331" s="52"/>
      <c r="D331" s="52"/>
      <c r="E331" s="52"/>
      <c r="F331" s="52"/>
      <c r="G331" s="52"/>
      <c r="H331" s="53"/>
      <c r="I331" s="53"/>
      <c r="J331" s="52"/>
      <c r="K331" s="52"/>
      <c r="L331" s="52"/>
      <c r="M331" s="52"/>
      <c r="N331" s="52"/>
      <c r="O331" s="52"/>
      <c r="P331" s="9"/>
      <c r="Q331" s="9"/>
      <c r="R331" s="9"/>
      <c r="S331" s="50"/>
      <c r="T331" s="50"/>
      <c r="U331" s="9"/>
      <c r="V331" s="9"/>
      <c r="W331" s="9"/>
      <c r="X331" s="9"/>
      <c r="Y331" s="9"/>
      <c r="Z331" s="9"/>
      <c r="AA331" s="9"/>
    </row>
    <row r="332">
      <c r="A332" s="52"/>
      <c r="B332" s="50"/>
      <c r="C332" s="52"/>
      <c r="D332" s="52"/>
      <c r="E332" s="52"/>
      <c r="F332" s="52"/>
      <c r="G332" s="52"/>
      <c r="H332" s="53"/>
      <c r="I332" s="53"/>
      <c r="J332" s="52"/>
      <c r="K332" s="52"/>
      <c r="L332" s="52"/>
      <c r="M332" s="52"/>
      <c r="N332" s="52"/>
      <c r="O332" s="52"/>
      <c r="P332" s="9"/>
      <c r="Q332" s="9"/>
      <c r="R332" s="9"/>
      <c r="S332" s="50"/>
      <c r="T332" s="50"/>
      <c r="U332" s="9"/>
      <c r="V332" s="9"/>
      <c r="W332" s="9"/>
      <c r="X332" s="9"/>
      <c r="Y332" s="9"/>
      <c r="Z332" s="9"/>
      <c r="AA332" s="9"/>
    </row>
    <row r="333">
      <c r="A333" s="52"/>
      <c r="B333" s="50"/>
      <c r="C333" s="52"/>
      <c r="D333" s="52"/>
      <c r="E333" s="52"/>
      <c r="F333" s="52"/>
      <c r="G333" s="52"/>
      <c r="H333" s="53"/>
      <c r="I333" s="53"/>
      <c r="J333" s="52"/>
      <c r="K333" s="52"/>
      <c r="L333" s="52"/>
      <c r="M333" s="52"/>
      <c r="N333" s="52"/>
      <c r="O333" s="52"/>
      <c r="P333" s="9"/>
      <c r="Q333" s="9"/>
      <c r="R333" s="9"/>
      <c r="S333" s="50"/>
      <c r="T333" s="50"/>
      <c r="U333" s="9"/>
      <c r="V333" s="9"/>
      <c r="W333" s="9"/>
      <c r="X333" s="9"/>
      <c r="Y333" s="9"/>
      <c r="Z333" s="9"/>
      <c r="AA333" s="9"/>
    </row>
    <row r="334">
      <c r="A334" s="52"/>
      <c r="B334" s="50"/>
      <c r="C334" s="52"/>
      <c r="D334" s="52"/>
      <c r="E334" s="52"/>
      <c r="F334" s="52"/>
      <c r="G334" s="52"/>
      <c r="H334" s="53"/>
      <c r="I334" s="53"/>
      <c r="J334" s="52"/>
      <c r="K334" s="52"/>
      <c r="L334" s="52"/>
      <c r="M334" s="52"/>
      <c r="N334" s="52"/>
      <c r="O334" s="52"/>
      <c r="P334" s="9"/>
      <c r="Q334" s="9"/>
      <c r="R334" s="9"/>
      <c r="S334" s="50"/>
      <c r="T334" s="50"/>
      <c r="U334" s="9"/>
      <c r="V334" s="9"/>
      <c r="W334" s="9"/>
      <c r="X334" s="9"/>
      <c r="Y334" s="9"/>
      <c r="Z334" s="9"/>
      <c r="AA334" s="9"/>
    </row>
    <row r="335">
      <c r="A335" s="52"/>
      <c r="B335" s="50"/>
      <c r="C335" s="52"/>
      <c r="D335" s="52"/>
      <c r="E335" s="52"/>
      <c r="F335" s="52"/>
      <c r="G335" s="52"/>
      <c r="H335" s="53"/>
      <c r="I335" s="53"/>
      <c r="J335" s="52"/>
      <c r="K335" s="52"/>
      <c r="L335" s="52"/>
      <c r="M335" s="52"/>
      <c r="N335" s="52"/>
      <c r="O335" s="52"/>
      <c r="P335" s="9"/>
      <c r="Q335" s="9"/>
      <c r="R335" s="9"/>
      <c r="S335" s="50"/>
      <c r="T335" s="50"/>
      <c r="U335" s="9"/>
      <c r="V335" s="9"/>
      <c r="W335" s="9"/>
      <c r="X335" s="9"/>
      <c r="Y335" s="9"/>
      <c r="Z335" s="9"/>
      <c r="AA335" s="9"/>
    </row>
    <row r="336">
      <c r="A336" s="52"/>
      <c r="B336" s="50"/>
      <c r="C336" s="52"/>
      <c r="D336" s="52"/>
      <c r="E336" s="52"/>
      <c r="F336" s="52"/>
      <c r="G336" s="52"/>
      <c r="H336" s="53"/>
      <c r="I336" s="53"/>
      <c r="J336" s="52"/>
      <c r="K336" s="52"/>
      <c r="L336" s="52"/>
      <c r="M336" s="52"/>
      <c r="N336" s="52"/>
      <c r="O336" s="52"/>
      <c r="P336" s="9"/>
      <c r="Q336" s="9"/>
      <c r="R336" s="9"/>
      <c r="S336" s="50"/>
      <c r="T336" s="50"/>
      <c r="U336" s="9"/>
      <c r="V336" s="9"/>
      <c r="W336" s="9"/>
      <c r="X336" s="9"/>
      <c r="Y336" s="9"/>
      <c r="Z336" s="9"/>
      <c r="AA336" s="9"/>
    </row>
    <row r="337">
      <c r="A337" s="52"/>
      <c r="B337" s="50"/>
      <c r="C337" s="52"/>
      <c r="D337" s="52"/>
      <c r="E337" s="52"/>
      <c r="F337" s="52"/>
      <c r="G337" s="52"/>
      <c r="H337" s="53"/>
      <c r="I337" s="53"/>
      <c r="J337" s="52"/>
      <c r="K337" s="52"/>
      <c r="L337" s="52"/>
      <c r="M337" s="52"/>
      <c r="N337" s="52"/>
      <c r="O337" s="52"/>
      <c r="P337" s="9"/>
      <c r="Q337" s="9"/>
      <c r="R337" s="9"/>
      <c r="S337" s="50"/>
      <c r="T337" s="50"/>
      <c r="U337" s="9"/>
      <c r="V337" s="9"/>
      <c r="W337" s="9"/>
      <c r="X337" s="9"/>
      <c r="Y337" s="9"/>
      <c r="Z337" s="9"/>
      <c r="AA337" s="9"/>
    </row>
    <row r="338">
      <c r="A338" s="52"/>
      <c r="B338" s="50"/>
      <c r="C338" s="52"/>
      <c r="D338" s="52"/>
      <c r="E338" s="52"/>
      <c r="F338" s="52"/>
      <c r="G338" s="52"/>
      <c r="H338" s="53"/>
      <c r="I338" s="53"/>
      <c r="J338" s="52"/>
      <c r="K338" s="52"/>
      <c r="L338" s="52"/>
      <c r="M338" s="52"/>
      <c r="N338" s="52"/>
      <c r="O338" s="52"/>
      <c r="P338" s="9"/>
      <c r="Q338" s="9"/>
      <c r="R338" s="9"/>
      <c r="S338" s="50"/>
      <c r="T338" s="50"/>
      <c r="U338" s="9"/>
      <c r="V338" s="9"/>
      <c r="W338" s="9"/>
      <c r="X338" s="9"/>
      <c r="Y338" s="9"/>
      <c r="Z338" s="9"/>
      <c r="AA338" s="9"/>
    </row>
    <row r="339">
      <c r="A339" s="52"/>
      <c r="B339" s="50"/>
      <c r="C339" s="52"/>
      <c r="D339" s="52"/>
      <c r="E339" s="52"/>
      <c r="F339" s="52"/>
      <c r="G339" s="52"/>
      <c r="H339" s="53"/>
      <c r="I339" s="53"/>
      <c r="J339" s="52"/>
      <c r="K339" s="52"/>
      <c r="L339" s="52"/>
      <c r="M339" s="52"/>
      <c r="N339" s="52"/>
      <c r="O339" s="52"/>
      <c r="P339" s="9"/>
      <c r="Q339" s="9"/>
      <c r="R339" s="9"/>
      <c r="S339" s="50"/>
      <c r="T339" s="50"/>
      <c r="U339" s="9"/>
      <c r="V339" s="9"/>
      <c r="W339" s="9"/>
      <c r="X339" s="9"/>
      <c r="Y339" s="9"/>
      <c r="Z339" s="9"/>
      <c r="AA339" s="9"/>
    </row>
    <row r="340">
      <c r="A340" s="52"/>
      <c r="B340" s="50"/>
      <c r="C340" s="52"/>
      <c r="D340" s="52"/>
      <c r="E340" s="52"/>
      <c r="F340" s="52"/>
      <c r="G340" s="52"/>
      <c r="H340" s="53"/>
      <c r="I340" s="53"/>
      <c r="J340" s="52"/>
      <c r="K340" s="52"/>
      <c r="L340" s="52"/>
      <c r="M340" s="52"/>
      <c r="N340" s="52"/>
      <c r="O340" s="52"/>
      <c r="P340" s="9"/>
      <c r="Q340" s="9"/>
      <c r="R340" s="9"/>
      <c r="S340" s="50"/>
      <c r="T340" s="50"/>
      <c r="U340" s="9"/>
      <c r="V340" s="9"/>
      <c r="W340" s="9"/>
      <c r="X340" s="9"/>
      <c r="Y340" s="9"/>
      <c r="Z340" s="9"/>
      <c r="AA340" s="9"/>
    </row>
    <row r="341">
      <c r="A341" s="52"/>
      <c r="B341" s="50"/>
      <c r="C341" s="52"/>
      <c r="D341" s="52"/>
      <c r="E341" s="52"/>
      <c r="F341" s="52"/>
      <c r="G341" s="52"/>
      <c r="H341" s="53"/>
      <c r="I341" s="53"/>
      <c r="J341" s="52"/>
      <c r="K341" s="52"/>
      <c r="L341" s="52"/>
      <c r="M341" s="52"/>
      <c r="N341" s="52"/>
      <c r="O341" s="52"/>
      <c r="P341" s="9"/>
      <c r="Q341" s="9"/>
      <c r="R341" s="9"/>
      <c r="S341" s="50"/>
      <c r="T341" s="50"/>
      <c r="U341" s="9"/>
      <c r="V341" s="9"/>
      <c r="W341" s="9"/>
      <c r="X341" s="9"/>
      <c r="Y341" s="9"/>
      <c r="Z341" s="9"/>
      <c r="AA341" s="9"/>
    </row>
    <row r="342">
      <c r="A342" s="52"/>
      <c r="B342" s="50"/>
      <c r="C342" s="52"/>
      <c r="D342" s="52"/>
      <c r="E342" s="52"/>
      <c r="F342" s="52"/>
      <c r="G342" s="52"/>
      <c r="H342" s="53"/>
      <c r="I342" s="53"/>
      <c r="J342" s="52"/>
      <c r="K342" s="52"/>
      <c r="L342" s="52"/>
      <c r="M342" s="52"/>
      <c r="N342" s="52"/>
      <c r="O342" s="52"/>
      <c r="P342" s="9"/>
      <c r="Q342" s="9"/>
      <c r="R342" s="9"/>
      <c r="S342" s="50"/>
      <c r="T342" s="50"/>
      <c r="U342" s="9"/>
      <c r="V342" s="9"/>
      <c r="W342" s="9"/>
      <c r="X342" s="9"/>
      <c r="Y342" s="9"/>
      <c r="Z342" s="9"/>
      <c r="AA342" s="9"/>
    </row>
    <row r="343">
      <c r="A343" s="52"/>
      <c r="B343" s="50"/>
      <c r="C343" s="52"/>
      <c r="D343" s="52"/>
      <c r="E343" s="52"/>
      <c r="F343" s="52"/>
      <c r="G343" s="52"/>
      <c r="H343" s="53"/>
      <c r="I343" s="53"/>
      <c r="J343" s="52"/>
      <c r="K343" s="52"/>
      <c r="L343" s="52"/>
      <c r="M343" s="52"/>
      <c r="N343" s="52"/>
      <c r="O343" s="52"/>
      <c r="P343" s="9"/>
      <c r="Q343" s="9"/>
      <c r="R343" s="9"/>
      <c r="S343" s="50"/>
      <c r="T343" s="50"/>
      <c r="U343" s="9"/>
      <c r="V343" s="9"/>
      <c r="W343" s="9"/>
      <c r="X343" s="9"/>
      <c r="Y343" s="9"/>
      <c r="Z343" s="9"/>
      <c r="AA343" s="9"/>
    </row>
    <row r="344">
      <c r="A344" s="52"/>
      <c r="B344" s="50"/>
      <c r="C344" s="52"/>
      <c r="D344" s="52"/>
      <c r="E344" s="52"/>
      <c r="F344" s="52"/>
      <c r="G344" s="52"/>
      <c r="H344" s="53"/>
      <c r="I344" s="53"/>
      <c r="J344" s="52"/>
      <c r="K344" s="52"/>
      <c r="L344" s="52"/>
      <c r="M344" s="52"/>
      <c r="N344" s="52"/>
      <c r="O344" s="52"/>
      <c r="P344" s="9"/>
      <c r="Q344" s="9"/>
      <c r="R344" s="9"/>
      <c r="S344" s="50"/>
      <c r="T344" s="50"/>
      <c r="U344" s="9"/>
      <c r="V344" s="9"/>
      <c r="W344" s="9"/>
      <c r="X344" s="9"/>
      <c r="Y344" s="9"/>
      <c r="Z344" s="9"/>
      <c r="AA344" s="9"/>
    </row>
    <row r="345">
      <c r="A345" s="52"/>
      <c r="B345" s="50"/>
      <c r="C345" s="52"/>
      <c r="D345" s="52"/>
      <c r="E345" s="52"/>
      <c r="F345" s="52"/>
      <c r="G345" s="52"/>
      <c r="H345" s="53"/>
      <c r="I345" s="53"/>
      <c r="J345" s="52"/>
      <c r="K345" s="52"/>
      <c r="L345" s="52"/>
      <c r="M345" s="52"/>
      <c r="N345" s="52"/>
      <c r="O345" s="52"/>
      <c r="P345" s="9"/>
      <c r="Q345" s="9"/>
      <c r="R345" s="9"/>
      <c r="S345" s="50"/>
      <c r="T345" s="50"/>
      <c r="U345" s="9"/>
      <c r="V345" s="9"/>
      <c r="W345" s="9"/>
      <c r="X345" s="9"/>
      <c r="Y345" s="9"/>
      <c r="Z345" s="9"/>
      <c r="AA345" s="9"/>
    </row>
    <row r="346">
      <c r="A346" s="52"/>
      <c r="B346" s="50"/>
      <c r="C346" s="52"/>
      <c r="D346" s="52"/>
      <c r="E346" s="52"/>
      <c r="F346" s="52"/>
      <c r="G346" s="52"/>
      <c r="H346" s="53"/>
      <c r="I346" s="53"/>
      <c r="J346" s="52"/>
      <c r="K346" s="52"/>
      <c r="L346" s="52"/>
      <c r="M346" s="52"/>
      <c r="N346" s="52"/>
      <c r="O346" s="52"/>
      <c r="P346" s="9"/>
      <c r="Q346" s="9"/>
      <c r="R346" s="9"/>
      <c r="S346" s="50"/>
      <c r="T346" s="50"/>
      <c r="U346" s="9"/>
      <c r="V346" s="9"/>
      <c r="W346" s="9"/>
      <c r="X346" s="9"/>
      <c r="Y346" s="9"/>
      <c r="Z346" s="9"/>
      <c r="AA346" s="9"/>
    </row>
    <row r="347">
      <c r="A347" s="52"/>
      <c r="B347" s="50"/>
      <c r="C347" s="52"/>
      <c r="D347" s="52"/>
      <c r="E347" s="52"/>
      <c r="F347" s="52"/>
      <c r="G347" s="52"/>
      <c r="H347" s="53"/>
      <c r="I347" s="53"/>
      <c r="J347" s="52"/>
      <c r="K347" s="52"/>
      <c r="L347" s="52"/>
      <c r="M347" s="52"/>
      <c r="N347" s="52"/>
      <c r="O347" s="52"/>
      <c r="P347" s="9"/>
      <c r="Q347" s="9"/>
      <c r="R347" s="9"/>
      <c r="S347" s="50"/>
      <c r="T347" s="50"/>
      <c r="U347" s="9"/>
      <c r="V347" s="9"/>
      <c r="W347" s="9"/>
      <c r="X347" s="9"/>
      <c r="Y347" s="9"/>
      <c r="Z347" s="9"/>
      <c r="AA347" s="9"/>
    </row>
    <row r="348">
      <c r="A348" s="52"/>
      <c r="B348" s="50"/>
      <c r="C348" s="52"/>
      <c r="D348" s="52"/>
      <c r="E348" s="52"/>
      <c r="F348" s="52"/>
      <c r="G348" s="52"/>
      <c r="H348" s="53"/>
      <c r="I348" s="53"/>
      <c r="J348" s="52"/>
      <c r="K348" s="52"/>
      <c r="L348" s="52"/>
      <c r="M348" s="52"/>
      <c r="N348" s="52"/>
      <c r="O348" s="52"/>
      <c r="P348" s="9"/>
      <c r="Q348" s="9"/>
      <c r="R348" s="9"/>
      <c r="S348" s="50"/>
      <c r="T348" s="50"/>
      <c r="U348" s="9"/>
      <c r="V348" s="9"/>
      <c r="W348" s="9"/>
      <c r="X348" s="9"/>
      <c r="Y348" s="9"/>
      <c r="Z348" s="9"/>
      <c r="AA348" s="9"/>
    </row>
    <row r="349">
      <c r="A349" s="52"/>
      <c r="B349" s="50"/>
      <c r="C349" s="52"/>
      <c r="D349" s="52"/>
      <c r="E349" s="52"/>
      <c r="F349" s="52"/>
      <c r="G349" s="52"/>
      <c r="H349" s="53"/>
      <c r="I349" s="53"/>
      <c r="J349" s="52"/>
      <c r="K349" s="52"/>
      <c r="L349" s="52"/>
      <c r="M349" s="52"/>
      <c r="N349" s="52"/>
      <c r="O349" s="52"/>
      <c r="P349" s="9"/>
      <c r="Q349" s="9"/>
      <c r="R349" s="9"/>
      <c r="S349" s="50"/>
      <c r="T349" s="50"/>
      <c r="U349" s="9"/>
      <c r="V349" s="9"/>
      <c r="W349" s="9"/>
      <c r="X349" s="9"/>
      <c r="Y349" s="9"/>
      <c r="Z349" s="9"/>
      <c r="AA349" s="9"/>
    </row>
    <row r="350">
      <c r="A350" s="52"/>
      <c r="B350" s="50"/>
      <c r="C350" s="52"/>
      <c r="D350" s="52"/>
      <c r="E350" s="52"/>
      <c r="F350" s="52"/>
      <c r="G350" s="52"/>
      <c r="H350" s="53"/>
      <c r="I350" s="53"/>
      <c r="J350" s="52"/>
      <c r="K350" s="52"/>
      <c r="L350" s="52"/>
      <c r="M350" s="52"/>
      <c r="N350" s="52"/>
      <c r="O350" s="52"/>
      <c r="P350" s="9"/>
      <c r="Q350" s="9"/>
      <c r="R350" s="9"/>
      <c r="S350" s="50"/>
      <c r="T350" s="50"/>
      <c r="U350" s="9"/>
      <c r="V350" s="9"/>
      <c r="W350" s="9"/>
      <c r="X350" s="9"/>
      <c r="Y350" s="9"/>
      <c r="Z350" s="9"/>
      <c r="AA350" s="9"/>
    </row>
    <row r="351">
      <c r="A351" s="52"/>
      <c r="B351" s="50"/>
      <c r="C351" s="52"/>
      <c r="D351" s="52"/>
      <c r="E351" s="52"/>
      <c r="F351" s="52"/>
      <c r="G351" s="52"/>
      <c r="H351" s="53"/>
      <c r="I351" s="53"/>
      <c r="J351" s="52"/>
      <c r="K351" s="52"/>
      <c r="L351" s="52"/>
      <c r="M351" s="52"/>
      <c r="N351" s="52"/>
      <c r="O351" s="52"/>
      <c r="P351" s="9"/>
      <c r="Q351" s="9"/>
      <c r="R351" s="9"/>
      <c r="S351" s="50"/>
      <c r="T351" s="50"/>
      <c r="U351" s="9"/>
      <c r="V351" s="9"/>
      <c r="W351" s="9"/>
      <c r="X351" s="9"/>
      <c r="Y351" s="9"/>
      <c r="Z351" s="9"/>
      <c r="AA351" s="9"/>
    </row>
    <row r="352">
      <c r="A352" s="52"/>
      <c r="B352" s="50"/>
      <c r="C352" s="52"/>
      <c r="D352" s="52"/>
      <c r="E352" s="52"/>
      <c r="F352" s="52"/>
      <c r="G352" s="52"/>
      <c r="H352" s="53"/>
      <c r="I352" s="53"/>
      <c r="J352" s="52"/>
      <c r="K352" s="52"/>
      <c r="L352" s="52"/>
      <c r="M352" s="52"/>
      <c r="N352" s="52"/>
      <c r="O352" s="52"/>
      <c r="P352" s="9"/>
      <c r="Q352" s="9"/>
      <c r="R352" s="9"/>
      <c r="S352" s="50"/>
      <c r="T352" s="50"/>
      <c r="U352" s="9"/>
      <c r="V352" s="9"/>
      <c r="W352" s="9"/>
      <c r="X352" s="9"/>
      <c r="Y352" s="9"/>
      <c r="Z352" s="9"/>
      <c r="AA352" s="9"/>
    </row>
    <row r="353">
      <c r="A353" s="52"/>
      <c r="B353" s="50"/>
      <c r="C353" s="52"/>
      <c r="D353" s="52"/>
      <c r="E353" s="52"/>
      <c r="F353" s="52"/>
      <c r="G353" s="52"/>
      <c r="H353" s="53"/>
      <c r="I353" s="53"/>
      <c r="J353" s="52"/>
      <c r="K353" s="52"/>
      <c r="L353" s="52"/>
      <c r="M353" s="52"/>
      <c r="N353" s="52"/>
      <c r="O353" s="52"/>
      <c r="P353" s="9"/>
      <c r="Q353" s="9"/>
      <c r="R353" s="9"/>
      <c r="S353" s="50"/>
      <c r="T353" s="50"/>
      <c r="U353" s="9"/>
      <c r="V353" s="9"/>
      <c r="W353" s="9"/>
      <c r="X353" s="9"/>
      <c r="Y353" s="9"/>
      <c r="Z353" s="9"/>
      <c r="AA353" s="9"/>
    </row>
    <row r="354">
      <c r="A354" s="52"/>
      <c r="B354" s="50"/>
      <c r="C354" s="52"/>
      <c r="D354" s="52"/>
      <c r="E354" s="52"/>
      <c r="F354" s="52"/>
      <c r="G354" s="52"/>
      <c r="H354" s="53"/>
      <c r="I354" s="53"/>
      <c r="J354" s="52"/>
      <c r="K354" s="52"/>
      <c r="L354" s="52"/>
      <c r="M354" s="52"/>
      <c r="N354" s="52"/>
      <c r="O354" s="52"/>
      <c r="P354" s="9"/>
      <c r="Q354" s="9"/>
      <c r="R354" s="9"/>
      <c r="S354" s="50"/>
      <c r="T354" s="50"/>
      <c r="U354" s="9"/>
      <c r="V354" s="9"/>
      <c r="W354" s="9"/>
      <c r="X354" s="9"/>
      <c r="Y354" s="9"/>
      <c r="Z354" s="9"/>
      <c r="AA354" s="9"/>
    </row>
    <row r="355">
      <c r="A355" s="52"/>
      <c r="B355" s="50"/>
      <c r="C355" s="52"/>
      <c r="D355" s="52"/>
      <c r="E355" s="52"/>
      <c r="F355" s="52"/>
      <c r="G355" s="52"/>
      <c r="H355" s="53"/>
      <c r="I355" s="53"/>
      <c r="J355" s="52"/>
      <c r="K355" s="52"/>
      <c r="L355" s="52"/>
      <c r="M355" s="52"/>
      <c r="N355" s="52"/>
      <c r="O355" s="52"/>
      <c r="P355" s="9"/>
      <c r="Q355" s="9"/>
      <c r="R355" s="9"/>
      <c r="S355" s="50"/>
      <c r="T355" s="50"/>
      <c r="U355" s="9"/>
      <c r="V355" s="9"/>
      <c r="W355" s="9"/>
      <c r="X355" s="9"/>
      <c r="Y355" s="9"/>
      <c r="Z355" s="9"/>
      <c r="AA355" s="9"/>
    </row>
    <row r="356">
      <c r="A356" s="52"/>
      <c r="B356" s="50"/>
      <c r="C356" s="52"/>
      <c r="D356" s="52"/>
      <c r="E356" s="52"/>
      <c r="F356" s="52"/>
      <c r="G356" s="52"/>
      <c r="H356" s="53"/>
      <c r="I356" s="53"/>
      <c r="J356" s="52"/>
      <c r="K356" s="52"/>
      <c r="L356" s="52"/>
      <c r="M356" s="52"/>
      <c r="N356" s="52"/>
      <c r="O356" s="52"/>
      <c r="P356" s="9"/>
      <c r="Q356" s="9"/>
      <c r="R356" s="9"/>
      <c r="S356" s="50"/>
      <c r="T356" s="50"/>
      <c r="U356" s="9"/>
      <c r="V356" s="9"/>
      <c r="W356" s="9"/>
      <c r="X356" s="9"/>
      <c r="Y356" s="9"/>
      <c r="Z356" s="9"/>
      <c r="AA356" s="9"/>
    </row>
    <row r="357">
      <c r="A357" s="52"/>
      <c r="B357" s="50"/>
      <c r="C357" s="52"/>
      <c r="D357" s="52"/>
      <c r="E357" s="52"/>
      <c r="F357" s="52"/>
      <c r="G357" s="52"/>
      <c r="H357" s="53"/>
      <c r="I357" s="53"/>
      <c r="J357" s="52"/>
      <c r="K357" s="52"/>
      <c r="L357" s="52"/>
      <c r="M357" s="52"/>
      <c r="N357" s="52"/>
      <c r="O357" s="52"/>
      <c r="P357" s="9"/>
      <c r="Q357" s="9"/>
      <c r="R357" s="9"/>
      <c r="S357" s="50"/>
      <c r="T357" s="50"/>
      <c r="U357" s="9"/>
      <c r="V357" s="9"/>
      <c r="W357" s="9"/>
      <c r="X357" s="9"/>
      <c r="Y357" s="9"/>
      <c r="Z357" s="9"/>
      <c r="AA357" s="9"/>
    </row>
    <row r="358">
      <c r="A358" s="52"/>
      <c r="B358" s="50"/>
      <c r="C358" s="52"/>
      <c r="D358" s="52"/>
      <c r="E358" s="52"/>
      <c r="F358" s="52"/>
      <c r="G358" s="52"/>
      <c r="H358" s="53"/>
      <c r="I358" s="53"/>
      <c r="J358" s="52"/>
      <c r="K358" s="52"/>
      <c r="L358" s="52"/>
      <c r="M358" s="52"/>
      <c r="N358" s="52"/>
      <c r="O358" s="52"/>
      <c r="P358" s="9"/>
      <c r="Q358" s="9"/>
      <c r="R358" s="9"/>
      <c r="S358" s="50"/>
      <c r="T358" s="50"/>
      <c r="U358" s="9"/>
      <c r="V358" s="9"/>
      <c r="W358" s="9"/>
      <c r="X358" s="9"/>
      <c r="Y358" s="9"/>
      <c r="Z358" s="9"/>
      <c r="AA358" s="9"/>
    </row>
    <row r="359">
      <c r="A359" s="52"/>
      <c r="B359" s="50"/>
      <c r="C359" s="52"/>
      <c r="D359" s="52"/>
      <c r="E359" s="52"/>
      <c r="F359" s="52"/>
      <c r="G359" s="52"/>
      <c r="H359" s="53"/>
      <c r="I359" s="53"/>
      <c r="J359" s="52"/>
      <c r="K359" s="52"/>
      <c r="L359" s="52"/>
      <c r="M359" s="52"/>
      <c r="N359" s="52"/>
      <c r="O359" s="52"/>
      <c r="P359" s="9"/>
      <c r="Q359" s="9"/>
      <c r="R359" s="9"/>
      <c r="S359" s="50"/>
      <c r="T359" s="50"/>
      <c r="U359" s="9"/>
      <c r="V359" s="9"/>
      <c r="W359" s="9"/>
      <c r="X359" s="9"/>
      <c r="Y359" s="9"/>
      <c r="Z359" s="9"/>
      <c r="AA359" s="9"/>
    </row>
    <row r="360">
      <c r="A360" s="52"/>
      <c r="B360" s="50"/>
      <c r="C360" s="52"/>
      <c r="D360" s="52"/>
      <c r="E360" s="52"/>
      <c r="F360" s="52"/>
      <c r="G360" s="52"/>
      <c r="H360" s="53"/>
      <c r="I360" s="53"/>
      <c r="J360" s="52"/>
      <c r="K360" s="52"/>
      <c r="L360" s="52"/>
      <c r="M360" s="52"/>
      <c r="N360" s="52"/>
      <c r="O360" s="52"/>
      <c r="P360" s="9"/>
      <c r="Q360" s="9"/>
      <c r="R360" s="9"/>
      <c r="S360" s="50"/>
      <c r="T360" s="50"/>
      <c r="U360" s="9"/>
      <c r="V360" s="9"/>
      <c r="W360" s="9"/>
      <c r="X360" s="9"/>
      <c r="Y360" s="9"/>
      <c r="Z360" s="9"/>
      <c r="AA360" s="9"/>
    </row>
    <row r="361">
      <c r="A361" s="52"/>
      <c r="B361" s="50"/>
      <c r="C361" s="52"/>
      <c r="D361" s="52"/>
      <c r="E361" s="52"/>
      <c r="F361" s="52"/>
      <c r="G361" s="52"/>
      <c r="H361" s="53"/>
      <c r="I361" s="53"/>
      <c r="J361" s="52"/>
      <c r="K361" s="52"/>
      <c r="L361" s="52"/>
      <c r="M361" s="52"/>
      <c r="N361" s="52"/>
      <c r="O361" s="52"/>
      <c r="P361" s="9"/>
      <c r="Q361" s="9"/>
      <c r="R361" s="9"/>
      <c r="S361" s="50"/>
      <c r="T361" s="50"/>
      <c r="U361" s="9"/>
      <c r="V361" s="9"/>
      <c r="W361" s="9"/>
      <c r="X361" s="9"/>
      <c r="Y361" s="9"/>
      <c r="Z361" s="9"/>
      <c r="AA361" s="9"/>
    </row>
    <row r="362">
      <c r="A362" s="52"/>
      <c r="B362" s="50"/>
      <c r="C362" s="52"/>
      <c r="D362" s="52"/>
      <c r="E362" s="52"/>
      <c r="F362" s="52"/>
      <c r="G362" s="52"/>
      <c r="H362" s="53"/>
      <c r="I362" s="53"/>
      <c r="J362" s="52"/>
      <c r="K362" s="52"/>
      <c r="L362" s="52"/>
      <c r="M362" s="52"/>
      <c r="N362" s="52"/>
      <c r="O362" s="52"/>
      <c r="P362" s="9"/>
      <c r="Q362" s="9"/>
      <c r="R362" s="9"/>
      <c r="S362" s="50"/>
      <c r="T362" s="50"/>
      <c r="U362" s="9"/>
      <c r="V362" s="9"/>
      <c r="W362" s="9"/>
      <c r="X362" s="9"/>
      <c r="Y362" s="9"/>
      <c r="Z362" s="9"/>
      <c r="AA362" s="9"/>
    </row>
    <row r="363">
      <c r="A363" s="52"/>
      <c r="B363" s="50"/>
      <c r="C363" s="52"/>
      <c r="D363" s="52"/>
      <c r="E363" s="52"/>
      <c r="F363" s="52"/>
      <c r="G363" s="52"/>
      <c r="H363" s="53"/>
      <c r="I363" s="53"/>
      <c r="J363" s="52"/>
      <c r="K363" s="52"/>
      <c r="L363" s="52"/>
      <c r="M363" s="52"/>
      <c r="N363" s="52"/>
      <c r="O363" s="52"/>
      <c r="P363" s="9"/>
      <c r="Q363" s="9"/>
      <c r="R363" s="9"/>
      <c r="S363" s="50"/>
      <c r="T363" s="50"/>
      <c r="U363" s="9"/>
      <c r="V363" s="9"/>
      <c r="W363" s="9"/>
      <c r="X363" s="9"/>
      <c r="Y363" s="9"/>
      <c r="Z363" s="9"/>
      <c r="AA363" s="9"/>
    </row>
    <row r="364">
      <c r="A364" s="52"/>
      <c r="B364" s="50"/>
      <c r="C364" s="52"/>
      <c r="D364" s="52"/>
      <c r="E364" s="52"/>
      <c r="F364" s="52"/>
      <c r="G364" s="52"/>
      <c r="H364" s="53"/>
      <c r="I364" s="53"/>
      <c r="J364" s="52"/>
      <c r="K364" s="52"/>
      <c r="L364" s="52"/>
      <c r="M364" s="52"/>
      <c r="N364" s="52"/>
      <c r="O364" s="52"/>
      <c r="P364" s="9"/>
      <c r="Q364" s="9"/>
      <c r="R364" s="9"/>
      <c r="S364" s="50"/>
      <c r="T364" s="50"/>
      <c r="U364" s="9"/>
      <c r="V364" s="9"/>
      <c r="W364" s="9"/>
      <c r="X364" s="9"/>
      <c r="Y364" s="9"/>
      <c r="Z364" s="9"/>
      <c r="AA364" s="9"/>
    </row>
    <row r="365">
      <c r="A365" s="52"/>
      <c r="B365" s="50"/>
      <c r="C365" s="52"/>
      <c r="D365" s="52"/>
      <c r="E365" s="52"/>
      <c r="F365" s="52"/>
      <c r="G365" s="52"/>
      <c r="H365" s="53"/>
      <c r="I365" s="53"/>
      <c r="J365" s="52"/>
      <c r="K365" s="52"/>
      <c r="L365" s="52"/>
      <c r="M365" s="52"/>
      <c r="N365" s="52"/>
      <c r="O365" s="52"/>
      <c r="P365" s="9"/>
      <c r="Q365" s="9"/>
      <c r="R365" s="9"/>
      <c r="S365" s="50"/>
      <c r="T365" s="50"/>
      <c r="U365" s="9"/>
      <c r="V365" s="9"/>
      <c r="W365" s="9"/>
      <c r="X365" s="9"/>
      <c r="Y365" s="9"/>
      <c r="Z365" s="9"/>
      <c r="AA365" s="9"/>
    </row>
    <row r="366">
      <c r="A366" s="52"/>
      <c r="B366" s="50"/>
      <c r="C366" s="52"/>
      <c r="D366" s="52"/>
      <c r="E366" s="52"/>
      <c r="F366" s="52"/>
      <c r="G366" s="52"/>
      <c r="H366" s="53"/>
      <c r="I366" s="53"/>
      <c r="J366" s="52"/>
      <c r="K366" s="52"/>
      <c r="L366" s="52"/>
      <c r="M366" s="52"/>
      <c r="N366" s="52"/>
      <c r="O366" s="52"/>
      <c r="P366" s="9"/>
      <c r="Q366" s="9"/>
      <c r="R366" s="9"/>
      <c r="S366" s="50"/>
      <c r="T366" s="50"/>
      <c r="U366" s="9"/>
      <c r="V366" s="9"/>
      <c r="W366" s="9"/>
      <c r="X366" s="9"/>
      <c r="Y366" s="9"/>
      <c r="Z366" s="9"/>
      <c r="AA366" s="9"/>
    </row>
    <row r="367">
      <c r="A367" s="52"/>
      <c r="B367" s="50"/>
      <c r="C367" s="52"/>
      <c r="D367" s="52"/>
      <c r="E367" s="52"/>
      <c r="F367" s="52"/>
      <c r="G367" s="52"/>
      <c r="H367" s="53"/>
      <c r="I367" s="53"/>
      <c r="J367" s="52"/>
      <c r="K367" s="52"/>
      <c r="L367" s="52"/>
      <c r="M367" s="52"/>
      <c r="N367" s="52"/>
      <c r="O367" s="52"/>
      <c r="P367" s="9"/>
      <c r="Q367" s="9"/>
      <c r="R367" s="9"/>
      <c r="S367" s="50"/>
      <c r="T367" s="50"/>
      <c r="U367" s="9"/>
      <c r="V367" s="9"/>
      <c r="W367" s="9"/>
      <c r="X367" s="9"/>
      <c r="Y367" s="9"/>
      <c r="Z367" s="9"/>
      <c r="AA367" s="9"/>
    </row>
    <row r="368">
      <c r="A368" s="52"/>
      <c r="B368" s="50"/>
      <c r="C368" s="52"/>
      <c r="D368" s="52"/>
      <c r="E368" s="52"/>
      <c r="F368" s="52"/>
      <c r="G368" s="52"/>
      <c r="H368" s="53"/>
      <c r="I368" s="53"/>
      <c r="J368" s="52"/>
      <c r="K368" s="52"/>
      <c r="L368" s="52"/>
      <c r="M368" s="52"/>
      <c r="N368" s="52"/>
      <c r="O368" s="52"/>
      <c r="P368" s="9"/>
      <c r="Q368" s="9"/>
      <c r="R368" s="9"/>
      <c r="S368" s="50"/>
      <c r="T368" s="50"/>
      <c r="U368" s="9"/>
      <c r="V368" s="9"/>
      <c r="W368" s="9"/>
      <c r="X368" s="9"/>
      <c r="Y368" s="9"/>
      <c r="Z368" s="9"/>
      <c r="AA368" s="9"/>
    </row>
    <row r="369">
      <c r="A369" s="52"/>
      <c r="B369" s="50"/>
      <c r="C369" s="52"/>
      <c r="D369" s="52"/>
      <c r="E369" s="52"/>
      <c r="F369" s="52"/>
      <c r="G369" s="52"/>
      <c r="H369" s="53"/>
      <c r="I369" s="53"/>
      <c r="J369" s="52"/>
      <c r="K369" s="52"/>
      <c r="L369" s="52"/>
      <c r="M369" s="52"/>
      <c r="N369" s="52"/>
      <c r="O369" s="52"/>
      <c r="P369" s="9"/>
      <c r="Q369" s="9"/>
      <c r="R369" s="9"/>
      <c r="S369" s="50"/>
      <c r="T369" s="50"/>
      <c r="U369" s="9"/>
      <c r="V369" s="9"/>
      <c r="W369" s="9"/>
      <c r="X369" s="9"/>
      <c r="Y369" s="9"/>
      <c r="Z369" s="9"/>
      <c r="AA369" s="9"/>
    </row>
    <row r="370">
      <c r="A370" s="52"/>
      <c r="B370" s="50"/>
      <c r="C370" s="52"/>
      <c r="D370" s="52"/>
      <c r="E370" s="52"/>
      <c r="F370" s="52"/>
      <c r="G370" s="52"/>
      <c r="H370" s="53"/>
      <c r="I370" s="53"/>
      <c r="J370" s="52"/>
      <c r="K370" s="52"/>
      <c r="L370" s="52"/>
      <c r="M370" s="52"/>
      <c r="N370" s="52"/>
      <c r="O370" s="52"/>
      <c r="P370" s="9"/>
      <c r="Q370" s="9"/>
      <c r="R370" s="9"/>
      <c r="S370" s="50"/>
      <c r="T370" s="50"/>
      <c r="U370" s="9"/>
      <c r="V370" s="9"/>
      <c r="W370" s="9"/>
      <c r="X370" s="9"/>
      <c r="Y370" s="9"/>
      <c r="Z370" s="9"/>
      <c r="AA370" s="9"/>
    </row>
    <row r="371">
      <c r="A371" s="52"/>
      <c r="B371" s="50"/>
      <c r="C371" s="52"/>
      <c r="D371" s="52"/>
      <c r="E371" s="52"/>
      <c r="F371" s="52"/>
      <c r="G371" s="52"/>
      <c r="H371" s="53"/>
      <c r="I371" s="53"/>
      <c r="J371" s="52"/>
      <c r="K371" s="52"/>
      <c r="L371" s="52"/>
      <c r="M371" s="52"/>
      <c r="N371" s="52"/>
      <c r="O371" s="52"/>
      <c r="P371" s="9"/>
      <c r="Q371" s="9"/>
      <c r="R371" s="9"/>
      <c r="S371" s="50"/>
      <c r="T371" s="50"/>
      <c r="U371" s="9"/>
      <c r="V371" s="9"/>
      <c r="W371" s="9"/>
      <c r="X371" s="9"/>
      <c r="Y371" s="9"/>
      <c r="Z371" s="9"/>
      <c r="AA371" s="9"/>
    </row>
    <row r="372">
      <c r="A372" s="52"/>
      <c r="B372" s="50"/>
      <c r="C372" s="52"/>
      <c r="D372" s="52"/>
      <c r="E372" s="52"/>
      <c r="F372" s="52"/>
      <c r="G372" s="52"/>
      <c r="H372" s="53"/>
      <c r="I372" s="53"/>
      <c r="J372" s="52"/>
      <c r="K372" s="52"/>
      <c r="L372" s="52"/>
      <c r="M372" s="52"/>
      <c r="N372" s="52"/>
      <c r="O372" s="52"/>
      <c r="P372" s="9"/>
      <c r="Q372" s="9"/>
      <c r="R372" s="9"/>
      <c r="S372" s="50"/>
      <c r="T372" s="50"/>
      <c r="U372" s="9"/>
      <c r="V372" s="9"/>
      <c r="W372" s="9"/>
      <c r="X372" s="9"/>
      <c r="Y372" s="9"/>
      <c r="Z372" s="9"/>
      <c r="AA372" s="9"/>
    </row>
    <row r="373">
      <c r="A373" s="52"/>
      <c r="B373" s="50"/>
      <c r="C373" s="52"/>
      <c r="D373" s="52"/>
      <c r="E373" s="52"/>
      <c r="F373" s="52"/>
      <c r="G373" s="52"/>
      <c r="H373" s="53"/>
      <c r="I373" s="53"/>
      <c r="J373" s="52"/>
      <c r="K373" s="52"/>
      <c r="L373" s="52"/>
      <c r="M373" s="52"/>
      <c r="N373" s="52"/>
      <c r="O373" s="52"/>
      <c r="P373" s="9"/>
      <c r="Q373" s="9"/>
      <c r="R373" s="9"/>
      <c r="S373" s="50"/>
      <c r="T373" s="50"/>
      <c r="U373" s="9"/>
      <c r="V373" s="9"/>
      <c r="W373" s="9"/>
      <c r="X373" s="9"/>
      <c r="Y373" s="9"/>
      <c r="Z373" s="9"/>
      <c r="AA373" s="9"/>
    </row>
    <row r="374">
      <c r="A374" s="52"/>
      <c r="B374" s="50"/>
      <c r="C374" s="52"/>
      <c r="D374" s="52"/>
      <c r="E374" s="52"/>
      <c r="F374" s="52"/>
      <c r="G374" s="52"/>
      <c r="H374" s="53"/>
      <c r="I374" s="53"/>
      <c r="J374" s="52"/>
      <c r="K374" s="52"/>
      <c r="L374" s="52"/>
      <c r="M374" s="52"/>
      <c r="N374" s="52"/>
      <c r="O374" s="52"/>
      <c r="P374" s="9"/>
      <c r="Q374" s="9"/>
      <c r="R374" s="9"/>
      <c r="S374" s="50"/>
      <c r="T374" s="50"/>
      <c r="U374" s="9"/>
      <c r="V374" s="9"/>
      <c r="W374" s="9"/>
      <c r="X374" s="9"/>
      <c r="Y374" s="9"/>
      <c r="Z374" s="9"/>
      <c r="AA374" s="9"/>
    </row>
    <row r="375">
      <c r="A375" s="52"/>
      <c r="B375" s="50"/>
      <c r="C375" s="52"/>
      <c r="D375" s="52"/>
      <c r="E375" s="52"/>
      <c r="F375" s="52"/>
      <c r="G375" s="52"/>
      <c r="H375" s="53"/>
      <c r="I375" s="53"/>
      <c r="J375" s="52"/>
      <c r="K375" s="52"/>
      <c r="L375" s="52"/>
      <c r="M375" s="52"/>
      <c r="N375" s="52"/>
      <c r="O375" s="52"/>
      <c r="P375" s="9"/>
      <c r="Q375" s="9"/>
      <c r="R375" s="9"/>
      <c r="S375" s="50"/>
      <c r="T375" s="50"/>
      <c r="U375" s="9"/>
      <c r="V375" s="9"/>
      <c r="W375" s="9"/>
      <c r="X375" s="9"/>
      <c r="Y375" s="9"/>
      <c r="Z375" s="9"/>
      <c r="AA375" s="9"/>
    </row>
    <row r="376">
      <c r="A376" s="52"/>
      <c r="B376" s="50"/>
      <c r="C376" s="52"/>
      <c r="D376" s="52"/>
      <c r="E376" s="52"/>
      <c r="F376" s="52"/>
      <c r="G376" s="52"/>
      <c r="H376" s="53"/>
      <c r="I376" s="53"/>
      <c r="J376" s="52"/>
      <c r="K376" s="52"/>
      <c r="L376" s="52"/>
      <c r="M376" s="52"/>
      <c r="N376" s="52"/>
      <c r="O376" s="52"/>
      <c r="P376" s="9"/>
      <c r="Q376" s="9"/>
      <c r="R376" s="9"/>
      <c r="S376" s="50"/>
      <c r="T376" s="50"/>
      <c r="U376" s="9"/>
      <c r="V376" s="9"/>
      <c r="W376" s="9"/>
      <c r="X376" s="9"/>
      <c r="Y376" s="9"/>
      <c r="Z376" s="9"/>
      <c r="AA376" s="9"/>
    </row>
    <row r="377">
      <c r="A377" s="52"/>
      <c r="B377" s="50"/>
      <c r="C377" s="52"/>
      <c r="D377" s="52"/>
      <c r="E377" s="52"/>
      <c r="F377" s="52"/>
      <c r="G377" s="52"/>
      <c r="H377" s="53"/>
      <c r="I377" s="53"/>
      <c r="J377" s="52"/>
      <c r="K377" s="52"/>
      <c r="L377" s="52"/>
      <c r="M377" s="52"/>
      <c r="N377" s="52"/>
      <c r="O377" s="52"/>
      <c r="P377" s="9"/>
      <c r="Q377" s="9"/>
      <c r="R377" s="9"/>
      <c r="S377" s="50"/>
      <c r="T377" s="50"/>
      <c r="U377" s="9"/>
      <c r="V377" s="9"/>
      <c r="W377" s="9"/>
      <c r="X377" s="9"/>
      <c r="Y377" s="9"/>
      <c r="Z377" s="9"/>
      <c r="AA377" s="9"/>
    </row>
    <row r="378">
      <c r="A378" s="52"/>
      <c r="B378" s="50"/>
      <c r="C378" s="52"/>
      <c r="D378" s="52"/>
      <c r="E378" s="52"/>
      <c r="F378" s="52"/>
      <c r="G378" s="52"/>
      <c r="H378" s="53"/>
      <c r="I378" s="53"/>
      <c r="J378" s="52"/>
      <c r="K378" s="52"/>
      <c r="L378" s="52"/>
      <c r="M378" s="52"/>
      <c r="N378" s="52"/>
      <c r="O378" s="52"/>
      <c r="P378" s="9"/>
      <c r="Q378" s="9"/>
      <c r="R378" s="9"/>
      <c r="S378" s="50"/>
      <c r="T378" s="50"/>
      <c r="U378" s="9"/>
      <c r="V378" s="9"/>
      <c r="W378" s="9"/>
      <c r="X378" s="9"/>
      <c r="Y378" s="9"/>
      <c r="Z378" s="9"/>
      <c r="AA378" s="9"/>
    </row>
    <row r="379">
      <c r="A379" s="52"/>
      <c r="B379" s="50"/>
      <c r="C379" s="52"/>
      <c r="D379" s="52"/>
      <c r="E379" s="52"/>
      <c r="F379" s="52"/>
      <c r="G379" s="52"/>
      <c r="H379" s="53"/>
      <c r="I379" s="53"/>
      <c r="J379" s="52"/>
      <c r="K379" s="52"/>
      <c r="L379" s="52"/>
      <c r="M379" s="52"/>
      <c r="N379" s="52"/>
      <c r="O379" s="52"/>
      <c r="P379" s="9"/>
      <c r="Q379" s="9"/>
      <c r="R379" s="9"/>
      <c r="S379" s="50"/>
      <c r="T379" s="50"/>
      <c r="U379" s="9"/>
      <c r="V379" s="9"/>
      <c r="W379" s="9"/>
      <c r="X379" s="9"/>
      <c r="Y379" s="9"/>
      <c r="Z379" s="9"/>
      <c r="AA379" s="9"/>
    </row>
    <row r="380">
      <c r="A380" s="52"/>
      <c r="B380" s="50"/>
      <c r="C380" s="52"/>
      <c r="D380" s="52"/>
      <c r="E380" s="52"/>
      <c r="F380" s="52"/>
      <c r="G380" s="52"/>
      <c r="H380" s="53"/>
      <c r="I380" s="53"/>
      <c r="J380" s="52"/>
      <c r="K380" s="52"/>
      <c r="L380" s="52"/>
      <c r="M380" s="52"/>
      <c r="N380" s="52"/>
      <c r="O380" s="52"/>
      <c r="P380" s="9"/>
      <c r="Q380" s="9"/>
      <c r="R380" s="9"/>
      <c r="S380" s="50"/>
      <c r="T380" s="50"/>
      <c r="U380" s="9"/>
      <c r="V380" s="9"/>
      <c r="W380" s="9"/>
      <c r="X380" s="9"/>
      <c r="Y380" s="9"/>
      <c r="Z380" s="9"/>
      <c r="AA380" s="9"/>
    </row>
    <row r="381">
      <c r="A381" s="52"/>
      <c r="B381" s="50"/>
      <c r="C381" s="52"/>
      <c r="D381" s="52"/>
      <c r="E381" s="52"/>
      <c r="F381" s="52"/>
      <c r="G381" s="52"/>
      <c r="H381" s="53"/>
      <c r="I381" s="53"/>
      <c r="J381" s="52"/>
      <c r="K381" s="52"/>
      <c r="L381" s="52"/>
      <c r="M381" s="52"/>
      <c r="N381" s="52"/>
      <c r="O381" s="52"/>
      <c r="P381" s="9"/>
      <c r="Q381" s="9"/>
      <c r="R381" s="9"/>
      <c r="S381" s="50"/>
      <c r="T381" s="50"/>
      <c r="U381" s="9"/>
      <c r="V381" s="9"/>
      <c r="W381" s="9"/>
      <c r="X381" s="9"/>
      <c r="Y381" s="9"/>
      <c r="Z381" s="9"/>
      <c r="AA381" s="9"/>
    </row>
    <row r="382">
      <c r="A382" s="52"/>
      <c r="B382" s="50"/>
      <c r="C382" s="52"/>
      <c r="D382" s="52"/>
      <c r="E382" s="52"/>
      <c r="F382" s="52"/>
      <c r="G382" s="52"/>
      <c r="H382" s="53"/>
      <c r="I382" s="53"/>
      <c r="J382" s="52"/>
      <c r="K382" s="52"/>
      <c r="L382" s="52"/>
      <c r="M382" s="52"/>
      <c r="N382" s="52"/>
      <c r="O382" s="52"/>
      <c r="P382" s="9"/>
      <c r="Q382" s="9"/>
      <c r="R382" s="9"/>
      <c r="S382" s="50"/>
      <c r="T382" s="50"/>
      <c r="U382" s="9"/>
      <c r="V382" s="9"/>
      <c r="W382" s="9"/>
      <c r="X382" s="9"/>
      <c r="Y382" s="9"/>
      <c r="Z382" s="9"/>
      <c r="AA382" s="9"/>
    </row>
    <row r="383">
      <c r="A383" s="52"/>
      <c r="B383" s="50"/>
      <c r="C383" s="52"/>
      <c r="D383" s="52"/>
      <c r="E383" s="52"/>
      <c r="F383" s="52"/>
      <c r="G383" s="52"/>
      <c r="H383" s="53"/>
      <c r="I383" s="53"/>
      <c r="J383" s="52"/>
      <c r="K383" s="52"/>
      <c r="L383" s="52"/>
      <c r="M383" s="52"/>
      <c r="N383" s="52"/>
      <c r="O383" s="52"/>
      <c r="P383" s="9"/>
      <c r="Q383" s="9"/>
      <c r="R383" s="9"/>
      <c r="S383" s="50"/>
      <c r="T383" s="50"/>
      <c r="U383" s="9"/>
      <c r="V383" s="9"/>
      <c r="W383" s="9"/>
      <c r="X383" s="9"/>
      <c r="Y383" s="9"/>
      <c r="Z383" s="9"/>
      <c r="AA383" s="9"/>
    </row>
    <row r="384">
      <c r="A384" s="52"/>
      <c r="B384" s="50"/>
      <c r="C384" s="52"/>
      <c r="D384" s="52"/>
      <c r="E384" s="52"/>
      <c r="F384" s="52"/>
      <c r="G384" s="52"/>
      <c r="H384" s="53"/>
      <c r="I384" s="53"/>
      <c r="J384" s="52"/>
      <c r="K384" s="52"/>
      <c r="L384" s="52"/>
      <c r="M384" s="52"/>
      <c r="N384" s="52"/>
      <c r="O384" s="52"/>
      <c r="P384" s="9"/>
      <c r="Q384" s="9"/>
      <c r="R384" s="9"/>
      <c r="S384" s="50"/>
      <c r="T384" s="50"/>
      <c r="U384" s="9"/>
      <c r="V384" s="9"/>
      <c r="W384" s="9"/>
      <c r="X384" s="9"/>
      <c r="Y384" s="9"/>
      <c r="Z384" s="9"/>
      <c r="AA384" s="9"/>
    </row>
    <row r="385">
      <c r="A385" s="52"/>
      <c r="B385" s="50"/>
      <c r="C385" s="52"/>
      <c r="D385" s="52"/>
      <c r="E385" s="52"/>
      <c r="F385" s="52"/>
      <c r="G385" s="52"/>
      <c r="H385" s="53"/>
      <c r="I385" s="53"/>
      <c r="J385" s="52"/>
      <c r="K385" s="52"/>
      <c r="L385" s="52"/>
      <c r="M385" s="52"/>
      <c r="N385" s="52"/>
      <c r="O385" s="52"/>
      <c r="P385" s="9"/>
      <c r="Q385" s="9"/>
      <c r="R385" s="9"/>
      <c r="S385" s="50"/>
      <c r="T385" s="50"/>
      <c r="U385" s="9"/>
      <c r="V385" s="9"/>
      <c r="W385" s="9"/>
      <c r="X385" s="9"/>
      <c r="Y385" s="9"/>
      <c r="Z385" s="9"/>
      <c r="AA385" s="9"/>
    </row>
    <row r="386">
      <c r="A386" s="52"/>
      <c r="B386" s="50"/>
      <c r="C386" s="52"/>
      <c r="D386" s="52"/>
      <c r="E386" s="52"/>
      <c r="F386" s="52"/>
      <c r="G386" s="52"/>
      <c r="H386" s="53"/>
      <c r="I386" s="53"/>
      <c r="J386" s="52"/>
      <c r="K386" s="52"/>
      <c r="L386" s="52"/>
      <c r="M386" s="52"/>
      <c r="N386" s="52"/>
      <c r="O386" s="52"/>
      <c r="P386" s="9"/>
      <c r="Q386" s="9"/>
      <c r="R386" s="9"/>
      <c r="S386" s="50"/>
      <c r="T386" s="50"/>
      <c r="U386" s="9"/>
      <c r="V386" s="9"/>
      <c r="W386" s="9"/>
      <c r="X386" s="9"/>
      <c r="Y386" s="9"/>
      <c r="Z386" s="9"/>
      <c r="AA386" s="9"/>
    </row>
    <row r="387">
      <c r="A387" s="52"/>
      <c r="B387" s="50"/>
      <c r="C387" s="52"/>
      <c r="D387" s="52"/>
      <c r="E387" s="52"/>
      <c r="F387" s="52"/>
      <c r="G387" s="52"/>
      <c r="H387" s="53"/>
      <c r="I387" s="53"/>
      <c r="J387" s="52"/>
      <c r="K387" s="52"/>
      <c r="L387" s="52"/>
      <c r="M387" s="52"/>
      <c r="N387" s="52"/>
      <c r="O387" s="52"/>
      <c r="P387" s="9"/>
      <c r="Q387" s="9"/>
      <c r="R387" s="9"/>
      <c r="S387" s="50"/>
      <c r="T387" s="50"/>
      <c r="U387" s="9"/>
      <c r="V387" s="9"/>
      <c r="W387" s="9"/>
      <c r="X387" s="9"/>
      <c r="Y387" s="9"/>
      <c r="Z387" s="9"/>
      <c r="AA387" s="9"/>
    </row>
    <row r="388">
      <c r="A388" s="52"/>
      <c r="B388" s="50"/>
      <c r="C388" s="52"/>
      <c r="D388" s="52"/>
      <c r="E388" s="52"/>
      <c r="F388" s="52"/>
      <c r="G388" s="52"/>
      <c r="H388" s="53"/>
      <c r="I388" s="53"/>
      <c r="J388" s="52"/>
      <c r="K388" s="52"/>
      <c r="L388" s="52"/>
      <c r="M388" s="52"/>
      <c r="N388" s="52"/>
      <c r="O388" s="52"/>
      <c r="P388" s="9"/>
      <c r="Q388" s="9"/>
      <c r="R388" s="9"/>
      <c r="S388" s="50"/>
      <c r="T388" s="50"/>
      <c r="U388" s="9"/>
      <c r="V388" s="9"/>
      <c r="W388" s="9"/>
      <c r="X388" s="9"/>
      <c r="Y388" s="9"/>
      <c r="Z388" s="9"/>
      <c r="AA388" s="9"/>
    </row>
    <row r="389">
      <c r="A389" s="52"/>
      <c r="B389" s="50"/>
      <c r="C389" s="52"/>
      <c r="D389" s="52"/>
      <c r="E389" s="52"/>
      <c r="F389" s="52"/>
      <c r="G389" s="52"/>
      <c r="H389" s="53"/>
      <c r="I389" s="53"/>
      <c r="J389" s="52"/>
      <c r="K389" s="52"/>
      <c r="L389" s="52"/>
      <c r="M389" s="52"/>
      <c r="N389" s="52"/>
      <c r="O389" s="52"/>
      <c r="P389" s="9"/>
      <c r="Q389" s="9"/>
      <c r="R389" s="9"/>
      <c r="S389" s="50"/>
      <c r="T389" s="50"/>
      <c r="U389" s="9"/>
      <c r="V389" s="9"/>
      <c r="W389" s="9"/>
      <c r="X389" s="9"/>
      <c r="Y389" s="9"/>
      <c r="Z389" s="9"/>
      <c r="AA389" s="9"/>
    </row>
    <row r="390">
      <c r="A390" s="52"/>
      <c r="B390" s="50"/>
      <c r="C390" s="52"/>
      <c r="D390" s="52"/>
      <c r="E390" s="52"/>
      <c r="F390" s="52"/>
      <c r="G390" s="52"/>
      <c r="H390" s="53"/>
      <c r="I390" s="53"/>
      <c r="J390" s="52"/>
      <c r="K390" s="52"/>
      <c r="L390" s="52"/>
      <c r="M390" s="52"/>
      <c r="N390" s="52"/>
      <c r="O390" s="52"/>
      <c r="P390" s="9"/>
      <c r="Q390" s="9"/>
      <c r="R390" s="9"/>
      <c r="S390" s="50"/>
      <c r="T390" s="50"/>
      <c r="U390" s="9"/>
      <c r="V390" s="9"/>
      <c r="W390" s="9"/>
      <c r="X390" s="9"/>
      <c r="Y390" s="9"/>
      <c r="Z390" s="9"/>
      <c r="AA390" s="9"/>
    </row>
    <row r="391">
      <c r="A391" s="52"/>
      <c r="B391" s="50"/>
      <c r="C391" s="52"/>
      <c r="D391" s="52"/>
      <c r="E391" s="52"/>
      <c r="F391" s="52"/>
      <c r="G391" s="52"/>
      <c r="H391" s="53"/>
      <c r="I391" s="53"/>
      <c r="J391" s="52"/>
      <c r="K391" s="52"/>
      <c r="L391" s="52"/>
      <c r="M391" s="52"/>
      <c r="N391" s="52"/>
      <c r="O391" s="52"/>
      <c r="P391" s="9"/>
      <c r="Q391" s="9"/>
      <c r="R391" s="9"/>
      <c r="S391" s="50"/>
      <c r="T391" s="50"/>
      <c r="U391" s="9"/>
      <c r="V391" s="9"/>
      <c r="W391" s="9"/>
      <c r="X391" s="9"/>
      <c r="Y391" s="9"/>
      <c r="Z391" s="9"/>
      <c r="AA391" s="9"/>
    </row>
    <row r="392">
      <c r="A392" s="52"/>
      <c r="B392" s="50"/>
      <c r="C392" s="52"/>
      <c r="D392" s="52"/>
      <c r="E392" s="52"/>
      <c r="F392" s="52"/>
      <c r="G392" s="52"/>
      <c r="H392" s="53"/>
      <c r="I392" s="53"/>
      <c r="J392" s="52"/>
      <c r="K392" s="52"/>
      <c r="L392" s="52"/>
      <c r="M392" s="52"/>
      <c r="N392" s="52"/>
      <c r="O392" s="52"/>
      <c r="P392" s="9"/>
      <c r="Q392" s="9"/>
      <c r="R392" s="9"/>
      <c r="S392" s="50"/>
      <c r="T392" s="50"/>
      <c r="U392" s="9"/>
      <c r="V392" s="9"/>
      <c r="W392" s="9"/>
      <c r="X392" s="9"/>
      <c r="Y392" s="9"/>
      <c r="Z392" s="9"/>
      <c r="AA392" s="9"/>
    </row>
    <row r="393">
      <c r="A393" s="52"/>
      <c r="B393" s="50"/>
      <c r="C393" s="52"/>
      <c r="D393" s="52"/>
      <c r="E393" s="52"/>
      <c r="F393" s="52"/>
      <c r="G393" s="52"/>
      <c r="H393" s="53"/>
      <c r="I393" s="53"/>
      <c r="J393" s="52"/>
      <c r="K393" s="52"/>
      <c r="L393" s="52"/>
      <c r="M393" s="52"/>
      <c r="N393" s="52"/>
      <c r="O393" s="52"/>
      <c r="P393" s="9"/>
      <c r="Q393" s="9"/>
      <c r="R393" s="9"/>
      <c r="S393" s="50"/>
      <c r="T393" s="50"/>
      <c r="U393" s="9"/>
      <c r="V393" s="9"/>
      <c r="W393" s="9"/>
      <c r="X393" s="9"/>
      <c r="Y393" s="9"/>
      <c r="Z393" s="9"/>
      <c r="AA393" s="9"/>
    </row>
    <row r="394">
      <c r="A394" s="52"/>
      <c r="B394" s="50"/>
      <c r="C394" s="52"/>
      <c r="D394" s="52"/>
      <c r="E394" s="52"/>
      <c r="F394" s="52"/>
      <c r="G394" s="52"/>
      <c r="H394" s="53"/>
      <c r="I394" s="53"/>
      <c r="J394" s="52"/>
      <c r="K394" s="52"/>
      <c r="L394" s="52"/>
      <c r="M394" s="52"/>
      <c r="N394" s="52"/>
      <c r="O394" s="52"/>
      <c r="P394" s="9"/>
      <c r="Q394" s="9"/>
      <c r="R394" s="9"/>
      <c r="S394" s="50"/>
      <c r="T394" s="50"/>
      <c r="U394" s="9"/>
      <c r="V394" s="9"/>
      <c r="W394" s="9"/>
      <c r="X394" s="9"/>
      <c r="Y394" s="9"/>
      <c r="Z394" s="9"/>
      <c r="AA394" s="9"/>
    </row>
    <row r="395">
      <c r="A395" s="52"/>
      <c r="B395" s="50"/>
      <c r="C395" s="52"/>
      <c r="D395" s="52"/>
      <c r="E395" s="52"/>
      <c r="F395" s="52"/>
      <c r="G395" s="52"/>
      <c r="H395" s="53"/>
      <c r="I395" s="53"/>
      <c r="J395" s="52"/>
      <c r="K395" s="52"/>
      <c r="L395" s="52"/>
      <c r="M395" s="52"/>
      <c r="N395" s="52"/>
      <c r="O395" s="52"/>
      <c r="P395" s="9"/>
      <c r="Q395" s="9"/>
      <c r="R395" s="9"/>
      <c r="S395" s="50"/>
      <c r="T395" s="50"/>
      <c r="U395" s="9"/>
      <c r="V395" s="9"/>
      <c r="W395" s="9"/>
      <c r="X395" s="9"/>
      <c r="Y395" s="9"/>
      <c r="Z395" s="9"/>
      <c r="AA395" s="9"/>
    </row>
    <row r="396">
      <c r="A396" s="52"/>
      <c r="B396" s="50"/>
      <c r="C396" s="52"/>
      <c r="D396" s="52"/>
      <c r="E396" s="52"/>
      <c r="F396" s="52"/>
      <c r="G396" s="52"/>
      <c r="H396" s="53"/>
      <c r="I396" s="53"/>
      <c r="J396" s="52"/>
      <c r="K396" s="52"/>
      <c r="L396" s="52"/>
      <c r="M396" s="52"/>
      <c r="N396" s="52"/>
      <c r="O396" s="52"/>
      <c r="P396" s="9"/>
      <c r="Q396" s="9"/>
      <c r="R396" s="9"/>
      <c r="S396" s="50"/>
      <c r="T396" s="50"/>
      <c r="U396" s="9"/>
      <c r="V396" s="9"/>
      <c r="W396" s="9"/>
      <c r="X396" s="9"/>
      <c r="Y396" s="9"/>
      <c r="Z396" s="9"/>
      <c r="AA396" s="9"/>
    </row>
    <row r="397">
      <c r="A397" s="52"/>
      <c r="B397" s="50"/>
      <c r="C397" s="52"/>
      <c r="D397" s="52"/>
      <c r="E397" s="52"/>
      <c r="F397" s="52"/>
      <c r="G397" s="52"/>
      <c r="H397" s="53"/>
      <c r="I397" s="53"/>
      <c r="J397" s="52"/>
      <c r="K397" s="52"/>
      <c r="L397" s="52"/>
      <c r="M397" s="52"/>
      <c r="N397" s="52"/>
      <c r="O397" s="52"/>
      <c r="P397" s="9"/>
      <c r="Q397" s="9"/>
      <c r="R397" s="9"/>
      <c r="S397" s="50"/>
      <c r="T397" s="50"/>
      <c r="U397" s="9"/>
      <c r="V397" s="9"/>
      <c r="W397" s="9"/>
      <c r="X397" s="9"/>
      <c r="Y397" s="9"/>
      <c r="Z397" s="9"/>
      <c r="AA397" s="9"/>
    </row>
    <row r="398">
      <c r="A398" s="52"/>
      <c r="B398" s="50"/>
      <c r="C398" s="52"/>
      <c r="D398" s="52"/>
      <c r="E398" s="52"/>
      <c r="F398" s="52"/>
      <c r="G398" s="52"/>
      <c r="H398" s="53"/>
      <c r="I398" s="53"/>
      <c r="J398" s="52"/>
      <c r="K398" s="52"/>
      <c r="L398" s="52"/>
      <c r="M398" s="52"/>
      <c r="N398" s="52"/>
      <c r="O398" s="52"/>
      <c r="P398" s="9"/>
      <c r="Q398" s="9"/>
      <c r="R398" s="9"/>
      <c r="S398" s="50"/>
      <c r="T398" s="50"/>
      <c r="U398" s="9"/>
      <c r="V398" s="9"/>
      <c r="W398" s="9"/>
      <c r="X398" s="9"/>
      <c r="Y398" s="9"/>
      <c r="Z398" s="9"/>
      <c r="AA398" s="9"/>
    </row>
    <row r="399">
      <c r="A399" s="52"/>
      <c r="B399" s="50"/>
      <c r="C399" s="52"/>
      <c r="D399" s="52"/>
      <c r="E399" s="52"/>
      <c r="F399" s="52"/>
      <c r="G399" s="52"/>
      <c r="H399" s="53"/>
      <c r="I399" s="53"/>
      <c r="J399" s="52"/>
      <c r="K399" s="52"/>
      <c r="L399" s="52"/>
      <c r="M399" s="52"/>
      <c r="N399" s="52"/>
      <c r="O399" s="52"/>
      <c r="P399" s="9"/>
      <c r="Q399" s="9"/>
      <c r="R399" s="9"/>
      <c r="S399" s="50"/>
      <c r="T399" s="50"/>
      <c r="U399" s="9"/>
      <c r="V399" s="9"/>
      <c r="W399" s="9"/>
      <c r="X399" s="9"/>
      <c r="Y399" s="9"/>
      <c r="Z399" s="9"/>
      <c r="AA399" s="9"/>
    </row>
    <row r="400">
      <c r="A400" s="52"/>
      <c r="B400" s="50"/>
      <c r="C400" s="52"/>
      <c r="D400" s="52"/>
      <c r="E400" s="52"/>
      <c r="F400" s="52"/>
      <c r="G400" s="52"/>
      <c r="H400" s="53"/>
      <c r="I400" s="53"/>
      <c r="J400" s="52"/>
      <c r="K400" s="52"/>
      <c r="L400" s="52"/>
      <c r="M400" s="52"/>
      <c r="N400" s="52"/>
      <c r="O400" s="52"/>
      <c r="P400" s="9"/>
      <c r="Q400" s="9"/>
      <c r="R400" s="9"/>
      <c r="S400" s="50"/>
      <c r="T400" s="50"/>
      <c r="U400" s="9"/>
      <c r="V400" s="9"/>
      <c r="W400" s="9"/>
      <c r="X400" s="9"/>
      <c r="Y400" s="9"/>
      <c r="Z400" s="9"/>
      <c r="AA400" s="9"/>
    </row>
    <row r="401">
      <c r="A401" s="52"/>
      <c r="B401" s="50"/>
      <c r="C401" s="52"/>
      <c r="D401" s="52"/>
      <c r="E401" s="52"/>
      <c r="F401" s="52"/>
      <c r="G401" s="52"/>
      <c r="H401" s="53"/>
      <c r="I401" s="53"/>
      <c r="J401" s="52"/>
      <c r="K401" s="52"/>
      <c r="L401" s="52"/>
      <c r="M401" s="52"/>
      <c r="N401" s="52"/>
      <c r="O401" s="52"/>
      <c r="P401" s="9"/>
      <c r="Q401" s="9"/>
      <c r="R401" s="9"/>
      <c r="S401" s="50"/>
      <c r="T401" s="50"/>
      <c r="U401" s="9"/>
      <c r="V401" s="9"/>
      <c r="W401" s="9"/>
      <c r="X401" s="9"/>
      <c r="Y401" s="9"/>
      <c r="Z401" s="9"/>
      <c r="AA401" s="9"/>
    </row>
    <row r="402">
      <c r="A402" s="52"/>
      <c r="B402" s="50"/>
      <c r="C402" s="52"/>
      <c r="D402" s="52"/>
      <c r="E402" s="52"/>
      <c r="F402" s="52"/>
      <c r="G402" s="52"/>
      <c r="H402" s="53"/>
      <c r="I402" s="53"/>
      <c r="J402" s="52"/>
      <c r="K402" s="52"/>
      <c r="L402" s="52"/>
      <c r="M402" s="52"/>
      <c r="N402" s="52"/>
      <c r="O402" s="52"/>
      <c r="P402" s="9"/>
      <c r="Q402" s="9"/>
      <c r="R402" s="9"/>
      <c r="S402" s="50"/>
      <c r="T402" s="50"/>
      <c r="U402" s="9"/>
      <c r="V402" s="9"/>
      <c r="W402" s="9"/>
      <c r="X402" s="9"/>
      <c r="Y402" s="9"/>
      <c r="Z402" s="9"/>
      <c r="AA402" s="9"/>
    </row>
    <row r="403">
      <c r="A403" s="52"/>
      <c r="B403" s="50"/>
      <c r="C403" s="52"/>
      <c r="D403" s="52"/>
      <c r="E403" s="52"/>
      <c r="F403" s="52"/>
      <c r="G403" s="52"/>
      <c r="H403" s="53"/>
      <c r="I403" s="53"/>
      <c r="J403" s="52"/>
      <c r="K403" s="52"/>
      <c r="L403" s="52"/>
      <c r="M403" s="52"/>
      <c r="N403" s="52"/>
      <c r="O403" s="52"/>
      <c r="P403" s="9"/>
      <c r="Q403" s="9"/>
      <c r="R403" s="9"/>
      <c r="S403" s="50"/>
      <c r="T403" s="50"/>
      <c r="U403" s="9"/>
      <c r="V403" s="9"/>
      <c r="W403" s="9"/>
      <c r="X403" s="9"/>
      <c r="Y403" s="9"/>
      <c r="Z403" s="9"/>
      <c r="AA403" s="9"/>
    </row>
    <row r="404">
      <c r="A404" s="52"/>
      <c r="B404" s="50"/>
      <c r="C404" s="52"/>
      <c r="D404" s="52"/>
      <c r="E404" s="52"/>
      <c r="F404" s="52"/>
      <c r="G404" s="52"/>
      <c r="H404" s="53"/>
      <c r="I404" s="53"/>
      <c r="J404" s="52"/>
      <c r="K404" s="52"/>
      <c r="L404" s="52"/>
      <c r="M404" s="52"/>
      <c r="N404" s="52"/>
      <c r="O404" s="52"/>
      <c r="P404" s="9"/>
      <c r="Q404" s="9"/>
      <c r="R404" s="9"/>
      <c r="S404" s="50"/>
      <c r="T404" s="50"/>
      <c r="U404" s="9"/>
      <c r="V404" s="9"/>
      <c r="W404" s="9"/>
      <c r="X404" s="9"/>
      <c r="Y404" s="9"/>
      <c r="Z404" s="9"/>
      <c r="AA404" s="9"/>
    </row>
    <row r="405">
      <c r="A405" s="52"/>
      <c r="B405" s="50"/>
      <c r="C405" s="52"/>
      <c r="D405" s="52"/>
      <c r="E405" s="52"/>
      <c r="F405" s="52"/>
      <c r="G405" s="52"/>
      <c r="H405" s="53"/>
      <c r="I405" s="53"/>
      <c r="J405" s="52"/>
      <c r="K405" s="52"/>
      <c r="L405" s="52"/>
      <c r="M405" s="52"/>
      <c r="N405" s="52"/>
      <c r="O405" s="52"/>
      <c r="P405" s="9"/>
      <c r="Q405" s="9"/>
      <c r="R405" s="9"/>
      <c r="S405" s="50"/>
      <c r="T405" s="50"/>
      <c r="U405" s="9"/>
      <c r="V405" s="9"/>
      <c r="W405" s="9"/>
      <c r="X405" s="9"/>
      <c r="Y405" s="9"/>
      <c r="Z405" s="9"/>
      <c r="AA405" s="9"/>
    </row>
    <row r="406">
      <c r="A406" s="52"/>
      <c r="B406" s="50"/>
      <c r="C406" s="52"/>
      <c r="D406" s="52"/>
      <c r="E406" s="52"/>
      <c r="F406" s="52"/>
      <c r="G406" s="52"/>
      <c r="H406" s="53"/>
      <c r="I406" s="53"/>
      <c r="J406" s="52"/>
      <c r="K406" s="52"/>
      <c r="L406" s="52"/>
      <c r="M406" s="52"/>
      <c r="N406" s="52"/>
      <c r="O406" s="52"/>
      <c r="P406" s="9"/>
      <c r="Q406" s="9"/>
      <c r="R406" s="9"/>
      <c r="S406" s="50"/>
      <c r="T406" s="50"/>
      <c r="U406" s="9"/>
      <c r="V406" s="9"/>
      <c r="W406" s="9"/>
      <c r="X406" s="9"/>
      <c r="Y406" s="9"/>
      <c r="Z406" s="9"/>
      <c r="AA406" s="9"/>
    </row>
    <row r="407">
      <c r="A407" s="52"/>
      <c r="B407" s="50"/>
      <c r="C407" s="52"/>
      <c r="D407" s="52"/>
      <c r="E407" s="52"/>
      <c r="F407" s="52"/>
      <c r="G407" s="52"/>
      <c r="H407" s="53"/>
      <c r="I407" s="53"/>
      <c r="J407" s="52"/>
      <c r="K407" s="52"/>
      <c r="L407" s="52"/>
      <c r="M407" s="52"/>
      <c r="N407" s="52"/>
      <c r="O407" s="52"/>
      <c r="P407" s="9"/>
      <c r="Q407" s="9"/>
      <c r="R407" s="9"/>
      <c r="S407" s="50"/>
      <c r="T407" s="50"/>
      <c r="U407" s="9"/>
      <c r="V407" s="9"/>
      <c r="W407" s="9"/>
      <c r="X407" s="9"/>
      <c r="Y407" s="9"/>
      <c r="Z407" s="9"/>
      <c r="AA407" s="9"/>
    </row>
    <row r="408">
      <c r="A408" s="52"/>
      <c r="B408" s="50"/>
      <c r="C408" s="52"/>
      <c r="D408" s="52"/>
      <c r="E408" s="52"/>
      <c r="F408" s="52"/>
      <c r="G408" s="52"/>
      <c r="H408" s="53"/>
      <c r="I408" s="53"/>
      <c r="J408" s="52"/>
      <c r="K408" s="52"/>
      <c r="L408" s="52"/>
      <c r="M408" s="52"/>
      <c r="N408" s="52"/>
      <c r="O408" s="52"/>
      <c r="P408" s="9"/>
      <c r="Q408" s="9"/>
      <c r="R408" s="9"/>
      <c r="S408" s="50"/>
      <c r="T408" s="50"/>
      <c r="U408" s="9"/>
      <c r="V408" s="9"/>
      <c r="W408" s="9"/>
      <c r="X408" s="9"/>
      <c r="Y408" s="9"/>
      <c r="Z408" s="9"/>
      <c r="AA408" s="9"/>
    </row>
    <row r="409">
      <c r="A409" s="52"/>
      <c r="B409" s="50"/>
      <c r="C409" s="52"/>
      <c r="D409" s="52"/>
      <c r="E409" s="52"/>
      <c r="F409" s="52"/>
      <c r="G409" s="52"/>
      <c r="H409" s="53"/>
      <c r="I409" s="53"/>
      <c r="J409" s="52"/>
      <c r="K409" s="52"/>
      <c r="L409" s="52"/>
      <c r="M409" s="52"/>
      <c r="N409" s="52"/>
      <c r="O409" s="52"/>
      <c r="P409" s="9"/>
      <c r="Q409" s="9"/>
      <c r="R409" s="9"/>
      <c r="S409" s="50"/>
      <c r="T409" s="50"/>
      <c r="U409" s="9"/>
      <c r="V409" s="9"/>
      <c r="W409" s="9"/>
      <c r="X409" s="9"/>
      <c r="Y409" s="9"/>
      <c r="Z409" s="9"/>
      <c r="AA409" s="9"/>
    </row>
    <row r="410">
      <c r="A410" s="52"/>
      <c r="B410" s="50"/>
      <c r="C410" s="52"/>
      <c r="D410" s="52"/>
      <c r="E410" s="52"/>
      <c r="F410" s="52"/>
      <c r="G410" s="52"/>
      <c r="H410" s="53"/>
      <c r="I410" s="53"/>
      <c r="J410" s="52"/>
      <c r="K410" s="52"/>
      <c r="L410" s="52"/>
      <c r="M410" s="52"/>
      <c r="N410" s="52"/>
      <c r="O410" s="52"/>
      <c r="P410" s="9"/>
      <c r="Q410" s="9"/>
      <c r="R410" s="9"/>
      <c r="S410" s="50"/>
      <c r="T410" s="50"/>
      <c r="U410" s="9"/>
      <c r="V410" s="9"/>
      <c r="W410" s="9"/>
      <c r="X410" s="9"/>
      <c r="Y410" s="9"/>
      <c r="Z410" s="9"/>
      <c r="AA410" s="9"/>
    </row>
    <row r="411">
      <c r="A411" s="52"/>
      <c r="B411" s="50"/>
      <c r="C411" s="52"/>
      <c r="D411" s="52"/>
      <c r="E411" s="52"/>
      <c r="F411" s="52"/>
      <c r="G411" s="52"/>
      <c r="H411" s="53"/>
      <c r="I411" s="53"/>
      <c r="J411" s="52"/>
      <c r="K411" s="52"/>
      <c r="L411" s="52"/>
      <c r="M411" s="52"/>
      <c r="N411" s="52"/>
      <c r="O411" s="52"/>
      <c r="P411" s="9"/>
      <c r="Q411" s="9"/>
      <c r="R411" s="9"/>
      <c r="S411" s="50"/>
      <c r="T411" s="50"/>
      <c r="U411" s="9"/>
      <c r="V411" s="9"/>
      <c r="W411" s="9"/>
      <c r="X411" s="9"/>
      <c r="Y411" s="9"/>
      <c r="Z411" s="9"/>
      <c r="AA411" s="9"/>
    </row>
    <row r="412">
      <c r="A412" s="52"/>
      <c r="B412" s="50"/>
      <c r="C412" s="52"/>
      <c r="D412" s="52"/>
      <c r="E412" s="52"/>
      <c r="F412" s="52"/>
      <c r="G412" s="52"/>
      <c r="H412" s="53"/>
      <c r="I412" s="53"/>
      <c r="J412" s="52"/>
      <c r="K412" s="52"/>
      <c r="L412" s="52"/>
      <c r="M412" s="52"/>
      <c r="N412" s="52"/>
      <c r="O412" s="52"/>
      <c r="P412" s="9"/>
      <c r="Q412" s="9"/>
      <c r="R412" s="9"/>
      <c r="S412" s="50"/>
      <c r="T412" s="50"/>
      <c r="U412" s="9"/>
      <c r="V412" s="9"/>
      <c r="W412" s="9"/>
      <c r="X412" s="9"/>
      <c r="Y412" s="9"/>
      <c r="Z412" s="9"/>
      <c r="AA412" s="9"/>
    </row>
    <row r="413">
      <c r="A413" s="52"/>
      <c r="B413" s="50"/>
      <c r="C413" s="52"/>
      <c r="D413" s="52"/>
      <c r="E413" s="52"/>
      <c r="F413" s="52"/>
      <c r="G413" s="52"/>
      <c r="H413" s="53"/>
      <c r="I413" s="53"/>
      <c r="J413" s="52"/>
      <c r="K413" s="52"/>
      <c r="L413" s="52"/>
      <c r="M413" s="52"/>
      <c r="N413" s="52"/>
      <c r="O413" s="52"/>
      <c r="P413" s="9"/>
      <c r="Q413" s="9"/>
      <c r="R413" s="9"/>
      <c r="S413" s="50"/>
      <c r="T413" s="50"/>
      <c r="U413" s="9"/>
      <c r="V413" s="9"/>
      <c r="W413" s="9"/>
      <c r="X413" s="9"/>
      <c r="Y413" s="9"/>
      <c r="Z413" s="9"/>
      <c r="AA413" s="9"/>
    </row>
    <row r="414">
      <c r="A414" s="52"/>
      <c r="B414" s="50"/>
      <c r="C414" s="52"/>
      <c r="D414" s="52"/>
      <c r="E414" s="52"/>
      <c r="F414" s="52"/>
      <c r="G414" s="52"/>
      <c r="H414" s="53"/>
      <c r="I414" s="53"/>
      <c r="J414" s="52"/>
      <c r="K414" s="52"/>
      <c r="L414" s="52"/>
      <c r="M414" s="52"/>
      <c r="N414" s="52"/>
      <c r="O414" s="52"/>
      <c r="P414" s="9"/>
      <c r="Q414" s="9"/>
      <c r="R414" s="9"/>
      <c r="S414" s="50"/>
      <c r="T414" s="50"/>
      <c r="U414" s="9"/>
      <c r="V414" s="9"/>
      <c r="W414" s="9"/>
      <c r="X414" s="9"/>
      <c r="Y414" s="9"/>
      <c r="Z414" s="9"/>
      <c r="AA414" s="9"/>
    </row>
    <row r="415">
      <c r="A415" s="52"/>
      <c r="B415" s="50"/>
      <c r="C415" s="52"/>
      <c r="D415" s="52"/>
      <c r="E415" s="52"/>
      <c r="F415" s="52"/>
      <c r="G415" s="52"/>
      <c r="H415" s="53"/>
      <c r="I415" s="53"/>
      <c r="J415" s="52"/>
      <c r="K415" s="52"/>
      <c r="L415" s="52"/>
      <c r="M415" s="52"/>
      <c r="N415" s="52"/>
      <c r="O415" s="52"/>
      <c r="P415" s="9"/>
      <c r="Q415" s="9"/>
      <c r="R415" s="9"/>
      <c r="S415" s="50"/>
      <c r="T415" s="50"/>
      <c r="U415" s="9"/>
      <c r="V415" s="9"/>
      <c r="W415" s="9"/>
      <c r="X415" s="9"/>
      <c r="Y415" s="9"/>
      <c r="Z415" s="9"/>
      <c r="AA415" s="9"/>
    </row>
    <row r="416">
      <c r="A416" s="52"/>
      <c r="B416" s="50"/>
      <c r="C416" s="52"/>
      <c r="D416" s="52"/>
      <c r="E416" s="52"/>
      <c r="F416" s="52"/>
      <c r="G416" s="52"/>
      <c r="H416" s="53"/>
      <c r="I416" s="53"/>
      <c r="J416" s="52"/>
      <c r="K416" s="52"/>
      <c r="L416" s="52"/>
      <c r="M416" s="52"/>
      <c r="N416" s="52"/>
      <c r="O416" s="52"/>
      <c r="P416" s="9"/>
      <c r="Q416" s="9"/>
      <c r="R416" s="9"/>
      <c r="S416" s="50"/>
      <c r="T416" s="50"/>
      <c r="U416" s="9"/>
      <c r="V416" s="9"/>
      <c r="W416" s="9"/>
      <c r="X416" s="9"/>
      <c r="Y416" s="9"/>
      <c r="Z416" s="9"/>
      <c r="AA416" s="9"/>
    </row>
    <row r="417">
      <c r="A417" s="52"/>
      <c r="B417" s="50"/>
      <c r="C417" s="52"/>
      <c r="D417" s="52"/>
      <c r="E417" s="52"/>
      <c r="F417" s="52"/>
      <c r="G417" s="52"/>
      <c r="H417" s="53"/>
      <c r="I417" s="53"/>
      <c r="J417" s="52"/>
      <c r="K417" s="52"/>
      <c r="L417" s="52"/>
      <c r="M417" s="52"/>
      <c r="N417" s="52"/>
      <c r="O417" s="52"/>
      <c r="P417" s="9"/>
      <c r="Q417" s="9"/>
      <c r="R417" s="9"/>
      <c r="S417" s="50"/>
      <c r="T417" s="50"/>
      <c r="U417" s="9"/>
      <c r="V417" s="9"/>
      <c r="W417" s="9"/>
      <c r="X417" s="9"/>
      <c r="Y417" s="9"/>
      <c r="Z417" s="9"/>
      <c r="AA417" s="9"/>
    </row>
    <row r="418">
      <c r="A418" s="52"/>
      <c r="B418" s="50"/>
      <c r="C418" s="52"/>
      <c r="D418" s="52"/>
      <c r="E418" s="52"/>
      <c r="F418" s="52"/>
      <c r="G418" s="52"/>
      <c r="H418" s="53"/>
      <c r="I418" s="53"/>
      <c r="J418" s="52"/>
      <c r="K418" s="52"/>
      <c r="L418" s="52"/>
      <c r="M418" s="52"/>
      <c r="N418" s="52"/>
      <c r="O418" s="52"/>
      <c r="P418" s="9"/>
      <c r="Q418" s="9"/>
      <c r="R418" s="9"/>
      <c r="S418" s="50"/>
      <c r="T418" s="50"/>
      <c r="U418" s="9"/>
      <c r="V418" s="9"/>
      <c r="W418" s="9"/>
      <c r="X418" s="9"/>
      <c r="Y418" s="9"/>
      <c r="Z418" s="9"/>
      <c r="AA418" s="9"/>
    </row>
    <row r="419">
      <c r="A419" s="52"/>
      <c r="B419" s="50"/>
      <c r="C419" s="52"/>
      <c r="D419" s="52"/>
      <c r="E419" s="52"/>
      <c r="F419" s="52"/>
      <c r="G419" s="52"/>
      <c r="H419" s="53"/>
      <c r="I419" s="53"/>
      <c r="J419" s="52"/>
      <c r="K419" s="52"/>
      <c r="L419" s="52"/>
      <c r="M419" s="52"/>
      <c r="N419" s="52"/>
      <c r="O419" s="52"/>
      <c r="P419" s="9"/>
      <c r="Q419" s="9"/>
      <c r="R419" s="9"/>
      <c r="S419" s="50"/>
      <c r="T419" s="50"/>
      <c r="U419" s="9"/>
      <c r="V419" s="9"/>
      <c r="W419" s="9"/>
      <c r="X419" s="9"/>
      <c r="Y419" s="9"/>
      <c r="Z419" s="9"/>
      <c r="AA419" s="9"/>
    </row>
    <row r="420">
      <c r="A420" s="52"/>
      <c r="B420" s="50"/>
      <c r="C420" s="52"/>
      <c r="D420" s="52"/>
      <c r="E420" s="52"/>
      <c r="F420" s="52"/>
      <c r="G420" s="52"/>
      <c r="H420" s="53"/>
      <c r="I420" s="53"/>
      <c r="J420" s="52"/>
      <c r="K420" s="52"/>
      <c r="L420" s="52"/>
      <c r="M420" s="52"/>
      <c r="N420" s="52"/>
      <c r="O420" s="52"/>
      <c r="P420" s="9"/>
      <c r="Q420" s="9"/>
      <c r="R420" s="9"/>
      <c r="S420" s="50"/>
      <c r="T420" s="50"/>
      <c r="U420" s="9"/>
      <c r="V420" s="9"/>
      <c r="W420" s="9"/>
      <c r="X420" s="9"/>
      <c r="Y420" s="9"/>
      <c r="Z420" s="9"/>
      <c r="AA420" s="9"/>
    </row>
    <row r="421">
      <c r="A421" s="52"/>
      <c r="B421" s="50"/>
      <c r="C421" s="52"/>
      <c r="D421" s="52"/>
      <c r="E421" s="52"/>
      <c r="F421" s="52"/>
      <c r="G421" s="52"/>
      <c r="H421" s="53"/>
      <c r="I421" s="53"/>
      <c r="J421" s="52"/>
      <c r="K421" s="52"/>
      <c r="L421" s="52"/>
      <c r="M421" s="52"/>
      <c r="N421" s="52"/>
      <c r="O421" s="52"/>
      <c r="P421" s="9"/>
      <c r="Q421" s="9"/>
      <c r="R421" s="9"/>
      <c r="S421" s="50"/>
      <c r="T421" s="50"/>
      <c r="U421" s="9"/>
      <c r="V421" s="9"/>
      <c r="W421" s="9"/>
      <c r="X421" s="9"/>
      <c r="Y421" s="9"/>
      <c r="Z421" s="9"/>
      <c r="AA421" s="9"/>
    </row>
    <row r="422">
      <c r="A422" s="52"/>
      <c r="B422" s="50"/>
      <c r="C422" s="52"/>
      <c r="D422" s="52"/>
      <c r="E422" s="52"/>
      <c r="F422" s="52"/>
      <c r="G422" s="52"/>
      <c r="H422" s="53"/>
      <c r="I422" s="53"/>
      <c r="J422" s="52"/>
      <c r="K422" s="52"/>
      <c r="L422" s="52"/>
      <c r="M422" s="52"/>
      <c r="N422" s="52"/>
      <c r="O422" s="52"/>
      <c r="P422" s="9"/>
      <c r="Q422" s="9"/>
      <c r="R422" s="9"/>
      <c r="S422" s="50"/>
      <c r="T422" s="50"/>
      <c r="U422" s="9"/>
      <c r="V422" s="9"/>
      <c r="W422" s="9"/>
      <c r="X422" s="9"/>
      <c r="Y422" s="9"/>
      <c r="Z422" s="9"/>
      <c r="AA422" s="9"/>
    </row>
    <row r="423">
      <c r="A423" s="52"/>
      <c r="B423" s="50"/>
      <c r="C423" s="52"/>
      <c r="D423" s="52"/>
      <c r="E423" s="52"/>
      <c r="F423" s="52"/>
      <c r="G423" s="52"/>
      <c r="H423" s="53"/>
      <c r="I423" s="53"/>
      <c r="J423" s="52"/>
      <c r="K423" s="52"/>
      <c r="L423" s="52"/>
      <c r="M423" s="52"/>
      <c r="N423" s="52"/>
      <c r="O423" s="52"/>
      <c r="P423" s="9"/>
      <c r="Q423" s="9"/>
      <c r="R423" s="9"/>
      <c r="S423" s="50"/>
      <c r="T423" s="50"/>
      <c r="U423" s="9"/>
      <c r="V423" s="9"/>
      <c r="W423" s="9"/>
      <c r="X423" s="9"/>
      <c r="Y423" s="9"/>
      <c r="Z423" s="9"/>
      <c r="AA423" s="9"/>
    </row>
    <row r="424">
      <c r="A424" s="52"/>
      <c r="B424" s="50"/>
      <c r="C424" s="52"/>
      <c r="D424" s="52"/>
      <c r="E424" s="52"/>
      <c r="F424" s="52"/>
      <c r="G424" s="52"/>
      <c r="H424" s="53"/>
      <c r="I424" s="53"/>
      <c r="J424" s="52"/>
      <c r="K424" s="52"/>
      <c r="L424" s="52"/>
      <c r="M424" s="52"/>
      <c r="N424" s="52"/>
      <c r="O424" s="52"/>
      <c r="P424" s="9"/>
      <c r="Q424" s="9"/>
      <c r="R424" s="9"/>
      <c r="S424" s="50"/>
      <c r="T424" s="50"/>
      <c r="U424" s="9"/>
      <c r="V424" s="9"/>
      <c r="W424" s="9"/>
      <c r="X424" s="9"/>
      <c r="Y424" s="9"/>
      <c r="Z424" s="9"/>
      <c r="AA424" s="9"/>
    </row>
    <row r="425">
      <c r="A425" s="52"/>
      <c r="B425" s="50"/>
      <c r="C425" s="52"/>
      <c r="D425" s="52"/>
      <c r="E425" s="52"/>
      <c r="F425" s="52"/>
      <c r="G425" s="52"/>
      <c r="H425" s="53"/>
      <c r="I425" s="53"/>
      <c r="J425" s="52"/>
      <c r="K425" s="52"/>
      <c r="L425" s="52"/>
      <c r="M425" s="52"/>
      <c r="N425" s="52"/>
      <c r="O425" s="52"/>
      <c r="P425" s="9"/>
      <c r="Q425" s="9"/>
      <c r="R425" s="9"/>
      <c r="S425" s="50"/>
      <c r="T425" s="50"/>
      <c r="U425" s="9"/>
      <c r="V425" s="9"/>
      <c r="W425" s="9"/>
      <c r="X425" s="9"/>
      <c r="Y425" s="9"/>
      <c r="Z425" s="9"/>
      <c r="AA425" s="9"/>
    </row>
    <row r="426">
      <c r="A426" s="52"/>
      <c r="B426" s="50"/>
      <c r="C426" s="52"/>
      <c r="D426" s="52"/>
      <c r="E426" s="52"/>
      <c r="F426" s="52"/>
      <c r="G426" s="52"/>
      <c r="H426" s="53"/>
      <c r="I426" s="53"/>
      <c r="J426" s="52"/>
      <c r="K426" s="52"/>
      <c r="L426" s="52"/>
      <c r="M426" s="52"/>
      <c r="N426" s="52"/>
      <c r="O426" s="52"/>
      <c r="P426" s="9"/>
      <c r="Q426" s="9"/>
      <c r="R426" s="9"/>
      <c r="S426" s="50"/>
      <c r="T426" s="50"/>
      <c r="U426" s="9"/>
      <c r="V426" s="9"/>
      <c r="W426" s="9"/>
      <c r="X426" s="9"/>
      <c r="Y426" s="9"/>
      <c r="Z426" s="9"/>
      <c r="AA426" s="9"/>
    </row>
    <row r="427">
      <c r="A427" s="52"/>
      <c r="B427" s="50"/>
      <c r="C427" s="52"/>
      <c r="D427" s="52"/>
      <c r="E427" s="52"/>
      <c r="F427" s="52"/>
      <c r="G427" s="52"/>
      <c r="H427" s="53"/>
      <c r="I427" s="53"/>
      <c r="J427" s="52"/>
      <c r="K427" s="52"/>
      <c r="L427" s="52"/>
      <c r="M427" s="52"/>
      <c r="N427" s="52"/>
      <c r="O427" s="52"/>
      <c r="P427" s="9"/>
      <c r="Q427" s="9"/>
      <c r="R427" s="9"/>
      <c r="S427" s="50"/>
      <c r="T427" s="50"/>
      <c r="U427" s="9"/>
      <c r="V427" s="9"/>
      <c r="W427" s="9"/>
      <c r="X427" s="9"/>
      <c r="Y427" s="9"/>
      <c r="Z427" s="9"/>
      <c r="AA427" s="9"/>
    </row>
    <row r="428">
      <c r="A428" s="52"/>
      <c r="B428" s="50"/>
      <c r="C428" s="52"/>
      <c r="D428" s="52"/>
      <c r="E428" s="52"/>
      <c r="F428" s="52"/>
      <c r="G428" s="52"/>
      <c r="H428" s="53"/>
      <c r="I428" s="53"/>
      <c r="J428" s="52"/>
      <c r="K428" s="52"/>
      <c r="L428" s="52"/>
      <c r="M428" s="52"/>
      <c r="N428" s="52"/>
      <c r="O428" s="52"/>
      <c r="P428" s="9"/>
      <c r="Q428" s="9"/>
      <c r="R428" s="9"/>
      <c r="S428" s="50"/>
      <c r="T428" s="50"/>
      <c r="U428" s="9"/>
      <c r="V428" s="9"/>
      <c r="W428" s="9"/>
      <c r="X428" s="9"/>
      <c r="Y428" s="9"/>
      <c r="Z428" s="9"/>
      <c r="AA428" s="9"/>
    </row>
    <row r="429">
      <c r="A429" s="52"/>
      <c r="B429" s="50"/>
      <c r="C429" s="52"/>
      <c r="D429" s="52"/>
      <c r="E429" s="52"/>
      <c r="F429" s="52"/>
      <c r="G429" s="52"/>
      <c r="H429" s="53"/>
      <c r="I429" s="53"/>
      <c r="J429" s="52"/>
      <c r="K429" s="52"/>
      <c r="L429" s="52"/>
      <c r="M429" s="52"/>
      <c r="N429" s="52"/>
      <c r="O429" s="52"/>
      <c r="P429" s="9"/>
      <c r="Q429" s="9"/>
      <c r="R429" s="9"/>
      <c r="S429" s="50"/>
      <c r="T429" s="50"/>
      <c r="U429" s="9"/>
      <c r="V429" s="9"/>
      <c r="W429" s="9"/>
      <c r="X429" s="9"/>
      <c r="Y429" s="9"/>
      <c r="Z429" s="9"/>
      <c r="AA429" s="9"/>
    </row>
    <row r="430">
      <c r="A430" s="52"/>
      <c r="B430" s="50"/>
      <c r="C430" s="52"/>
      <c r="D430" s="52"/>
      <c r="E430" s="52"/>
      <c r="F430" s="52"/>
      <c r="G430" s="52"/>
      <c r="H430" s="53"/>
      <c r="I430" s="53"/>
      <c r="J430" s="52"/>
      <c r="K430" s="52"/>
      <c r="L430" s="52"/>
      <c r="M430" s="52"/>
      <c r="N430" s="52"/>
      <c r="O430" s="52"/>
      <c r="P430" s="9"/>
      <c r="Q430" s="9"/>
      <c r="R430" s="9"/>
      <c r="S430" s="50"/>
      <c r="T430" s="50"/>
      <c r="U430" s="9"/>
      <c r="V430" s="9"/>
      <c r="W430" s="9"/>
      <c r="X430" s="9"/>
      <c r="Y430" s="9"/>
      <c r="Z430" s="9"/>
      <c r="AA430" s="9"/>
    </row>
    <row r="431">
      <c r="A431" s="52"/>
      <c r="B431" s="50"/>
      <c r="C431" s="52"/>
      <c r="D431" s="52"/>
      <c r="E431" s="52"/>
      <c r="F431" s="52"/>
      <c r="G431" s="52"/>
      <c r="H431" s="53"/>
      <c r="I431" s="53"/>
      <c r="J431" s="52"/>
      <c r="K431" s="52"/>
      <c r="L431" s="52"/>
      <c r="M431" s="52"/>
      <c r="N431" s="52"/>
      <c r="O431" s="52"/>
      <c r="P431" s="9"/>
      <c r="Q431" s="9"/>
      <c r="R431" s="9"/>
      <c r="S431" s="50"/>
      <c r="T431" s="50"/>
      <c r="U431" s="9"/>
      <c r="V431" s="9"/>
      <c r="W431" s="9"/>
      <c r="X431" s="9"/>
      <c r="Y431" s="9"/>
      <c r="Z431" s="9"/>
      <c r="AA431" s="9"/>
    </row>
    <row r="432">
      <c r="A432" s="52"/>
      <c r="B432" s="50"/>
      <c r="C432" s="52"/>
      <c r="D432" s="52"/>
      <c r="E432" s="52"/>
      <c r="F432" s="52"/>
      <c r="G432" s="52"/>
      <c r="H432" s="53"/>
      <c r="I432" s="53"/>
      <c r="J432" s="52"/>
      <c r="K432" s="52"/>
      <c r="L432" s="52"/>
      <c r="M432" s="52"/>
      <c r="N432" s="52"/>
      <c r="O432" s="52"/>
      <c r="P432" s="9"/>
      <c r="Q432" s="9"/>
      <c r="R432" s="9"/>
      <c r="S432" s="50"/>
      <c r="T432" s="50"/>
      <c r="U432" s="9"/>
      <c r="V432" s="9"/>
      <c r="W432" s="9"/>
      <c r="X432" s="9"/>
      <c r="Y432" s="9"/>
      <c r="Z432" s="9"/>
      <c r="AA432" s="9"/>
    </row>
    <row r="433">
      <c r="A433" s="52"/>
      <c r="B433" s="50"/>
      <c r="C433" s="52"/>
      <c r="D433" s="52"/>
      <c r="E433" s="52"/>
      <c r="F433" s="52"/>
      <c r="G433" s="52"/>
      <c r="H433" s="53"/>
      <c r="I433" s="53"/>
      <c r="J433" s="52"/>
      <c r="K433" s="52"/>
      <c r="L433" s="52"/>
      <c r="M433" s="52"/>
      <c r="N433" s="52"/>
      <c r="O433" s="52"/>
      <c r="P433" s="9"/>
      <c r="Q433" s="9"/>
      <c r="R433" s="9"/>
      <c r="S433" s="50"/>
      <c r="T433" s="50"/>
      <c r="U433" s="9"/>
      <c r="V433" s="9"/>
      <c r="W433" s="9"/>
      <c r="X433" s="9"/>
      <c r="Y433" s="9"/>
      <c r="Z433" s="9"/>
      <c r="AA433" s="9"/>
    </row>
    <row r="434">
      <c r="A434" s="52"/>
      <c r="B434" s="50"/>
      <c r="C434" s="52"/>
      <c r="D434" s="52"/>
      <c r="E434" s="52"/>
      <c r="F434" s="52"/>
      <c r="G434" s="52"/>
      <c r="H434" s="53"/>
      <c r="I434" s="53"/>
      <c r="J434" s="52"/>
      <c r="K434" s="52"/>
      <c r="L434" s="52"/>
      <c r="M434" s="52"/>
      <c r="N434" s="52"/>
      <c r="O434" s="52"/>
      <c r="P434" s="9"/>
      <c r="Q434" s="9"/>
      <c r="R434" s="9"/>
      <c r="S434" s="50"/>
      <c r="T434" s="50"/>
      <c r="U434" s="9"/>
      <c r="V434" s="9"/>
      <c r="W434" s="9"/>
      <c r="X434" s="9"/>
      <c r="Y434" s="9"/>
      <c r="Z434" s="9"/>
      <c r="AA434" s="9"/>
    </row>
    <row r="435">
      <c r="A435" s="52"/>
      <c r="B435" s="50"/>
      <c r="C435" s="52"/>
      <c r="D435" s="52"/>
      <c r="E435" s="52"/>
      <c r="F435" s="52"/>
      <c r="G435" s="52"/>
      <c r="H435" s="53"/>
      <c r="I435" s="53"/>
      <c r="J435" s="52"/>
      <c r="K435" s="52"/>
      <c r="L435" s="52"/>
      <c r="M435" s="52"/>
      <c r="N435" s="52"/>
      <c r="O435" s="52"/>
      <c r="P435" s="9"/>
      <c r="Q435" s="9"/>
      <c r="R435" s="9"/>
      <c r="S435" s="50"/>
      <c r="T435" s="50"/>
      <c r="U435" s="9"/>
      <c r="V435" s="9"/>
      <c r="W435" s="9"/>
      <c r="X435" s="9"/>
      <c r="Y435" s="9"/>
      <c r="Z435" s="9"/>
      <c r="AA435" s="9"/>
    </row>
    <row r="436">
      <c r="A436" s="52"/>
      <c r="B436" s="50"/>
      <c r="C436" s="52"/>
      <c r="D436" s="52"/>
      <c r="E436" s="52"/>
      <c r="F436" s="52"/>
      <c r="G436" s="52"/>
      <c r="H436" s="53"/>
      <c r="I436" s="53"/>
      <c r="J436" s="52"/>
      <c r="K436" s="52"/>
      <c r="L436" s="52"/>
      <c r="M436" s="52"/>
      <c r="N436" s="52"/>
      <c r="O436" s="52"/>
      <c r="P436" s="9"/>
      <c r="Q436" s="9"/>
      <c r="R436" s="9"/>
      <c r="S436" s="50"/>
      <c r="T436" s="50"/>
      <c r="U436" s="9"/>
      <c r="V436" s="9"/>
      <c r="W436" s="9"/>
      <c r="X436" s="9"/>
      <c r="Y436" s="9"/>
      <c r="Z436" s="9"/>
      <c r="AA436" s="9"/>
    </row>
    <row r="437">
      <c r="A437" s="52"/>
      <c r="B437" s="50"/>
      <c r="C437" s="52"/>
      <c r="D437" s="52"/>
      <c r="E437" s="52"/>
      <c r="F437" s="52"/>
      <c r="G437" s="52"/>
      <c r="H437" s="53"/>
      <c r="I437" s="53"/>
      <c r="J437" s="52"/>
      <c r="K437" s="52"/>
      <c r="L437" s="52"/>
      <c r="M437" s="52"/>
      <c r="N437" s="52"/>
      <c r="O437" s="52"/>
      <c r="P437" s="9"/>
      <c r="Q437" s="9"/>
      <c r="R437" s="9"/>
      <c r="S437" s="50"/>
      <c r="T437" s="50"/>
      <c r="U437" s="9"/>
      <c r="V437" s="9"/>
      <c r="W437" s="9"/>
      <c r="X437" s="9"/>
      <c r="Y437" s="9"/>
      <c r="Z437" s="9"/>
      <c r="AA437" s="9"/>
    </row>
    <row r="438">
      <c r="A438" s="52"/>
      <c r="B438" s="50"/>
      <c r="C438" s="52"/>
      <c r="D438" s="52"/>
      <c r="E438" s="52"/>
      <c r="F438" s="52"/>
      <c r="G438" s="52"/>
      <c r="H438" s="53"/>
      <c r="I438" s="53"/>
      <c r="J438" s="52"/>
      <c r="K438" s="52"/>
      <c r="L438" s="52"/>
      <c r="M438" s="52"/>
      <c r="N438" s="52"/>
      <c r="O438" s="52"/>
      <c r="P438" s="9"/>
      <c r="Q438" s="9"/>
      <c r="R438" s="9"/>
      <c r="S438" s="50"/>
      <c r="T438" s="50"/>
      <c r="U438" s="9"/>
      <c r="V438" s="9"/>
      <c r="W438" s="9"/>
      <c r="X438" s="9"/>
      <c r="Y438" s="9"/>
      <c r="Z438" s="9"/>
      <c r="AA438" s="9"/>
    </row>
    <row r="439">
      <c r="A439" s="52"/>
      <c r="B439" s="50"/>
      <c r="C439" s="52"/>
      <c r="D439" s="52"/>
      <c r="E439" s="52"/>
      <c r="F439" s="52"/>
      <c r="G439" s="52"/>
      <c r="H439" s="53"/>
      <c r="I439" s="53"/>
      <c r="J439" s="52"/>
      <c r="K439" s="52"/>
      <c r="L439" s="52"/>
      <c r="M439" s="52"/>
      <c r="N439" s="52"/>
      <c r="O439" s="52"/>
      <c r="P439" s="9"/>
      <c r="Q439" s="9"/>
      <c r="R439" s="9"/>
      <c r="S439" s="50"/>
      <c r="T439" s="50"/>
      <c r="U439" s="9"/>
      <c r="V439" s="9"/>
      <c r="W439" s="9"/>
      <c r="X439" s="9"/>
      <c r="Y439" s="9"/>
      <c r="Z439" s="9"/>
      <c r="AA439" s="9"/>
    </row>
    <row r="440">
      <c r="A440" s="52"/>
      <c r="B440" s="50"/>
      <c r="C440" s="52"/>
      <c r="D440" s="52"/>
      <c r="E440" s="52"/>
      <c r="F440" s="52"/>
      <c r="G440" s="52"/>
      <c r="H440" s="53"/>
      <c r="I440" s="53"/>
      <c r="J440" s="52"/>
      <c r="K440" s="52"/>
      <c r="L440" s="52"/>
      <c r="M440" s="52"/>
      <c r="N440" s="52"/>
      <c r="O440" s="52"/>
      <c r="P440" s="9"/>
      <c r="Q440" s="9"/>
      <c r="R440" s="9"/>
      <c r="S440" s="50"/>
      <c r="T440" s="50"/>
      <c r="U440" s="9"/>
      <c r="V440" s="9"/>
      <c r="W440" s="9"/>
      <c r="X440" s="9"/>
      <c r="Y440" s="9"/>
      <c r="Z440" s="9"/>
      <c r="AA440" s="9"/>
    </row>
    <row r="441">
      <c r="A441" s="52"/>
      <c r="B441" s="50"/>
      <c r="C441" s="52"/>
      <c r="D441" s="52"/>
      <c r="E441" s="52"/>
      <c r="F441" s="52"/>
      <c r="G441" s="52"/>
      <c r="H441" s="53"/>
      <c r="I441" s="53"/>
      <c r="J441" s="52"/>
      <c r="K441" s="52"/>
      <c r="L441" s="52"/>
      <c r="M441" s="52"/>
      <c r="N441" s="52"/>
      <c r="O441" s="52"/>
      <c r="P441" s="9"/>
      <c r="Q441" s="9"/>
      <c r="R441" s="9"/>
      <c r="S441" s="50"/>
      <c r="T441" s="50"/>
      <c r="U441" s="9"/>
      <c r="V441" s="9"/>
      <c r="W441" s="9"/>
      <c r="X441" s="9"/>
      <c r="Y441" s="9"/>
      <c r="Z441" s="9"/>
      <c r="AA441" s="9"/>
    </row>
    <row r="442">
      <c r="A442" s="52"/>
      <c r="B442" s="50"/>
      <c r="C442" s="52"/>
      <c r="D442" s="52"/>
      <c r="E442" s="52"/>
      <c r="F442" s="52"/>
      <c r="G442" s="52"/>
      <c r="H442" s="53"/>
      <c r="I442" s="53"/>
      <c r="J442" s="52"/>
      <c r="K442" s="52"/>
      <c r="L442" s="52"/>
      <c r="M442" s="52"/>
      <c r="N442" s="52"/>
      <c r="O442" s="52"/>
      <c r="P442" s="9"/>
      <c r="Q442" s="9"/>
      <c r="R442" s="9"/>
      <c r="S442" s="50"/>
      <c r="T442" s="50"/>
      <c r="U442" s="9"/>
      <c r="V442" s="9"/>
      <c r="W442" s="9"/>
      <c r="X442" s="9"/>
      <c r="Y442" s="9"/>
      <c r="Z442" s="9"/>
      <c r="AA442" s="9"/>
    </row>
    <row r="443">
      <c r="A443" s="52"/>
      <c r="B443" s="50"/>
      <c r="C443" s="52"/>
      <c r="D443" s="52"/>
      <c r="E443" s="52"/>
      <c r="F443" s="52"/>
      <c r="G443" s="52"/>
      <c r="H443" s="53"/>
      <c r="I443" s="53"/>
      <c r="J443" s="52"/>
      <c r="K443" s="52"/>
      <c r="L443" s="52"/>
      <c r="M443" s="52"/>
      <c r="N443" s="52"/>
      <c r="O443" s="52"/>
      <c r="P443" s="9"/>
      <c r="Q443" s="9"/>
      <c r="R443" s="9"/>
      <c r="S443" s="50"/>
      <c r="T443" s="50"/>
      <c r="U443" s="9"/>
      <c r="V443" s="9"/>
      <c r="W443" s="9"/>
      <c r="X443" s="9"/>
      <c r="Y443" s="9"/>
      <c r="Z443" s="9"/>
      <c r="AA443" s="9"/>
    </row>
    <row r="444">
      <c r="A444" s="52"/>
      <c r="B444" s="50"/>
      <c r="C444" s="52"/>
      <c r="D444" s="52"/>
      <c r="E444" s="52"/>
      <c r="F444" s="52"/>
      <c r="G444" s="52"/>
      <c r="H444" s="53"/>
      <c r="I444" s="53"/>
      <c r="J444" s="52"/>
      <c r="K444" s="52"/>
      <c r="L444" s="52"/>
      <c r="M444" s="52"/>
      <c r="N444" s="52"/>
      <c r="O444" s="52"/>
      <c r="P444" s="9"/>
      <c r="Q444" s="9"/>
      <c r="R444" s="9"/>
      <c r="S444" s="50"/>
      <c r="T444" s="50"/>
      <c r="U444" s="9"/>
      <c r="V444" s="9"/>
      <c r="W444" s="9"/>
      <c r="X444" s="9"/>
      <c r="Y444" s="9"/>
      <c r="Z444" s="9"/>
      <c r="AA444" s="9"/>
    </row>
    <row r="445">
      <c r="A445" s="52"/>
      <c r="B445" s="50"/>
      <c r="C445" s="52"/>
      <c r="D445" s="52"/>
      <c r="E445" s="52"/>
      <c r="F445" s="52"/>
      <c r="G445" s="52"/>
      <c r="H445" s="53"/>
      <c r="I445" s="53"/>
      <c r="J445" s="52"/>
      <c r="K445" s="52"/>
      <c r="L445" s="52"/>
      <c r="M445" s="52"/>
      <c r="N445" s="52"/>
      <c r="O445" s="52"/>
      <c r="P445" s="9"/>
      <c r="Q445" s="9"/>
      <c r="R445" s="9"/>
      <c r="S445" s="50"/>
      <c r="T445" s="50"/>
      <c r="U445" s="9"/>
      <c r="V445" s="9"/>
      <c r="W445" s="9"/>
      <c r="X445" s="9"/>
      <c r="Y445" s="9"/>
      <c r="Z445" s="9"/>
      <c r="AA445" s="9"/>
    </row>
    <row r="446">
      <c r="A446" s="52"/>
      <c r="B446" s="50"/>
      <c r="C446" s="52"/>
      <c r="D446" s="52"/>
      <c r="E446" s="52"/>
      <c r="F446" s="52"/>
      <c r="G446" s="52"/>
      <c r="H446" s="53"/>
      <c r="I446" s="53"/>
      <c r="J446" s="52"/>
      <c r="K446" s="52"/>
      <c r="L446" s="52"/>
      <c r="M446" s="52"/>
      <c r="N446" s="52"/>
      <c r="O446" s="52"/>
      <c r="P446" s="9"/>
      <c r="Q446" s="9"/>
      <c r="R446" s="9"/>
      <c r="S446" s="50"/>
      <c r="T446" s="50"/>
      <c r="U446" s="9"/>
      <c r="V446" s="9"/>
      <c r="W446" s="9"/>
      <c r="X446" s="9"/>
      <c r="Y446" s="9"/>
      <c r="Z446" s="9"/>
      <c r="AA446" s="9"/>
    </row>
    <row r="447">
      <c r="A447" s="52"/>
      <c r="B447" s="50"/>
      <c r="C447" s="52"/>
      <c r="D447" s="52"/>
      <c r="E447" s="52"/>
      <c r="F447" s="52"/>
      <c r="G447" s="52"/>
      <c r="H447" s="53"/>
      <c r="I447" s="53"/>
      <c r="J447" s="52"/>
      <c r="K447" s="52"/>
      <c r="L447" s="52"/>
      <c r="M447" s="52"/>
      <c r="N447" s="52"/>
      <c r="O447" s="52"/>
      <c r="P447" s="9"/>
      <c r="Q447" s="9"/>
      <c r="R447" s="9"/>
      <c r="S447" s="50"/>
      <c r="T447" s="50"/>
      <c r="U447" s="9"/>
      <c r="V447" s="9"/>
      <c r="W447" s="9"/>
      <c r="X447" s="9"/>
      <c r="Y447" s="9"/>
      <c r="Z447" s="9"/>
      <c r="AA447" s="9"/>
    </row>
    <row r="448">
      <c r="A448" s="52"/>
      <c r="B448" s="50"/>
      <c r="C448" s="52"/>
      <c r="D448" s="52"/>
      <c r="E448" s="52"/>
      <c r="F448" s="52"/>
      <c r="G448" s="52"/>
      <c r="H448" s="53"/>
      <c r="I448" s="53"/>
      <c r="J448" s="52"/>
      <c r="K448" s="52"/>
      <c r="L448" s="52"/>
      <c r="M448" s="52"/>
      <c r="N448" s="52"/>
      <c r="O448" s="52"/>
      <c r="P448" s="9"/>
      <c r="Q448" s="9"/>
      <c r="R448" s="9"/>
      <c r="S448" s="50"/>
      <c r="T448" s="50"/>
      <c r="U448" s="9"/>
      <c r="V448" s="9"/>
      <c r="W448" s="9"/>
      <c r="X448" s="9"/>
      <c r="Y448" s="9"/>
      <c r="Z448" s="9"/>
      <c r="AA448" s="9"/>
    </row>
    <row r="449">
      <c r="A449" s="52"/>
      <c r="B449" s="50"/>
      <c r="C449" s="52"/>
      <c r="D449" s="52"/>
      <c r="E449" s="52"/>
      <c r="F449" s="52"/>
      <c r="G449" s="52"/>
      <c r="H449" s="53"/>
      <c r="I449" s="53"/>
      <c r="J449" s="52"/>
      <c r="K449" s="52"/>
      <c r="L449" s="52"/>
      <c r="M449" s="52"/>
      <c r="N449" s="52"/>
      <c r="O449" s="52"/>
      <c r="P449" s="9"/>
      <c r="Q449" s="9"/>
      <c r="R449" s="9"/>
      <c r="S449" s="50"/>
      <c r="T449" s="50"/>
      <c r="U449" s="9"/>
      <c r="V449" s="9"/>
      <c r="W449" s="9"/>
      <c r="X449" s="9"/>
      <c r="Y449" s="9"/>
      <c r="Z449" s="9"/>
      <c r="AA449" s="9"/>
    </row>
    <row r="450">
      <c r="A450" s="52"/>
      <c r="B450" s="50"/>
      <c r="C450" s="52"/>
      <c r="D450" s="52"/>
      <c r="E450" s="52"/>
      <c r="F450" s="52"/>
      <c r="G450" s="52"/>
      <c r="H450" s="53"/>
      <c r="I450" s="53"/>
      <c r="J450" s="52"/>
      <c r="K450" s="52"/>
      <c r="L450" s="52"/>
      <c r="M450" s="52"/>
      <c r="N450" s="52"/>
      <c r="O450" s="52"/>
      <c r="P450" s="9"/>
      <c r="Q450" s="9"/>
      <c r="R450" s="9"/>
      <c r="S450" s="50"/>
      <c r="T450" s="50"/>
      <c r="U450" s="9"/>
      <c r="V450" s="9"/>
      <c r="W450" s="9"/>
      <c r="X450" s="9"/>
      <c r="Y450" s="9"/>
      <c r="Z450" s="9"/>
      <c r="AA450" s="9"/>
    </row>
    <row r="451">
      <c r="A451" s="52"/>
      <c r="B451" s="50"/>
      <c r="C451" s="52"/>
      <c r="D451" s="52"/>
      <c r="E451" s="52"/>
      <c r="F451" s="52"/>
      <c r="G451" s="52"/>
      <c r="H451" s="53"/>
      <c r="I451" s="53"/>
      <c r="J451" s="52"/>
      <c r="K451" s="52"/>
      <c r="L451" s="52"/>
      <c r="M451" s="52"/>
      <c r="N451" s="52"/>
      <c r="O451" s="52"/>
      <c r="P451" s="9"/>
      <c r="Q451" s="9"/>
      <c r="R451" s="9"/>
      <c r="S451" s="50"/>
      <c r="T451" s="50"/>
      <c r="U451" s="9"/>
      <c r="V451" s="9"/>
      <c r="W451" s="9"/>
      <c r="X451" s="9"/>
      <c r="Y451" s="9"/>
      <c r="Z451" s="9"/>
      <c r="AA451" s="9"/>
    </row>
    <row r="452">
      <c r="A452" s="52"/>
      <c r="B452" s="50"/>
      <c r="C452" s="52"/>
      <c r="D452" s="52"/>
      <c r="E452" s="52"/>
      <c r="F452" s="52"/>
      <c r="G452" s="52"/>
      <c r="H452" s="53"/>
      <c r="I452" s="53"/>
      <c r="J452" s="52"/>
      <c r="K452" s="52"/>
      <c r="L452" s="52"/>
      <c r="M452" s="52"/>
      <c r="N452" s="52"/>
      <c r="O452" s="52"/>
      <c r="P452" s="9"/>
      <c r="Q452" s="9"/>
      <c r="R452" s="9"/>
      <c r="S452" s="50"/>
      <c r="T452" s="50"/>
      <c r="U452" s="9"/>
      <c r="V452" s="9"/>
      <c r="W452" s="9"/>
      <c r="X452" s="9"/>
      <c r="Y452" s="9"/>
      <c r="Z452" s="9"/>
      <c r="AA452" s="9"/>
    </row>
    <row r="453">
      <c r="A453" s="52"/>
      <c r="B453" s="50"/>
      <c r="C453" s="52"/>
      <c r="D453" s="52"/>
      <c r="E453" s="52"/>
      <c r="F453" s="52"/>
      <c r="G453" s="52"/>
      <c r="H453" s="53"/>
      <c r="I453" s="53"/>
      <c r="J453" s="52"/>
      <c r="K453" s="52"/>
      <c r="L453" s="52"/>
      <c r="M453" s="52"/>
      <c r="N453" s="52"/>
      <c r="O453" s="52"/>
      <c r="P453" s="9"/>
      <c r="Q453" s="9"/>
      <c r="R453" s="9"/>
      <c r="S453" s="50"/>
      <c r="T453" s="50"/>
      <c r="U453" s="9"/>
      <c r="V453" s="9"/>
      <c r="W453" s="9"/>
      <c r="X453" s="9"/>
      <c r="Y453" s="9"/>
      <c r="Z453" s="9"/>
      <c r="AA453" s="9"/>
    </row>
    <row r="454">
      <c r="A454" s="52"/>
      <c r="B454" s="50"/>
      <c r="C454" s="52"/>
      <c r="D454" s="52"/>
      <c r="E454" s="52"/>
      <c r="F454" s="52"/>
      <c r="G454" s="52"/>
      <c r="H454" s="53"/>
      <c r="I454" s="53"/>
      <c r="J454" s="52"/>
      <c r="K454" s="52"/>
      <c r="L454" s="52"/>
      <c r="M454" s="52"/>
      <c r="N454" s="52"/>
      <c r="O454" s="52"/>
      <c r="P454" s="9"/>
      <c r="Q454" s="9"/>
      <c r="R454" s="9"/>
      <c r="S454" s="50"/>
      <c r="T454" s="50"/>
      <c r="U454" s="9"/>
      <c r="V454" s="9"/>
      <c r="W454" s="9"/>
      <c r="X454" s="9"/>
      <c r="Y454" s="9"/>
      <c r="Z454" s="9"/>
      <c r="AA454" s="9"/>
    </row>
    <row r="455">
      <c r="A455" s="52"/>
      <c r="B455" s="50"/>
      <c r="C455" s="52"/>
      <c r="D455" s="52"/>
      <c r="E455" s="52"/>
      <c r="F455" s="52"/>
      <c r="G455" s="52"/>
      <c r="H455" s="53"/>
      <c r="I455" s="53"/>
      <c r="J455" s="52"/>
      <c r="K455" s="52"/>
      <c r="L455" s="52"/>
      <c r="M455" s="52"/>
      <c r="N455" s="52"/>
      <c r="O455" s="52"/>
      <c r="P455" s="9"/>
      <c r="Q455" s="9"/>
      <c r="R455" s="9"/>
      <c r="S455" s="50"/>
      <c r="T455" s="50"/>
      <c r="U455" s="9"/>
      <c r="V455" s="9"/>
      <c r="W455" s="9"/>
      <c r="X455" s="9"/>
      <c r="Y455" s="9"/>
      <c r="Z455" s="9"/>
      <c r="AA455" s="9"/>
    </row>
    <row r="456">
      <c r="A456" s="52"/>
      <c r="B456" s="50"/>
      <c r="C456" s="52"/>
      <c r="D456" s="52"/>
      <c r="E456" s="52"/>
      <c r="F456" s="52"/>
      <c r="G456" s="52"/>
      <c r="H456" s="53"/>
      <c r="I456" s="53"/>
      <c r="J456" s="52"/>
      <c r="K456" s="52"/>
      <c r="L456" s="52"/>
      <c r="M456" s="52"/>
      <c r="N456" s="52"/>
      <c r="O456" s="52"/>
      <c r="P456" s="9"/>
      <c r="Q456" s="9"/>
      <c r="R456" s="9"/>
      <c r="S456" s="50"/>
      <c r="T456" s="50"/>
      <c r="U456" s="9"/>
      <c r="V456" s="9"/>
      <c r="W456" s="9"/>
      <c r="X456" s="9"/>
      <c r="Y456" s="9"/>
      <c r="Z456" s="9"/>
      <c r="AA456" s="9"/>
    </row>
    <row r="457">
      <c r="A457" s="52"/>
      <c r="B457" s="50"/>
      <c r="C457" s="52"/>
      <c r="D457" s="52"/>
      <c r="E457" s="52"/>
      <c r="F457" s="52"/>
      <c r="G457" s="52"/>
      <c r="H457" s="53"/>
      <c r="I457" s="53"/>
      <c r="J457" s="52"/>
      <c r="K457" s="52"/>
      <c r="L457" s="52"/>
      <c r="M457" s="52"/>
      <c r="N457" s="52"/>
      <c r="O457" s="52"/>
      <c r="P457" s="9"/>
      <c r="Q457" s="9"/>
      <c r="R457" s="9"/>
      <c r="S457" s="50"/>
      <c r="T457" s="50"/>
      <c r="U457" s="9"/>
      <c r="V457" s="9"/>
      <c r="W457" s="9"/>
      <c r="X457" s="9"/>
      <c r="Y457" s="9"/>
      <c r="Z457" s="9"/>
      <c r="AA457" s="9"/>
    </row>
    <row r="458">
      <c r="A458" s="52"/>
      <c r="B458" s="50"/>
      <c r="C458" s="52"/>
      <c r="D458" s="52"/>
      <c r="E458" s="52"/>
      <c r="F458" s="52"/>
      <c r="G458" s="52"/>
      <c r="H458" s="53"/>
      <c r="I458" s="53"/>
      <c r="J458" s="52"/>
      <c r="K458" s="52"/>
      <c r="L458" s="52"/>
      <c r="M458" s="52"/>
      <c r="N458" s="52"/>
      <c r="O458" s="52"/>
      <c r="P458" s="9"/>
      <c r="Q458" s="9"/>
      <c r="R458" s="9"/>
      <c r="S458" s="50"/>
      <c r="T458" s="50"/>
      <c r="U458" s="9"/>
      <c r="V458" s="9"/>
      <c r="W458" s="9"/>
      <c r="X458" s="9"/>
      <c r="Y458" s="9"/>
      <c r="Z458" s="9"/>
      <c r="AA458" s="9"/>
    </row>
    <row r="459">
      <c r="A459" s="52"/>
      <c r="B459" s="50"/>
      <c r="C459" s="52"/>
      <c r="D459" s="52"/>
      <c r="E459" s="52"/>
      <c r="F459" s="52"/>
      <c r="G459" s="52"/>
      <c r="H459" s="53"/>
      <c r="I459" s="53"/>
      <c r="J459" s="52"/>
      <c r="K459" s="52"/>
      <c r="L459" s="52"/>
      <c r="M459" s="52"/>
      <c r="N459" s="52"/>
      <c r="O459" s="52"/>
      <c r="P459" s="9"/>
      <c r="Q459" s="9"/>
      <c r="R459" s="9"/>
      <c r="S459" s="50"/>
      <c r="T459" s="50"/>
      <c r="U459" s="9"/>
      <c r="V459" s="9"/>
      <c r="W459" s="9"/>
      <c r="X459" s="9"/>
      <c r="Y459" s="9"/>
      <c r="Z459" s="9"/>
      <c r="AA459" s="9"/>
    </row>
    <row r="460">
      <c r="A460" s="52"/>
      <c r="B460" s="50"/>
      <c r="C460" s="52"/>
      <c r="D460" s="52"/>
      <c r="E460" s="52"/>
      <c r="F460" s="52"/>
      <c r="G460" s="52"/>
      <c r="H460" s="53"/>
      <c r="I460" s="53"/>
      <c r="J460" s="52"/>
      <c r="K460" s="52"/>
      <c r="L460" s="52"/>
      <c r="M460" s="52"/>
      <c r="N460" s="52"/>
      <c r="O460" s="52"/>
      <c r="P460" s="9"/>
      <c r="Q460" s="9"/>
      <c r="R460" s="9"/>
      <c r="S460" s="50"/>
      <c r="T460" s="50"/>
      <c r="U460" s="9"/>
      <c r="V460" s="9"/>
      <c r="W460" s="9"/>
      <c r="X460" s="9"/>
      <c r="Y460" s="9"/>
      <c r="Z460" s="9"/>
      <c r="AA460" s="9"/>
    </row>
    <row r="461">
      <c r="A461" s="52"/>
      <c r="B461" s="50"/>
      <c r="C461" s="52"/>
      <c r="D461" s="52"/>
      <c r="E461" s="52"/>
      <c r="F461" s="52"/>
      <c r="G461" s="52"/>
      <c r="H461" s="53"/>
      <c r="I461" s="53"/>
      <c r="J461" s="52"/>
      <c r="K461" s="52"/>
      <c r="L461" s="52"/>
      <c r="M461" s="52"/>
      <c r="N461" s="52"/>
      <c r="O461" s="52"/>
      <c r="P461" s="9"/>
      <c r="Q461" s="9"/>
      <c r="R461" s="9"/>
      <c r="S461" s="50"/>
      <c r="T461" s="50"/>
      <c r="U461" s="9"/>
      <c r="V461" s="9"/>
      <c r="W461" s="9"/>
      <c r="X461" s="9"/>
      <c r="Y461" s="9"/>
      <c r="Z461" s="9"/>
      <c r="AA461" s="9"/>
    </row>
    <row r="462">
      <c r="A462" s="52"/>
      <c r="B462" s="50"/>
      <c r="C462" s="52"/>
      <c r="D462" s="52"/>
      <c r="E462" s="52"/>
      <c r="F462" s="52"/>
      <c r="G462" s="52"/>
      <c r="H462" s="53"/>
      <c r="I462" s="53"/>
      <c r="J462" s="52"/>
      <c r="K462" s="52"/>
      <c r="L462" s="52"/>
      <c r="M462" s="52"/>
      <c r="N462" s="52"/>
      <c r="O462" s="52"/>
      <c r="P462" s="9"/>
      <c r="Q462" s="9"/>
      <c r="R462" s="9"/>
      <c r="S462" s="50"/>
      <c r="T462" s="50"/>
      <c r="U462" s="9"/>
      <c r="V462" s="9"/>
      <c r="W462" s="9"/>
      <c r="X462" s="9"/>
      <c r="Y462" s="9"/>
      <c r="Z462" s="9"/>
      <c r="AA462" s="9"/>
    </row>
    <row r="463">
      <c r="A463" s="52"/>
      <c r="B463" s="50"/>
      <c r="C463" s="52"/>
      <c r="D463" s="52"/>
      <c r="E463" s="52"/>
      <c r="F463" s="52"/>
      <c r="G463" s="52"/>
      <c r="H463" s="53"/>
      <c r="I463" s="53"/>
      <c r="J463" s="52"/>
      <c r="K463" s="52"/>
      <c r="L463" s="52"/>
      <c r="M463" s="52"/>
      <c r="N463" s="52"/>
      <c r="O463" s="52"/>
      <c r="P463" s="9"/>
      <c r="Q463" s="9"/>
      <c r="R463" s="9"/>
      <c r="S463" s="50"/>
      <c r="T463" s="50"/>
      <c r="U463" s="9"/>
      <c r="V463" s="9"/>
      <c r="W463" s="9"/>
      <c r="X463" s="9"/>
      <c r="Y463" s="9"/>
      <c r="Z463" s="9"/>
      <c r="AA463" s="9"/>
    </row>
    <row r="464">
      <c r="A464" s="52"/>
      <c r="B464" s="50"/>
      <c r="C464" s="52"/>
      <c r="D464" s="52"/>
      <c r="E464" s="52"/>
      <c r="F464" s="52"/>
      <c r="G464" s="52"/>
      <c r="H464" s="53"/>
      <c r="I464" s="53"/>
      <c r="J464" s="52"/>
      <c r="K464" s="52"/>
      <c r="L464" s="52"/>
      <c r="M464" s="52"/>
      <c r="N464" s="52"/>
      <c r="O464" s="52"/>
      <c r="P464" s="9"/>
      <c r="Q464" s="9"/>
      <c r="R464" s="9"/>
      <c r="S464" s="50"/>
      <c r="T464" s="50"/>
      <c r="U464" s="9"/>
      <c r="V464" s="9"/>
      <c r="W464" s="9"/>
      <c r="X464" s="9"/>
      <c r="Y464" s="9"/>
      <c r="Z464" s="9"/>
      <c r="AA464" s="9"/>
    </row>
    <row r="465">
      <c r="A465" s="52"/>
      <c r="B465" s="50"/>
      <c r="C465" s="52"/>
      <c r="D465" s="52"/>
      <c r="E465" s="52"/>
      <c r="F465" s="52"/>
      <c r="G465" s="52"/>
      <c r="H465" s="53"/>
      <c r="I465" s="53"/>
      <c r="J465" s="52"/>
      <c r="K465" s="52"/>
      <c r="L465" s="52"/>
      <c r="M465" s="52"/>
      <c r="N465" s="52"/>
      <c r="O465" s="52"/>
      <c r="P465" s="9"/>
      <c r="Q465" s="9"/>
      <c r="R465" s="9"/>
      <c r="S465" s="50"/>
      <c r="T465" s="50"/>
      <c r="U465" s="9"/>
      <c r="V465" s="9"/>
      <c r="W465" s="9"/>
      <c r="X465" s="9"/>
      <c r="Y465" s="9"/>
      <c r="Z465" s="9"/>
      <c r="AA465" s="9"/>
    </row>
    <row r="466">
      <c r="A466" s="52"/>
      <c r="B466" s="50"/>
      <c r="C466" s="52"/>
      <c r="D466" s="52"/>
      <c r="E466" s="52"/>
      <c r="F466" s="52"/>
      <c r="G466" s="52"/>
      <c r="H466" s="53"/>
      <c r="I466" s="53"/>
      <c r="J466" s="52"/>
      <c r="K466" s="52"/>
      <c r="L466" s="52"/>
      <c r="M466" s="52"/>
      <c r="N466" s="52"/>
      <c r="O466" s="52"/>
      <c r="P466" s="9"/>
      <c r="Q466" s="9"/>
      <c r="R466" s="9"/>
      <c r="S466" s="50"/>
      <c r="T466" s="50"/>
      <c r="U466" s="9"/>
      <c r="V466" s="9"/>
      <c r="W466" s="9"/>
      <c r="X466" s="9"/>
      <c r="Y466" s="9"/>
      <c r="Z466" s="9"/>
      <c r="AA466" s="9"/>
    </row>
    <row r="467">
      <c r="A467" s="52"/>
      <c r="B467" s="50"/>
      <c r="C467" s="52"/>
      <c r="D467" s="52"/>
      <c r="E467" s="52"/>
      <c r="F467" s="52"/>
      <c r="G467" s="52"/>
      <c r="H467" s="53"/>
      <c r="I467" s="53"/>
      <c r="J467" s="52"/>
      <c r="K467" s="52"/>
      <c r="L467" s="52"/>
      <c r="M467" s="52"/>
      <c r="N467" s="52"/>
      <c r="O467" s="52"/>
      <c r="P467" s="9"/>
      <c r="Q467" s="9"/>
      <c r="R467" s="9"/>
      <c r="S467" s="50"/>
      <c r="T467" s="50"/>
      <c r="U467" s="9"/>
      <c r="V467" s="9"/>
      <c r="W467" s="9"/>
      <c r="X467" s="9"/>
      <c r="Y467" s="9"/>
      <c r="Z467" s="9"/>
      <c r="AA467" s="9"/>
    </row>
    <row r="468">
      <c r="A468" s="52"/>
      <c r="B468" s="50"/>
      <c r="C468" s="52"/>
      <c r="D468" s="52"/>
      <c r="E468" s="52"/>
      <c r="F468" s="52"/>
      <c r="G468" s="52"/>
      <c r="H468" s="53"/>
      <c r="I468" s="53"/>
      <c r="J468" s="52"/>
      <c r="K468" s="52"/>
      <c r="L468" s="52"/>
      <c r="M468" s="52"/>
      <c r="N468" s="52"/>
      <c r="O468" s="52"/>
      <c r="P468" s="9"/>
      <c r="Q468" s="9"/>
      <c r="R468" s="9"/>
      <c r="S468" s="50"/>
      <c r="T468" s="50"/>
      <c r="U468" s="9"/>
      <c r="V468" s="9"/>
      <c r="W468" s="9"/>
      <c r="X468" s="9"/>
      <c r="Y468" s="9"/>
      <c r="Z468" s="9"/>
      <c r="AA468" s="9"/>
    </row>
    <row r="469">
      <c r="A469" s="52"/>
      <c r="B469" s="50"/>
      <c r="C469" s="52"/>
      <c r="D469" s="52"/>
      <c r="E469" s="52"/>
      <c r="F469" s="52"/>
      <c r="G469" s="52"/>
      <c r="H469" s="53"/>
      <c r="I469" s="53"/>
      <c r="J469" s="52"/>
      <c r="K469" s="52"/>
      <c r="L469" s="52"/>
      <c r="M469" s="52"/>
      <c r="N469" s="52"/>
      <c r="O469" s="52"/>
      <c r="P469" s="9"/>
      <c r="Q469" s="9"/>
      <c r="R469" s="9"/>
      <c r="S469" s="50"/>
      <c r="T469" s="50"/>
      <c r="U469" s="9"/>
      <c r="V469" s="9"/>
      <c r="W469" s="9"/>
      <c r="X469" s="9"/>
      <c r="Y469" s="9"/>
      <c r="Z469" s="9"/>
      <c r="AA469" s="9"/>
    </row>
    <row r="470">
      <c r="A470" s="52"/>
      <c r="B470" s="50"/>
      <c r="C470" s="52"/>
      <c r="D470" s="52"/>
      <c r="E470" s="52"/>
      <c r="F470" s="52"/>
      <c r="G470" s="52"/>
      <c r="H470" s="53"/>
      <c r="I470" s="53"/>
      <c r="J470" s="52"/>
      <c r="K470" s="52"/>
      <c r="L470" s="52"/>
      <c r="M470" s="52"/>
      <c r="N470" s="52"/>
      <c r="O470" s="52"/>
      <c r="P470" s="9"/>
      <c r="Q470" s="9"/>
      <c r="R470" s="9"/>
      <c r="S470" s="50"/>
      <c r="T470" s="50"/>
      <c r="U470" s="9"/>
      <c r="V470" s="9"/>
      <c r="W470" s="9"/>
      <c r="X470" s="9"/>
      <c r="Y470" s="9"/>
      <c r="Z470" s="9"/>
      <c r="AA470" s="9"/>
    </row>
    <row r="471">
      <c r="A471" s="52"/>
      <c r="B471" s="50"/>
      <c r="C471" s="52"/>
      <c r="D471" s="52"/>
      <c r="E471" s="52"/>
      <c r="F471" s="52"/>
      <c r="G471" s="52"/>
      <c r="H471" s="53"/>
      <c r="I471" s="53"/>
      <c r="J471" s="52"/>
      <c r="K471" s="52"/>
      <c r="L471" s="52"/>
      <c r="M471" s="52"/>
      <c r="N471" s="52"/>
      <c r="O471" s="52"/>
      <c r="P471" s="9"/>
      <c r="Q471" s="9"/>
      <c r="R471" s="9"/>
      <c r="S471" s="50"/>
      <c r="T471" s="50"/>
      <c r="U471" s="9"/>
      <c r="V471" s="9"/>
      <c r="W471" s="9"/>
      <c r="X471" s="9"/>
      <c r="Y471" s="9"/>
      <c r="Z471" s="9"/>
      <c r="AA471" s="9"/>
    </row>
    <row r="472">
      <c r="A472" s="52"/>
      <c r="B472" s="50"/>
      <c r="C472" s="52"/>
      <c r="D472" s="52"/>
      <c r="E472" s="52"/>
      <c r="F472" s="52"/>
      <c r="G472" s="52"/>
      <c r="H472" s="53"/>
      <c r="I472" s="53"/>
      <c r="J472" s="52"/>
      <c r="K472" s="52"/>
      <c r="L472" s="52"/>
      <c r="M472" s="52"/>
      <c r="N472" s="52"/>
      <c r="O472" s="52"/>
      <c r="P472" s="9"/>
      <c r="Q472" s="9"/>
      <c r="R472" s="9"/>
      <c r="S472" s="50"/>
      <c r="T472" s="50"/>
      <c r="U472" s="9"/>
      <c r="V472" s="9"/>
      <c r="W472" s="9"/>
      <c r="X472" s="9"/>
      <c r="Y472" s="9"/>
      <c r="Z472" s="9"/>
      <c r="AA472" s="9"/>
    </row>
    <row r="473">
      <c r="A473" s="52"/>
      <c r="B473" s="50"/>
      <c r="C473" s="52"/>
      <c r="D473" s="52"/>
      <c r="E473" s="52"/>
      <c r="F473" s="52"/>
      <c r="G473" s="52"/>
      <c r="H473" s="53"/>
      <c r="I473" s="53"/>
      <c r="J473" s="52"/>
      <c r="K473" s="52"/>
      <c r="L473" s="52"/>
      <c r="M473" s="52"/>
      <c r="N473" s="52"/>
      <c r="O473" s="52"/>
      <c r="P473" s="9"/>
      <c r="Q473" s="9"/>
      <c r="R473" s="9"/>
      <c r="S473" s="50"/>
      <c r="T473" s="50"/>
      <c r="U473" s="9"/>
      <c r="V473" s="9"/>
      <c r="W473" s="9"/>
      <c r="X473" s="9"/>
      <c r="Y473" s="9"/>
      <c r="Z473" s="9"/>
      <c r="AA473" s="9"/>
    </row>
    <row r="474">
      <c r="A474" s="52"/>
      <c r="B474" s="50"/>
      <c r="C474" s="52"/>
      <c r="D474" s="52"/>
      <c r="E474" s="52"/>
      <c r="F474" s="52"/>
      <c r="G474" s="52"/>
      <c r="H474" s="53"/>
      <c r="I474" s="53"/>
      <c r="J474" s="52"/>
      <c r="K474" s="52"/>
      <c r="L474" s="52"/>
      <c r="M474" s="52"/>
      <c r="N474" s="52"/>
      <c r="O474" s="52"/>
      <c r="P474" s="9"/>
      <c r="Q474" s="9"/>
      <c r="R474" s="9"/>
      <c r="S474" s="50"/>
      <c r="T474" s="50"/>
      <c r="U474" s="9"/>
      <c r="V474" s="9"/>
      <c r="W474" s="9"/>
      <c r="X474" s="9"/>
      <c r="Y474" s="9"/>
      <c r="Z474" s="9"/>
      <c r="AA474" s="9"/>
    </row>
    <row r="475">
      <c r="A475" s="52"/>
      <c r="B475" s="50"/>
      <c r="C475" s="52"/>
      <c r="D475" s="52"/>
      <c r="E475" s="52"/>
      <c r="F475" s="52"/>
      <c r="G475" s="52"/>
      <c r="H475" s="53"/>
      <c r="I475" s="53"/>
      <c r="J475" s="52"/>
      <c r="K475" s="52"/>
      <c r="L475" s="52"/>
      <c r="M475" s="52"/>
      <c r="N475" s="52"/>
      <c r="O475" s="52"/>
      <c r="P475" s="9"/>
      <c r="Q475" s="9"/>
      <c r="R475" s="9"/>
      <c r="S475" s="50"/>
      <c r="T475" s="50"/>
      <c r="U475" s="9"/>
      <c r="V475" s="9"/>
      <c r="W475" s="9"/>
      <c r="X475" s="9"/>
      <c r="Y475" s="9"/>
      <c r="Z475" s="9"/>
      <c r="AA475" s="9"/>
    </row>
    <row r="476">
      <c r="A476" s="52"/>
      <c r="B476" s="50"/>
      <c r="C476" s="52"/>
      <c r="D476" s="52"/>
      <c r="E476" s="52"/>
      <c r="F476" s="52"/>
      <c r="G476" s="52"/>
      <c r="H476" s="53"/>
      <c r="I476" s="53"/>
      <c r="J476" s="52"/>
      <c r="K476" s="52"/>
      <c r="L476" s="52"/>
      <c r="M476" s="52"/>
      <c r="N476" s="52"/>
      <c r="O476" s="52"/>
      <c r="P476" s="9"/>
      <c r="Q476" s="9"/>
      <c r="R476" s="9"/>
      <c r="S476" s="50"/>
      <c r="T476" s="50"/>
      <c r="U476" s="9"/>
      <c r="V476" s="9"/>
      <c r="W476" s="9"/>
      <c r="X476" s="9"/>
      <c r="Y476" s="9"/>
      <c r="Z476" s="9"/>
      <c r="AA476" s="9"/>
    </row>
    <row r="477">
      <c r="A477" s="52"/>
      <c r="B477" s="50"/>
      <c r="C477" s="52"/>
      <c r="D477" s="52"/>
      <c r="E477" s="52"/>
      <c r="F477" s="52"/>
      <c r="G477" s="52"/>
      <c r="H477" s="53"/>
      <c r="I477" s="53"/>
      <c r="J477" s="52"/>
      <c r="K477" s="52"/>
      <c r="L477" s="52"/>
      <c r="M477" s="52"/>
      <c r="N477" s="52"/>
      <c r="O477" s="52"/>
      <c r="P477" s="9"/>
      <c r="Q477" s="9"/>
      <c r="R477" s="9"/>
      <c r="S477" s="50"/>
      <c r="T477" s="50"/>
      <c r="U477" s="9"/>
      <c r="V477" s="9"/>
      <c r="W477" s="9"/>
      <c r="X477" s="9"/>
      <c r="Y477" s="9"/>
      <c r="Z477" s="9"/>
      <c r="AA477" s="9"/>
    </row>
    <row r="478">
      <c r="A478" s="52"/>
      <c r="B478" s="50"/>
      <c r="C478" s="52"/>
      <c r="D478" s="52"/>
      <c r="E478" s="52"/>
      <c r="F478" s="52"/>
      <c r="G478" s="52"/>
      <c r="H478" s="53"/>
      <c r="I478" s="53"/>
      <c r="J478" s="52"/>
      <c r="K478" s="52"/>
      <c r="L478" s="52"/>
      <c r="M478" s="52"/>
      <c r="N478" s="52"/>
      <c r="O478" s="52"/>
      <c r="P478" s="9"/>
      <c r="Q478" s="9"/>
      <c r="R478" s="9"/>
      <c r="S478" s="50"/>
      <c r="T478" s="50"/>
      <c r="U478" s="9"/>
      <c r="V478" s="9"/>
      <c r="W478" s="9"/>
      <c r="X478" s="9"/>
      <c r="Y478" s="9"/>
      <c r="Z478" s="9"/>
      <c r="AA478" s="9"/>
    </row>
    <row r="479">
      <c r="A479" s="52"/>
      <c r="B479" s="50"/>
      <c r="C479" s="52"/>
      <c r="D479" s="52"/>
      <c r="E479" s="52"/>
      <c r="F479" s="52"/>
      <c r="G479" s="52"/>
      <c r="H479" s="53"/>
      <c r="I479" s="53"/>
      <c r="J479" s="52"/>
      <c r="K479" s="52"/>
      <c r="L479" s="52"/>
      <c r="M479" s="52"/>
      <c r="N479" s="52"/>
      <c r="O479" s="52"/>
      <c r="P479" s="9"/>
      <c r="Q479" s="9"/>
      <c r="R479" s="9"/>
      <c r="S479" s="50"/>
      <c r="T479" s="50"/>
      <c r="U479" s="9"/>
      <c r="V479" s="9"/>
      <c r="W479" s="9"/>
      <c r="X479" s="9"/>
      <c r="Y479" s="9"/>
      <c r="Z479" s="9"/>
      <c r="AA479" s="9"/>
    </row>
    <row r="480">
      <c r="A480" s="52"/>
      <c r="B480" s="50"/>
      <c r="C480" s="52"/>
      <c r="D480" s="52"/>
      <c r="E480" s="52"/>
      <c r="F480" s="52"/>
      <c r="G480" s="52"/>
      <c r="H480" s="53"/>
      <c r="I480" s="53"/>
      <c r="J480" s="52"/>
      <c r="K480" s="52"/>
      <c r="L480" s="52"/>
      <c r="M480" s="52"/>
      <c r="N480" s="52"/>
      <c r="O480" s="52"/>
      <c r="P480" s="9"/>
      <c r="Q480" s="9"/>
      <c r="R480" s="9"/>
      <c r="S480" s="50"/>
      <c r="T480" s="50"/>
      <c r="U480" s="9"/>
      <c r="V480" s="9"/>
      <c r="W480" s="9"/>
      <c r="X480" s="9"/>
      <c r="Y480" s="9"/>
      <c r="Z480" s="9"/>
      <c r="AA480" s="9"/>
    </row>
    <row r="481">
      <c r="A481" s="52"/>
      <c r="B481" s="50"/>
      <c r="C481" s="52"/>
      <c r="D481" s="52"/>
      <c r="E481" s="52"/>
      <c r="F481" s="52"/>
      <c r="G481" s="52"/>
      <c r="H481" s="53"/>
      <c r="I481" s="53"/>
      <c r="J481" s="52"/>
      <c r="K481" s="52"/>
      <c r="L481" s="52"/>
      <c r="M481" s="52"/>
      <c r="N481" s="52"/>
      <c r="O481" s="52"/>
      <c r="P481" s="9"/>
      <c r="Q481" s="9"/>
      <c r="R481" s="9"/>
      <c r="S481" s="50"/>
      <c r="T481" s="50"/>
      <c r="U481" s="9"/>
      <c r="V481" s="9"/>
      <c r="W481" s="9"/>
      <c r="X481" s="9"/>
      <c r="Y481" s="9"/>
      <c r="Z481" s="9"/>
      <c r="AA481" s="9"/>
    </row>
    <row r="482">
      <c r="A482" s="52"/>
      <c r="B482" s="50"/>
      <c r="C482" s="52"/>
      <c r="D482" s="52"/>
      <c r="E482" s="52"/>
      <c r="F482" s="52"/>
      <c r="G482" s="52"/>
      <c r="H482" s="53"/>
      <c r="I482" s="53"/>
      <c r="J482" s="52"/>
      <c r="K482" s="52"/>
      <c r="L482" s="52"/>
      <c r="M482" s="52"/>
      <c r="N482" s="52"/>
      <c r="O482" s="52"/>
      <c r="P482" s="9"/>
      <c r="Q482" s="9"/>
      <c r="R482" s="9"/>
      <c r="S482" s="50"/>
      <c r="T482" s="50"/>
      <c r="U482" s="9"/>
      <c r="V482" s="9"/>
      <c r="W482" s="9"/>
      <c r="X482" s="9"/>
      <c r="Y482" s="9"/>
      <c r="Z482" s="9"/>
      <c r="AA482" s="9"/>
    </row>
    <row r="483">
      <c r="A483" s="52"/>
      <c r="B483" s="50"/>
      <c r="C483" s="52"/>
      <c r="D483" s="52"/>
      <c r="E483" s="52"/>
      <c r="F483" s="52"/>
      <c r="G483" s="52"/>
      <c r="H483" s="53"/>
      <c r="I483" s="53"/>
      <c r="J483" s="52"/>
      <c r="K483" s="52"/>
      <c r="L483" s="52"/>
      <c r="M483" s="52"/>
      <c r="N483" s="52"/>
      <c r="O483" s="52"/>
      <c r="P483" s="9"/>
      <c r="Q483" s="9"/>
      <c r="R483" s="9"/>
      <c r="S483" s="50"/>
      <c r="T483" s="50"/>
      <c r="U483" s="9"/>
      <c r="V483" s="9"/>
      <c r="W483" s="9"/>
      <c r="X483" s="9"/>
      <c r="Y483" s="9"/>
      <c r="Z483" s="9"/>
      <c r="AA483" s="9"/>
    </row>
    <row r="484">
      <c r="A484" s="52"/>
      <c r="B484" s="50"/>
      <c r="C484" s="52"/>
      <c r="D484" s="52"/>
      <c r="E484" s="52"/>
      <c r="F484" s="52"/>
      <c r="G484" s="52"/>
      <c r="H484" s="53"/>
      <c r="I484" s="53"/>
      <c r="J484" s="52"/>
      <c r="K484" s="52"/>
      <c r="L484" s="52"/>
      <c r="M484" s="52"/>
      <c r="N484" s="52"/>
      <c r="O484" s="52"/>
      <c r="P484" s="9"/>
      <c r="Q484" s="9"/>
      <c r="R484" s="9"/>
      <c r="S484" s="50"/>
      <c r="T484" s="50"/>
      <c r="U484" s="9"/>
      <c r="V484" s="9"/>
      <c r="W484" s="9"/>
      <c r="X484" s="9"/>
      <c r="Y484" s="9"/>
      <c r="Z484" s="9"/>
      <c r="AA484" s="9"/>
    </row>
    <row r="485">
      <c r="A485" s="52"/>
      <c r="B485" s="50"/>
      <c r="C485" s="52"/>
      <c r="D485" s="52"/>
      <c r="E485" s="52"/>
      <c r="F485" s="52"/>
      <c r="G485" s="52"/>
      <c r="H485" s="53"/>
      <c r="I485" s="53"/>
      <c r="J485" s="52"/>
      <c r="K485" s="52"/>
      <c r="L485" s="52"/>
      <c r="M485" s="52"/>
      <c r="N485" s="52"/>
      <c r="O485" s="52"/>
      <c r="P485" s="9"/>
      <c r="Q485" s="9"/>
      <c r="R485" s="9"/>
      <c r="S485" s="50"/>
      <c r="T485" s="50"/>
      <c r="U485" s="9"/>
      <c r="V485" s="9"/>
      <c r="W485" s="9"/>
      <c r="X485" s="9"/>
      <c r="Y485" s="9"/>
      <c r="Z485" s="9"/>
      <c r="AA485" s="9"/>
    </row>
    <row r="486">
      <c r="A486" s="52"/>
      <c r="B486" s="50"/>
      <c r="C486" s="52"/>
      <c r="D486" s="52"/>
      <c r="E486" s="52"/>
      <c r="F486" s="52"/>
      <c r="G486" s="52"/>
      <c r="H486" s="53"/>
      <c r="I486" s="53"/>
      <c r="J486" s="52"/>
      <c r="K486" s="52"/>
      <c r="L486" s="52"/>
      <c r="M486" s="52"/>
      <c r="N486" s="52"/>
      <c r="O486" s="52"/>
      <c r="P486" s="9"/>
      <c r="Q486" s="9"/>
      <c r="R486" s="9"/>
      <c r="S486" s="50"/>
      <c r="T486" s="50"/>
      <c r="U486" s="9"/>
      <c r="V486" s="9"/>
      <c r="W486" s="9"/>
      <c r="X486" s="9"/>
      <c r="Y486" s="9"/>
      <c r="Z486" s="9"/>
      <c r="AA486" s="9"/>
    </row>
    <row r="487">
      <c r="A487" s="52"/>
      <c r="B487" s="50"/>
      <c r="C487" s="52"/>
      <c r="D487" s="52"/>
      <c r="E487" s="52"/>
      <c r="F487" s="52"/>
      <c r="G487" s="52"/>
      <c r="H487" s="53"/>
      <c r="I487" s="53"/>
      <c r="J487" s="52"/>
      <c r="K487" s="52"/>
      <c r="L487" s="52"/>
      <c r="M487" s="52"/>
      <c r="N487" s="52"/>
      <c r="O487" s="52"/>
      <c r="P487" s="9"/>
      <c r="Q487" s="9"/>
      <c r="R487" s="9"/>
      <c r="S487" s="50"/>
      <c r="T487" s="50"/>
      <c r="U487" s="9"/>
      <c r="V487" s="9"/>
      <c r="W487" s="9"/>
      <c r="X487" s="9"/>
      <c r="Y487" s="9"/>
      <c r="Z487" s="9"/>
      <c r="AA487" s="9"/>
    </row>
    <row r="488">
      <c r="A488" s="52"/>
      <c r="B488" s="50"/>
      <c r="C488" s="52"/>
      <c r="D488" s="52"/>
      <c r="E488" s="52"/>
      <c r="F488" s="52"/>
      <c r="G488" s="52"/>
      <c r="H488" s="53"/>
      <c r="I488" s="53"/>
      <c r="J488" s="52"/>
      <c r="K488" s="52"/>
      <c r="L488" s="52"/>
      <c r="M488" s="52"/>
      <c r="N488" s="52"/>
      <c r="O488" s="52"/>
      <c r="P488" s="9"/>
      <c r="Q488" s="9"/>
      <c r="R488" s="9"/>
      <c r="S488" s="50"/>
      <c r="T488" s="50"/>
      <c r="U488" s="9"/>
      <c r="V488" s="9"/>
      <c r="W488" s="9"/>
      <c r="X488" s="9"/>
      <c r="Y488" s="9"/>
      <c r="Z488" s="9"/>
      <c r="AA488" s="9"/>
    </row>
    <row r="489">
      <c r="A489" s="52"/>
      <c r="B489" s="50"/>
      <c r="C489" s="52"/>
      <c r="D489" s="52"/>
      <c r="E489" s="52"/>
      <c r="F489" s="52"/>
      <c r="G489" s="52"/>
      <c r="H489" s="53"/>
      <c r="I489" s="53"/>
      <c r="J489" s="52"/>
      <c r="K489" s="52"/>
      <c r="L489" s="52"/>
      <c r="M489" s="52"/>
      <c r="N489" s="52"/>
      <c r="O489" s="52"/>
      <c r="P489" s="9"/>
      <c r="Q489" s="9"/>
      <c r="R489" s="9"/>
      <c r="S489" s="50"/>
      <c r="T489" s="50"/>
      <c r="U489" s="9"/>
      <c r="V489" s="9"/>
      <c r="W489" s="9"/>
      <c r="X489" s="9"/>
      <c r="Y489" s="9"/>
      <c r="Z489" s="9"/>
      <c r="AA489" s="9"/>
    </row>
    <row r="490">
      <c r="A490" s="52"/>
      <c r="B490" s="50"/>
      <c r="C490" s="52"/>
      <c r="D490" s="52"/>
      <c r="E490" s="52"/>
      <c r="F490" s="52"/>
      <c r="G490" s="52"/>
      <c r="H490" s="53"/>
      <c r="I490" s="53"/>
      <c r="J490" s="52"/>
      <c r="K490" s="52"/>
      <c r="L490" s="52"/>
      <c r="M490" s="52"/>
      <c r="N490" s="52"/>
      <c r="O490" s="52"/>
      <c r="P490" s="9"/>
      <c r="Q490" s="9"/>
      <c r="R490" s="9"/>
      <c r="S490" s="50"/>
      <c r="T490" s="50"/>
      <c r="U490" s="9"/>
      <c r="V490" s="9"/>
      <c r="W490" s="9"/>
      <c r="X490" s="9"/>
      <c r="Y490" s="9"/>
      <c r="Z490" s="9"/>
      <c r="AA490" s="9"/>
    </row>
    <row r="491">
      <c r="A491" s="52"/>
      <c r="B491" s="50"/>
      <c r="C491" s="52"/>
      <c r="D491" s="52"/>
      <c r="E491" s="52"/>
      <c r="F491" s="52"/>
      <c r="G491" s="52"/>
      <c r="H491" s="53"/>
      <c r="I491" s="53"/>
      <c r="J491" s="52"/>
      <c r="K491" s="52"/>
      <c r="L491" s="52"/>
      <c r="M491" s="52"/>
      <c r="N491" s="52"/>
      <c r="O491" s="52"/>
      <c r="P491" s="9"/>
      <c r="Q491" s="9"/>
      <c r="R491" s="9"/>
      <c r="S491" s="50"/>
      <c r="T491" s="50"/>
      <c r="U491" s="9"/>
      <c r="V491" s="9"/>
      <c r="W491" s="9"/>
      <c r="X491" s="9"/>
      <c r="Y491" s="9"/>
      <c r="Z491" s="9"/>
      <c r="AA491" s="9"/>
    </row>
    <row r="492">
      <c r="A492" s="52"/>
      <c r="B492" s="50"/>
      <c r="C492" s="52"/>
      <c r="D492" s="52"/>
      <c r="E492" s="52"/>
      <c r="F492" s="52"/>
      <c r="G492" s="52"/>
      <c r="H492" s="53"/>
      <c r="I492" s="53"/>
      <c r="J492" s="52"/>
      <c r="K492" s="52"/>
      <c r="L492" s="52"/>
      <c r="M492" s="52"/>
      <c r="N492" s="52"/>
      <c r="O492" s="52"/>
      <c r="P492" s="9"/>
      <c r="Q492" s="9"/>
      <c r="R492" s="9"/>
      <c r="S492" s="50"/>
      <c r="T492" s="50"/>
      <c r="U492" s="9"/>
      <c r="V492" s="9"/>
      <c r="W492" s="9"/>
      <c r="X492" s="9"/>
      <c r="Y492" s="9"/>
      <c r="Z492" s="9"/>
      <c r="AA492" s="9"/>
    </row>
    <row r="493">
      <c r="A493" s="52"/>
      <c r="B493" s="50"/>
      <c r="C493" s="52"/>
      <c r="D493" s="52"/>
      <c r="E493" s="52"/>
      <c r="F493" s="52"/>
      <c r="G493" s="52"/>
      <c r="H493" s="53"/>
      <c r="I493" s="53"/>
      <c r="J493" s="52"/>
      <c r="K493" s="52"/>
      <c r="L493" s="52"/>
      <c r="M493" s="52"/>
      <c r="N493" s="52"/>
      <c r="O493" s="52"/>
      <c r="P493" s="9"/>
      <c r="Q493" s="9"/>
      <c r="R493" s="9"/>
      <c r="S493" s="50"/>
      <c r="T493" s="50"/>
      <c r="U493" s="9"/>
      <c r="V493" s="9"/>
      <c r="W493" s="9"/>
      <c r="X493" s="9"/>
      <c r="Y493" s="9"/>
      <c r="Z493" s="9"/>
      <c r="AA493" s="9"/>
    </row>
    <row r="494">
      <c r="A494" s="52"/>
      <c r="B494" s="50"/>
      <c r="C494" s="52"/>
      <c r="D494" s="52"/>
      <c r="E494" s="52"/>
      <c r="F494" s="52"/>
      <c r="G494" s="52"/>
      <c r="H494" s="53"/>
      <c r="I494" s="53"/>
      <c r="J494" s="52"/>
      <c r="K494" s="52"/>
      <c r="L494" s="52"/>
      <c r="M494" s="52"/>
      <c r="N494" s="52"/>
      <c r="O494" s="52"/>
      <c r="P494" s="9"/>
      <c r="Q494" s="9"/>
      <c r="R494" s="9"/>
      <c r="S494" s="50"/>
      <c r="T494" s="50"/>
      <c r="U494" s="9"/>
      <c r="V494" s="9"/>
      <c r="W494" s="9"/>
      <c r="X494" s="9"/>
      <c r="Y494" s="9"/>
      <c r="Z494" s="9"/>
      <c r="AA494" s="9"/>
    </row>
    <row r="495">
      <c r="A495" s="52"/>
      <c r="B495" s="50"/>
      <c r="C495" s="52"/>
      <c r="D495" s="52"/>
      <c r="E495" s="52"/>
      <c r="F495" s="52"/>
      <c r="G495" s="52"/>
      <c r="H495" s="53"/>
      <c r="I495" s="53"/>
      <c r="J495" s="52"/>
      <c r="K495" s="52"/>
      <c r="L495" s="52"/>
      <c r="M495" s="52"/>
      <c r="N495" s="52"/>
      <c r="O495" s="52"/>
      <c r="P495" s="9"/>
      <c r="Q495" s="9"/>
      <c r="R495" s="9"/>
      <c r="S495" s="50"/>
      <c r="T495" s="50"/>
      <c r="U495" s="9"/>
      <c r="V495" s="9"/>
      <c r="W495" s="9"/>
      <c r="X495" s="9"/>
      <c r="Y495" s="9"/>
      <c r="Z495" s="9"/>
      <c r="AA495" s="9"/>
    </row>
    <row r="496">
      <c r="A496" s="52"/>
      <c r="B496" s="50"/>
      <c r="C496" s="52"/>
      <c r="D496" s="52"/>
      <c r="E496" s="52"/>
      <c r="F496" s="52"/>
      <c r="G496" s="52"/>
      <c r="H496" s="53"/>
      <c r="I496" s="53"/>
      <c r="J496" s="52"/>
      <c r="K496" s="52"/>
      <c r="L496" s="52"/>
      <c r="M496" s="52"/>
      <c r="N496" s="52"/>
      <c r="O496" s="52"/>
      <c r="P496" s="9"/>
      <c r="Q496" s="9"/>
      <c r="R496" s="9"/>
      <c r="S496" s="50"/>
      <c r="T496" s="50"/>
      <c r="U496" s="9"/>
      <c r="V496" s="9"/>
      <c r="W496" s="9"/>
      <c r="X496" s="9"/>
      <c r="Y496" s="9"/>
      <c r="Z496" s="9"/>
      <c r="AA496" s="9"/>
    </row>
    <row r="497">
      <c r="A497" s="52"/>
      <c r="B497" s="50"/>
      <c r="C497" s="52"/>
      <c r="D497" s="52"/>
      <c r="E497" s="52"/>
      <c r="F497" s="52"/>
      <c r="G497" s="52"/>
      <c r="H497" s="53"/>
      <c r="I497" s="53"/>
      <c r="J497" s="52"/>
      <c r="K497" s="52"/>
      <c r="L497" s="52"/>
      <c r="M497" s="52"/>
      <c r="N497" s="52"/>
      <c r="O497" s="52"/>
      <c r="P497" s="9"/>
      <c r="Q497" s="9"/>
      <c r="R497" s="9"/>
      <c r="S497" s="50"/>
      <c r="T497" s="50"/>
      <c r="U497" s="9"/>
      <c r="V497" s="9"/>
      <c r="W497" s="9"/>
      <c r="X497" s="9"/>
      <c r="Y497" s="9"/>
      <c r="Z497" s="9"/>
      <c r="AA497" s="9"/>
    </row>
    <row r="498">
      <c r="A498" s="52"/>
      <c r="B498" s="50"/>
      <c r="C498" s="52"/>
      <c r="D498" s="52"/>
      <c r="E498" s="52"/>
      <c r="F498" s="52"/>
      <c r="G498" s="52"/>
      <c r="H498" s="53"/>
      <c r="I498" s="53"/>
      <c r="J498" s="52"/>
      <c r="K498" s="52"/>
      <c r="L498" s="52"/>
      <c r="M498" s="52"/>
      <c r="N498" s="52"/>
      <c r="O498" s="52"/>
      <c r="P498" s="9"/>
      <c r="Q498" s="9"/>
      <c r="R498" s="9"/>
      <c r="S498" s="50"/>
      <c r="T498" s="50"/>
      <c r="U498" s="9"/>
      <c r="V498" s="9"/>
      <c r="W498" s="9"/>
      <c r="X498" s="9"/>
      <c r="Y498" s="9"/>
      <c r="Z498" s="9"/>
      <c r="AA498" s="9"/>
    </row>
    <row r="499">
      <c r="A499" s="52"/>
      <c r="B499" s="50"/>
      <c r="C499" s="52"/>
      <c r="D499" s="52"/>
      <c r="E499" s="52"/>
      <c r="F499" s="52"/>
      <c r="G499" s="52"/>
      <c r="H499" s="53"/>
      <c r="I499" s="53"/>
      <c r="J499" s="52"/>
      <c r="K499" s="52"/>
      <c r="L499" s="52"/>
      <c r="M499" s="52"/>
      <c r="N499" s="52"/>
      <c r="O499" s="52"/>
      <c r="P499" s="9"/>
      <c r="Q499" s="9"/>
      <c r="R499" s="9"/>
      <c r="S499" s="50"/>
      <c r="T499" s="50"/>
      <c r="U499" s="9"/>
      <c r="V499" s="9"/>
      <c r="W499" s="9"/>
      <c r="X499" s="9"/>
      <c r="Y499" s="9"/>
      <c r="Z499" s="9"/>
      <c r="AA499" s="9"/>
    </row>
    <row r="500">
      <c r="A500" s="52"/>
      <c r="B500" s="50"/>
      <c r="C500" s="52"/>
      <c r="D500" s="52"/>
      <c r="E500" s="52"/>
      <c r="F500" s="52"/>
      <c r="G500" s="52"/>
      <c r="H500" s="53"/>
      <c r="I500" s="53"/>
      <c r="J500" s="52"/>
      <c r="K500" s="52"/>
      <c r="L500" s="52"/>
      <c r="M500" s="52"/>
      <c r="N500" s="52"/>
      <c r="O500" s="52"/>
      <c r="P500" s="9"/>
      <c r="Q500" s="9"/>
      <c r="R500" s="9"/>
      <c r="S500" s="50"/>
      <c r="T500" s="50"/>
      <c r="U500" s="9"/>
      <c r="V500" s="9"/>
      <c r="W500" s="9"/>
      <c r="X500" s="9"/>
      <c r="Y500" s="9"/>
      <c r="Z500" s="9"/>
      <c r="AA500" s="9"/>
    </row>
    <row r="501">
      <c r="A501" s="52"/>
      <c r="B501" s="50"/>
      <c r="C501" s="52"/>
      <c r="D501" s="52"/>
      <c r="E501" s="52"/>
      <c r="F501" s="52"/>
      <c r="G501" s="52"/>
      <c r="H501" s="53"/>
      <c r="I501" s="53"/>
      <c r="J501" s="52"/>
      <c r="K501" s="52"/>
      <c r="L501" s="52"/>
      <c r="M501" s="52"/>
      <c r="N501" s="52"/>
      <c r="O501" s="52"/>
      <c r="P501" s="9"/>
      <c r="Q501" s="9"/>
      <c r="R501" s="9"/>
      <c r="S501" s="50"/>
      <c r="T501" s="50"/>
      <c r="U501" s="9"/>
      <c r="V501" s="9"/>
      <c r="W501" s="9"/>
      <c r="X501" s="9"/>
      <c r="Y501" s="9"/>
      <c r="Z501" s="9"/>
      <c r="AA501" s="9"/>
    </row>
    <row r="502">
      <c r="A502" s="52"/>
      <c r="B502" s="50"/>
      <c r="C502" s="52"/>
      <c r="D502" s="52"/>
      <c r="E502" s="52"/>
      <c r="F502" s="52"/>
      <c r="G502" s="52"/>
      <c r="H502" s="53"/>
      <c r="I502" s="53"/>
      <c r="J502" s="52"/>
      <c r="K502" s="52"/>
      <c r="L502" s="52"/>
      <c r="M502" s="52"/>
      <c r="N502" s="52"/>
      <c r="O502" s="52"/>
      <c r="P502" s="9"/>
      <c r="Q502" s="9"/>
      <c r="R502" s="9"/>
      <c r="S502" s="50"/>
      <c r="T502" s="50"/>
      <c r="U502" s="9"/>
      <c r="V502" s="9"/>
      <c r="W502" s="9"/>
      <c r="X502" s="9"/>
      <c r="Y502" s="9"/>
      <c r="Z502" s="9"/>
      <c r="AA502" s="9"/>
    </row>
    <row r="503">
      <c r="A503" s="52"/>
      <c r="B503" s="50"/>
      <c r="C503" s="52"/>
      <c r="D503" s="52"/>
      <c r="E503" s="52"/>
      <c r="F503" s="52"/>
      <c r="G503" s="52"/>
      <c r="H503" s="53"/>
      <c r="I503" s="53"/>
      <c r="J503" s="52"/>
      <c r="K503" s="52"/>
      <c r="L503" s="52"/>
      <c r="M503" s="52"/>
      <c r="N503" s="52"/>
      <c r="O503" s="52"/>
      <c r="P503" s="9"/>
      <c r="Q503" s="9"/>
      <c r="R503" s="9"/>
      <c r="S503" s="50"/>
      <c r="T503" s="50"/>
      <c r="U503" s="9"/>
      <c r="V503" s="9"/>
      <c r="W503" s="9"/>
      <c r="X503" s="9"/>
      <c r="Y503" s="9"/>
      <c r="Z503" s="9"/>
      <c r="AA503" s="9"/>
    </row>
    <row r="504">
      <c r="A504" s="52"/>
      <c r="B504" s="50"/>
      <c r="C504" s="52"/>
      <c r="D504" s="52"/>
      <c r="E504" s="52"/>
      <c r="F504" s="52"/>
      <c r="G504" s="52"/>
      <c r="H504" s="53"/>
      <c r="I504" s="53"/>
      <c r="J504" s="52"/>
      <c r="K504" s="52"/>
      <c r="L504" s="52"/>
      <c r="M504" s="52"/>
      <c r="N504" s="52"/>
      <c r="O504" s="52"/>
      <c r="P504" s="9"/>
      <c r="Q504" s="9"/>
      <c r="R504" s="9"/>
      <c r="S504" s="50"/>
      <c r="T504" s="50"/>
      <c r="U504" s="9"/>
      <c r="V504" s="9"/>
      <c r="W504" s="9"/>
      <c r="X504" s="9"/>
      <c r="Y504" s="9"/>
      <c r="Z504" s="9"/>
      <c r="AA504" s="9"/>
    </row>
    <row r="505">
      <c r="A505" s="52"/>
      <c r="B505" s="50"/>
      <c r="C505" s="52"/>
      <c r="D505" s="52"/>
      <c r="E505" s="52"/>
      <c r="F505" s="52"/>
      <c r="G505" s="52"/>
      <c r="H505" s="53"/>
      <c r="I505" s="53"/>
      <c r="J505" s="52"/>
      <c r="K505" s="52"/>
      <c r="L505" s="52"/>
      <c r="M505" s="52"/>
      <c r="N505" s="52"/>
      <c r="O505" s="52"/>
      <c r="P505" s="9"/>
      <c r="Q505" s="9"/>
      <c r="R505" s="9"/>
      <c r="S505" s="50"/>
      <c r="T505" s="50"/>
      <c r="U505" s="9"/>
      <c r="V505" s="9"/>
      <c r="W505" s="9"/>
      <c r="X505" s="9"/>
      <c r="Y505" s="9"/>
      <c r="Z505" s="9"/>
      <c r="AA505" s="9"/>
    </row>
    <row r="506">
      <c r="A506" s="52"/>
      <c r="B506" s="50"/>
      <c r="C506" s="52"/>
      <c r="D506" s="52"/>
      <c r="E506" s="52"/>
      <c r="F506" s="52"/>
      <c r="G506" s="52"/>
      <c r="H506" s="53"/>
      <c r="I506" s="53"/>
      <c r="J506" s="52"/>
      <c r="K506" s="52"/>
      <c r="L506" s="52"/>
      <c r="M506" s="52"/>
      <c r="N506" s="52"/>
      <c r="O506" s="52"/>
      <c r="P506" s="9"/>
      <c r="Q506" s="9"/>
      <c r="R506" s="9"/>
      <c r="S506" s="50"/>
      <c r="T506" s="50"/>
      <c r="U506" s="9"/>
      <c r="V506" s="9"/>
      <c r="W506" s="9"/>
      <c r="X506" s="9"/>
      <c r="Y506" s="9"/>
      <c r="Z506" s="9"/>
      <c r="AA506" s="9"/>
    </row>
    <row r="507">
      <c r="A507" s="52"/>
      <c r="B507" s="50"/>
      <c r="C507" s="52"/>
      <c r="D507" s="52"/>
      <c r="E507" s="52"/>
      <c r="F507" s="52"/>
      <c r="G507" s="52"/>
      <c r="H507" s="53"/>
      <c r="I507" s="53"/>
      <c r="J507" s="52"/>
      <c r="K507" s="52"/>
      <c r="L507" s="52"/>
      <c r="M507" s="52"/>
      <c r="N507" s="52"/>
      <c r="O507" s="52"/>
      <c r="P507" s="9"/>
      <c r="Q507" s="9"/>
      <c r="R507" s="9"/>
      <c r="S507" s="50"/>
      <c r="T507" s="50"/>
      <c r="U507" s="9"/>
      <c r="V507" s="9"/>
      <c r="W507" s="9"/>
      <c r="X507" s="9"/>
      <c r="Y507" s="9"/>
      <c r="Z507" s="9"/>
      <c r="AA507" s="9"/>
    </row>
    <row r="508">
      <c r="A508" s="52"/>
      <c r="B508" s="50"/>
      <c r="C508" s="52"/>
      <c r="D508" s="52"/>
      <c r="E508" s="52"/>
      <c r="F508" s="52"/>
      <c r="G508" s="52"/>
      <c r="H508" s="53"/>
      <c r="I508" s="53"/>
      <c r="J508" s="52"/>
      <c r="K508" s="52"/>
      <c r="L508" s="52"/>
      <c r="M508" s="52"/>
      <c r="N508" s="52"/>
      <c r="O508" s="52"/>
      <c r="P508" s="9"/>
      <c r="Q508" s="9"/>
      <c r="R508" s="9"/>
      <c r="S508" s="50"/>
      <c r="T508" s="50"/>
      <c r="U508" s="9"/>
      <c r="V508" s="9"/>
      <c r="W508" s="9"/>
      <c r="X508" s="9"/>
      <c r="Y508" s="9"/>
      <c r="Z508" s="9"/>
      <c r="AA508" s="9"/>
    </row>
    <row r="509">
      <c r="A509" s="52"/>
      <c r="B509" s="50"/>
      <c r="C509" s="52"/>
      <c r="D509" s="52"/>
      <c r="E509" s="52"/>
      <c r="F509" s="52"/>
      <c r="G509" s="52"/>
      <c r="H509" s="53"/>
      <c r="I509" s="53"/>
      <c r="J509" s="52"/>
      <c r="K509" s="52"/>
      <c r="L509" s="52"/>
      <c r="M509" s="52"/>
      <c r="N509" s="52"/>
      <c r="O509" s="52"/>
      <c r="P509" s="9"/>
      <c r="Q509" s="9"/>
      <c r="R509" s="9"/>
      <c r="S509" s="50"/>
      <c r="T509" s="50"/>
      <c r="U509" s="9"/>
      <c r="V509" s="9"/>
      <c r="W509" s="9"/>
      <c r="X509" s="9"/>
      <c r="Y509" s="9"/>
      <c r="Z509" s="9"/>
      <c r="AA509" s="9"/>
    </row>
    <row r="510">
      <c r="A510" s="52"/>
      <c r="B510" s="50"/>
      <c r="C510" s="52"/>
      <c r="D510" s="52"/>
      <c r="E510" s="52"/>
      <c r="F510" s="52"/>
      <c r="G510" s="52"/>
      <c r="H510" s="53"/>
      <c r="I510" s="53"/>
      <c r="J510" s="52"/>
      <c r="K510" s="52"/>
      <c r="L510" s="52"/>
      <c r="M510" s="52"/>
      <c r="N510" s="52"/>
      <c r="O510" s="52"/>
      <c r="P510" s="9"/>
      <c r="Q510" s="9"/>
      <c r="R510" s="9"/>
      <c r="S510" s="50"/>
      <c r="T510" s="50"/>
      <c r="U510" s="9"/>
      <c r="V510" s="9"/>
      <c r="W510" s="9"/>
      <c r="X510" s="9"/>
      <c r="Y510" s="9"/>
      <c r="Z510" s="9"/>
      <c r="AA510" s="9"/>
    </row>
    <row r="511">
      <c r="A511" s="52"/>
      <c r="B511" s="50"/>
      <c r="C511" s="52"/>
      <c r="D511" s="52"/>
      <c r="E511" s="52"/>
      <c r="F511" s="52"/>
      <c r="G511" s="52"/>
      <c r="H511" s="53"/>
      <c r="I511" s="53"/>
      <c r="J511" s="52"/>
      <c r="K511" s="52"/>
      <c r="L511" s="52"/>
      <c r="M511" s="52"/>
      <c r="N511" s="52"/>
      <c r="O511" s="52"/>
      <c r="P511" s="9"/>
      <c r="Q511" s="9"/>
      <c r="R511" s="9"/>
      <c r="S511" s="50"/>
      <c r="T511" s="50"/>
      <c r="U511" s="9"/>
      <c r="V511" s="9"/>
      <c r="W511" s="9"/>
      <c r="X511" s="9"/>
      <c r="Y511" s="9"/>
      <c r="Z511" s="9"/>
      <c r="AA511" s="9"/>
    </row>
    <row r="512">
      <c r="A512" s="52"/>
      <c r="B512" s="50"/>
      <c r="C512" s="52"/>
      <c r="D512" s="52"/>
      <c r="E512" s="52"/>
      <c r="F512" s="52"/>
      <c r="G512" s="52"/>
      <c r="H512" s="53"/>
      <c r="I512" s="53"/>
      <c r="J512" s="52"/>
      <c r="K512" s="52"/>
      <c r="L512" s="52"/>
      <c r="M512" s="52"/>
      <c r="N512" s="52"/>
      <c r="O512" s="52"/>
      <c r="P512" s="9"/>
      <c r="Q512" s="9"/>
      <c r="R512" s="9"/>
      <c r="S512" s="50"/>
      <c r="T512" s="50"/>
      <c r="U512" s="9"/>
      <c r="V512" s="9"/>
      <c r="W512" s="9"/>
      <c r="X512" s="9"/>
      <c r="Y512" s="9"/>
      <c r="Z512" s="9"/>
      <c r="AA512" s="9"/>
    </row>
    <row r="513">
      <c r="A513" s="52"/>
      <c r="B513" s="50"/>
      <c r="C513" s="52"/>
      <c r="D513" s="52"/>
      <c r="E513" s="52"/>
      <c r="F513" s="52"/>
      <c r="G513" s="52"/>
      <c r="H513" s="53"/>
      <c r="I513" s="53"/>
      <c r="J513" s="52"/>
      <c r="K513" s="52"/>
      <c r="L513" s="52"/>
      <c r="M513" s="52"/>
      <c r="N513" s="52"/>
      <c r="O513" s="52"/>
      <c r="P513" s="9"/>
      <c r="Q513" s="9"/>
      <c r="R513" s="9"/>
      <c r="S513" s="50"/>
      <c r="T513" s="50"/>
      <c r="U513" s="9"/>
      <c r="V513" s="9"/>
      <c r="W513" s="9"/>
      <c r="X513" s="9"/>
      <c r="Y513" s="9"/>
      <c r="Z513" s="9"/>
      <c r="AA513" s="9"/>
    </row>
    <row r="514">
      <c r="A514" s="52"/>
      <c r="B514" s="50"/>
      <c r="C514" s="52"/>
      <c r="D514" s="52"/>
      <c r="E514" s="52"/>
      <c r="F514" s="52"/>
      <c r="G514" s="52"/>
      <c r="H514" s="53"/>
      <c r="I514" s="53"/>
      <c r="J514" s="52"/>
      <c r="K514" s="52"/>
      <c r="L514" s="52"/>
      <c r="M514" s="52"/>
      <c r="N514" s="52"/>
      <c r="O514" s="52"/>
      <c r="P514" s="9"/>
      <c r="Q514" s="9"/>
      <c r="R514" s="9"/>
      <c r="S514" s="50"/>
      <c r="T514" s="50"/>
      <c r="U514" s="9"/>
      <c r="V514" s="9"/>
      <c r="W514" s="9"/>
      <c r="X514" s="9"/>
      <c r="Y514" s="9"/>
      <c r="Z514" s="9"/>
      <c r="AA514" s="9"/>
    </row>
    <row r="515">
      <c r="A515" s="52"/>
      <c r="B515" s="50"/>
      <c r="C515" s="52"/>
      <c r="D515" s="52"/>
      <c r="E515" s="52"/>
      <c r="F515" s="52"/>
      <c r="G515" s="52"/>
      <c r="H515" s="53"/>
      <c r="I515" s="53"/>
      <c r="J515" s="52"/>
      <c r="K515" s="52"/>
      <c r="L515" s="52"/>
      <c r="M515" s="52"/>
      <c r="N515" s="52"/>
      <c r="O515" s="52"/>
      <c r="P515" s="9"/>
      <c r="Q515" s="9"/>
      <c r="R515" s="9"/>
      <c r="S515" s="50"/>
      <c r="T515" s="50"/>
      <c r="U515" s="9"/>
      <c r="V515" s="9"/>
      <c r="W515" s="9"/>
      <c r="X515" s="9"/>
      <c r="Y515" s="9"/>
      <c r="Z515" s="9"/>
      <c r="AA515" s="9"/>
    </row>
    <row r="516">
      <c r="A516" s="52"/>
      <c r="B516" s="50"/>
      <c r="C516" s="52"/>
      <c r="D516" s="52"/>
      <c r="E516" s="52"/>
      <c r="F516" s="52"/>
      <c r="G516" s="52"/>
      <c r="H516" s="53"/>
      <c r="I516" s="53"/>
      <c r="J516" s="52"/>
      <c r="K516" s="52"/>
      <c r="L516" s="52"/>
      <c r="M516" s="52"/>
      <c r="N516" s="52"/>
      <c r="O516" s="52"/>
      <c r="P516" s="9"/>
      <c r="Q516" s="9"/>
      <c r="R516" s="9"/>
      <c r="S516" s="50"/>
      <c r="T516" s="50"/>
      <c r="U516" s="9"/>
      <c r="V516" s="9"/>
      <c r="W516" s="9"/>
      <c r="X516" s="9"/>
      <c r="Y516" s="9"/>
      <c r="Z516" s="9"/>
      <c r="AA516" s="9"/>
    </row>
    <row r="517">
      <c r="A517" s="52"/>
      <c r="B517" s="50"/>
      <c r="C517" s="52"/>
      <c r="D517" s="52"/>
      <c r="E517" s="52"/>
      <c r="F517" s="52"/>
      <c r="G517" s="52"/>
      <c r="H517" s="53"/>
      <c r="I517" s="53"/>
      <c r="J517" s="52"/>
      <c r="K517" s="52"/>
      <c r="L517" s="52"/>
      <c r="M517" s="52"/>
      <c r="N517" s="52"/>
      <c r="O517" s="52"/>
      <c r="P517" s="9"/>
      <c r="Q517" s="9"/>
      <c r="R517" s="9"/>
      <c r="S517" s="50"/>
      <c r="T517" s="50"/>
      <c r="U517" s="9"/>
      <c r="V517" s="9"/>
      <c r="W517" s="9"/>
      <c r="X517" s="9"/>
      <c r="Y517" s="9"/>
      <c r="Z517" s="9"/>
      <c r="AA517" s="9"/>
    </row>
    <row r="518">
      <c r="A518" s="52"/>
      <c r="B518" s="50"/>
      <c r="C518" s="52"/>
      <c r="D518" s="52"/>
      <c r="E518" s="52"/>
      <c r="F518" s="52"/>
      <c r="G518" s="52"/>
      <c r="H518" s="53"/>
      <c r="I518" s="53"/>
      <c r="J518" s="52"/>
      <c r="K518" s="52"/>
      <c r="L518" s="52"/>
      <c r="M518" s="52"/>
      <c r="N518" s="52"/>
      <c r="O518" s="52"/>
      <c r="P518" s="9"/>
      <c r="Q518" s="9"/>
      <c r="R518" s="9"/>
      <c r="S518" s="50"/>
      <c r="T518" s="50"/>
      <c r="U518" s="9"/>
      <c r="V518" s="9"/>
      <c r="W518" s="9"/>
      <c r="X518" s="9"/>
      <c r="Y518" s="9"/>
      <c r="Z518" s="9"/>
      <c r="AA518" s="9"/>
    </row>
    <row r="519">
      <c r="A519" s="52"/>
      <c r="B519" s="50"/>
      <c r="C519" s="52"/>
      <c r="D519" s="52"/>
      <c r="E519" s="52"/>
      <c r="F519" s="52"/>
      <c r="G519" s="52"/>
      <c r="H519" s="53"/>
      <c r="I519" s="53"/>
      <c r="J519" s="52"/>
      <c r="K519" s="52"/>
      <c r="L519" s="52"/>
      <c r="M519" s="52"/>
      <c r="N519" s="52"/>
      <c r="O519" s="52"/>
      <c r="P519" s="9"/>
      <c r="Q519" s="9"/>
      <c r="R519" s="9"/>
      <c r="S519" s="50"/>
      <c r="T519" s="50"/>
      <c r="U519" s="9"/>
      <c r="V519" s="9"/>
      <c r="W519" s="9"/>
      <c r="X519" s="9"/>
      <c r="Y519" s="9"/>
      <c r="Z519" s="9"/>
      <c r="AA519" s="9"/>
    </row>
    <row r="520">
      <c r="A520" s="52"/>
      <c r="B520" s="50"/>
      <c r="C520" s="52"/>
      <c r="D520" s="52"/>
      <c r="E520" s="52"/>
      <c r="F520" s="52"/>
      <c r="G520" s="52"/>
      <c r="H520" s="53"/>
      <c r="I520" s="53"/>
      <c r="J520" s="52"/>
      <c r="K520" s="52"/>
      <c r="L520" s="52"/>
      <c r="M520" s="52"/>
      <c r="N520" s="52"/>
      <c r="O520" s="52"/>
      <c r="P520" s="9"/>
      <c r="Q520" s="9"/>
      <c r="R520" s="9"/>
      <c r="S520" s="50"/>
      <c r="T520" s="50"/>
      <c r="U520" s="9"/>
      <c r="V520" s="9"/>
      <c r="W520" s="9"/>
      <c r="X520" s="9"/>
      <c r="Y520" s="9"/>
      <c r="Z520" s="9"/>
      <c r="AA520" s="9"/>
    </row>
    <row r="521">
      <c r="A521" s="52"/>
      <c r="B521" s="50"/>
      <c r="C521" s="52"/>
      <c r="D521" s="52"/>
      <c r="E521" s="52"/>
      <c r="F521" s="52"/>
      <c r="G521" s="52"/>
      <c r="H521" s="53"/>
      <c r="I521" s="53"/>
      <c r="J521" s="52"/>
      <c r="K521" s="52"/>
      <c r="L521" s="52"/>
      <c r="M521" s="52"/>
      <c r="N521" s="52"/>
      <c r="O521" s="52"/>
      <c r="P521" s="9"/>
      <c r="Q521" s="9"/>
      <c r="R521" s="9"/>
      <c r="S521" s="50"/>
      <c r="T521" s="50"/>
      <c r="U521" s="9"/>
      <c r="V521" s="9"/>
      <c r="W521" s="9"/>
      <c r="X521" s="9"/>
      <c r="Y521" s="9"/>
      <c r="Z521" s="9"/>
      <c r="AA521" s="9"/>
    </row>
    <row r="522">
      <c r="A522" s="52"/>
      <c r="B522" s="50"/>
      <c r="C522" s="52"/>
      <c r="D522" s="52"/>
      <c r="E522" s="52"/>
      <c r="F522" s="52"/>
      <c r="G522" s="52"/>
      <c r="H522" s="53"/>
      <c r="I522" s="53"/>
      <c r="J522" s="52"/>
      <c r="K522" s="52"/>
      <c r="L522" s="52"/>
      <c r="M522" s="52"/>
      <c r="N522" s="52"/>
      <c r="O522" s="52"/>
      <c r="P522" s="9"/>
      <c r="Q522" s="9"/>
      <c r="R522" s="9"/>
      <c r="S522" s="50"/>
      <c r="T522" s="50"/>
      <c r="U522" s="9"/>
      <c r="V522" s="9"/>
      <c r="W522" s="9"/>
      <c r="X522" s="9"/>
      <c r="Y522" s="9"/>
      <c r="Z522" s="9"/>
      <c r="AA522" s="9"/>
    </row>
    <row r="523">
      <c r="A523" s="52"/>
      <c r="B523" s="50"/>
      <c r="C523" s="52"/>
      <c r="D523" s="52"/>
      <c r="E523" s="52"/>
      <c r="F523" s="52"/>
      <c r="G523" s="52"/>
      <c r="H523" s="53"/>
      <c r="I523" s="53"/>
      <c r="J523" s="52"/>
      <c r="K523" s="52"/>
      <c r="L523" s="52"/>
      <c r="M523" s="52"/>
      <c r="N523" s="52"/>
      <c r="O523" s="52"/>
      <c r="P523" s="9"/>
      <c r="Q523" s="9"/>
      <c r="R523" s="9"/>
      <c r="S523" s="50"/>
      <c r="T523" s="50"/>
      <c r="U523" s="9"/>
      <c r="V523" s="9"/>
      <c r="W523" s="9"/>
      <c r="X523" s="9"/>
      <c r="Y523" s="9"/>
      <c r="Z523" s="9"/>
      <c r="AA523" s="9"/>
    </row>
    <row r="524">
      <c r="A524" s="52"/>
      <c r="B524" s="50"/>
      <c r="C524" s="52"/>
      <c r="D524" s="52"/>
      <c r="E524" s="52"/>
      <c r="F524" s="52"/>
      <c r="G524" s="52"/>
      <c r="H524" s="53"/>
      <c r="I524" s="53"/>
      <c r="J524" s="52"/>
      <c r="K524" s="52"/>
      <c r="L524" s="52"/>
      <c r="M524" s="52"/>
      <c r="N524" s="52"/>
      <c r="O524" s="52"/>
      <c r="P524" s="9"/>
      <c r="Q524" s="9"/>
      <c r="R524" s="9"/>
      <c r="S524" s="50"/>
      <c r="T524" s="50"/>
      <c r="U524" s="9"/>
      <c r="V524" s="9"/>
      <c r="W524" s="9"/>
      <c r="X524" s="9"/>
      <c r="Y524" s="9"/>
      <c r="Z524" s="9"/>
      <c r="AA524" s="9"/>
    </row>
    <row r="525">
      <c r="A525" s="52"/>
      <c r="B525" s="50"/>
      <c r="C525" s="52"/>
      <c r="D525" s="52"/>
      <c r="E525" s="52"/>
      <c r="F525" s="52"/>
      <c r="G525" s="52"/>
      <c r="H525" s="53"/>
      <c r="I525" s="53"/>
      <c r="J525" s="52"/>
      <c r="K525" s="52"/>
      <c r="L525" s="52"/>
      <c r="M525" s="52"/>
      <c r="N525" s="52"/>
      <c r="O525" s="52"/>
      <c r="P525" s="9"/>
      <c r="Q525" s="9"/>
      <c r="R525" s="9"/>
      <c r="S525" s="50"/>
      <c r="T525" s="50"/>
      <c r="U525" s="9"/>
      <c r="V525" s="9"/>
      <c r="W525" s="9"/>
      <c r="X525" s="9"/>
      <c r="Y525" s="9"/>
      <c r="Z525" s="9"/>
      <c r="AA525" s="9"/>
    </row>
    <row r="526">
      <c r="A526" s="52"/>
      <c r="B526" s="50"/>
      <c r="C526" s="52"/>
      <c r="D526" s="52"/>
      <c r="E526" s="52"/>
      <c r="F526" s="52"/>
      <c r="G526" s="52"/>
      <c r="H526" s="53"/>
      <c r="I526" s="53"/>
      <c r="J526" s="52"/>
      <c r="K526" s="52"/>
      <c r="L526" s="52"/>
      <c r="M526" s="52"/>
      <c r="N526" s="52"/>
      <c r="O526" s="52"/>
      <c r="P526" s="9"/>
      <c r="Q526" s="9"/>
      <c r="R526" s="9"/>
      <c r="S526" s="50"/>
      <c r="T526" s="50"/>
      <c r="U526" s="9"/>
      <c r="V526" s="9"/>
      <c r="W526" s="9"/>
      <c r="X526" s="9"/>
      <c r="Y526" s="9"/>
      <c r="Z526" s="9"/>
      <c r="AA526" s="9"/>
    </row>
    <row r="527">
      <c r="A527" s="52"/>
      <c r="B527" s="50"/>
      <c r="C527" s="52"/>
      <c r="D527" s="52"/>
      <c r="E527" s="52"/>
      <c r="F527" s="52"/>
      <c r="G527" s="52"/>
      <c r="H527" s="53"/>
      <c r="I527" s="53"/>
      <c r="J527" s="52"/>
      <c r="K527" s="52"/>
      <c r="L527" s="52"/>
      <c r="M527" s="52"/>
      <c r="N527" s="52"/>
      <c r="O527" s="52"/>
      <c r="P527" s="9"/>
      <c r="Q527" s="9"/>
      <c r="R527" s="9"/>
      <c r="S527" s="50"/>
      <c r="T527" s="50"/>
      <c r="U527" s="9"/>
      <c r="V527" s="9"/>
      <c r="W527" s="9"/>
      <c r="X527" s="9"/>
      <c r="Y527" s="9"/>
      <c r="Z527" s="9"/>
      <c r="AA527" s="9"/>
    </row>
    <row r="528">
      <c r="A528" s="52"/>
      <c r="B528" s="50"/>
      <c r="C528" s="52"/>
      <c r="D528" s="52"/>
      <c r="E528" s="52"/>
      <c r="F528" s="52"/>
      <c r="G528" s="52"/>
      <c r="H528" s="53"/>
      <c r="I528" s="53"/>
      <c r="J528" s="52"/>
      <c r="K528" s="52"/>
      <c r="L528" s="52"/>
      <c r="M528" s="52"/>
      <c r="N528" s="52"/>
      <c r="O528" s="52"/>
      <c r="P528" s="9"/>
      <c r="Q528" s="9"/>
      <c r="R528" s="9"/>
      <c r="S528" s="50"/>
      <c r="T528" s="50"/>
      <c r="U528" s="9"/>
      <c r="V528" s="9"/>
      <c r="W528" s="9"/>
      <c r="X528" s="9"/>
      <c r="Y528" s="9"/>
      <c r="Z528" s="9"/>
      <c r="AA528" s="9"/>
    </row>
    <row r="529">
      <c r="A529" s="52"/>
      <c r="B529" s="50"/>
      <c r="C529" s="52"/>
      <c r="D529" s="52"/>
      <c r="E529" s="52"/>
      <c r="F529" s="52"/>
      <c r="G529" s="52"/>
      <c r="H529" s="53"/>
      <c r="I529" s="53"/>
      <c r="J529" s="52"/>
      <c r="K529" s="52"/>
      <c r="L529" s="52"/>
      <c r="M529" s="52"/>
      <c r="N529" s="52"/>
      <c r="O529" s="52"/>
      <c r="P529" s="9"/>
      <c r="Q529" s="9"/>
      <c r="R529" s="9"/>
      <c r="S529" s="50"/>
      <c r="T529" s="50"/>
      <c r="U529" s="9"/>
      <c r="V529" s="9"/>
      <c r="W529" s="9"/>
      <c r="X529" s="9"/>
      <c r="Y529" s="9"/>
      <c r="Z529" s="9"/>
      <c r="AA529" s="9"/>
    </row>
    <row r="530">
      <c r="A530" s="52"/>
      <c r="B530" s="50"/>
      <c r="C530" s="52"/>
      <c r="D530" s="52"/>
      <c r="E530" s="52"/>
      <c r="F530" s="52"/>
      <c r="G530" s="52"/>
      <c r="H530" s="53"/>
      <c r="I530" s="53"/>
      <c r="J530" s="52"/>
      <c r="K530" s="52"/>
      <c r="L530" s="52"/>
      <c r="M530" s="52"/>
      <c r="N530" s="52"/>
      <c r="O530" s="52"/>
      <c r="P530" s="9"/>
      <c r="Q530" s="9"/>
      <c r="R530" s="9"/>
      <c r="S530" s="50"/>
      <c r="T530" s="50"/>
      <c r="U530" s="9"/>
      <c r="V530" s="9"/>
      <c r="W530" s="9"/>
      <c r="X530" s="9"/>
      <c r="Y530" s="9"/>
      <c r="Z530" s="9"/>
      <c r="AA530" s="9"/>
    </row>
    <row r="531">
      <c r="A531" s="52"/>
      <c r="B531" s="50"/>
      <c r="C531" s="52"/>
      <c r="D531" s="52"/>
      <c r="E531" s="52"/>
      <c r="F531" s="52"/>
      <c r="G531" s="52"/>
      <c r="H531" s="53"/>
      <c r="I531" s="53"/>
      <c r="J531" s="52"/>
      <c r="K531" s="52"/>
      <c r="L531" s="52"/>
      <c r="M531" s="52"/>
      <c r="N531" s="52"/>
      <c r="O531" s="52"/>
      <c r="P531" s="9"/>
      <c r="Q531" s="9"/>
      <c r="R531" s="9"/>
      <c r="S531" s="50"/>
      <c r="T531" s="50"/>
      <c r="U531" s="9"/>
      <c r="V531" s="9"/>
      <c r="W531" s="9"/>
      <c r="X531" s="9"/>
      <c r="Y531" s="9"/>
      <c r="Z531" s="9"/>
      <c r="AA531" s="9"/>
    </row>
    <row r="532">
      <c r="A532" s="52"/>
      <c r="B532" s="50"/>
      <c r="C532" s="52"/>
      <c r="D532" s="52"/>
      <c r="E532" s="52"/>
      <c r="F532" s="52"/>
      <c r="G532" s="52"/>
      <c r="H532" s="53"/>
      <c r="I532" s="53"/>
      <c r="J532" s="52"/>
      <c r="K532" s="52"/>
      <c r="L532" s="52"/>
      <c r="M532" s="52"/>
      <c r="N532" s="52"/>
      <c r="O532" s="52"/>
      <c r="P532" s="9"/>
      <c r="Q532" s="9"/>
      <c r="R532" s="9"/>
      <c r="S532" s="50"/>
      <c r="T532" s="50"/>
      <c r="U532" s="9"/>
      <c r="V532" s="9"/>
      <c r="W532" s="9"/>
      <c r="X532" s="9"/>
      <c r="Y532" s="9"/>
      <c r="Z532" s="9"/>
      <c r="AA532" s="9"/>
    </row>
    <row r="533">
      <c r="A533" s="52"/>
      <c r="B533" s="50"/>
      <c r="C533" s="52"/>
      <c r="D533" s="52"/>
      <c r="E533" s="52"/>
      <c r="F533" s="52"/>
      <c r="G533" s="52"/>
      <c r="H533" s="53"/>
      <c r="I533" s="53"/>
      <c r="J533" s="52"/>
      <c r="K533" s="52"/>
      <c r="L533" s="52"/>
      <c r="M533" s="52"/>
      <c r="N533" s="52"/>
      <c r="O533" s="52"/>
      <c r="P533" s="9"/>
      <c r="Q533" s="9"/>
      <c r="R533" s="9"/>
      <c r="S533" s="50"/>
      <c r="T533" s="50"/>
      <c r="U533" s="9"/>
      <c r="V533" s="9"/>
      <c r="W533" s="9"/>
      <c r="X533" s="9"/>
      <c r="Y533" s="9"/>
      <c r="Z533" s="9"/>
      <c r="AA533" s="9"/>
    </row>
    <row r="534">
      <c r="A534" s="52"/>
      <c r="B534" s="50"/>
      <c r="C534" s="52"/>
      <c r="D534" s="52"/>
      <c r="E534" s="52"/>
      <c r="F534" s="52"/>
      <c r="G534" s="52"/>
      <c r="H534" s="53"/>
      <c r="I534" s="53"/>
      <c r="J534" s="52"/>
      <c r="K534" s="52"/>
      <c r="L534" s="52"/>
      <c r="M534" s="52"/>
      <c r="N534" s="52"/>
      <c r="O534" s="52"/>
      <c r="P534" s="9"/>
      <c r="Q534" s="9"/>
      <c r="R534" s="9"/>
      <c r="S534" s="50"/>
      <c r="T534" s="50"/>
      <c r="U534" s="9"/>
      <c r="V534" s="9"/>
      <c r="W534" s="9"/>
      <c r="X534" s="9"/>
      <c r="Y534" s="9"/>
      <c r="Z534" s="9"/>
      <c r="AA534" s="9"/>
    </row>
    <row r="535">
      <c r="A535" s="52"/>
      <c r="B535" s="50"/>
      <c r="C535" s="52"/>
      <c r="D535" s="52"/>
      <c r="E535" s="52"/>
      <c r="F535" s="52"/>
      <c r="G535" s="52"/>
      <c r="H535" s="53"/>
      <c r="I535" s="53"/>
      <c r="J535" s="52"/>
      <c r="K535" s="52"/>
      <c r="L535" s="52"/>
      <c r="M535" s="52"/>
      <c r="N535" s="52"/>
      <c r="O535" s="52"/>
      <c r="P535" s="9"/>
      <c r="Q535" s="9"/>
      <c r="R535" s="9"/>
      <c r="S535" s="50"/>
      <c r="T535" s="50"/>
      <c r="U535" s="9"/>
      <c r="V535" s="9"/>
      <c r="W535" s="9"/>
      <c r="X535" s="9"/>
      <c r="Y535" s="9"/>
      <c r="Z535" s="9"/>
      <c r="AA535" s="9"/>
    </row>
    <row r="536">
      <c r="A536" s="52"/>
      <c r="B536" s="50"/>
      <c r="C536" s="52"/>
      <c r="D536" s="52"/>
      <c r="E536" s="52"/>
      <c r="F536" s="52"/>
      <c r="G536" s="52"/>
      <c r="H536" s="53"/>
      <c r="I536" s="53"/>
      <c r="J536" s="52"/>
      <c r="K536" s="52"/>
      <c r="L536" s="52"/>
      <c r="M536" s="52"/>
      <c r="N536" s="52"/>
      <c r="O536" s="52"/>
      <c r="P536" s="9"/>
      <c r="Q536" s="9"/>
      <c r="R536" s="9"/>
      <c r="S536" s="50"/>
      <c r="T536" s="50"/>
      <c r="U536" s="9"/>
      <c r="V536" s="9"/>
      <c r="W536" s="9"/>
      <c r="X536" s="9"/>
      <c r="Y536" s="9"/>
      <c r="Z536" s="9"/>
      <c r="AA536" s="9"/>
    </row>
    <row r="537">
      <c r="A537" s="52"/>
      <c r="B537" s="50"/>
      <c r="C537" s="52"/>
      <c r="D537" s="52"/>
      <c r="E537" s="52"/>
      <c r="F537" s="52"/>
      <c r="G537" s="52"/>
      <c r="H537" s="53"/>
      <c r="I537" s="53"/>
      <c r="J537" s="52"/>
      <c r="K537" s="52"/>
      <c r="L537" s="52"/>
      <c r="M537" s="52"/>
      <c r="N537" s="52"/>
      <c r="O537" s="52"/>
      <c r="P537" s="9"/>
      <c r="Q537" s="9"/>
      <c r="R537" s="9"/>
      <c r="S537" s="50"/>
      <c r="T537" s="50"/>
      <c r="U537" s="9"/>
      <c r="V537" s="9"/>
      <c r="W537" s="9"/>
      <c r="X537" s="9"/>
      <c r="Y537" s="9"/>
      <c r="Z537" s="9"/>
      <c r="AA537" s="9"/>
    </row>
    <row r="538">
      <c r="A538" s="52"/>
      <c r="B538" s="50"/>
      <c r="C538" s="52"/>
      <c r="D538" s="52"/>
      <c r="E538" s="52"/>
      <c r="F538" s="52"/>
      <c r="G538" s="52"/>
      <c r="H538" s="53"/>
      <c r="I538" s="53"/>
      <c r="J538" s="52"/>
      <c r="K538" s="52"/>
      <c r="L538" s="52"/>
      <c r="M538" s="52"/>
      <c r="N538" s="52"/>
      <c r="O538" s="52"/>
      <c r="P538" s="9"/>
      <c r="Q538" s="9"/>
      <c r="R538" s="9"/>
      <c r="S538" s="50"/>
      <c r="T538" s="50"/>
      <c r="U538" s="9"/>
      <c r="V538" s="9"/>
      <c r="W538" s="9"/>
      <c r="X538" s="9"/>
      <c r="Y538" s="9"/>
      <c r="Z538" s="9"/>
      <c r="AA538" s="9"/>
    </row>
    <row r="539">
      <c r="A539" s="52"/>
      <c r="B539" s="50"/>
      <c r="C539" s="52"/>
      <c r="D539" s="52"/>
      <c r="E539" s="52"/>
      <c r="F539" s="52"/>
      <c r="G539" s="52"/>
      <c r="H539" s="53"/>
      <c r="I539" s="53"/>
      <c r="J539" s="52"/>
      <c r="K539" s="52"/>
      <c r="L539" s="52"/>
      <c r="M539" s="52"/>
      <c r="N539" s="52"/>
      <c r="O539" s="52"/>
      <c r="P539" s="9"/>
      <c r="Q539" s="9"/>
      <c r="R539" s="9"/>
      <c r="S539" s="50"/>
      <c r="T539" s="50"/>
      <c r="U539" s="9"/>
      <c r="V539" s="9"/>
      <c r="W539" s="9"/>
      <c r="X539" s="9"/>
      <c r="Y539" s="9"/>
      <c r="Z539" s="9"/>
      <c r="AA539" s="9"/>
    </row>
    <row r="540">
      <c r="A540" s="52"/>
      <c r="B540" s="50"/>
      <c r="C540" s="52"/>
      <c r="D540" s="52"/>
      <c r="E540" s="52"/>
      <c r="F540" s="52"/>
      <c r="G540" s="52"/>
      <c r="H540" s="53"/>
      <c r="I540" s="53"/>
      <c r="J540" s="52"/>
      <c r="K540" s="52"/>
      <c r="L540" s="52"/>
      <c r="M540" s="52"/>
      <c r="N540" s="52"/>
      <c r="O540" s="52"/>
      <c r="P540" s="9"/>
      <c r="Q540" s="9"/>
      <c r="R540" s="9"/>
      <c r="S540" s="50"/>
      <c r="T540" s="50"/>
      <c r="U540" s="9"/>
      <c r="V540" s="9"/>
      <c r="W540" s="9"/>
      <c r="X540" s="9"/>
      <c r="Y540" s="9"/>
      <c r="Z540" s="9"/>
      <c r="AA540" s="9"/>
    </row>
    <row r="541">
      <c r="A541" s="52"/>
      <c r="B541" s="50"/>
      <c r="C541" s="52"/>
      <c r="D541" s="52"/>
      <c r="E541" s="52"/>
      <c r="F541" s="52"/>
      <c r="G541" s="52"/>
      <c r="H541" s="53"/>
      <c r="I541" s="53"/>
      <c r="J541" s="52"/>
      <c r="K541" s="52"/>
      <c r="L541" s="52"/>
      <c r="M541" s="52"/>
      <c r="N541" s="52"/>
      <c r="O541" s="52"/>
      <c r="P541" s="9"/>
      <c r="Q541" s="9"/>
      <c r="R541" s="9"/>
      <c r="S541" s="50"/>
      <c r="T541" s="50"/>
      <c r="U541" s="9"/>
      <c r="V541" s="9"/>
      <c r="W541" s="9"/>
      <c r="X541" s="9"/>
      <c r="Y541" s="9"/>
      <c r="Z541" s="9"/>
      <c r="AA541" s="9"/>
    </row>
    <row r="542">
      <c r="A542" s="52"/>
      <c r="B542" s="50"/>
      <c r="C542" s="52"/>
      <c r="D542" s="52"/>
      <c r="E542" s="52"/>
      <c r="F542" s="52"/>
      <c r="G542" s="52"/>
      <c r="H542" s="53"/>
      <c r="I542" s="53"/>
      <c r="J542" s="52"/>
      <c r="K542" s="52"/>
      <c r="L542" s="52"/>
      <c r="M542" s="52"/>
      <c r="N542" s="52"/>
      <c r="O542" s="52"/>
      <c r="P542" s="9"/>
      <c r="Q542" s="9"/>
      <c r="R542" s="9"/>
      <c r="S542" s="50"/>
      <c r="T542" s="50"/>
      <c r="U542" s="9"/>
      <c r="V542" s="9"/>
      <c r="W542" s="9"/>
      <c r="X542" s="9"/>
      <c r="Y542" s="9"/>
      <c r="Z542" s="9"/>
      <c r="AA542" s="9"/>
    </row>
    <row r="543">
      <c r="A543" s="52"/>
      <c r="B543" s="50"/>
      <c r="C543" s="52"/>
      <c r="D543" s="52"/>
      <c r="E543" s="52"/>
      <c r="F543" s="52"/>
      <c r="G543" s="52"/>
      <c r="H543" s="53"/>
      <c r="I543" s="53"/>
      <c r="J543" s="52"/>
      <c r="K543" s="52"/>
      <c r="L543" s="52"/>
      <c r="M543" s="52"/>
      <c r="N543" s="52"/>
      <c r="O543" s="52"/>
      <c r="P543" s="9"/>
      <c r="Q543" s="9"/>
      <c r="R543" s="9"/>
      <c r="S543" s="50"/>
      <c r="T543" s="50"/>
      <c r="U543" s="9"/>
      <c r="V543" s="9"/>
      <c r="W543" s="9"/>
      <c r="X543" s="9"/>
      <c r="Y543" s="9"/>
      <c r="Z543" s="9"/>
      <c r="AA543" s="9"/>
    </row>
    <row r="544">
      <c r="A544" s="52"/>
      <c r="B544" s="50"/>
      <c r="C544" s="52"/>
      <c r="D544" s="52"/>
      <c r="E544" s="52"/>
      <c r="F544" s="52"/>
      <c r="G544" s="52"/>
      <c r="H544" s="53"/>
      <c r="I544" s="53"/>
      <c r="J544" s="52"/>
      <c r="K544" s="52"/>
      <c r="L544" s="52"/>
      <c r="M544" s="52"/>
      <c r="N544" s="52"/>
      <c r="O544" s="52"/>
      <c r="P544" s="9"/>
      <c r="Q544" s="9"/>
      <c r="R544" s="9"/>
      <c r="S544" s="50"/>
      <c r="T544" s="50"/>
      <c r="U544" s="9"/>
      <c r="V544" s="9"/>
      <c r="W544" s="9"/>
      <c r="X544" s="9"/>
      <c r="Y544" s="9"/>
      <c r="Z544" s="9"/>
      <c r="AA544" s="9"/>
    </row>
    <row r="545">
      <c r="A545" s="52"/>
      <c r="B545" s="50"/>
      <c r="C545" s="52"/>
      <c r="D545" s="52"/>
      <c r="E545" s="52"/>
      <c r="F545" s="52"/>
      <c r="G545" s="52"/>
      <c r="H545" s="53"/>
      <c r="I545" s="53"/>
      <c r="J545" s="52"/>
      <c r="K545" s="52"/>
      <c r="L545" s="52"/>
      <c r="M545" s="52"/>
      <c r="N545" s="52"/>
      <c r="O545" s="52"/>
      <c r="P545" s="9"/>
      <c r="Q545" s="9"/>
      <c r="R545" s="9"/>
      <c r="S545" s="50"/>
      <c r="T545" s="50"/>
      <c r="U545" s="9"/>
      <c r="V545" s="9"/>
      <c r="W545" s="9"/>
      <c r="X545" s="9"/>
      <c r="Y545" s="9"/>
      <c r="Z545" s="9"/>
      <c r="AA545" s="9"/>
    </row>
    <row r="546">
      <c r="A546" s="52"/>
      <c r="B546" s="50"/>
      <c r="C546" s="52"/>
      <c r="D546" s="52"/>
      <c r="E546" s="52"/>
      <c r="F546" s="52"/>
      <c r="G546" s="52"/>
      <c r="H546" s="53"/>
      <c r="I546" s="53"/>
      <c r="J546" s="52"/>
      <c r="K546" s="52"/>
      <c r="L546" s="52"/>
      <c r="M546" s="52"/>
      <c r="N546" s="52"/>
      <c r="O546" s="52"/>
      <c r="P546" s="9"/>
      <c r="Q546" s="9"/>
      <c r="R546" s="9"/>
      <c r="S546" s="50"/>
      <c r="T546" s="50"/>
      <c r="U546" s="9"/>
      <c r="V546" s="9"/>
      <c r="W546" s="9"/>
      <c r="X546" s="9"/>
      <c r="Y546" s="9"/>
      <c r="Z546" s="9"/>
      <c r="AA546" s="9"/>
    </row>
    <row r="547">
      <c r="A547" s="52"/>
      <c r="B547" s="50"/>
      <c r="C547" s="52"/>
      <c r="D547" s="52"/>
      <c r="E547" s="52"/>
      <c r="F547" s="52"/>
      <c r="G547" s="52"/>
      <c r="H547" s="53"/>
      <c r="I547" s="53"/>
      <c r="J547" s="52"/>
      <c r="K547" s="52"/>
      <c r="L547" s="52"/>
      <c r="M547" s="52"/>
      <c r="N547" s="52"/>
      <c r="O547" s="52"/>
      <c r="P547" s="9"/>
      <c r="Q547" s="9"/>
      <c r="R547" s="9"/>
      <c r="S547" s="50"/>
      <c r="T547" s="50"/>
      <c r="U547" s="9"/>
      <c r="V547" s="9"/>
      <c r="W547" s="9"/>
      <c r="X547" s="9"/>
      <c r="Y547" s="9"/>
      <c r="Z547" s="9"/>
      <c r="AA547" s="9"/>
    </row>
    <row r="548">
      <c r="A548" s="52"/>
      <c r="B548" s="50"/>
      <c r="C548" s="52"/>
      <c r="D548" s="52"/>
      <c r="E548" s="52"/>
      <c r="F548" s="52"/>
      <c r="G548" s="52"/>
      <c r="H548" s="53"/>
      <c r="I548" s="53"/>
      <c r="J548" s="52"/>
      <c r="K548" s="52"/>
      <c r="L548" s="52"/>
      <c r="M548" s="52"/>
      <c r="N548" s="52"/>
      <c r="O548" s="52"/>
      <c r="P548" s="9"/>
      <c r="Q548" s="9"/>
      <c r="R548" s="9"/>
      <c r="S548" s="50"/>
      <c r="T548" s="50"/>
      <c r="U548" s="9"/>
      <c r="V548" s="9"/>
      <c r="W548" s="9"/>
      <c r="X548" s="9"/>
      <c r="Y548" s="9"/>
      <c r="Z548" s="9"/>
      <c r="AA548" s="9"/>
    </row>
    <row r="549">
      <c r="A549" s="52"/>
      <c r="B549" s="50"/>
      <c r="C549" s="52"/>
      <c r="D549" s="52"/>
      <c r="E549" s="52"/>
      <c r="F549" s="52"/>
      <c r="G549" s="52"/>
      <c r="H549" s="53"/>
      <c r="I549" s="53"/>
      <c r="J549" s="52"/>
      <c r="K549" s="52"/>
      <c r="L549" s="52"/>
      <c r="M549" s="52"/>
      <c r="N549" s="52"/>
      <c r="O549" s="52"/>
      <c r="P549" s="9"/>
      <c r="Q549" s="9"/>
      <c r="R549" s="9"/>
      <c r="S549" s="50"/>
      <c r="T549" s="50"/>
      <c r="U549" s="9"/>
      <c r="V549" s="9"/>
      <c r="W549" s="9"/>
      <c r="X549" s="9"/>
      <c r="Y549" s="9"/>
      <c r="Z549" s="9"/>
      <c r="AA549" s="9"/>
    </row>
    <row r="550">
      <c r="A550" s="52"/>
      <c r="B550" s="50"/>
      <c r="C550" s="52"/>
      <c r="D550" s="52"/>
      <c r="E550" s="52"/>
      <c r="F550" s="52"/>
      <c r="G550" s="52"/>
      <c r="H550" s="53"/>
      <c r="I550" s="53"/>
      <c r="J550" s="52"/>
      <c r="K550" s="52"/>
      <c r="L550" s="52"/>
      <c r="M550" s="52"/>
      <c r="N550" s="52"/>
      <c r="O550" s="52"/>
      <c r="P550" s="9"/>
      <c r="Q550" s="9"/>
      <c r="R550" s="9"/>
      <c r="S550" s="50"/>
      <c r="T550" s="50"/>
      <c r="U550" s="9"/>
      <c r="V550" s="9"/>
      <c r="W550" s="9"/>
      <c r="X550" s="9"/>
      <c r="Y550" s="9"/>
      <c r="Z550" s="9"/>
      <c r="AA550" s="9"/>
    </row>
    <row r="551">
      <c r="A551" s="52"/>
      <c r="B551" s="50"/>
      <c r="C551" s="52"/>
      <c r="D551" s="52"/>
      <c r="E551" s="52"/>
      <c r="F551" s="52"/>
      <c r="G551" s="52"/>
      <c r="H551" s="53"/>
      <c r="I551" s="53"/>
      <c r="J551" s="52"/>
      <c r="K551" s="52"/>
      <c r="L551" s="52"/>
      <c r="M551" s="52"/>
      <c r="N551" s="52"/>
      <c r="O551" s="52"/>
      <c r="P551" s="9"/>
      <c r="Q551" s="9"/>
      <c r="R551" s="9"/>
      <c r="S551" s="50"/>
      <c r="T551" s="50"/>
      <c r="U551" s="9"/>
      <c r="V551" s="9"/>
      <c r="W551" s="9"/>
      <c r="X551" s="9"/>
      <c r="Y551" s="9"/>
      <c r="Z551" s="9"/>
      <c r="AA551" s="9"/>
    </row>
    <row r="552">
      <c r="A552" s="52"/>
      <c r="B552" s="50"/>
      <c r="C552" s="52"/>
      <c r="D552" s="52"/>
      <c r="E552" s="52"/>
      <c r="F552" s="52"/>
      <c r="G552" s="52"/>
      <c r="H552" s="53"/>
      <c r="I552" s="53"/>
      <c r="J552" s="52"/>
      <c r="K552" s="52"/>
      <c r="L552" s="52"/>
      <c r="M552" s="52"/>
      <c r="N552" s="52"/>
      <c r="O552" s="52"/>
      <c r="P552" s="9"/>
      <c r="Q552" s="9"/>
      <c r="R552" s="9"/>
      <c r="S552" s="50"/>
      <c r="T552" s="50"/>
      <c r="U552" s="9"/>
      <c r="V552" s="9"/>
      <c r="W552" s="9"/>
      <c r="X552" s="9"/>
      <c r="Y552" s="9"/>
      <c r="Z552" s="9"/>
      <c r="AA552" s="9"/>
    </row>
    <row r="553">
      <c r="A553" s="52"/>
      <c r="B553" s="50"/>
      <c r="C553" s="52"/>
      <c r="D553" s="52"/>
      <c r="E553" s="52"/>
      <c r="F553" s="52"/>
      <c r="G553" s="52"/>
      <c r="H553" s="53"/>
      <c r="I553" s="53"/>
      <c r="J553" s="52"/>
      <c r="K553" s="52"/>
      <c r="L553" s="52"/>
      <c r="M553" s="52"/>
      <c r="N553" s="52"/>
      <c r="O553" s="52"/>
      <c r="P553" s="9"/>
      <c r="Q553" s="9"/>
      <c r="R553" s="9"/>
      <c r="S553" s="50"/>
      <c r="T553" s="50"/>
      <c r="U553" s="9"/>
      <c r="V553" s="9"/>
      <c r="W553" s="9"/>
      <c r="X553" s="9"/>
      <c r="Y553" s="9"/>
      <c r="Z553" s="9"/>
      <c r="AA553" s="9"/>
    </row>
    <row r="554">
      <c r="A554" s="52"/>
      <c r="B554" s="50"/>
      <c r="C554" s="52"/>
      <c r="D554" s="52"/>
      <c r="E554" s="52"/>
      <c r="F554" s="52"/>
      <c r="G554" s="52"/>
      <c r="H554" s="53"/>
      <c r="I554" s="53"/>
      <c r="J554" s="52"/>
      <c r="K554" s="52"/>
      <c r="L554" s="52"/>
      <c r="M554" s="52"/>
      <c r="N554" s="52"/>
      <c r="O554" s="52"/>
      <c r="P554" s="9"/>
      <c r="Q554" s="9"/>
      <c r="R554" s="9"/>
      <c r="S554" s="50"/>
      <c r="T554" s="50"/>
      <c r="U554" s="9"/>
      <c r="V554" s="9"/>
      <c r="W554" s="9"/>
      <c r="X554" s="9"/>
      <c r="Y554" s="9"/>
      <c r="Z554" s="9"/>
      <c r="AA554" s="9"/>
    </row>
    <row r="555">
      <c r="A555" s="52"/>
      <c r="B555" s="50"/>
      <c r="C555" s="52"/>
      <c r="D555" s="52"/>
      <c r="E555" s="52"/>
      <c r="F555" s="52"/>
      <c r="G555" s="52"/>
      <c r="H555" s="53"/>
      <c r="I555" s="53"/>
      <c r="J555" s="52"/>
      <c r="K555" s="52"/>
      <c r="L555" s="52"/>
      <c r="M555" s="52"/>
      <c r="N555" s="52"/>
      <c r="O555" s="52"/>
      <c r="P555" s="9"/>
      <c r="Q555" s="9"/>
      <c r="R555" s="9"/>
      <c r="S555" s="50"/>
      <c r="T555" s="50"/>
      <c r="U555" s="9"/>
      <c r="V555" s="9"/>
      <c r="W555" s="9"/>
      <c r="X555" s="9"/>
      <c r="Y555" s="9"/>
      <c r="Z555" s="9"/>
      <c r="AA555" s="9"/>
    </row>
    <row r="556">
      <c r="A556" s="52"/>
      <c r="B556" s="50"/>
      <c r="C556" s="52"/>
      <c r="D556" s="52"/>
      <c r="E556" s="52"/>
      <c r="F556" s="52"/>
      <c r="G556" s="52"/>
      <c r="H556" s="53"/>
      <c r="I556" s="53"/>
      <c r="J556" s="52"/>
      <c r="K556" s="52"/>
      <c r="L556" s="52"/>
      <c r="M556" s="52"/>
      <c r="N556" s="52"/>
      <c r="O556" s="52"/>
      <c r="P556" s="9"/>
      <c r="Q556" s="9"/>
      <c r="R556" s="9"/>
      <c r="S556" s="50"/>
      <c r="T556" s="50"/>
      <c r="U556" s="9"/>
      <c r="V556" s="9"/>
      <c r="W556" s="9"/>
      <c r="X556" s="9"/>
      <c r="Y556" s="9"/>
      <c r="Z556" s="9"/>
      <c r="AA556" s="9"/>
    </row>
    <row r="557">
      <c r="A557" s="52"/>
      <c r="B557" s="50"/>
      <c r="C557" s="52"/>
      <c r="D557" s="52"/>
      <c r="E557" s="52"/>
      <c r="F557" s="52"/>
      <c r="G557" s="52"/>
      <c r="H557" s="53"/>
      <c r="I557" s="53"/>
      <c r="J557" s="52"/>
      <c r="K557" s="52"/>
      <c r="L557" s="52"/>
      <c r="M557" s="52"/>
      <c r="N557" s="52"/>
      <c r="O557" s="52"/>
      <c r="P557" s="9"/>
      <c r="Q557" s="9"/>
      <c r="R557" s="9"/>
      <c r="S557" s="50"/>
      <c r="T557" s="50"/>
      <c r="U557" s="9"/>
      <c r="V557" s="9"/>
      <c r="W557" s="9"/>
      <c r="X557" s="9"/>
      <c r="Y557" s="9"/>
      <c r="Z557" s="9"/>
      <c r="AA557" s="9"/>
    </row>
    <row r="558">
      <c r="A558" s="52"/>
      <c r="B558" s="50"/>
      <c r="C558" s="52"/>
      <c r="D558" s="52"/>
      <c r="E558" s="52"/>
      <c r="F558" s="52"/>
      <c r="G558" s="52"/>
      <c r="H558" s="53"/>
      <c r="I558" s="53"/>
      <c r="J558" s="52"/>
      <c r="K558" s="52"/>
      <c r="L558" s="52"/>
      <c r="M558" s="52"/>
      <c r="N558" s="52"/>
      <c r="O558" s="52"/>
      <c r="P558" s="9"/>
      <c r="Q558" s="9"/>
      <c r="R558" s="9"/>
      <c r="S558" s="50"/>
      <c r="T558" s="50"/>
      <c r="U558" s="9"/>
      <c r="V558" s="9"/>
      <c r="W558" s="9"/>
      <c r="X558" s="9"/>
      <c r="Y558" s="9"/>
      <c r="Z558" s="9"/>
      <c r="AA558" s="9"/>
    </row>
    <row r="559">
      <c r="A559" s="52"/>
      <c r="B559" s="50"/>
      <c r="C559" s="52"/>
      <c r="D559" s="52"/>
      <c r="E559" s="52"/>
      <c r="F559" s="52"/>
      <c r="G559" s="52"/>
      <c r="H559" s="53"/>
      <c r="I559" s="53"/>
      <c r="J559" s="52"/>
      <c r="K559" s="52"/>
      <c r="L559" s="52"/>
      <c r="M559" s="52"/>
      <c r="N559" s="52"/>
      <c r="O559" s="52"/>
      <c r="P559" s="9"/>
      <c r="Q559" s="9"/>
      <c r="R559" s="9"/>
      <c r="S559" s="50"/>
      <c r="T559" s="50"/>
      <c r="U559" s="9"/>
      <c r="V559" s="9"/>
      <c r="W559" s="9"/>
      <c r="X559" s="9"/>
      <c r="Y559" s="9"/>
      <c r="Z559" s="9"/>
      <c r="AA559" s="9"/>
    </row>
    <row r="560">
      <c r="A560" s="52"/>
      <c r="B560" s="50"/>
      <c r="C560" s="52"/>
      <c r="D560" s="52"/>
      <c r="E560" s="52"/>
      <c r="F560" s="52"/>
      <c r="G560" s="52"/>
      <c r="H560" s="53"/>
      <c r="I560" s="53"/>
      <c r="J560" s="52"/>
      <c r="K560" s="52"/>
      <c r="L560" s="52"/>
      <c r="M560" s="52"/>
      <c r="N560" s="52"/>
      <c r="O560" s="52"/>
      <c r="P560" s="9"/>
      <c r="Q560" s="9"/>
      <c r="R560" s="9"/>
      <c r="S560" s="50"/>
      <c r="T560" s="50"/>
      <c r="U560" s="9"/>
      <c r="V560" s="9"/>
      <c r="W560" s="9"/>
      <c r="X560" s="9"/>
      <c r="Y560" s="9"/>
      <c r="Z560" s="9"/>
      <c r="AA560" s="9"/>
    </row>
    <row r="561">
      <c r="A561" s="52"/>
      <c r="B561" s="50"/>
      <c r="C561" s="52"/>
      <c r="D561" s="52"/>
      <c r="E561" s="52"/>
      <c r="F561" s="52"/>
      <c r="G561" s="52"/>
      <c r="H561" s="53"/>
      <c r="I561" s="53"/>
      <c r="J561" s="52"/>
      <c r="K561" s="52"/>
      <c r="L561" s="52"/>
      <c r="M561" s="52"/>
      <c r="N561" s="52"/>
      <c r="O561" s="52"/>
      <c r="P561" s="9"/>
      <c r="Q561" s="9"/>
      <c r="R561" s="9"/>
      <c r="S561" s="50"/>
      <c r="T561" s="50"/>
      <c r="U561" s="9"/>
      <c r="V561" s="9"/>
      <c r="W561" s="9"/>
      <c r="X561" s="9"/>
      <c r="Y561" s="9"/>
      <c r="Z561" s="9"/>
      <c r="AA561" s="9"/>
    </row>
    <row r="562">
      <c r="A562" s="52"/>
      <c r="B562" s="50"/>
      <c r="C562" s="52"/>
      <c r="D562" s="52"/>
      <c r="E562" s="52"/>
      <c r="F562" s="52"/>
      <c r="G562" s="52"/>
      <c r="H562" s="53"/>
      <c r="I562" s="53"/>
      <c r="J562" s="52"/>
      <c r="K562" s="52"/>
      <c r="L562" s="52"/>
      <c r="M562" s="52"/>
      <c r="N562" s="52"/>
      <c r="O562" s="52"/>
      <c r="P562" s="9"/>
      <c r="Q562" s="9"/>
      <c r="R562" s="9"/>
      <c r="S562" s="50"/>
      <c r="T562" s="50"/>
      <c r="U562" s="9"/>
      <c r="V562" s="9"/>
      <c r="W562" s="9"/>
      <c r="X562" s="9"/>
      <c r="Y562" s="9"/>
      <c r="Z562" s="9"/>
      <c r="AA562" s="9"/>
    </row>
    <row r="563">
      <c r="A563" s="52"/>
      <c r="B563" s="50"/>
      <c r="C563" s="52"/>
      <c r="D563" s="52"/>
      <c r="E563" s="52"/>
      <c r="F563" s="52"/>
      <c r="G563" s="52"/>
      <c r="H563" s="53"/>
      <c r="I563" s="53"/>
      <c r="J563" s="52"/>
      <c r="K563" s="52"/>
      <c r="L563" s="52"/>
      <c r="M563" s="52"/>
      <c r="N563" s="52"/>
      <c r="O563" s="52"/>
      <c r="P563" s="9"/>
      <c r="Q563" s="9"/>
      <c r="R563" s="9"/>
      <c r="S563" s="50"/>
      <c r="T563" s="50"/>
      <c r="U563" s="9"/>
      <c r="V563" s="9"/>
      <c r="W563" s="9"/>
      <c r="X563" s="9"/>
      <c r="Y563" s="9"/>
      <c r="Z563" s="9"/>
      <c r="AA563" s="9"/>
    </row>
    <row r="564">
      <c r="A564" s="52"/>
      <c r="B564" s="50"/>
      <c r="C564" s="52"/>
      <c r="D564" s="52"/>
      <c r="E564" s="52"/>
      <c r="F564" s="52"/>
      <c r="G564" s="52"/>
      <c r="H564" s="53"/>
      <c r="I564" s="53"/>
      <c r="J564" s="52"/>
      <c r="K564" s="52"/>
      <c r="L564" s="52"/>
      <c r="M564" s="52"/>
      <c r="N564" s="52"/>
      <c r="O564" s="52"/>
      <c r="P564" s="9"/>
      <c r="Q564" s="9"/>
      <c r="R564" s="9"/>
      <c r="S564" s="50"/>
      <c r="T564" s="50"/>
      <c r="U564" s="9"/>
      <c r="V564" s="9"/>
      <c r="W564" s="9"/>
      <c r="X564" s="9"/>
      <c r="Y564" s="9"/>
      <c r="Z564" s="9"/>
      <c r="AA564" s="9"/>
    </row>
    <row r="565">
      <c r="A565" s="52"/>
      <c r="B565" s="50"/>
      <c r="C565" s="52"/>
      <c r="D565" s="52"/>
      <c r="E565" s="52"/>
      <c r="F565" s="52"/>
      <c r="G565" s="52"/>
      <c r="H565" s="53"/>
      <c r="I565" s="53"/>
      <c r="J565" s="52"/>
      <c r="K565" s="52"/>
      <c r="L565" s="52"/>
      <c r="M565" s="52"/>
      <c r="N565" s="52"/>
      <c r="O565" s="52"/>
      <c r="P565" s="9"/>
      <c r="Q565" s="9"/>
      <c r="R565" s="9"/>
      <c r="S565" s="50"/>
      <c r="T565" s="50"/>
      <c r="U565" s="9"/>
      <c r="V565" s="9"/>
      <c r="W565" s="9"/>
      <c r="X565" s="9"/>
      <c r="Y565" s="9"/>
      <c r="Z565" s="9"/>
      <c r="AA565" s="9"/>
    </row>
    <row r="566">
      <c r="A566" s="52"/>
      <c r="B566" s="50"/>
      <c r="C566" s="52"/>
      <c r="D566" s="52"/>
      <c r="E566" s="52"/>
      <c r="F566" s="52"/>
      <c r="G566" s="52"/>
      <c r="H566" s="53"/>
      <c r="I566" s="53"/>
      <c r="J566" s="52"/>
      <c r="K566" s="52"/>
      <c r="L566" s="52"/>
      <c r="M566" s="52"/>
      <c r="N566" s="52"/>
      <c r="O566" s="52"/>
      <c r="P566" s="9"/>
      <c r="Q566" s="9"/>
      <c r="R566" s="9"/>
      <c r="S566" s="50"/>
      <c r="T566" s="50"/>
      <c r="U566" s="9"/>
      <c r="V566" s="9"/>
      <c r="W566" s="9"/>
      <c r="X566" s="9"/>
      <c r="Y566" s="9"/>
      <c r="Z566" s="9"/>
      <c r="AA566" s="9"/>
    </row>
    <row r="567">
      <c r="A567" s="52"/>
      <c r="B567" s="50"/>
      <c r="C567" s="52"/>
      <c r="D567" s="52"/>
      <c r="E567" s="52"/>
      <c r="F567" s="52"/>
      <c r="G567" s="52"/>
      <c r="H567" s="53"/>
      <c r="I567" s="53"/>
      <c r="J567" s="52"/>
      <c r="K567" s="52"/>
      <c r="L567" s="52"/>
      <c r="M567" s="52"/>
      <c r="N567" s="52"/>
      <c r="O567" s="52"/>
      <c r="P567" s="9"/>
      <c r="Q567" s="9"/>
      <c r="R567" s="9"/>
      <c r="S567" s="50"/>
      <c r="T567" s="50"/>
      <c r="U567" s="9"/>
      <c r="V567" s="9"/>
      <c r="W567" s="9"/>
      <c r="X567" s="9"/>
      <c r="Y567" s="9"/>
      <c r="Z567" s="9"/>
      <c r="AA567" s="9"/>
    </row>
    <row r="568">
      <c r="A568" s="52"/>
      <c r="B568" s="50"/>
      <c r="C568" s="52"/>
      <c r="D568" s="52"/>
      <c r="E568" s="52"/>
      <c r="F568" s="52"/>
      <c r="G568" s="52"/>
      <c r="H568" s="53"/>
      <c r="I568" s="53"/>
      <c r="J568" s="52"/>
      <c r="K568" s="52"/>
      <c r="L568" s="52"/>
      <c r="M568" s="52"/>
      <c r="N568" s="52"/>
      <c r="O568" s="52"/>
      <c r="P568" s="9"/>
      <c r="Q568" s="9"/>
      <c r="R568" s="9"/>
      <c r="S568" s="50"/>
      <c r="T568" s="50"/>
      <c r="U568" s="9"/>
      <c r="V568" s="9"/>
      <c r="W568" s="9"/>
      <c r="X568" s="9"/>
      <c r="Y568" s="9"/>
      <c r="Z568" s="9"/>
      <c r="AA568" s="9"/>
    </row>
    <row r="569">
      <c r="A569" s="52"/>
      <c r="B569" s="50"/>
      <c r="C569" s="52"/>
      <c r="D569" s="52"/>
      <c r="E569" s="52"/>
      <c r="F569" s="52"/>
      <c r="G569" s="52"/>
      <c r="H569" s="53"/>
      <c r="I569" s="53"/>
      <c r="J569" s="52"/>
      <c r="K569" s="52"/>
      <c r="L569" s="52"/>
      <c r="M569" s="52"/>
      <c r="N569" s="52"/>
      <c r="O569" s="52"/>
      <c r="P569" s="9"/>
      <c r="Q569" s="9"/>
      <c r="R569" s="9"/>
      <c r="S569" s="50"/>
      <c r="T569" s="50"/>
      <c r="U569" s="9"/>
      <c r="V569" s="9"/>
      <c r="W569" s="9"/>
      <c r="X569" s="9"/>
      <c r="Y569" s="9"/>
      <c r="Z569" s="9"/>
      <c r="AA569" s="9"/>
    </row>
    <row r="570">
      <c r="A570" s="52"/>
      <c r="B570" s="50"/>
      <c r="C570" s="52"/>
      <c r="D570" s="52"/>
      <c r="E570" s="52"/>
      <c r="F570" s="52"/>
      <c r="G570" s="52"/>
      <c r="H570" s="53"/>
      <c r="I570" s="53"/>
      <c r="J570" s="52"/>
      <c r="K570" s="52"/>
      <c r="L570" s="52"/>
      <c r="M570" s="52"/>
      <c r="N570" s="52"/>
      <c r="O570" s="52"/>
      <c r="P570" s="9"/>
      <c r="Q570" s="9"/>
      <c r="R570" s="9"/>
      <c r="S570" s="50"/>
      <c r="T570" s="50"/>
      <c r="U570" s="9"/>
      <c r="V570" s="9"/>
      <c r="W570" s="9"/>
      <c r="X570" s="9"/>
      <c r="Y570" s="9"/>
      <c r="Z570" s="9"/>
      <c r="AA570" s="9"/>
    </row>
    <row r="571">
      <c r="A571" s="52"/>
      <c r="B571" s="50"/>
      <c r="C571" s="52"/>
      <c r="D571" s="52"/>
      <c r="E571" s="52"/>
      <c r="F571" s="52"/>
      <c r="G571" s="52"/>
      <c r="H571" s="53"/>
      <c r="I571" s="53"/>
      <c r="J571" s="52"/>
      <c r="K571" s="52"/>
      <c r="L571" s="52"/>
      <c r="M571" s="52"/>
      <c r="N571" s="52"/>
      <c r="O571" s="52"/>
      <c r="P571" s="9"/>
      <c r="Q571" s="9"/>
      <c r="R571" s="9"/>
      <c r="S571" s="50"/>
      <c r="T571" s="50"/>
      <c r="U571" s="9"/>
      <c r="V571" s="9"/>
      <c r="W571" s="9"/>
      <c r="X571" s="9"/>
      <c r="Y571" s="9"/>
      <c r="Z571" s="9"/>
      <c r="AA571" s="9"/>
    </row>
    <row r="572">
      <c r="A572" s="52"/>
      <c r="B572" s="50"/>
      <c r="C572" s="52"/>
      <c r="D572" s="52"/>
      <c r="E572" s="52"/>
      <c r="F572" s="52"/>
      <c r="G572" s="52"/>
      <c r="H572" s="53"/>
      <c r="I572" s="53"/>
      <c r="J572" s="52"/>
      <c r="K572" s="52"/>
      <c r="L572" s="52"/>
      <c r="M572" s="52"/>
      <c r="N572" s="52"/>
      <c r="O572" s="52"/>
      <c r="P572" s="9"/>
      <c r="Q572" s="9"/>
      <c r="R572" s="9"/>
      <c r="S572" s="50"/>
      <c r="T572" s="50"/>
      <c r="U572" s="9"/>
      <c r="V572" s="9"/>
      <c r="W572" s="9"/>
      <c r="X572" s="9"/>
      <c r="Y572" s="9"/>
      <c r="Z572" s="9"/>
      <c r="AA572" s="9"/>
    </row>
    <row r="573">
      <c r="A573" s="52"/>
      <c r="B573" s="50"/>
      <c r="C573" s="52"/>
      <c r="D573" s="52"/>
      <c r="E573" s="52"/>
      <c r="F573" s="52"/>
      <c r="G573" s="52"/>
      <c r="H573" s="53"/>
      <c r="I573" s="53"/>
      <c r="J573" s="52"/>
      <c r="K573" s="52"/>
      <c r="L573" s="52"/>
      <c r="M573" s="52"/>
      <c r="N573" s="52"/>
      <c r="O573" s="52"/>
      <c r="P573" s="9"/>
      <c r="Q573" s="9"/>
      <c r="R573" s="9"/>
      <c r="S573" s="50"/>
      <c r="T573" s="50"/>
      <c r="U573" s="9"/>
      <c r="V573" s="9"/>
      <c r="W573" s="9"/>
      <c r="X573" s="9"/>
      <c r="Y573" s="9"/>
      <c r="Z573" s="9"/>
      <c r="AA573" s="9"/>
    </row>
    <row r="574">
      <c r="A574" s="52"/>
      <c r="B574" s="50"/>
      <c r="C574" s="52"/>
      <c r="D574" s="52"/>
      <c r="E574" s="52"/>
      <c r="F574" s="52"/>
      <c r="G574" s="52"/>
      <c r="H574" s="53"/>
      <c r="I574" s="53"/>
      <c r="J574" s="52"/>
      <c r="K574" s="52"/>
      <c r="L574" s="52"/>
      <c r="M574" s="52"/>
      <c r="N574" s="52"/>
      <c r="O574" s="52"/>
      <c r="P574" s="9"/>
      <c r="Q574" s="9"/>
      <c r="R574" s="9"/>
      <c r="S574" s="50"/>
      <c r="T574" s="50"/>
      <c r="U574" s="9"/>
      <c r="V574" s="9"/>
      <c r="W574" s="9"/>
      <c r="X574" s="9"/>
      <c r="Y574" s="9"/>
      <c r="Z574" s="9"/>
      <c r="AA574" s="9"/>
    </row>
    <row r="575">
      <c r="A575" s="52"/>
      <c r="B575" s="50"/>
      <c r="C575" s="52"/>
      <c r="D575" s="52"/>
      <c r="E575" s="52"/>
      <c r="F575" s="52"/>
      <c r="G575" s="52"/>
      <c r="H575" s="53"/>
      <c r="I575" s="53"/>
      <c r="J575" s="52"/>
      <c r="K575" s="52"/>
      <c r="L575" s="52"/>
      <c r="M575" s="52"/>
      <c r="N575" s="52"/>
      <c r="O575" s="52"/>
      <c r="P575" s="9"/>
      <c r="Q575" s="9"/>
      <c r="R575" s="9"/>
      <c r="S575" s="50"/>
      <c r="T575" s="50"/>
      <c r="U575" s="9"/>
      <c r="V575" s="9"/>
      <c r="W575" s="9"/>
      <c r="X575" s="9"/>
      <c r="Y575" s="9"/>
      <c r="Z575" s="9"/>
      <c r="AA575" s="9"/>
    </row>
    <row r="576">
      <c r="A576" s="52"/>
      <c r="B576" s="50"/>
      <c r="C576" s="52"/>
      <c r="D576" s="52"/>
      <c r="E576" s="52"/>
      <c r="F576" s="52"/>
      <c r="G576" s="52"/>
      <c r="H576" s="53"/>
      <c r="I576" s="53"/>
      <c r="J576" s="52"/>
      <c r="K576" s="52"/>
      <c r="L576" s="52"/>
      <c r="M576" s="52"/>
      <c r="N576" s="52"/>
      <c r="O576" s="52"/>
      <c r="P576" s="9"/>
      <c r="Q576" s="9"/>
      <c r="R576" s="9"/>
      <c r="S576" s="50"/>
      <c r="T576" s="50"/>
      <c r="U576" s="9"/>
      <c r="V576" s="9"/>
      <c r="W576" s="9"/>
      <c r="X576" s="9"/>
      <c r="Y576" s="9"/>
      <c r="Z576" s="9"/>
      <c r="AA576" s="9"/>
    </row>
    <row r="577">
      <c r="A577" s="52"/>
      <c r="B577" s="50"/>
      <c r="C577" s="52"/>
      <c r="D577" s="52"/>
      <c r="E577" s="52"/>
      <c r="F577" s="52"/>
      <c r="G577" s="52"/>
      <c r="H577" s="53"/>
      <c r="I577" s="53"/>
      <c r="J577" s="52"/>
      <c r="K577" s="52"/>
      <c r="L577" s="52"/>
      <c r="M577" s="52"/>
      <c r="N577" s="52"/>
      <c r="O577" s="52"/>
      <c r="P577" s="9"/>
      <c r="Q577" s="9"/>
      <c r="R577" s="9"/>
      <c r="S577" s="50"/>
      <c r="T577" s="50"/>
      <c r="U577" s="9"/>
      <c r="V577" s="9"/>
      <c r="W577" s="9"/>
      <c r="X577" s="9"/>
      <c r="Y577" s="9"/>
      <c r="Z577" s="9"/>
      <c r="AA577" s="9"/>
    </row>
    <row r="578">
      <c r="A578" s="52"/>
      <c r="B578" s="50"/>
      <c r="C578" s="52"/>
      <c r="D578" s="52"/>
      <c r="E578" s="52"/>
      <c r="F578" s="52"/>
      <c r="G578" s="52"/>
      <c r="H578" s="53"/>
      <c r="I578" s="53"/>
      <c r="J578" s="52"/>
      <c r="K578" s="52"/>
      <c r="L578" s="52"/>
      <c r="M578" s="52"/>
      <c r="N578" s="52"/>
      <c r="O578" s="52"/>
      <c r="P578" s="9"/>
      <c r="Q578" s="9"/>
      <c r="R578" s="9"/>
      <c r="S578" s="50"/>
      <c r="T578" s="50"/>
      <c r="U578" s="9"/>
      <c r="V578" s="9"/>
      <c r="W578" s="9"/>
      <c r="X578" s="9"/>
      <c r="Y578" s="9"/>
      <c r="Z578" s="9"/>
      <c r="AA578" s="9"/>
    </row>
    <row r="579">
      <c r="A579" s="52"/>
      <c r="B579" s="50"/>
      <c r="C579" s="52"/>
      <c r="D579" s="52"/>
      <c r="E579" s="52"/>
      <c r="F579" s="52"/>
      <c r="G579" s="52"/>
      <c r="H579" s="53"/>
      <c r="I579" s="53"/>
      <c r="J579" s="52"/>
      <c r="K579" s="52"/>
      <c r="L579" s="52"/>
      <c r="M579" s="52"/>
      <c r="N579" s="52"/>
      <c r="O579" s="52"/>
      <c r="P579" s="9"/>
      <c r="Q579" s="9"/>
      <c r="R579" s="9"/>
      <c r="S579" s="50"/>
      <c r="T579" s="50"/>
      <c r="U579" s="9"/>
      <c r="V579" s="9"/>
      <c r="W579" s="9"/>
      <c r="X579" s="9"/>
      <c r="Y579" s="9"/>
      <c r="Z579" s="9"/>
      <c r="AA579" s="9"/>
    </row>
    <row r="580">
      <c r="A580" s="52"/>
      <c r="B580" s="50"/>
      <c r="C580" s="52"/>
      <c r="D580" s="52"/>
      <c r="E580" s="52"/>
      <c r="F580" s="52"/>
      <c r="G580" s="52"/>
      <c r="H580" s="53"/>
      <c r="I580" s="53"/>
      <c r="J580" s="52"/>
      <c r="K580" s="52"/>
      <c r="L580" s="52"/>
      <c r="M580" s="52"/>
      <c r="N580" s="52"/>
      <c r="O580" s="52"/>
      <c r="P580" s="9"/>
      <c r="Q580" s="9"/>
      <c r="R580" s="9"/>
      <c r="S580" s="50"/>
      <c r="T580" s="50"/>
      <c r="U580" s="9"/>
      <c r="V580" s="9"/>
      <c r="W580" s="9"/>
      <c r="X580" s="9"/>
      <c r="Y580" s="9"/>
      <c r="Z580" s="9"/>
      <c r="AA580" s="9"/>
    </row>
    <row r="581">
      <c r="A581" s="52"/>
      <c r="B581" s="50"/>
      <c r="C581" s="52"/>
      <c r="D581" s="52"/>
      <c r="E581" s="52"/>
      <c r="F581" s="52"/>
      <c r="G581" s="52"/>
      <c r="H581" s="53"/>
      <c r="I581" s="53"/>
      <c r="J581" s="52"/>
      <c r="K581" s="52"/>
      <c r="L581" s="52"/>
      <c r="M581" s="52"/>
      <c r="N581" s="52"/>
      <c r="O581" s="52"/>
      <c r="P581" s="9"/>
      <c r="Q581" s="9"/>
      <c r="R581" s="9"/>
      <c r="S581" s="50"/>
      <c r="T581" s="50"/>
      <c r="U581" s="9"/>
      <c r="V581" s="9"/>
      <c r="W581" s="9"/>
      <c r="X581" s="9"/>
      <c r="Y581" s="9"/>
      <c r="Z581" s="9"/>
      <c r="AA581" s="9"/>
    </row>
    <row r="582">
      <c r="A582" s="52"/>
      <c r="B582" s="50"/>
      <c r="C582" s="52"/>
      <c r="D582" s="52"/>
      <c r="E582" s="52"/>
      <c r="F582" s="52"/>
      <c r="G582" s="52"/>
      <c r="H582" s="53"/>
      <c r="I582" s="53"/>
      <c r="J582" s="52"/>
      <c r="K582" s="52"/>
      <c r="L582" s="52"/>
      <c r="M582" s="52"/>
      <c r="N582" s="52"/>
      <c r="O582" s="52"/>
      <c r="P582" s="9"/>
      <c r="Q582" s="9"/>
      <c r="R582" s="9"/>
      <c r="S582" s="50"/>
      <c r="T582" s="50"/>
      <c r="U582" s="9"/>
      <c r="V582" s="9"/>
      <c r="W582" s="9"/>
      <c r="X582" s="9"/>
      <c r="Y582" s="9"/>
      <c r="Z582" s="9"/>
      <c r="AA582" s="9"/>
    </row>
    <row r="583">
      <c r="A583" s="52"/>
      <c r="B583" s="50"/>
      <c r="C583" s="52"/>
      <c r="D583" s="52"/>
      <c r="E583" s="52"/>
      <c r="F583" s="52"/>
      <c r="G583" s="52"/>
      <c r="H583" s="53"/>
      <c r="I583" s="53"/>
      <c r="J583" s="52"/>
      <c r="K583" s="52"/>
      <c r="L583" s="52"/>
      <c r="M583" s="52"/>
      <c r="N583" s="52"/>
      <c r="O583" s="52"/>
      <c r="P583" s="9"/>
      <c r="Q583" s="9"/>
      <c r="R583" s="9"/>
      <c r="S583" s="50"/>
      <c r="T583" s="50"/>
      <c r="U583" s="9"/>
      <c r="V583" s="9"/>
      <c r="W583" s="9"/>
      <c r="X583" s="9"/>
      <c r="Y583" s="9"/>
      <c r="Z583" s="9"/>
      <c r="AA583" s="9"/>
    </row>
    <row r="584">
      <c r="A584" s="52"/>
      <c r="B584" s="50"/>
      <c r="C584" s="52"/>
      <c r="D584" s="52"/>
      <c r="E584" s="52"/>
      <c r="F584" s="52"/>
      <c r="G584" s="52"/>
      <c r="H584" s="53"/>
      <c r="I584" s="53"/>
      <c r="J584" s="52"/>
      <c r="K584" s="52"/>
      <c r="L584" s="52"/>
      <c r="M584" s="52"/>
      <c r="N584" s="52"/>
      <c r="O584" s="52"/>
      <c r="P584" s="9"/>
      <c r="Q584" s="9"/>
      <c r="R584" s="9"/>
      <c r="S584" s="50"/>
      <c r="T584" s="50"/>
      <c r="U584" s="9"/>
      <c r="V584" s="9"/>
      <c r="W584" s="9"/>
      <c r="X584" s="9"/>
      <c r="Y584" s="9"/>
      <c r="Z584" s="9"/>
      <c r="AA584" s="9"/>
    </row>
    <row r="585">
      <c r="A585" s="52"/>
      <c r="B585" s="50"/>
      <c r="C585" s="52"/>
      <c r="D585" s="52"/>
      <c r="E585" s="52"/>
      <c r="F585" s="52"/>
      <c r="G585" s="52"/>
      <c r="H585" s="53"/>
      <c r="I585" s="53"/>
      <c r="J585" s="52"/>
      <c r="K585" s="52"/>
      <c r="L585" s="52"/>
      <c r="M585" s="52"/>
      <c r="N585" s="52"/>
      <c r="O585" s="52"/>
      <c r="P585" s="9"/>
      <c r="Q585" s="9"/>
      <c r="R585" s="9"/>
      <c r="S585" s="50"/>
      <c r="T585" s="50"/>
      <c r="U585" s="9"/>
      <c r="V585" s="9"/>
      <c r="W585" s="9"/>
      <c r="X585" s="9"/>
      <c r="Y585" s="9"/>
      <c r="Z585" s="9"/>
      <c r="AA585" s="9"/>
    </row>
    <row r="586">
      <c r="A586" s="52"/>
      <c r="B586" s="50"/>
      <c r="C586" s="52"/>
      <c r="D586" s="52"/>
      <c r="E586" s="52"/>
      <c r="F586" s="52"/>
      <c r="G586" s="52"/>
      <c r="H586" s="53"/>
      <c r="I586" s="53"/>
      <c r="J586" s="52"/>
      <c r="K586" s="52"/>
      <c r="L586" s="52"/>
      <c r="M586" s="52"/>
      <c r="N586" s="52"/>
      <c r="O586" s="52"/>
      <c r="P586" s="9"/>
      <c r="Q586" s="9"/>
      <c r="R586" s="9"/>
      <c r="S586" s="50"/>
      <c r="T586" s="50"/>
      <c r="U586" s="9"/>
      <c r="V586" s="9"/>
      <c r="W586" s="9"/>
      <c r="X586" s="9"/>
      <c r="Y586" s="9"/>
      <c r="Z586" s="9"/>
      <c r="AA586" s="9"/>
    </row>
    <row r="587">
      <c r="A587" s="52"/>
      <c r="B587" s="50"/>
      <c r="C587" s="52"/>
      <c r="D587" s="52"/>
      <c r="E587" s="52"/>
      <c r="F587" s="52"/>
      <c r="G587" s="52"/>
      <c r="H587" s="53"/>
      <c r="I587" s="53"/>
      <c r="J587" s="52"/>
      <c r="K587" s="52"/>
      <c r="L587" s="52"/>
      <c r="M587" s="52"/>
      <c r="N587" s="52"/>
      <c r="O587" s="52"/>
      <c r="P587" s="9"/>
      <c r="Q587" s="9"/>
      <c r="R587" s="9"/>
      <c r="S587" s="50"/>
      <c r="T587" s="50"/>
      <c r="U587" s="9"/>
      <c r="V587" s="9"/>
      <c r="W587" s="9"/>
      <c r="X587" s="9"/>
      <c r="Y587" s="9"/>
      <c r="Z587" s="9"/>
      <c r="AA587" s="9"/>
    </row>
    <row r="588">
      <c r="A588" s="52"/>
      <c r="B588" s="50"/>
      <c r="C588" s="52"/>
      <c r="D588" s="52"/>
      <c r="E588" s="52"/>
      <c r="F588" s="52"/>
      <c r="G588" s="52"/>
      <c r="H588" s="53"/>
      <c r="I588" s="53"/>
      <c r="J588" s="52"/>
      <c r="K588" s="52"/>
      <c r="L588" s="52"/>
      <c r="M588" s="52"/>
      <c r="N588" s="52"/>
      <c r="O588" s="52"/>
      <c r="P588" s="9"/>
      <c r="Q588" s="9"/>
      <c r="R588" s="9"/>
      <c r="S588" s="50"/>
      <c r="T588" s="50"/>
      <c r="U588" s="9"/>
      <c r="V588" s="9"/>
      <c r="W588" s="9"/>
      <c r="X588" s="9"/>
      <c r="Y588" s="9"/>
      <c r="Z588" s="9"/>
      <c r="AA588" s="9"/>
    </row>
    <row r="589">
      <c r="A589" s="52"/>
      <c r="B589" s="50"/>
      <c r="C589" s="52"/>
      <c r="D589" s="52"/>
      <c r="E589" s="52"/>
      <c r="F589" s="52"/>
      <c r="G589" s="52"/>
      <c r="H589" s="53"/>
      <c r="I589" s="53"/>
      <c r="J589" s="52"/>
      <c r="K589" s="52"/>
      <c r="L589" s="52"/>
      <c r="M589" s="52"/>
      <c r="N589" s="52"/>
      <c r="O589" s="52"/>
      <c r="P589" s="9"/>
      <c r="Q589" s="9"/>
      <c r="R589" s="9"/>
      <c r="S589" s="50"/>
      <c r="T589" s="50"/>
      <c r="U589" s="9"/>
      <c r="V589" s="9"/>
      <c r="W589" s="9"/>
      <c r="X589" s="9"/>
      <c r="Y589" s="9"/>
      <c r="Z589" s="9"/>
      <c r="AA589" s="9"/>
    </row>
    <row r="590">
      <c r="A590" s="52"/>
      <c r="B590" s="50"/>
      <c r="C590" s="52"/>
      <c r="D590" s="52"/>
      <c r="E590" s="52"/>
      <c r="F590" s="52"/>
      <c r="G590" s="52"/>
      <c r="H590" s="53"/>
      <c r="I590" s="53"/>
      <c r="J590" s="52"/>
      <c r="K590" s="52"/>
      <c r="L590" s="52"/>
      <c r="M590" s="52"/>
      <c r="N590" s="52"/>
      <c r="O590" s="52"/>
      <c r="P590" s="9"/>
      <c r="Q590" s="9"/>
      <c r="R590" s="9"/>
      <c r="S590" s="50"/>
      <c r="T590" s="50"/>
      <c r="U590" s="9"/>
      <c r="V590" s="9"/>
      <c r="W590" s="9"/>
      <c r="X590" s="9"/>
      <c r="Y590" s="9"/>
      <c r="Z590" s="9"/>
      <c r="AA590" s="9"/>
    </row>
    <row r="591">
      <c r="A591" s="52"/>
      <c r="B591" s="50"/>
      <c r="C591" s="52"/>
      <c r="D591" s="52"/>
      <c r="E591" s="52"/>
      <c r="F591" s="52"/>
      <c r="G591" s="52"/>
      <c r="H591" s="53"/>
      <c r="I591" s="53"/>
      <c r="J591" s="52"/>
      <c r="K591" s="52"/>
      <c r="L591" s="52"/>
      <c r="M591" s="52"/>
      <c r="N591" s="52"/>
      <c r="O591" s="52"/>
      <c r="P591" s="9"/>
      <c r="Q591" s="9"/>
      <c r="R591" s="9"/>
      <c r="S591" s="50"/>
      <c r="T591" s="50"/>
      <c r="U591" s="9"/>
      <c r="V591" s="9"/>
      <c r="W591" s="9"/>
      <c r="X591" s="9"/>
      <c r="Y591" s="9"/>
      <c r="Z591" s="9"/>
      <c r="AA591" s="9"/>
    </row>
    <row r="592">
      <c r="A592" s="52"/>
      <c r="B592" s="50"/>
      <c r="C592" s="52"/>
      <c r="D592" s="52"/>
      <c r="E592" s="52"/>
      <c r="F592" s="52"/>
      <c r="G592" s="52"/>
      <c r="H592" s="53"/>
      <c r="I592" s="53"/>
      <c r="J592" s="52"/>
      <c r="K592" s="52"/>
      <c r="L592" s="52"/>
      <c r="M592" s="52"/>
      <c r="N592" s="52"/>
      <c r="O592" s="52"/>
      <c r="P592" s="9"/>
      <c r="Q592" s="9"/>
      <c r="R592" s="9"/>
      <c r="S592" s="50"/>
      <c r="T592" s="50"/>
      <c r="U592" s="9"/>
      <c r="V592" s="9"/>
      <c r="W592" s="9"/>
      <c r="X592" s="9"/>
      <c r="Y592" s="9"/>
      <c r="Z592" s="9"/>
      <c r="AA592" s="9"/>
    </row>
    <row r="593">
      <c r="A593" s="52"/>
      <c r="B593" s="50"/>
      <c r="C593" s="52"/>
      <c r="D593" s="52"/>
      <c r="E593" s="52"/>
      <c r="F593" s="52"/>
      <c r="G593" s="52"/>
      <c r="H593" s="53"/>
      <c r="I593" s="53"/>
      <c r="J593" s="52"/>
      <c r="K593" s="52"/>
      <c r="L593" s="52"/>
      <c r="M593" s="52"/>
      <c r="N593" s="52"/>
      <c r="O593" s="52"/>
      <c r="P593" s="9"/>
      <c r="Q593" s="9"/>
      <c r="R593" s="9"/>
      <c r="S593" s="50"/>
      <c r="T593" s="50"/>
      <c r="U593" s="9"/>
      <c r="V593" s="9"/>
      <c r="W593" s="9"/>
      <c r="X593" s="9"/>
      <c r="Y593" s="9"/>
      <c r="Z593" s="9"/>
      <c r="AA593" s="9"/>
    </row>
    <row r="594">
      <c r="A594" s="52"/>
      <c r="B594" s="50"/>
      <c r="C594" s="52"/>
      <c r="D594" s="52"/>
      <c r="E594" s="52"/>
      <c r="F594" s="52"/>
      <c r="G594" s="52"/>
      <c r="H594" s="53"/>
      <c r="I594" s="53"/>
      <c r="J594" s="52"/>
      <c r="K594" s="52"/>
      <c r="L594" s="52"/>
      <c r="M594" s="52"/>
      <c r="N594" s="52"/>
      <c r="O594" s="52"/>
      <c r="P594" s="9"/>
      <c r="Q594" s="9"/>
      <c r="R594" s="9"/>
      <c r="S594" s="50"/>
      <c r="T594" s="50"/>
      <c r="U594" s="9"/>
      <c r="V594" s="9"/>
      <c r="W594" s="9"/>
      <c r="X594" s="9"/>
      <c r="Y594" s="9"/>
      <c r="Z594" s="9"/>
      <c r="AA594" s="9"/>
    </row>
    <row r="595">
      <c r="A595" s="52"/>
      <c r="B595" s="50"/>
      <c r="C595" s="52"/>
      <c r="D595" s="52"/>
      <c r="E595" s="52"/>
      <c r="F595" s="52"/>
      <c r="G595" s="52"/>
      <c r="H595" s="53"/>
      <c r="I595" s="53"/>
      <c r="J595" s="52"/>
      <c r="K595" s="52"/>
      <c r="L595" s="52"/>
      <c r="M595" s="52"/>
      <c r="N595" s="52"/>
      <c r="O595" s="52"/>
      <c r="P595" s="9"/>
      <c r="Q595" s="9"/>
      <c r="R595" s="9"/>
      <c r="S595" s="50"/>
      <c r="T595" s="50"/>
      <c r="U595" s="9"/>
      <c r="V595" s="9"/>
      <c r="W595" s="9"/>
      <c r="X595" s="9"/>
      <c r="Y595" s="9"/>
      <c r="Z595" s="9"/>
      <c r="AA595" s="9"/>
    </row>
    <row r="596">
      <c r="A596" s="52"/>
      <c r="B596" s="50"/>
      <c r="C596" s="52"/>
      <c r="D596" s="52"/>
      <c r="E596" s="52"/>
      <c r="F596" s="52"/>
      <c r="G596" s="52"/>
      <c r="H596" s="53"/>
      <c r="I596" s="53"/>
      <c r="J596" s="52"/>
      <c r="K596" s="52"/>
      <c r="L596" s="52"/>
      <c r="M596" s="52"/>
      <c r="N596" s="52"/>
      <c r="O596" s="52"/>
      <c r="P596" s="9"/>
      <c r="Q596" s="9"/>
      <c r="R596" s="9"/>
      <c r="S596" s="50"/>
      <c r="T596" s="50"/>
      <c r="U596" s="9"/>
      <c r="V596" s="9"/>
      <c r="W596" s="9"/>
      <c r="X596" s="9"/>
      <c r="Y596" s="9"/>
      <c r="Z596" s="9"/>
      <c r="AA596" s="9"/>
    </row>
    <row r="597">
      <c r="A597" s="52"/>
      <c r="B597" s="50"/>
      <c r="C597" s="52"/>
      <c r="D597" s="52"/>
      <c r="E597" s="52"/>
      <c r="F597" s="52"/>
      <c r="G597" s="52"/>
      <c r="H597" s="53"/>
      <c r="I597" s="53"/>
      <c r="J597" s="52"/>
      <c r="K597" s="52"/>
      <c r="L597" s="52"/>
      <c r="M597" s="52"/>
      <c r="N597" s="52"/>
      <c r="O597" s="52"/>
      <c r="P597" s="9"/>
      <c r="Q597" s="9"/>
      <c r="R597" s="9"/>
      <c r="S597" s="50"/>
      <c r="T597" s="50"/>
      <c r="U597" s="9"/>
      <c r="V597" s="9"/>
      <c r="W597" s="9"/>
      <c r="X597" s="9"/>
      <c r="Y597" s="9"/>
      <c r="Z597" s="9"/>
      <c r="AA597" s="9"/>
    </row>
    <row r="598">
      <c r="A598" s="52"/>
      <c r="B598" s="50"/>
      <c r="C598" s="52"/>
      <c r="D598" s="52"/>
      <c r="E598" s="52"/>
      <c r="F598" s="52"/>
      <c r="G598" s="52"/>
      <c r="H598" s="53"/>
      <c r="I598" s="53"/>
      <c r="J598" s="52"/>
      <c r="K598" s="52"/>
      <c r="L598" s="52"/>
      <c r="M598" s="52"/>
      <c r="N598" s="52"/>
      <c r="O598" s="52"/>
      <c r="P598" s="9"/>
      <c r="Q598" s="9"/>
      <c r="R598" s="9"/>
      <c r="S598" s="50"/>
      <c r="T598" s="50"/>
      <c r="U598" s="9"/>
      <c r="V598" s="9"/>
      <c r="W598" s="9"/>
      <c r="X598" s="9"/>
      <c r="Y598" s="9"/>
      <c r="Z598" s="9"/>
      <c r="AA598" s="9"/>
    </row>
    <row r="599">
      <c r="A599" s="52"/>
      <c r="B599" s="50"/>
      <c r="C599" s="52"/>
      <c r="D599" s="52"/>
      <c r="E599" s="52"/>
      <c r="F599" s="52"/>
      <c r="G599" s="52"/>
      <c r="H599" s="53"/>
      <c r="I599" s="53"/>
      <c r="J599" s="52"/>
      <c r="K599" s="52"/>
      <c r="L599" s="52"/>
      <c r="M599" s="52"/>
      <c r="N599" s="52"/>
      <c r="O599" s="52"/>
      <c r="P599" s="9"/>
      <c r="Q599" s="9"/>
      <c r="R599" s="9"/>
      <c r="S599" s="50"/>
      <c r="T599" s="50"/>
      <c r="U599" s="9"/>
      <c r="V599" s="9"/>
      <c r="W599" s="9"/>
      <c r="X599" s="9"/>
      <c r="Y599" s="9"/>
      <c r="Z599" s="9"/>
      <c r="AA599" s="9"/>
    </row>
    <row r="600">
      <c r="A600" s="52"/>
      <c r="B600" s="50"/>
      <c r="C600" s="52"/>
      <c r="D600" s="52"/>
      <c r="E600" s="52"/>
      <c r="F600" s="52"/>
      <c r="G600" s="52"/>
      <c r="H600" s="53"/>
      <c r="I600" s="53"/>
      <c r="J600" s="52"/>
      <c r="K600" s="52"/>
      <c r="L600" s="52"/>
      <c r="M600" s="52"/>
      <c r="N600" s="52"/>
      <c r="O600" s="52"/>
      <c r="P600" s="9"/>
      <c r="Q600" s="9"/>
      <c r="R600" s="9"/>
      <c r="S600" s="50"/>
      <c r="T600" s="50"/>
      <c r="U600" s="9"/>
      <c r="V600" s="9"/>
      <c r="W600" s="9"/>
      <c r="X600" s="9"/>
      <c r="Y600" s="9"/>
      <c r="Z600" s="9"/>
      <c r="AA600" s="9"/>
    </row>
    <row r="601">
      <c r="A601" s="52"/>
      <c r="B601" s="50"/>
      <c r="C601" s="52"/>
      <c r="D601" s="52"/>
      <c r="E601" s="52"/>
      <c r="F601" s="52"/>
      <c r="G601" s="52"/>
      <c r="H601" s="53"/>
      <c r="I601" s="53"/>
      <c r="J601" s="52"/>
      <c r="K601" s="52"/>
      <c r="L601" s="52"/>
      <c r="M601" s="52"/>
      <c r="N601" s="52"/>
      <c r="O601" s="52"/>
      <c r="P601" s="9"/>
      <c r="Q601" s="9"/>
      <c r="R601" s="9"/>
      <c r="S601" s="50"/>
      <c r="T601" s="50"/>
      <c r="U601" s="9"/>
      <c r="V601" s="9"/>
      <c r="W601" s="9"/>
      <c r="X601" s="9"/>
      <c r="Y601" s="9"/>
      <c r="Z601" s="9"/>
      <c r="AA601" s="9"/>
    </row>
    <row r="602">
      <c r="A602" s="52"/>
      <c r="B602" s="50"/>
      <c r="C602" s="52"/>
      <c r="D602" s="52"/>
      <c r="E602" s="52"/>
      <c r="F602" s="52"/>
      <c r="G602" s="52"/>
      <c r="H602" s="53"/>
      <c r="I602" s="53"/>
      <c r="J602" s="52"/>
      <c r="K602" s="52"/>
      <c r="L602" s="52"/>
      <c r="M602" s="52"/>
      <c r="N602" s="52"/>
      <c r="O602" s="52"/>
      <c r="P602" s="9"/>
      <c r="Q602" s="9"/>
      <c r="R602" s="9"/>
      <c r="S602" s="50"/>
      <c r="T602" s="50"/>
      <c r="U602" s="9"/>
      <c r="V602" s="9"/>
      <c r="W602" s="9"/>
      <c r="X602" s="9"/>
      <c r="Y602" s="9"/>
      <c r="Z602" s="9"/>
      <c r="AA602" s="9"/>
    </row>
    <row r="603">
      <c r="A603" s="52"/>
      <c r="B603" s="50"/>
      <c r="C603" s="52"/>
      <c r="D603" s="52"/>
      <c r="E603" s="52"/>
      <c r="F603" s="52"/>
      <c r="G603" s="52"/>
      <c r="H603" s="53"/>
      <c r="I603" s="53"/>
      <c r="J603" s="52"/>
      <c r="K603" s="52"/>
      <c r="L603" s="52"/>
      <c r="M603" s="52"/>
      <c r="N603" s="52"/>
      <c r="O603" s="52"/>
      <c r="P603" s="9"/>
      <c r="Q603" s="9"/>
      <c r="R603" s="9"/>
      <c r="S603" s="50"/>
      <c r="T603" s="50"/>
      <c r="U603" s="9"/>
      <c r="V603" s="9"/>
      <c r="W603" s="9"/>
      <c r="X603" s="9"/>
      <c r="Y603" s="9"/>
      <c r="Z603" s="9"/>
      <c r="AA603" s="9"/>
    </row>
    <row r="604">
      <c r="A604" s="52"/>
      <c r="B604" s="50"/>
      <c r="C604" s="52"/>
      <c r="D604" s="52"/>
      <c r="E604" s="52"/>
      <c r="F604" s="52"/>
      <c r="G604" s="52"/>
      <c r="H604" s="53"/>
      <c r="I604" s="53"/>
      <c r="J604" s="52"/>
      <c r="K604" s="52"/>
      <c r="L604" s="52"/>
      <c r="M604" s="52"/>
      <c r="N604" s="52"/>
      <c r="O604" s="52"/>
      <c r="P604" s="9"/>
      <c r="Q604" s="9"/>
      <c r="R604" s="9"/>
      <c r="S604" s="50"/>
      <c r="T604" s="50"/>
      <c r="U604" s="9"/>
      <c r="V604" s="9"/>
      <c r="W604" s="9"/>
      <c r="X604" s="9"/>
      <c r="Y604" s="9"/>
      <c r="Z604" s="9"/>
      <c r="AA604" s="9"/>
    </row>
    <row r="605">
      <c r="A605" s="52"/>
      <c r="B605" s="50"/>
      <c r="C605" s="52"/>
      <c r="D605" s="52"/>
      <c r="E605" s="52"/>
      <c r="F605" s="52"/>
      <c r="G605" s="52"/>
      <c r="H605" s="53"/>
      <c r="I605" s="53"/>
      <c r="J605" s="52"/>
      <c r="K605" s="52"/>
      <c r="L605" s="52"/>
      <c r="M605" s="52"/>
      <c r="N605" s="52"/>
      <c r="O605" s="52"/>
      <c r="P605" s="9"/>
      <c r="Q605" s="9"/>
      <c r="R605" s="9"/>
      <c r="S605" s="50"/>
      <c r="T605" s="50"/>
      <c r="U605" s="9"/>
      <c r="V605" s="9"/>
      <c r="W605" s="9"/>
      <c r="X605" s="9"/>
      <c r="Y605" s="9"/>
      <c r="Z605" s="9"/>
      <c r="AA605" s="9"/>
    </row>
    <row r="606">
      <c r="A606" s="52"/>
      <c r="B606" s="50"/>
      <c r="C606" s="52"/>
      <c r="D606" s="52"/>
      <c r="E606" s="52"/>
      <c r="F606" s="52"/>
      <c r="G606" s="52"/>
      <c r="H606" s="53"/>
      <c r="I606" s="53"/>
      <c r="J606" s="52"/>
      <c r="K606" s="52"/>
      <c r="L606" s="52"/>
      <c r="M606" s="52"/>
      <c r="N606" s="52"/>
      <c r="O606" s="52"/>
      <c r="P606" s="9"/>
      <c r="Q606" s="9"/>
      <c r="R606" s="9"/>
      <c r="S606" s="50"/>
      <c r="T606" s="50"/>
      <c r="U606" s="9"/>
      <c r="V606" s="9"/>
      <c r="W606" s="9"/>
      <c r="X606" s="9"/>
      <c r="Y606" s="9"/>
      <c r="Z606" s="9"/>
      <c r="AA606" s="9"/>
    </row>
    <row r="607">
      <c r="A607" s="52"/>
      <c r="B607" s="50"/>
      <c r="C607" s="52"/>
      <c r="D607" s="52"/>
      <c r="E607" s="52"/>
      <c r="F607" s="52"/>
      <c r="G607" s="52"/>
      <c r="H607" s="53"/>
      <c r="I607" s="53"/>
      <c r="J607" s="52"/>
      <c r="K607" s="52"/>
      <c r="L607" s="52"/>
      <c r="M607" s="52"/>
      <c r="N607" s="52"/>
      <c r="O607" s="52"/>
      <c r="P607" s="9"/>
      <c r="Q607" s="9"/>
      <c r="R607" s="9"/>
      <c r="S607" s="50"/>
      <c r="T607" s="50"/>
      <c r="U607" s="9"/>
      <c r="V607" s="9"/>
      <c r="W607" s="9"/>
      <c r="X607" s="9"/>
      <c r="Y607" s="9"/>
      <c r="Z607" s="9"/>
      <c r="AA607" s="9"/>
    </row>
    <row r="608">
      <c r="A608" s="52"/>
      <c r="B608" s="50"/>
      <c r="C608" s="52"/>
      <c r="D608" s="52"/>
      <c r="E608" s="52"/>
      <c r="F608" s="52"/>
      <c r="G608" s="52"/>
      <c r="H608" s="53"/>
      <c r="I608" s="53"/>
      <c r="J608" s="52"/>
      <c r="K608" s="52"/>
      <c r="L608" s="52"/>
      <c r="M608" s="52"/>
      <c r="N608" s="52"/>
      <c r="O608" s="52"/>
      <c r="P608" s="9"/>
      <c r="Q608" s="9"/>
      <c r="R608" s="9"/>
      <c r="S608" s="50"/>
      <c r="T608" s="50"/>
      <c r="U608" s="9"/>
      <c r="V608" s="9"/>
      <c r="W608" s="9"/>
      <c r="X608" s="9"/>
      <c r="Y608" s="9"/>
      <c r="Z608" s="9"/>
      <c r="AA608" s="9"/>
    </row>
    <row r="609">
      <c r="A609" s="52"/>
      <c r="B609" s="50"/>
      <c r="C609" s="52"/>
      <c r="D609" s="52"/>
      <c r="E609" s="52"/>
      <c r="F609" s="52"/>
      <c r="G609" s="52"/>
      <c r="H609" s="53"/>
      <c r="I609" s="53"/>
      <c r="J609" s="52"/>
      <c r="K609" s="52"/>
      <c r="L609" s="52"/>
      <c r="M609" s="52"/>
      <c r="N609" s="52"/>
      <c r="O609" s="52"/>
      <c r="P609" s="9"/>
      <c r="Q609" s="9"/>
      <c r="R609" s="9"/>
      <c r="S609" s="50"/>
      <c r="T609" s="50"/>
      <c r="U609" s="9"/>
      <c r="V609" s="9"/>
      <c r="W609" s="9"/>
      <c r="X609" s="9"/>
      <c r="Y609" s="9"/>
      <c r="Z609" s="9"/>
      <c r="AA609" s="9"/>
    </row>
    <row r="610">
      <c r="A610" s="52"/>
      <c r="B610" s="50"/>
      <c r="C610" s="52"/>
      <c r="D610" s="52"/>
      <c r="E610" s="52"/>
      <c r="F610" s="52"/>
      <c r="G610" s="52"/>
      <c r="H610" s="53"/>
      <c r="I610" s="53"/>
      <c r="J610" s="52"/>
      <c r="K610" s="52"/>
      <c r="L610" s="52"/>
      <c r="M610" s="52"/>
      <c r="N610" s="52"/>
      <c r="O610" s="52"/>
      <c r="P610" s="9"/>
      <c r="Q610" s="9"/>
      <c r="R610" s="9"/>
      <c r="S610" s="50"/>
      <c r="T610" s="50"/>
      <c r="U610" s="9"/>
      <c r="V610" s="9"/>
      <c r="W610" s="9"/>
      <c r="X610" s="9"/>
      <c r="Y610" s="9"/>
      <c r="Z610" s="9"/>
      <c r="AA610" s="9"/>
    </row>
    <row r="611">
      <c r="A611" s="52"/>
      <c r="B611" s="50"/>
      <c r="C611" s="52"/>
      <c r="D611" s="52"/>
      <c r="E611" s="52"/>
      <c r="F611" s="52"/>
      <c r="G611" s="52"/>
      <c r="H611" s="53"/>
      <c r="I611" s="53"/>
      <c r="J611" s="52"/>
      <c r="K611" s="52"/>
      <c r="L611" s="52"/>
      <c r="M611" s="52"/>
      <c r="N611" s="52"/>
      <c r="O611" s="52"/>
      <c r="P611" s="9"/>
      <c r="Q611" s="9"/>
      <c r="R611" s="9"/>
      <c r="S611" s="50"/>
      <c r="T611" s="50"/>
      <c r="U611" s="9"/>
      <c r="V611" s="9"/>
      <c r="W611" s="9"/>
      <c r="X611" s="9"/>
      <c r="Y611" s="9"/>
      <c r="Z611" s="9"/>
      <c r="AA611" s="9"/>
    </row>
    <row r="612">
      <c r="A612" s="52"/>
      <c r="B612" s="50"/>
      <c r="C612" s="52"/>
      <c r="D612" s="52"/>
      <c r="E612" s="52"/>
      <c r="F612" s="52"/>
      <c r="G612" s="52"/>
      <c r="H612" s="53"/>
      <c r="I612" s="53"/>
      <c r="J612" s="52"/>
      <c r="K612" s="52"/>
      <c r="L612" s="52"/>
      <c r="M612" s="52"/>
      <c r="N612" s="52"/>
      <c r="O612" s="52"/>
      <c r="P612" s="9"/>
      <c r="Q612" s="9"/>
      <c r="R612" s="9"/>
      <c r="S612" s="50"/>
      <c r="T612" s="50"/>
      <c r="U612" s="9"/>
      <c r="V612" s="9"/>
      <c r="W612" s="9"/>
      <c r="X612" s="9"/>
      <c r="Y612" s="9"/>
      <c r="Z612" s="9"/>
      <c r="AA612" s="9"/>
    </row>
    <row r="613">
      <c r="A613" s="52"/>
      <c r="B613" s="50"/>
      <c r="C613" s="52"/>
      <c r="D613" s="52"/>
      <c r="E613" s="52"/>
      <c r="F613" s="52"/>
      <c r="G613" s="52"/>
      <c r="H613" s="53"/>
      <c r="I613" s="53"/>
      <c r="J613" s="52"/>
      <c r="K613" s="52"/>
      <c r="L613" s="52"/>
      <c r="M613" s="52"/>
      <c r="N613" s="52"/>
      <c r="O613" s="52"/>
      <c r="P613" s="9"/>
      <c r="Q613" s="9"/>
      <c r="R613" s="9"/>
      <c r="S613" s="50"/>
      <c r="T613" s="50"/>
      <c r="U613" s="9"/>
      <c r="V613" s="9"/>
      <c r="W613" s="9"/>
      <c r="X613" s="9"/>
      <c r="Y613" s="9"/>
      <c r="Z613" s="9"/>
      <c r="AA613" s="9"/>
    </row>
    <row r="614">
      <c r="A614" s="52"/>
      <c r="B614" s="50"/>
      <c r="C614" s="52"/>
      <c r="D614" s="52"/>
      <c r="E614" s="52"/>
      <c r="F614" s="52"/>
      <c r="G614" s="52"/>
      <c r="H614" s="53"/>
      <c r="I614" s="53"/>
      <c r="J614" s="52"/>
      <c r="K614" s="52"/>
      <c r="L614" s="52"/>
      <c r="M614" s="52"/>
      <c r="N614" s="52"/>
      <c r="O614" s="52"/>
      <c r="P614" s="9"/>
      <c r="Q614" s="9"/>
      <c r="R614" s="9"/>
      <c r="S614" s="50"/>
      <c r="T614" s="50"/>
      <c r="U614" s="9"/>
      <c r="V614" s="9"/>
      <c r="W614" s="9"/>
      <c r="X614" s="9"/>
      <c r="Y614" s="9"/>
      <c r="Z614" s="9"/>
      <c r="AA614" s="9"/>
    </row>
    <row r="615">
      <c r="A615" s="52"/>
      <c r="B615" s="50"/>
      <c r="C615" s="52"/>
      <c r="D615" s="52"/>
      <c r="E615" s="52"/>
      <c r="F615" s="52"/>
      <c r="G615" s="52"/>
      <c r="H615" s="53"/>
      <c r="I615" s="53"/>
      <c r="J615" s="52"/>
      <c r="K615" s="52"/>
      <c r="L615" s="52"/>
      <c r="M615" s="52"/>
      <c r="N615" s="52"/>
      <c r="O615" s="52"/>
      <c r="P615" s="9"/>
      <c r="Q615" s="9"/>
      <c r="R615" s="9"/>
      <c r="S615" s="50"/>
      <c r="T615" s="50"/>
      <c r="U615" s="9"/>
      <c r="V615" s="9"/>
      <c r="W615" s="9"/>
      <c r="X615" s="9"/>
      <c r="Y615" s="9"/>
      <c r="Z615" s="9"/>
      <c r="AA615" s="9"/>
    </row>
    <row r="616">
      <c r="A616" s="52"/>
      <c r="B616" s="50"/>
      <c r="C616" s="52"/>
      <c r="D616" s="52"/>
      <c r="E616" s="52"/>
      <c r="F616" s="52"/>
      <c r="G616" s="52"/>
      <c r="H616" s="53"/>
      <c r="I616" s="53"/>
      <c r="J616" s="52"/>
      <c r="K616" s="52"/>
      <c r="L616" s="52"/>
      <c r="M616" s="52"/>
      <c r="N616" s="52"/>
      <c r="O616" s="52"/>
      <c r="P616" s="9"/>
      <c r="Q616" s="9"/>
      <c r="R616" s="9"/>
      <c r="S616" s="50"/>
      <c r="T616" s="50"/>
      <c r="U616" s="9"/>
      <c r="V616" s="9"/>
      <c r="W616" s="9"/>
      <c r="X616" s="9"/>
      <c r="Y616" s="9"/>
      <c r="Z616" s="9"/>
      <c r="AA616" s="9"/>
    </row>
    <row r="617">
      <c r="A617" s="52"/>
      <c r="B617" s="50"/>
      <c r="C617" s="52"/>
      <c r="D617" s="52"/>
      <c r="E617" s="52"/>
      <c r="F617" s="52"/>
      <c r="G617" s="52"/>
      <c r="H617" s="53"/>
      <c r="I617" s="53"/>
      <c r="J617" s="52"/>
      <c r="K617" s="52"/>
      <c r="L617" s="52"/>
      <c r="M617" s="52"/>
      <c r="N617" s="52"/>
      <c r="O617" s="52"/>
      <c r="P617" s="9"/>
      <c r="Q617" s="9"/>
      <c r="R617" s="9"/>
      <c r="S617" s="50"/>
      <c r="T617" s="50"/>
      <c r="U617" s="9"/>
      <c r="V617" s="9"/>
      <c r="W617" s="9"/>
      <c r="X617" s="9"/>
      <c r="Y617" s="9"/>
      <c r="Z617" s="9"/>
      <c r="AA617" s="9"/>
    </row>
    <row r="618">
      <c r="A618" s="52"/>
      <c r="B618" s="50"/>
      <c r="C618" s="52"/>
      <c r="D618" s="52"/>
      <c r="E618" s="52"/>
      <c r="F618" s="52"/>
      <c r="G618" s="52"/>
      <c r="H618" s="53"/>
      <c r="I618" s="53"/>
      <c r="J618" s="52"/>
      <c r="K618" s="52"/>
      <c r="L618" s="52"/>
      <c r="M618" s="52"/>
      <c r="N618" s="52"/>
      <c r="O618" s="52"/>
      <c r="P618" s="9"/>
      <c r="Q618" s="9"/>
      <c r="R618" s="9"/>
      <c r="S618" s="50"/>
      <c r="T618" s="50"/>
      <c r="U618" s="9"/>
      <c r="V618" s="9"/>
      <c r="W618" s="9"/>
      <c r="X618" s="9"/>
      <c r="Y618" s="9"/>
      <c r="Z618" s="9"/>
      <c r="AA618" s="9"/>
    </row>
    <row r="619">
      <c r="A619" s="52"/>
      <c r="B619" s="50"/>
      <c r="C619" s="52"/>
      <c r="D619" s="52"/>
      <c r="E619" s="52"/>
      <c r="F619" s="52"/>
      <c r="G619" s="52"/>
      <c r="H619" s="53"/>
      <c r="I619" s="53"/>
      <c r="J619" s="52"/>
      <c r="K619" s="52"/>
      <c r="L619" s="52"/>
      <c r="M619" s="52"/>
      <c r="N619" s="52"/>
      <c r="O619" s="52"/>
      <c r="P619" s="9"/>
      <c r="Q619" s="9"/>
      <c r="R619" s="9"/>
      <c r="S619" s="50"/>
      <c r="T619" s="50"/>
      <c r="U619" s="9"/>
      <c r="V619" s="9"/>
      <c r="W619" s="9"/>
      <c r="X619" s="9"/>
      <c r="Y619" s="9"/>
      <c r="Z619" s="9"/>
      <c r="AA619" s="9"/>
    </row>
    <row r="620">
      <c r="A620" s="52"/>
      <c r="B620" s="50"/>
      <c r="C620" s="52"/>
      <c r="D620" s="52"/>
      <c r="E620" s="52"/>
      <c r="F620" s="52"/>
      <c r="G620" s="52"/>
      <c r="H620" s="53"/>
      <c r="I620" s="53"/>
      <c r="J620" s="52"/>
      <c r="K620" s="52"/>
      <c r="L620" s="52"/>
      <c r="M620" s="52"/>
      <c r="N620" s="52"/>
      <c r="O620" s="52"/>
      <c r="P620" s="9"/>
      <c r="Q620" s="9"/>
      <c r="R620" s="9"/>
      <c r="S620" s="50"/>
      <c r="T620" s="50"/>
      <c r="U620" s="9"/>
      <c r="V620" s="9"/>
      <c r="W620" s="9"/>
      <c r="X620" s="9"/>
      <c r="Y620" s="9"/>
      <c r="Z620" s="9"/>
      <c r="AA620" s="9"/>
    </row>
    <row r="621">
      <c r="A621" s="52"/>
      <c r="B621" s="50"/>
      <c r="C621" s="52"/>
      <c r="D621" s="52"/>
      <c r="E621" s="52"/>
      <c r="F621" s="52"/>
      <c r="G621" s="52"/>
      <c r="H621" s="53"/>
      <c r="I621" s="53"/>
      <c r="J621" s="52"/>
      <c r="K621" s="52"/>
      <c r="L621" s="52"/>
      <c r="M621" s="52"/>
      <c r="N621" s="52"/>
      <c r="O621" s="52"/>
      <c r="P621" s="9"/>
      <c r="Q621" s="9"/>
      <c r="R621" s="9"/>
      <c r="S621" s="50"/>
      <c r="T621" s="50"/>
      <c r="U621" s="9"/>
      <c r="V621" s="9"/>
      <c r="W621" s="9"/>
      <c r="X621" s="9"/>
      <c r="Y621" s="9"/>
      <c r="Z621" s="9"/>
      <c r="AA621" s="9"/>
    </row>
    <row r="622">
      <c r="A622" s="52"/>
      <c r="B622" s="50"/>
      <c r="C622" s="52"/>
      <c r="D622" s="52"/>
      <c r="E622" s="52"/>
      <c r="F622" s="52"/>
      <c r="G622" s="52"/>
      <c r="H622" s="53"/>
      <c r="I622" s="53"/>
      <c r="J622" s="52"/>
      <c r="K622" s="52"/>
      <c r="L622" s="52"/>
      <c r="M622" s="52"/>
      <c r="N622" s="52"/>
      <c r="O622" s="52"/>
      <c r="P622" s="9"/>
      <c r="Q622" s="9"/>
      <c r="R622" s="9"/>
      <c r="S622" s="50"/>
      <c r="T622" s="50"/>
      <c r="U622" s="9"/>
      <c r="V622" s="9"/>
      <c r="W622" s="9"/>
      <c r="X622" s="9"/>
      <c r="Y622" s="9"/>
      <c r="Z622" s="9"/>
      <c r="AA622" s="9"/>
    </row>
    <row r="623">
      <c r="A623" s="52"/>
      <c r="B623" s="50"/>
      <c r="C623" s="52"/>
      <c r="D623" s="52"/>
      <c r="E623" s="52"/>
      <c r="F623" s="52"/>
      <c r="G623" s="52"/>
      <c r="H623" s="53"/>
      <c r="I623" s="53"/>
      <c r="J623" s="52"/>
      <c r="K623" s="52"/>
      <c r="L623" s="52"/>
      <c r="M623" s="52"/>
      <c r="N623" s="52"/>
      <c r="O623" s="52"/>
      <c r="P623" s="9"/>
      <c r="Q623" s="9"/>
      <c r="R623" s="9"/>
      <c r="S623" s="50"/>
      <c r="T623" s="50"/>
      <c r="U623" s="9"/>
      <c r="V623" s="9"/>
      <c r="W623" s="9"/>
      <c r="X623" s="9"/>
      <c r="Y623" s="9"/>
      <c r="Z623" s="9"/>
      <c r="AA623" s="9"/>
    </row>
    <row r="624">
      <c r="A624" s="52"/>
      <c r="B624" s="50"/>
      <c r="C624" s="52"/>
      <c r="D624" s="52"/>
      <c r="E624" s="52"/>
      <c r="F624" s="52"/>
      <c r="G624" s="52"/>
      <c r="H624" s="53"/>
      <c r="I624" s="53"/>
      <c r="J624" s="52"/>
      <c r="K624" s="52"/>
      <c r="L624" s="52"/>
      <c r="M624" s="52"/>
      <c r="N624" s="52"/>
      <c r="O624" s="52"/>
      <c r="P624" s="9"/>
      <c r="Q624" s="9"/>
      <c r="R624" s="9"/>
      <c r="S624" s="50"/>
      <c r="T624" s="50"/>
      <c r="U624" s="9"/>
      <c r="V624" s="9"/>
      <c r="W624" s="9"/>
      <c r="X624" s="9"/>
      <c r="Y624" s="9"/>
      <c r="Z624" s="9"/>
      <c r="AA624" s="9"/>
    </row>
    <row r="625">
      <c r="A625" s="52"/>
      <c r="B625" s="50"/>
      <c r="C625" s="52"/>
      <c r="D625" s="52"/>
      <c r="E625" s="52"/>
      <c r="F625" s="52"/>
      <c r="G625" s="52"/>
      <c r="H625" s="53"/>
      <c r="I625" s="53"/>
      <c r="J625" s="52"/>
      <c r="K625" s="52"/>
      <c r="L625" s="52"/>
      <c r="M625" s="52"/>
      <c r="N625" s="52"/>
      <c r="O625" s="52"/>
      <c r="P625" s="9"/>
      <c r="Q625" s="9"/>
      <c r="R625" s="9"/>
      <c r="S625" s="50"/>
      <c r="T625" s="50"/>
      <c r="U625" s="9"/>
      <c r="V625" s="9"/>
      <c r="W625" s="9"/>
      <c r="X625" s="9"/>
      <c r="Y625" s="9"/>
      <c r="Z625" s="9"/>
      <c r="AA625" s="9"/>
    </row>
    <row r="626">
      <c r="A626" s="52"/>
      <c r="B626" s="50"/>
      <c r="C626" s="52"/>
      <c r="D626" s="52"/>
      <c r="E626" s="52"/>
      <c r="F626" s="52"/>
      <c r="G626" s="52"/>
      <c r="H626" s="53"/>
      <c r="I626" s="53"/>
      <c r="J626" s="52"/>
      <c r="K626" s="52"/>
      <c r="L626" s="52"/>
      <c r="M626" s="52"/>
      <c r="N626" s="52"/>
      <c r="O626" s="52"/>
      <c r="P626" s="9"/>
      <c r="Q626" s="9"/>
      <c r="R626" s="9"/>
      <c r="S626" s="50"/>
      <c r="T626" s="50"/>
      <c r="U626" s="9"/>
      <c r="V626" s="9"/>
      <c r="W626" s="9"/>
      <c r="X626" s="9"/>
      <c r="Y626" s="9"/>
      <c r="Z626" s="9"/>
      <c r="AA626" s="9"/>
    </row>
    <row r="627">
      <c r="A627" s="52"/>
      <c r="B627" s="50"/>
      <c r="C627" s="52"/>
      <c r="D627" s="52"/>
      <c r="E627" s="52"/>
      <c r="F627" s="52"/>
      <c r="G627" s="52"/>
      <c r="H627" s="53"/>
      <c r="I627" s="53"/>
      <c r="J627" s="52"/>
      <c r="K627" s="52"/>
      <c r="L627" s="52"/>
      <c r="M627" s="52"/>
      <c r="N627" s="52"/>
      <c r="O627" s="52"/>
      <c r="P627" s="9"/>
      <c r="Q627" s="9"/>
      <c r="R627" s="9"/>
      <c r="S627" s="50"/>
      <c r="T627" s="50"/>
      <c r="U627" s="9"/>
      <c r="V627" s="9"/>
      <c r="W627" s="9"/>
      <c r="X627" s="9"/>
      <c r="Y627" s="9"/>
      <c r="Z627" s="9"/>
      <c r="AA627" s="9"/>
    </row>
    <row r="628">
      <c r="A628" s="52"/>
      <c r="B628" s="50"/>
      <c r="C628" s="52"/>
      <c r="D628" s="52"/>
      <c r="E628" s="52"/>
      <c r="F628" s="52"/>
      <c r="G628" s="52"/>
      <c r="H628" s="53"/>
      <c r="I628" s="53"/>
      <c r="J628" s="52"/>
      <c r="K628" s="52"/>
      <c r="L628" s="52"/>
      <c r="M628" s="52"/>
      <c r="N628" s="52"/>
      <c r="O628" s="52"/>
      <c r="P628" s="9"/>
      <c r="Q628" s="9"/>
      <c r="R628" s="9"/>
      <c r="S628" s="50"/>
      <c r="T628" s="50"/>
      <c r="U628" s="9"/>
      <c r="V628" s="9"/>
      <c r="W628" s="9"/>
      <c r="X628" s="9"/>
      <c r="Y628" s="9"/>
      <c r="Z628" s="9"/>
      <c r="AA628" s="9"/>
    </row>
    <row r="629">
      <c r="A629" s="52"/>
      <c r="B629" s="50"/>
      <c r="C629" s="52"/>
      <c r="D629" s="52"/>
      <c r="E629" s="52"/>
      <c r="F629" s="52"/>
      <c r="G629" s="52"/>
      <c r="H629" s="53"/>
      <c r="I629" s="53"/>
      <c r="J629" s="52"/>
      <c r="K629" s="52"/>
      <c r="L629" s="52"/>
      <c r="M629" s="52"/>
      <c r="N629" s="52"/>
      <c r="O629" s="52"/>
      <c r="P629" s="9"/>
      <c r="Q629" s="9"/>
      <c r="R629" s="9"/>
      <c r="S629" s="50"/>
      <c r="T629" s="50"/>
      <c r="U629" s="9"/>
      <c r="V629" s="9"/>
      <c r="W629" s="9"/>
      <c r="X629" s="9"/>
      <c r="Y629" s="9"/>
      <c r="Z629" s="9"/>
      <c r="AA629" s="9"/>
    </row>
    <row r="630">
      <c r="A630" s="52"/>
      <c r="B630" s="50"/>
      <c r="C630" s="52"/>
      <c r="D630" s="52"/>
      <c r="E630" s="52"/>
      <c r="F630" s="52"/>
      <c r="G630" s="52"/>
      <c r="H630" s="53"/>
      <c r="I630" s="53"/>
      <c r="J630" s="52"/>
      <c r="K630" s="52"/>
      <c r="L630" s="52"/>
      <c r="M630" s="52"/>
      <c r="N630" s="52"/>
      <c r="O630" s="52"/>
      <c r="P630" s="9"/>
      <c r="Q630" s="9"/>
      <c r="R630" s="9"/>
      <c r="S630" s="50"/>
      <c r="T630" s="50"/>
      <c r="U630" s="9"/>
      <c r="V630" s="9"/>
      <c r="W630" s="9"/>
      <c r="X630" s="9"/>
      <c r="Y630" s="9"/>
      <c r="Z630" s="9"/>
      <c r="AA630" s="9"/>
    </row>
    <row r="631">
      <c r="A631" s="52"/>
      <c r="B631" s="50"/>
      <c r="C631" s="52"/>
      <c r="D631" s="52"/>
      <c r="E631" s="52"/>
      <c r="F631" s="52"/>
      <c r="G631" s="52"/>
      <c r="H631" s="53"/>
      <c r="I631" s="53"/>
      <c r="J631" s="52"/>
      <c r="K631" s="52"/>
      <c r="L631" s="52"/>
      <c r="M631" s="52"/>
      <c r="N631" s="52"/>
      <c r="O631" s="52"/>
      <c r="P631" s="9"/>
      <c r="Q631" s="9"/>
      <c r="R631" s="9"/>
      <c r="S631" s="50"/>
      <c r="T631" s="50"/>
      <c r="U631" s="9"/>
      <c r="V631" s="9"/>
      <c r="W631" s="9"/>
      <c r="X631" s="9"/>
      <c r="Y631" s="9"/>
      <c r="Z631" s="9"/>
      <c r="AA631" s="9"/>
    </row>
    <row r="632">
      <c r="A632" s="52"/>
      <c r="B632" s="50"/>
      <c r="C632" s="52"/>
      <c r="D632" s="52"/>
      <c r="E632" s="52"/>
      <c r="F632" s="52"/>
      <c r="G632" s="52"/>
      <c r="H632" s="53"/>
      <c r="I632" s="53"/>
      <c r="J632" s="52"/>
      <c r="K632" s="52"/>
      <c r="L632" s="52"/>
      <c r="M632" s="52"/>
      <c r="N632" s="52"/>
      <c r="O632" s="52"/>
      <c r="P632" s="9"/>
      <c r="Q632" s="9"/>
      <c r="R632" s="9"/>
      <c r="S632" s="50"/>
      <c r="T632" s="50"/>
      <c r="U632" s="9"/>
      <c r="V632" s="9"/>
      <c r="W632" s="9"/>
      <c r="X632" s="9"/>
      <c r="Y632" s="9"/>
      <c r="Z632" s="9"/>
      <c r="AA632" s="9"/>
    </row>
    <row r="633">
      <c r="A633" s="52"/>
      <c r="B633" s="50"/>
      <c r="C633" s="52"/>
      <c r="D633" s="52"/>
      <c r="E633" s="52"/>
      <c r="F633" s="52"/>
      <c r="G633" s="52"/>
      <c r="H633" s="53"/>
      <c r="I633" s="53"/>
      <c r="J633" s="52"/>
      <c r="K633" s="52"/>
      <c r="L633" s="52"/>
      <c r="M633" s="52"/>
      <c r="N633" s="52"/>
      <c r="O633" s="52"/>
      <c r="P633" s="9"/>
      <c r="Q633" s="9"/>
      <c r="R633" s="9"/>
      <c r="S633" s="50"/>
      <c r="T633" s="50"/>
      <c r="U633" s="9"/>
      <c r="V633" s="9"/>
      <c r="W633" s="9"/>
      <c r="X633" s="9"/>
      <c r="Y633" s="9"/>
      <c r="Z633" s="9"/>
      <c r="AA633" s="9"/>
    </row>
    <row r="634">
      <c r="A634" s="52"/>
      <c r="B634" s="50"/>
      <c r="C634" s="52"/>
      <c r="D634" s="52"/>
      <c r="E634" s="52"/>
      <c r="F634" s="52"/>
      <c r="G634" s="52"/>
      <c r="H634" s="53"/>
      <c r="I634" s="53"/>
      <c r="J634" s="52"/>
      <c r="K634" s="52"/>
      <c r="L634" s="52"/>
      <c r="M634" s="52"/>
      <c r="N634" s="52"/>
      <c r="O634" s="52"/>
      <c r="P634" s="9"/>
      <c r="Q634" s="9"/>
      <c r="R634" s="9"/>
      <c r="S634" s="50"/>
      <c r="T634" s="50"/>
      <c r="U634" s="9"/>
      <c r="V634" s="9"/>
      <c r="W634" s="9"/>
      <c r="X634" s="9"/>
      <c r="Y634" s="9"/>
      <c r="Z634" s="9"/>
      <c r="AA634" s="9"/>
    </row>
    <row r="635">
      <c r="A635" s="52"/>
      <c r="B635" s="50"/>
      <c r="C635" s="52"/>
      <c r="D635" s="52"/>
      <c r="E635" s="52"/>
      <c r="F635" s="52"/>
      <c r="G635" s="52"/>
      <c r="H635" s="53"/>
      <c r="I635" s="53"/>
      <c r="J635" s="52"/>
      <c r="K635" s="52"/>
      <c r="L635" s="52"/>
      <c r="M635" s="52"/>
      <c r="N635" s="52"/>
      <c r="O635" s="52"/>
      <c r="P635" s="9"/>
      <c r="Q635" s="9"/>
      <c r="R635" s="9"/>
      <c r="S635" s="50"/>
      <c r="T635" s="50"/>
      <c r="U635" s="9"/>
      <c r="V635" s="9"/>
      <c r="W635" s="9"/>
      <c r="X635" s="9"/>
      <c r="Y635" s="9"/>
      <c r="Z635" s="9"/>
      <c r="AA635" s="9"/>
    </row>
    <row r="636">
      <c r="A636" s="52"/>
      <c r="B636" s="50"/>
      <c r="C636" s="52"/>
      <c r="D636" s="52"/>
      <c r="E636" s="52"/>
      <c r="F636" s="52"/>
      <c r="G636" s="52"/>
      <c r="H636" s="53"/>
      <c r="I636" s="53"/>
      <c r="J636" s="52"/>
      <c r="K636" s="52"/>
      <c r="L636" s="52"/>
      <c r="M636" s="52"/>
      <c r="N636" s="52"/>
      <c r="O636" s="52"/>
      <c r="P636" s="9"/>
      <c r="Q636" s="9"/>
      <c r="R636" s="9"/>
      <c r="S636" s="50"/>
      <c r="T636" s="50"/>
      <c r="U636" s="9"/>
      <c r="V636" s="9"/>
      <c r="W636" s="9"/>
      <c r="X636" s="9"/>
      <c r="Y636" s="9"/>
      <c r="Z636" s="9"/>
      <c r="AA636" s="9"/>
    </row>
    <row r="637">
      <c r="A637" s="52"/>
      <c r="B637" s="50"/>
      <c r="C637" s="52"/>
      <c r="D637" s="52"/>
      <c r="E637" s="52"/>
      <c r="F637" s="52"/>
      <c r="G637" s="52"/>
      <c r="H637" s="53"/>
      <c r="I637" s="53"/>
      <c r="J637" s="52"/>
      <c r="K637" s="52"/>
      <c r="L637" s="52"/>
      <c r="M637" s="52"/>
      <c r="N637" s="52"/>
      <c r="O637" s="52"/>
      <c r="P637" s="9"/>
      <c r="Q637" s="9"/>
      <c r="R637" s="9"/>
      <c r="S637" s="50"/>
      <c r="T637" s="50"/>
      <c r="U637" s="9"/>
      <c r="V637" s="9"/>
      <c r="W637" s="9"/>
      <c r="X637" s="9"/>
      <c r="Y637" s="9"/>
      <c r="Z637" s="9"/>
      <c r="AA637" s="9"/>
    </row>
    <row r="638">
      <c r="A638" s="52"/>
      <c r="B638" s="50"/>
      <c r="C638" s="52"/>
      <c r="D638" s="52"/>
      <c r="E638" s="52"/>
      <c r="F638" s="52"/>
      <c r="G638" s="52"/>
      <c r="H638" s="53"/>
      <c r="I638" s="53"/>
      <c r="J638" s="52"/>
      <c r="K638" s="52"/>
      <c r="L638" s="52"/>
      <c r="M638" s="52"/>
      <c r="N638" s="52"/>
      <c r="O638" s="52"/>
      <c r="P638" s="9"/>
      <c r="Q638" s="9"/>
      <c r="R638" s="9"/>
      <c r="S638" s="50"/>
      <c r="T638" s="50"/>
      <c r="U638" s="9"/>
      <c r="V638" s="9"/>
      <c r="W638" s="9"/>
      <c r="X638" s="9"/>
      <c r="Y638" s="9"/>
      <c r="Z638" s="9"/>
      <c r="AA638" s="9"/>
    </row>
    <row r="639">
      <c r="A639" s="52"/>
      <c r="B639" s="50"/>
      <c r="C639" s="52"/>
      <c r="D639" s="52"/>
      <c r="E639" s="52"/>
      <c r="F639" s="52"/>
      <c r="G639" s="52"/>
      <c r="H639" s="53"/>
      <c r="I639" s="53"/>
      <c r="J639" s="52"/>
      <c r="K639" s="52"/>
      <c r="L639" s="52"/>
      <c r="M639" s="52"/>
      <c r="N639" s="52"/>
      <c r="O639" s="52"/>
      <c r="P639" s="9"/>
      <c r="Q639" s="9"/>
      <c r="R639" s="9"/>
      <c r="S639" s="50"/>
      <c r="T639" s="50"/>
      <c r="U639" s="9"/>
      <c r="V639" s="9"/>
      <c r="W639" s="9"/>
      <c r="X639" s="9"/>
      <c r="Y639" s="9"/>
      <c r="Z639" s="9"/>
      <c r="AA639" s="9"/>
    </row>
    <row r="640">
      <c r="A640" s="52"/>
      <c r="B640" s="50"/>
      <c r="C640" s="52"/>
      <c r="D640" s="52"/>
      <c r="E640" s="52"/>
      <c r="F640" s="52"/>
      <c r="G640" s="52"/>
      <c r="H640" s="53"/>
      <c r="I640" s="53"/>
      <c r="J640" s="52"/>
      <c r="K640" s="52"/>
      <c r="L640" s="52"/>
      <c r="M640" s="52"/>
      <c r="N640" s="52"/>
      <c r="O640" s="52"/>
      <c r="P640" s="9"/>
      <c r="Q640" s="9"/>
      <c r="R640" s="9"/>
      <c r="S640" s="50"/>
      <c r="T640" s="50"/>
      <c r="U640" s="9"/>
      <c r="V640" s="9"/>
      <c r="W640" s="9"/>
      <c r="X640" s="9"/>
      <c r="Y640" s="9"/>
      <c r="Z640" s="9"/>
      <c r="AA640" s="9"/>
    </row>
    <row r="641">
      <c r="A641" s="52"/>
      <c r="B641" s="50"/>
      <c r="C641" s="52"/>
      <c r="D641" s="52"/>
      <c r="E641" s="52"/>
      <c r="F641" s="52"/>
      <c r="G641" s="52"/>
      <c r="H641" s="53"/>
      <c r="I641" s="53"/>
      <c r="J641" s="52"/>
      <c r="K641" s="52"/>
      <c r="L641" s="52"/>
      <c r="M641" s="52"/>
      <c r="N641" s="52"/>
      <c r="O641" s="52"/>
      <c r="P641" s="9"/>
      <c r="Q641" s="9"/>
      <c r="R641" s="9"/>
      <c r="S641" s="50"/>
      <c r="T641" s="50"/>
      <c r="U641" s="9"/>
      <c r="V641" s="9"/>
      <c r="W641" s="9"/>
      <c r="X641" s="9"/>
      <c r="Y641" s="9"/>
      <c r="Z641" s="9"/>
      <c r="AA641" s="9"/>
    </row>
    <row r="642">
      <c r="A642" s="52"/>
      <c r="B642" s="50"/>
      <c r="C642" s="52"/>
      <c r="D642" s="52"/>
      <c r="E642" s="52"/>
      <c r="F642" s="52"/>
      <c r="G642" s="52"/>
      <c r="H642" s="53"/>
      <c r="I642" s="53"/>
      <c r="J642" s="52"/>
      <c r="K642" s="52"/>
      <c r="L642" s="52"/>
      <c r="M642" s="52"/>
      <c r="N642" s="52"/>
      <c r="O642" s="52"/>
      <c r="P642" s="9"/>
      <c r="Q642" s="9"/>
      <c r="R642" s="9"/>
      <c r="S642" s="50"/>
      <c r="T642" s="50"/>
      <c r="U642" s="9"/>
      <c r="V642" s="9"/>
      <c r="W642" s="9"/>
      <c r="X642" s="9"/>
      <c r="Y642" s="9"/>
      <c r="Z642" s="9"/>
      <c r="AA642" s="9"/>
    </row>
    <row r="643">
      <c r="A643" s="52"/>
      <c r="B643" s="50"/>
      <c r="C643" s="52"/>
      <c r="D643" s="52"/>
      <c r="E643" s="52"/>
      <c r="F643" s="52"/>
      <c r="G643" s="52"/>
      <c r="H643" s="53"/>
      <c r="I643" s="53"/>
      <c r="J643" s="52"/>
      <c r="K643" s="52"/>
      <c r="L643" s="52"/>
      <c r="M643" s="52"/>
      <c r="N643" s="52"/>
      <c r="O643" s="52"/>
      <c r="P643" s="9"/>
      <c r="Q643" s="9"/>
      <c r="R643" s="9"/>
      <c r="S643" s="50"/>
      <c r="T643" s="50"/>
      <c r="U643" s="9"/>
      <c r="V643" s="9"/>
      <c r="W643" s="9"/>
      <c r="X643" s="9"/>
      <c r="Y643" s="9"/>
      <c r="Z643" s="9"/>
      <c r="AA643" s="9"/>
    </row>
    <row r="644">
      <c r="A644" s="52"/>
      <c r="B644" s="50"/>
      <c r="C644" s="52"/>
      <c r="D644" s="52"/>
      <c r="E644" s="52"/>
      <c r="F644" s="52"/>
      <c r="G644" s="52"/>
      <c r="H644" s="53"/>
      <c r="I644" s="53"/>
      <c r="J644" s="52"/>
      <c r="K644" s="52"/>
      <c r="L644" s="52"/>
      <c r="M644" s="52"/>
      <c r="N644" s="52"/>
      <c r="O644" s="52"/>
      <c r="P644" s="9"/>
      <c r="Q644" s="9"/>
      <c r="R644" s="9"/>
      <c r="S644" s="50"/>
      <c r="T644" s="50"/>
      <c r="U644" s="9"/>
      <c r="V644" s="9"/>
      <c r="W644" s="9"/>
      <c r="X644" s="9"/>
      <c r="Y644" s="9"/>
      <c r="Z644" s="9"/>
      <c r="AA644" s="9"/>
    </row>
    <row r="645">
      <c r="A645" s="52"/>
      <c r="B645" s="50"/>
      <c r="C645" s="52"/>
      <c r="D645" s="52"/>
      <c r="E645" s="52"/>
      <c r="F645" s="52"/>
      <c r="G645" s="52"/>
      <c r="H645" s="53"/>
      <c r="I645" s="53"/>
      <c r="J645" s="52"/>
      <c r="K645" s="52"/>
      <c r="L645" s="52"/>
      <c r="M645" s="52"/>
      <c r="N645" s="52"/>
      <c r="O645" s="52"/>
      <c r="P645" s="9"/>
      <c r="Q645" s="9"/>
      <c r="R645" s="9"/>
      <c r="S645" s="50"/>
      <c r="T645" s="50"/>
      <c r="U645" s="9"/>
      <c r="V645" s="9"/>
      <c r="W645" s="9"/>
      <c r="X645" s="9"/>
      <c r="Y645" s="9"/>
      <c r="Z645" s="9"/>
      <c r="AA645" s="9"/>
    </row>
    <row r="646">
      <c r="A646" s="52"/>
      <c r="B646" s="50"/>
      <c r="C646" s="52"/>
      <c r="D646" s="52"/>
      <c r="E646" s="52"/>
      <c r="F646" s="52"/>
      <c r="G646" s="52"/>
      <c r="H646" s="53"/>
      <c r="I646" s="53"/>
      <c r="J646" s="52"/>
      <c r="K646" s="52"/>
      <c r="L646" s="52"/>
      <c r="M646" s="52"/>
      <c r="N646" s="52"/>
      <c r="O646" s="52"/>
      <c r="P646" s="9"/>
      <c r="Q646" s="9"/>
      <c r="R646" s="9"/>
      <c r="S646" s="50"/>
      <c r="T646" s="50"/>
      <c r="U646" s="9"/>
      <c r="V646" s="9"/>
      <c r="W646" s="9"/>
      <c r="X646" s="9"/>
      <c r="Y646" s="9"/>
      <c r="Z646" s="9"/>
      <c r="AA646" s="9"/>
    </row>
    <row r="647">
      <c r="A647" s="52"/>
      <c r="B647" s="50"/>
      <c r="C647" s="52"/>
      <c r="D647" s="52"/>
      <c r="E647" s="52"/>
      <c r="F647" s="52"/>
      <c r="G647" s="52"/>
      <c r="H647" s="53"/>
      <c r="I647" s="53"/>
      <c r="J647" s="52"/>
      <c r="K647" s="52"/>
      <c r="L647" s="52"/>
      <c r="M647" s="52"/>
      <c r="N647" s="52"/>
      <c r="O647" s="52"/>
      <c r="P647" s="9"/>
      <c r="Q647" s="9"/>
      <c r="R647" s="9"/>
      <c r="S647" s="50"/>
      <c r="T647" s="50"/>
      <c r="U647" s="9"/>
      <c r="V647" s="9"/>
      <c r="W647" s="9"/>
      <c r="X647" s="9"/>
      <c r="Y647" s="9"/>
      <c r="Z647" s="9"/>
      <c r="AA647" s="9"/>
    </row>
    <row r="648">
      <c r="A648" s="52"/>
      <c r="B648" s="50"/>
      <c r="C648" s="52"/>
      <c r="D648" s="52"/>
      <c r="E648" s="52"/>
      <c r="F648" s="52"/>
      <c r="G648" s="52"/>
      <c r="H648" s="53"/>
      <c r="I648" s="53"/>
      <c r="J648" s="52"/>
      <c r="K648" s="52"/>
      <c r="L648" s="52"/>
      <c r="M648" s="52"/>
      <c r="N648" s="52"/>
      <c r="O648" s="52"/>
      <c r="P648" s="9"/>
      <c r="Q648" s="9"/>
      <c r="R648" s="9"/>
      <c r="S648" s="50"/>
      <c r="T648" s="50"/>
      <c r="U648" s="9"/>
      <c r="V648" s="9"/>
      <c r="W648" s="9"/>
      <c r="X648" s="9"/>
      <c r="Y648" s="9"/>
      <c r="Z648" s="9"/>
      <c r="AA648" s="9"/>
    </row>
    <row r="649">
      <c r="A649" s="52"/>
      <c r="B649" s="50"/>
      <c r="C649" s="52"/>
      <c r="D649" s="52"/>
      <c r="E649" s="52"/>
      <c r="F649" s="52"/>
      <c r="G649" s="52"/>
      <c r="H649" s="53"/>
      <c r="I649" s="53"/>
      <c r="J649" s="52"/>
      <c r="K649" s="52"/>
      <c r="L649" s="52"/>
      <c r="M649" s="52"/>
      <c r="N649" s="52"/>
      <c r="O649" s="52"/>
      <c r="P649" s="9"/>
      <c r="Q649" s="9"/>
      <c r="R649" s="9"/>
      <c r="S649" s="50"/>
      <c r="T649" s="50"/>
      <c r="U649" s="9"/>
      <c r="V649" s="9"/>
      <c r="W649" s="9"/>
      <c r="X649" s="9"/>
      <c r="Y649" s="9"/>
      <c r="Z649" s="9"/>
      <c r="AA649" s="9"/>
    </row>
    <row r="650">
      <c r="A650" s="52"/>
      <c r="B650" s="50"/>
      <c r="C650" s="52"/>
      <c r="D650" s="52"/>
      <c r="E650" s="52"/>
      <c r="F650" s="52"/>
      <c r="G650" s="52"/>
      <c r="H650" s="53"/>
      <c r="I650" s="53"/>
      <c r="J650" s="52"/>
      <c r="K650" s="52"/>
      <c r="L650" s="52"/>
      <c r="M650" s="52"/>
      <c r="N650" s="52"/>
      <c r="O650" s="52"/>
      <c r="P650" s="9"/>
      <c r="Q650" s="9"/>
      <c r="R650" s="9"/>
      <c r="S650" s="50"/>
      <c r="T650" s="50"/>
      <c r="U650" s="9"/>
      <c r="V650" s="9"/>
      <c r="W650" s="9"/>
      <c r="X650" s="9"/>
      <c r="Y650" s="9"/>
      <c r="Z650" s="9"/>
      <c r="AA650" s="9"/>
    </row>
    <row r="651">
      <c r="A651" s="52"/>
      <c r="B651" s="50"/>
      <c r="C651" s="52"/>
      <c r="D651" s="52"/>
      <c r="E651" s="52"/>
      <c r="F651" s="52"/>
      <c r="G651" s="52"/>
      <c r="H651" s="53"/>
      <c r="I651" s="53"/>
      <c r="J651" s="52"/>
      <c r="K651" s="52"/>
      <c r="L651" s="52"/>
      <c r="M651" s="52"/>
      <c r="N651" s="52"/>
      <c r="O651" s="52"/>
      <c r="P651" s="9"/>
      <c r="Q651" s="9"/>
      <c r="R651" s="9"/>
      <c r="S651" s="50"/>
      <c r="T651" s="50"/>
      <c r="U651" s="9"/>
      <c r="V651" s="9"/>
      <c r="W651" s="9"/>
      <c r="X651" s="9"/>
      <c r="Y651" s="9"/>
      <c r="Z651" s="9"/>
      <c r="AA651" s="9"/>
    </row>
    <row r="652">
      <c r="A652" s="52"/>
      <c r="B652" s="50"/>
      <c r="C652" s="52"/>
      <c r="D652" s="52"/>
      <c r="E652" s="52"/>
      <c r="F652" s="52"/>
      <c r="G652" s="52"/>
      <c r="H652" s="53"/>
      <c r="I652" s="53"/>
      <c r="J652" s="52"/>
      <c r="K652" s="52"/>
      <c r="L652" s="52"/>
      <c r="M652" s="52"/>
      <c r="N652" s="52"/>
      <c r="O652" s="52"/>
      <c r="P652" s="9"/>
      <c r="Q652" s="9"/>
      <c r="R652" s="9"/>
      <c r="S652" s="50"/>
      <c r="T652" s="50"/>
      <c r="U652" s="9"/>
      <c r="V652" s="9"/>
      <c r="W652" s="9"/>
      <c r="X652" s="9"/>
      <c r="Y652" s="9"/>
      <c r="Z652" s="9"/>
      <c r="AA652" s="9"/>
    </row>
    <row r="653">
      <c r="A653" s="52"/>
      <c r="B653" s="50"/>
      <c r="C653" s="52"/>
      <c r="D653" s="52"/>
      <c r="E653" s="52"/>
      <c r="F653" s="52"/>
      <c r="G653" s="52"/>
      <c r="H653" s="53"/>
      <c r="I653" s="53"/>
      <c r="J653" s="52"/>
      <c r="K653" s="52"/>
      <c r="L653" s="52"/>
      <c r="M653" s="52"/>
      <c r="N653" s="52"/>
      <c r="O653" s="52"/>
      <c r="P653" s="9"/>
      <c r="Q653" s="9"/>
      <c r="R653" s="9"/>
      <c r="S653" s="50"/>
      <c r="T653" s="50"/>
      <c r="U653" s="9"/>
      <c r="V653" s="9"/>
      <c r="W653" s="9"/>
      <c r="X653" s="9"/>
      <c r="Y653" s="9"/>
      <c r="Z653" s="9"/>
      <c r="AA653" s="9"/>
    </row>
    <row r="654">
      <c r="A654" s="52"/>
      <c r="B654" s="50"/>
      <c r="C654" s="52"/>
      <c r="D654" s="52"/>
      <c r="E654" s="52"/>
      <c r="F654" s="52"/>
      <c r="G654" s="52"/>
      <c r="H654" s="53"/>
      <c r="I654" s="53"/>
      <c r="J654" s="52"/>
      <c r="K654" s="52"/>
      <c r="L654" s="52"/>
      <c r="M654" s="52"/>
      <c r="N654" s="52"/>
      <c r="O654" s="52"/>
      <c r="P654" s="9"/>
      <c r="Q654" s="9"/>
      <c r="R654" s="9"/>
      <c r="S654" s="50"/>
      <c r="T654" s="50"/>
      <c r="U654" s="9"/>
      <c r="V654" s="9"/>
      <c r="W654" s="9"/>
      <c r="X654" s="9"/>
      <c r="Y654" s="9"/>
      <c r="Z654" s="9"/>
      <c r="AA654" s="9"/>
    </row>
    <row r="655">
      <c r="A655" s="52"/>
      <c r="B655" s="50"/>
      <c r="C655" s="52"/>
      <c r="D655" s="52"/>
      <c r="E655" s="52"/>
      <c r="F655" s="52"/>
      <c r="G655" s="52"/>
      <c r="H655" s="53"/>
      <c r="I655" s="53"/>
      <c r="J655" s="52"/>
      <c r="K655" s="52"/>
      <c r="L655" s="52"/>
      <c r="M655" s="52"/>
      <c r="N655" s="52"/>
      <c r="O655" s="52"/>
      <c r="P655" s="9"/>
      <c r="Q655" s="9"/>
      <c r="R655" s="9"/>
      <c r="S655" s="50"/>
      <c r="T655" s="50"/>
      <c r="U655" s="9"/>
      <c r="V655" s="9"/>
      <c r="W655" s="9"/>
      <c r="X655" s="9"/>
      <c r="Y655" s="9"/>
      <c r="Z655" s="9"/>
      <c r="AA655" s="9"/>
    </row>
    <row r="656">
      <c r="A656" s="52"/>
      <c r="B656" s="50"/>
      <c r="C656" s="52"/>
      <c r="D656" s="52"/>
      <c r="E656" s="52"/>
      <c r="F656" s="52"/>
      <c r="G656" s="52"/>
      <c r="H656" s="53"/>
      <c r="I656" s="53"/>
      <c r="J656" s="52"/>
      <c r="K656" s="52"/>
      <c r="L656" s="52"/>
      <c r="M656" s="52"/>
      <c r="N656" s="52"/>
      <c r="O656" s="52"/>
      <c r="P656" s="9"/>
      <c r="Q656" s="9"/>
      <c r="R656" s="9"/>
      <c r="S656" s="50"/>
      <c r="T656" s="50"/>
      <c r="U656" s="9"/>
      <c r="V656" s="9"/>
      <c r="W656" s="9"/>
      <c r="X656" s="9"/>
      <c r="Y656" s="9"/>
      <c r="Z656" s="9"/>
      <c r="AA656" s="9"/>
    </row>
    <row r="657">
      <c r="A657" s="52"/>
      <c r="B657" s="50"/>
      <c r="C657" s="52"/>
      <c r="D657" s="52"/>
      <c r="E657" s="52"/>
      <c r="F657" s="52"/>
      <c r="G657" s="52"/>
      <c r="H657" s="53"/>
      <c r="I657" s="53"/>
      <c r="J657" s="52"/>
      <c r="K657" s="52"/>
      <c r="L657" s="52"/>
      <c r="M657" s="52"/>
      <c r="N657" s="52"/>
      <c r="O657" s="52"/>
      <c r="P657" s="9"/>
      <c r="Q657" s="9"/>
      <c r="R657" s="9"/>
      <c r="S657" s="50"/>
      <c r="T657" s="50"/>
      <c r="U657" s="9"/>
      <c r="V657" s="9"/>
      <c r="W657" s="9"/>
      <c r="X657" s="9"/>
      <c r="Y657" s="9"/>
      <c r="Z657" s="9"/>
      <c r="AA657" s="9"/>
    </row>
    <row r="658">
      <c r="A658" s="52"/>
      <c r="B658" s="50"/>
      <c r="C658" s="52"/>
      <c r="D658" s="52"/>
      <c r="E658" s="52"/>
      <c r="F658" s="52"/>
      <c r="G658" s="52"/>
      <c r="H658" s="53"/>
      <c r="I658" s="53"/>
      <c r="J658" s="52"/>
      <c r="K658" s="52"/>
      <c r="L658" s="52"/>
      <c r="M658" s="52"/>
      <c r="N658" s="52"/>
      <c r="O658" s="52"/>
      <c r="P658" s="9"/>
      <c r="Q658" s="9"/>
      <c r="R658" s="9"/>
      <c r="S658" s="50"/>
      <c r="T658" s="50"/>
      <c r="U658" s="9"/>
      <c r="V658" s="9"/>
      <c r="W658" s="9"/>
      <c r="X658" s="9"/>
      <c r="Y658" s="9"/>
      <c r="Z658" s="9"/>
      <c r="AA658" s="9"/>
    </row>
    <row r="659">
      <c r="A659" s="52"/>
      <c r="B659" s="50"/>
      <c r="C659" s="52"/>
      <c r="D659" s="52"/>
      <c r="E659" s="52"/>
      <c r="F659" s="52"/>
      <c r="G659" s="52"/>
      <c r="H659" s="53"/>
      <c r="I659" s="53"/>
      <c r="J659" s="52"/>
      <c r="K659" s="52"/>
      <c r="L659" s="52"/>
      <c r="M659" s="52"/>
      <c r="N659" s="52"/>
      <c r="O659" s="52"/>
      <c r="P659" s="9"/>
      <c r="Q659" s="9"/>
      <c r="R659" s="9"/>
      <c r="S659" s="50"/>
      <c r="T659" s="50"/>
      <c r="U659" s="9"/>
      <c r="V659" s="9"/>
      <c r="W659" s="9"/>
      <c r="X659" s="9"/>
      <c r="Y659" s="9"/>
      <c r="Z659" s="9"/>
      <c r="AA659" s="9"/>
    </row>
    <row r="660">
      <c r="A660" s="52"/>
      <c r="B660" s="50"/>
      <c r="C660" s="52"/>
      <c r="D660" s="52"/>
      <c r="E660" s="52"/>
      <c r="F660" s="52"/>
      <c r="G660" s="52"/>
      <c r="H660" s="53"/>
      <c r="I660" s="53"/>
      <c r="J660" s="52"/>
      <c r="K660" s="52"/>
      <c r="L660" s="52"/>
      <c r="M660" s="52"/>
      <c r="N660" s="52"/>
      <c r="O660" s="52"/>
      <c r="P660" s="9"/>
      <c r="Q660" s="9"/>
      <c r="R660" s="9"/>
      <c r="S660" s="50"/>
      <c r="T660" s="50"/>
      <c r="U660" s="9"/>
      <c r="V660" s="9"/>
      <c r="W660" s="9"/>
      <c r="X660" s="9"/>
      <c r="Y660" s="9"/>
      <c r="Z660" s="9"/>
      <c r="AA660" s="9"/>
    </row>
    <row r="661">
      <c r="A661" s="52"/>
      <c r="B661" s="50"/>
      <c r="C661" s="52"/>
      <c r="D661" s="52"/>
      <c r="E661" s="52"/>
      <c r="F661" s="52"/>
      <c r="G661" s="52"/>
      <c r="H661" s="53"/>
      <c r="I661" s="53"/>
      <c r="J661" s="52"/>
      <c r="K661" s="52"/>
      <c r="L661" s="52"/>
      <c r="M661" s="52"/>
      <c r="N661" s="52"/>
      <c r="O661" s="52"/>
      <c r="P661" s="9"/>
      <c r="Q661" s="9"/>
      <c r="R661" s="9"/>
      <c r="S661" s="50"/>
      <c r="T661" s="50"/>
      <c r="U661" s="9"/>
      <c r="V661" s="9"/>
      <c r="W661" s="9"/>
      <c r="X661" s="9"/>
      <c r="Y661" s="9"/>
      <c r="Z661" s="9"/>
      <c r="AA661" s="9"/>
    </row>
    <row r="662">
      <c r="A662" s="52"/>
      <c r="B662" s="50"/>
      <c r="C662" s="52"/>
      <c r="D662" s="52"/>
      <c r="E662" s="52"/>
      <c r="F662" s="52"/>
      <c r="G662" s="52"/>
      <c r="H662" s="53"/>
      <c r="I662" s="53"/>
      <c r="J662" s="52"/>
      <c r="K662" s="52"/>
      <c r="L662" s="52"/>
      <c r="M662" s="52"/>
      <c r="N662" s="52"/>
      <c r="O662" s="52"/>
      <c r="P662" s="9"/>
      <c r="Q662" s="9"/>
      <c r="R662" s="9"/>
      <c r="S662" s="50"/>
      <c r="T662" s="50"/>
      <c r="U662" s="9"/>
      <c r="V662" s="9"/>
      <c r="W662" s="9"/>
      <c r="X662" s="9"/>
      <c r="Y662" s="9"/>
      <c r="Z662" s="9"/>
      <c r="AA662" s="9"/>
    </row>
    <row r="663">
      <c r="A663" s="52"/>
      <c r="B663" s="50"/>
      <c r="C663" s="52"/>
      <c r="D663" s="52"/>
      <c r="E663" s="52"/>
      <c r="F663" s="52"/>
      <c r="G663" s="52"/>
      <c r="H663" s="53"/>
      <c r="I663" s="53"/>
      <c r="J663" s="52"/>
      <c r="K663" s="52"/>
      <c r="L663" s="52"/>
      <c r="M663" s="52"/>
      <c r="N663" s="52"/>
      <c r="O663" s="52"/>
      <c r="P663" s="9"/>
      <c r="Q663" s="9"/>
      <c r="R663" s="9"/>
      <c r="S663" s="50"/>
      <c r="T663" s="50"/>
      <c r="U663" s="9"/>
      <c r="V663" s="9"/>
      <c r="W663" s="9"/>
      <c r="X663" s="9"/>
      <c r="Y663" s="9"/>
      <c r="Z663" s="9"/>
      <c r="AA663" s="9"/>
    </row>
    <row r="664">
      <c r="A664" s="52"/>
      <c r="B664" s="50"/>
      <c r="C664" s="52"/>
      <c r="D664" s="52"/>
      <c r="E664" s="52"/>
      <c r="F664" s="52"/>
      <c r="G664" s="52"/>
      <c r="H664" s="53"/>
      <c r="I664" s="53"/>
      <c r="J664" s="52"/>
      <c r="K664" s="52"/>
      <c r="L664" s="52"/>
      <c r="M664" s="52"/>
      <c r="N664" s="52"/>
      <c r="O664" s="52"/>
      <c r="P664" s="9"/>
      <c r="Q664" s="9"/>
      <c r="R664" s="9"/>
      <c r="S664" s="50"/>
      <c r="T664" s="50"/>
      <c r="U664" s="9"/>
      <c r="V664" s="9"/>
      <c r="W664" s="9"/>
      <c r="X664" s="9"/>
      <c r="Y664" s="9"/>
      <c r="Z664" s="9"/>
      <c r="AA664" s="9"/>
    </row>
    <row r="665">
      <c r="A665" s="52"/>
      <c r="B665" s="50"/>
      <c r="C665" s="52"/>
      <c r="D665" s="52"/>
      <c r="E665" s="52"/>
      <c r="F665" s="52"/>
      <c r="G665" s="52"/>
      <c r="H665" s="53"/>
      <c r="I665" s="53"/>
      <c r="J665" s="52"/>
      <c r="K665" s="52"/>
      <c r="L665" s="52"/>
      <c r="M665" s="52"/>
      <c r="N665" s="52"/>
      <c r="O665" s="52"/>
      <c r="P665" s="9"/>
      <c r="Q665" s="9"/>
      <c r="R665" s="9"/>
      <c r="S665" s="50"/>
      <c r="T665" s="50"/>
      <c r="U665" s="9"/>
      <c r="V665" s="9"/>
      <c r="W665" s="9"/>
      <c r="X665" s="9"/>
      <c r="Y665" s="9"/>
      <c r="Z665" s="9"/>
      <c r="AA665" s="9"/>
    </row>
    <row r="666">
      <c r="A666" s="52"/>
      <c r="B666" s="50"/>
      <c r="C666" s="52"/>
      <c r="D666" s="52"/>
      <c r="E666" s="52"/>
      <c r="F666" s="52"/>
      <c r="G666" s="52"/>
      <c r="H666" s="53"/>
      <c r="I666" s="53"/>
      <c r="J666" s="52"/>
      <c r="K666" s="52"/>
      <c r="L666" s="52"/>
      <c r="M666" s="52"/>
      <c r="N666" s="52"/>
      <c r="O666" s="52"/>
      <c r="P666" s="9"/>
      <c r="Q666" s="9"/>
      <c r="R666" s="9"/>
      <c r="S666" s="50"/>
      <c r="T666" s="50"/>
      <c r="U666" s="9"/>
      <c r="V666" s="9"/>
      <c r="W666" s="9"/>
      <c r="X666" s="9"/>
      <c r="Y666" s="9"/>
      <c r="Z666" s="9"/>
      <c r="AA666" s="9"/>
    </row>
    <row r="667">
      <c r="A667" s="52"/>
      <c r="B667" s="50"/>
      <c r="C667" s="52"/>
      <c r="D667" s="52"/>
      <c r="E667" s="52"/>
      <c r="F667" s="52"/>
      <c r="G667" s="52"/>
      <c r="H667" s="53"/>
      <c r="I667" s="53"/>
      <c r="J667" s="52"/>
      <c r="K667" s="52"/>
      <c r="L667" s="52"/>
      <c r="M667" s="52"/>
      <c r="N667" s="52"/>
      <c r="O667" s="52"/>
      <c r="P667" s="9"/>
      <c r="Q667" s="9"/>
      <c r="R667" s="9"/>
      <c r="S667" s="50"/>
      <c r="T667" s="50"/>
      <c r="U667" s="9"/>
      <c r="V667" s="9"/>
      <c r="W667" s="9"/>
      <c r="X667" s="9"/>
      <c r="Y667" s="9"/>
      <c r="Z667" s="9"/>
      <c r="AA667" s="9"/>
    </row>
    <row r="668">
      <c r="A668" s="52"/>
      <c r="B668" s="50"/>
      <c r="C668" s="52"/>
      <c r="D668" s="52"/>
      <c r="E668" s="52"/>
      <c r="F668" s="52"/>
      <c r="G668" s="52"/>
      <c r="H668" s="53"/>
      <c r="I668" s="53"/>
      <c r="J668" s="52"/>
      <c r="K668" s="52"/>
      <c r="L668" s="52"/>
      <c r="M668" s="52"/>
      <c r="N668" s="52"/>
      <c r="O668" s="52"/>
      <c r="P668" s="9"/>
      <c r="Q668" s="9"/>
      <c r="R668" s="9"/>
      <c r="S668" s="50"/>
      <c r="T668" s="50"/>
      <c r="U668" s="9"/>
      <c r="V668" s="9"/>
      <c r="W668" s="9"/>
      <c r="X668" s="9"/>
      <c r="Y668" s="9"/>
      <c r="Z668" s="9"/>
      <c r="AA668" s="9"/>
    </row>
    <row r="669">
      <c r="A669" s="52"/>
      <c r="B669" s="50"/>
      <c r="C669" s="52"/>
      <c r="D669" s="52"/>
      <c r="E669" s="52"/>
      <c r="F669" s="52"/>
      <c r="G669" s="52"/>
      <c r="H669" s="53"/>
      <c r="I669" s="53"/>
      <c r="J669" s="52"/>
      <c r="K669" s="52"/>
      <c r="L669" s="52"/>
      <c r="M669" s="52"/>
      <c r="N669" s="52"/>
      <c r="O669" s="52"/>
      <c r="P669" s="9"/>
      <c r="Q669" s="9"/>
      <c r="R669" s="9"/>
      <c r="S669" s="50"/>
      <c r="T669" s="50"/>
      <c r="U669" s="9"/>
      <c r="V669" s="9"/>
      <c r="W669" s="9"/>
      <c r="X669" s="9"/>
      <c r="Y669" s="9"/>
      <c r="Z669" s="9"/>
      <c r="AA669" s="9"/>
    </row>
    <row r="670">
      <c r="A670" s="52"/>
      <c r="B670" s="50"/>
      <c r="C670" s="52"/>
      <c r="D670" s="52"/>
      <c r="E670" s="52"/>
      <c r="F670" s="52"/>
      <c r="G670" s="52"/>
      <c r="H670" s="53"/>
      <c r="I670" s="53"/>
      <c r="J670" s="52"/>
      <c r="K670" s="52"/>
      <c r="L670" s="52"/>
      <c r="M670" s="52"/>
      <c r="N670" s="52"/>
      <c r="O670" s="52"/>
      <c r="P670" s="9"/>
      <c r="Q670" s="9"/>
      <c r="R670" s="9"/>
      <c r="S670" s="50"/>
      <c r="T670" s="50"/>
      <c r="U670" s="9"/>
      <c r="V670" s="9"/>
      <c r="W670" s="9"/>
      <c r="X670" s="9"/>
      <c r="Y670" s="9"/>
      <c r="Z670" s="9"/>
      <c r="AA670" s="9"/>
    </row>
    <row r="671">
      <c r="A671" s="52"/>
      <c r="B671" s="50"/>
      <c r="C671" s="52"/>
      <c r="D671" s="52"/>
      <c r="E671" s="52"/>
      <c r="F671" s="52"/>
      <c r="G671" s="52"/>
      <c r="H671" s="53"/>
      <c r="I671" s="53"/>
      <c r="J671" s="52"/>
      <c r="K671" s="52"/>
      <c r="L671" s="52"/>
      <c r="M671" s="52"/>
      <c r="N671" s="52"/>
      <c r="O671" s="52"/>
      <c r="P671" s="9"/>
      <c r="Q671" s="9"/>
      <c r="R671" s="9"/>
      <c r="S671" s="50"/>
      <c r="T671" s="50"/>
      <c r="U671" s="9"/>
      <c r="V671" s="9"/>
      <c r="W671" s="9"/>
      <c r="X671" s="9"/>
      <c r="Y671" s="9"/>
      <c r="Z671" s="9"/>
      <c r="AA671" s="9"/>
    </row>
    <row r="672">
      <c r="A672" s="52"/>
      <c r="B672" s="50"/>
      <c r="C672" s="52"/>
      <c r="D672" s="52"/>
      <c r="E672" s="52"/>
      <c r="F672" s="52"/>
      <c r="G672" s="52"/>
      <c r="H672" s="53"/>
      <c r="I672" s="53"/>
      <c r="J672" s="52"/>
      <c r="K672" s="52"/>
      <c r="L672" s="52"/>
      <c r="M672" s="52"/>
      <c r="N672" s="52"/>
      <c r="O672" s="52"/>
      <c r="P672" s="9"/>
      <c r="Q672" s="9"/>
      <c r="R672" s="9"/>
      <c r="S672" s="50"/>
      <c r="T672" s="50"/>
      <c r="U672" s="9"/>
      <c r="V672" s="9"/>
      <c r="W672" s="9"/>
      <c r="X672" s="9"/>
      <c r="Y672" s="9"/>
      <c r="Z672" s="9"/>
      <c r="AA672" s="9"/>
    </row>
    <row r="673">
      <c r="A673" s="52"/>
      <c r="B673" s="50"/>
      <c r="C673" s="52"/>
      <c r="D673" s="52"/>
      <c r="E673" s="52"/>
      <c r="F673" s="52"/>
      <c r="G673" s="52"/>
      <c r="H673" s="53"/>
      <c r="I673" s="53"/>
      <c r="J673" s="52"/>
      <c r="K673" s="52"/>
      <c r="L673" s="52"/>
      <c r="M673" s="52"/>
      <c r="N673" s="52"/>
      <c r="O673" s="52"/>
      <c r="P673" s="9"/>
      <c r="Q673" s="9"/>
      <c r="R673" s="9"/>
      <c r="S673" s="50"/>
      <c r="T673" s="50"/>
      <c r="U673" s="9"/>
      <c r="V673" s="9"/>
      <c r="W673" s="9"/>
      <c r="X673" s="9"/>
      <c r="Y673" s="9"/>
      <c r="Z673" s="9"/>
      <c r="AA673" s="9"/>
    </row>
    <row r="674">
      <c r="A674" s="52"/>
      <c r="B674" s="50"/>
      <c r="C674" s="52"/>
      <c r="D674" s="52"/>
      <c r="E674" s="52"/>
      <c r="F674" s="52"/>
      <c r="G674" s="52"/>
      <c r="H674" s="53"/>
      <c r="I674" s="53"/>
      <c r="J674" s="52"/>
      <c r="K674" s="52"/>
      <c r="L674" s="52"/>
      <c r="M674" s="52"/>
      <c r="N674" s="52"/>
      <c r="O674" s="52"/>
      <c r="P674" s="9"/>
      <c r="Q674" s="9"/>
      <c r="R674" s="9"/>
      <c r="S674" s="50"/>
      <c r="T674" s="50"/>
      <c r="U674" s="9"/>
      <c r="V674" s="9"/>
      <c r="W674" s="9"/>
      <c r="X674" s="9"/>
      <c r="Y674" s="9"/>
      <c r="Z674" s="9"/>
      <c r="AA674" s="9"/>
    </row>
    <row r="675">
      <c r="A675" s="52"/>
      <c r="B675" s="50"/>
      <c r="C675" s="52"/>
      <c r="D675" s="52"/>
      <c r="E675" s="52"/>
      <c r="F675" s="52"/>
      <c r="G675" s="52"/>
      <c r="H675" s="53"/>
      <c r="I675" s="53"/>
      <c r="J675" s="52"/>
      <c r="K675" s="52"/>
      <c r="L675" s="52"/>
      <c r="M675" s="52"/>
      <c r="N675" s="52"/>
      <c r="O675" s="52"/>
      <c r="P675" s="9"/>
      <c r="Q675" s="9"/>
      <c r="R675" s="9"/>
      <c r="S675" s="50"/>
      <c r="T675" s="50"/>
      <c r="U675" s="9"/>
      <c r="V675" s="9"/>
      <c r="W675" s="9"/>
      <c r="X675" s="9"/>
      <c r="Y675" s="9"/>
      <c r="Z675" s="9"/>
      <c r="AA675" s="9"/>
    </row>
    <row r="676">
      <c r="A676" s="52"/>
      <c r="B676" s="50"/>
      <c r="C676" s="52"/>
      <c r="D676" s="52"/>
      <c r="E676" s="52"/>
      <c r="F676" s="52"/>
      <c r="G676" s="52"/>
      <c r="H676" s="53"/>
      <c r="I676" s="53"/>
      <c r="J676" s="52"/>
      <c r="K676" s="52"/>
      <c r="L676" s="52"/>
      <c r="M676" s="52"/>
      <c r="N676" s="52"/>
      <c r="O676" s="52"/>
      <c r="P676" s="9"/>
      <c r="Q676" s="9"/>
      <c r="R676" s="9"/>
      <c r="S676" s="50"/>
      <c r="T676" s="50"/>
      <c r="U676" s="9"/>
      <c r="V676" s="9"/>
      <c r="W676" s="9"/>
      <c r="X676" s="9"/>
      <c r="Y676" s="9"/>
      <c r="Z676" s="9"/>
      <c r="AA676" s="9"/>
    </row>
    <row r="677">
      <c r="A677" s="52"/>
      <c r="B677" s="50"/>
      <c r="C677" s="52"/>
      <c r="D677" s="52"/>
      <c r="E677" s="52"/>
      <c r="F677" s="52"/>
      <c r="G677" s="52"/>
      <c r="H677" s="53"/>
      <c r="I677" s="53"/>
      <c r="J677" s="52"/>
      <c r="K677" s="52"/>
      <c r="L677" s="52"/>
      <c r="M677" s="52"/>
      <c r="N677" s="52"/>
      <c r="O677" s="52"/>
      <c r="P677" s="9"/>
      <c r="Q677" s="9"/>
      <c r="R677" s="9"/>
      <c r="S677" s="50"/>
      <c r="T677" s="50"/>
      <c r="U677" s="9"/>
      <c r="V677" s="9"/>
      <c r="W677" s="9"/>
      <c r="X677" s="9"/>
      <c r="Y677" s="9"/>
      <c r="Z677" s="9"/>
      <c r="AA677" s="9"/>
    </row>
    <row r="678">
      <c r="A678" s="52"/>
      <c r="B678" s="50"/>
      <c r="C678" s="52"/>
      <c r="D678" s="52"/>
      <c r="E678" s="52"/>
      <c r="F678" s="52"/>
      <c r="G678" s="52"/>
      <c r="H678" s="53"/>
      <c r="I678" s="53"/>
      <c r="J678" s="52"/>
      <c r="K678" s="52"/>
      <c r="L678" s="52"/>
      <c r="M678" s="52"/>
      <c r="N678" s="52"/>
      <c r="O678" s="52"/>
      <c r="P678" s="9"/>
      <c r="Q678" s="9"/>
      <c r="R678" s="9"/>
      <c r="S678" s="50"/>
      <c r="T678" s="50"/>
      <c r="U678" s="9"/>
      <c r="V678" s="9"/>
      <c r="W678" s="9"/>
      <c r="X678" s="9"/>
      <c r="Y678" s="9"/>
      <c r="Z678" s="9"/>
      <c r="AA678" s="9"/>
    </row>
    <row r="679">
      <c r="A679" s="52"/>
      <c r="B679" s="50"/>
      <c r="C679" s="52"/>
      <c r="D679" s="52"/>
      <c r="E679" s="52"/>
      <c r="F679" s="52"/>
      <c r="G679" s="52"/>
      <c r="H679" s="53"/>
      <c r="I679" s="53"/>
      <c r="J679" s="52"/>
      <c r="K679" s="52"/>
      <c r="L679" s="52"/>
      <c r="M679" s="52"/>
      <c r="N679" s="52"/>
      <c r="O679" s="52"/>
      <c r="P679" s="9"/>
      <c r="Q679" s="9"/>
      <c r="R679" s="9"/>
      <c r="S679" s="50"/>
      <c r="T679" s="50"/>
      <c r="U679" s="9"/>
      <c r="V679" s="9"/>
      <c r="W679" s="9"/>
      <c r="X679" s="9"/>
      <c r="Y679" s="9"/>
      <c r="Z679" s="9"/>
      <c r="AA679" s="9"/>
    </row>
    <row r="680">
      <c r="A680" s="52"/>
      <c r="B680" s="50"/>
      <c r="C680" s="52"/>
      <c r="D680" s="52"/>
      <c r="E680" s="52"/>
      <c r="F680" s="52"/>
      <c r="G680" s="52"/>
      <c r="H680" s="53"/>
      <c r="I680" s="53"/>
      <c r="J680" s="52"/>
      <c r="K680" s="52"/>
      <c r="L680" s="52"/>
      <c r="M680" s="52"/>
      <c r="N680" s="52"/>
      <c r="O680" s="52"/>
      <c r="P680" s="9"/>
      <c r="Q680" s="9"/>
      <c r="R680" s="9"/>
      <c r="S680" s="50"/>
      <c r="T680" s="50"/>
      <c r="U680" s="9"/>
      <c r="V680" s="9"/>
      <c r="W680" s="9"/>
      <c r="X680" s="9"/>
      <c r="Y680" s="9"/>
      <c r="Z680" s="9"/>
      <c r="AA680" s="9"/>
    </row>
    <row r="681">
      <c r="A681" s="52"/>
      <c r="B681" s="50"/>
      <c r="C681" s="52"/>
      <c r="D681" s="52"/>
      <c r="E681" s="52"/>
      <c r="F681" s="52"/>
      <c r="G681" s="52"/>
      <c r="H681" s="53"/>
      <c r="I681" s="53"/>
      <c r="J681" s="52"/>
      <c r="K681" s="52"/>
      <c r="L681" s="52"/>
      <c r="M681" s="52"/>
      <c r="N681" s="52"/>
      <c r="O681" s="52"/>
      <c r="P681" s="9"/>
      <c r="Q681" s="9"/>
      <c r="R681" s="9"/>
      <c r="S681" s="50"/>
      <c r="T681" s="50"/>
      <c r="U681" s="9"/>
      <c r="V681" s="9"/>
      <c r="W681" s="9"/>
      <c r="X681" s="9"/>
      <c r="Y681" s="9"/>
      <c r="Z681" s="9"/>
      <c r="AA681" s="9"/>
    </row>
    <row r="682">
      <c r="A682" s="52"/>
      <c r="B682" s="50"/>
      <c r="C682" s="52"/>
      <c r="D682" s="52"/>
      <c r="E682" s="52"/>
      <c r="F682" s="52"/>
      <c r="G682" s="52"/>
      <c r="H682" s="53"/>
      <c r="I682" s="53"/>
      <c r="J682" s="52"/>
      <c r="K682" s="52"/>
      <c r="L682" s="52"/>
      <c r="M682" s="52"/>
      <c r="N682" s="52"/>
      <c r="O682" s="52"/>
      <c r="P682" s="9"/>
      <c r="Q682" s="9"/>
      <c r="R682" s="9"/>
      <c r="S682" s="50"/>
      <c r="T682" s="50"/>
      <c r="U682" s="9"/>
      <c r="V682" s="9"/>
      <c r="W682" s="9"/>
      <c r="X682" s="9"/>
      <c r="Y682" s="9"/>
      <c r="Z682" s="9"/>
      <c r="AA682" s="9"/>
    </row>
    <row r="683">
      <c r="A683" s="52"/>
      <c r="B683" s="50"/>
      <c r="C683" s="52"/>
      <c r="D683" s="52"/>
      <c r="E683" s="52"/>
      <c r="F683" s="52"/>
      <c r="G683" s="52"/>
      <c r="H683" s="53"/>
      <c r="I683" s="53"/>
      <c r="J683" s="52"/>
      <c r="K683" s="52"/>
      <c r="L683" s="52"/>
      <c r="M683" s="52"/>
      <c r="N683" s="52"/>
      <c r="O683" s="52"/>
      <c r="P683" s="9"/>
      <c r="Q683" s="9"/>
      <c r="R683" s="9"/>
      <c r="S683" s="50"/>
      <c r="T683" s="50"/>
      <c r="U683" s="9"/>
      <c r="V683" s="9"/>
      <c r="W683" s="9"/>
      <c r="X683" s="9"/>
      <c r="Y683" s="9"/>
      <c r="Z683" s="9"/>
      <c r="AA683" s="9"/>
    </row>
    <row r="684">
      <c r="A684" s="52"/>
      <c r="B684" s="50"/>
      <c r="C684" s="52"/>
      <c r="D684" s="52"/>
      <c r="E684" s="52"/>
      <c r="F684" s="52"/>
      <c r="G684" s="52"/>
      <c r="H684" s="53"/>
      <c r="I684" s="53"/>
      <c r="J684" s="52"/>
      <c r="K684" s="52"/>
      <c r="L684" s="52"/>
      <c r="M684" s="52"/>
      <c r="N684" s="52"/>
      <c r="O684" s="52"/>
      <c r="P684" s="9"/>
      <c r="Q684" s="9"/>
      <c r="R684" s="9"/>
      <c r="S684" s="50"/>
      <c r="T684" s="50"/>
      <c r="U684" s="9"/>
      <c r="V684" s="9"/>
      <c r="W684" s="9"/>
      <c r="X684" s="9"/>
      <c r="Y684" s="9"/>
      <c r="Z684" s="9"/>
      <c r="AA684" s="9"/>
    </row>
    <row r="685">
      <c r="A685" s="52"/>
      <c r="B685" s="50"/>
      <c r="C685" s="52"/>
      <c r="D685" s="52"/>
      <c r="E685" s="52"/>
      <c r="F685" s="52"/>
      <c r="G685" s="52"/>
      <c r="H685" s="53"/>
      <c r="I685" s="53"/>
      <c r="J685" s="52"/>
      <c r="K685" s="52"/>
      <c r="L685" s="52"/>
      <c r="M685" s="52"/>
      <c r="N685" s="52"/>
      <c r="O685" s="52"/>
      <c r="P685" s="9"/>
      <c r="Q685" s="9"/>
      <c r="R685" s="9"/>
      <c r="S685" s="50"/>
      <c r="T685" s="50"/>
      <c r="U685" s="9"/>
      <c r="V685" s="9"/>
      <c r="W685" s="9"/>
      <c r="X685" s="9"/>
      <c r="Y685" s="9"/>
      <c r="Z685" s="9"/>
      <c r="AA685" s="9"/>
    </row>
    <row r="686">
      <c r="A686" s="52"/>
      <c r="B686" s="50"/>
      <c r="C686" s="52"/>
      <c r="D686" s="52"/>
      <c r="E686" s="52"/>
      <c r="F686" s="52"/>
      <c r="G686" s="52"/>
      <c r="H686" s="53"/>
      <c r="I686" s="53"/>
      <c r="J686" s="52"/>
      <c r="K686" s="52"/>
      <c r="L686" s="52"/>
      <c r="M686" s="52"/>
      <c r="N686" s="52"/>
      <c r="O686" s="52"/>
      <c r="P686" s="9"/>
      <c r="Q686" s="9"/>
      <c r="R686" s="9"/>
      <c r="S686" s="50"/>
      <c r="T686" s="50"/>
      <c r="U686" s="9"/>
      <c r="V686" s="9"/>
      <c r="W686" s="9"/>
      <c r="X686" s="9"/>
      <c r="Y686" s="9"/>
      <c r="Z686" s="9"/>
      <c r="AA686" s="9"/>
    </row>
    <row r="687">
      <c r="A687" s="52"/>
      <c r="B687" s="50"/>
      <c r="C687" s="52"/>
      <c r="D687" s="52"/>
      <c r="E687" s="52"/>
      <c r="F687" s="52"/>
      <c r="G687" s="52"/>
      <c r="H687" s="53"/>
      <c r="I687" s="53"/>
      <c r="J687" s="52"/>
      <c r="K687" s="52"/>
      <c r="L687" s="52"/>
      <c r="M687" s="52"/>
      <c r="N687" s="52"/>
      <c r="O687" s="52"/>
      <c r="P687" s="9"/>
      <c r="Q687" s="9"/>
      <c r="R687" s="9"/>
      <c r="S687" s="50"/>
      <c r="T687" s="50"/>
      <c r="U687" s="9"/>
      <c r="V687" s="9"/>
      <c r="W687" s="9"/>
      <c r="X687" s="9"/>
      <c r="Y687" s="9"/>
      <c r="Z687" s="9"/>
      <c r="AA687" s="9"/>
    </row>
    <row r="688">
      <c r="A688" s="52"/>
      <c r="B688" s="50"/>
      <c r="C688" s="52"/>
      <c r="D688" s="52"/>
      <c r="E688" s="52"/>
      <c r="F688" s="52"/>
      <c r="G688" s="52"/>
      <c r="H688" s="53"/>
      <c r="I688" s="53"/>
      <c r="J688" s="52"/>
      <c r="K688" s="52"/>
      <c r="L688" s="52"/>
      <c r="M688" s="52"/>
      <c r="N688" s="52"/>
      <c r="O688" s="52"/>
      <c r="P688" s="9"/>
      <c r="Q688" s="9"/>
      <c r="R688" s="9"/>
      <c r="S688" s="50"/>
      <c r="T688" s="50"/>
      <c r="U688" s="9"/>
      <c r="V688" s="9"/>
      <c r="W688" s="9"/>
      <c r="X688" s="9"/>
      <c r="Y688" s="9"/>
      <c r="Z688" s="9"/>
      <c r="AA688" s="9"/>
    </row>
    <row r="689">
      <c r="A689" s="52"/>
      <c r="B689" s="50"/>
      <c r="C689" s="52"/>
      <c r="D689" s="52"/>
      <c r="E689" s="52"/>
      <c r="F689" s="52"/>
      <c r="G689" s="52"/>
      <c r="H689" s="53"/>
      <c r="I689" s="53"/>
      <c r="J689" s="52"/>
      <c r="K689" s="52"/>
      <c r="L689" s="52"/>
      <c r="M689" s="52"/>
      <c r="N689" s="52"/>
      <c r="O689" s="52"/>
      <c r="P689" s="9"/>
      <c r="Q689" s="9"/>
      <c r="R689" s="9"/>
      <c r="S689" s="50"/>
      <c r="T689" s="50"/>
      <c r="U689" s="9"/>
      <c r="V689" s="9"/>
      <c r="W689" s="9"/>
      <c r="X689" s="9"/>
      <c r="Y689" s="9"/>
      <c r="Z689" s="9"/>
      <c r="AA689" s="9"/>
    </row>
    <row r="690">
      <c r="A690" s="52"/>
      <c r="B690" s="50"/>
      <c r="C690" s="52"/>
      <c r="D690" s="52"/>
      <c r="E690" s="52"/>
      <c r="F690" s="52"/>
      <c r="G690" s="52"/>
      <c r="H690" s="53"/>
      <c r="I690" s="53"/>
      <c r="J690" s="52"/>
      <c r="K690" s="52"/>
      <c r="L690" s="52"/>
      <c r="M690" s="52"/>
      <c r="N690" s="52"/>
      <c r="O690" s="52"/>
      <c r="P690" s="9"/>
      <c r="Q690" s="9"/>
      <c r="R690" s="9"/>
      <c r="S690" s="50"/>
      <c r="T690" s="50"/>
      <c r="U690" s="9"/>
      <c r="V690" s="9"/>
      <c r="W690" s="9"/>
      <c r="X690" s="9"/>
      <c r="Y690" s="9"/>
      <c r="Z690" s="9"/>
      <c r="AA690" s="9"/>
    </row>
    <row r="691">
      <c r="A691" s="52"/>
      <c r="B691" s="50"/>
      <c r="C691" s="52"/>
      <c r="D691" s="52"/>
      <c r="E691" s="52"/>
      <c r="F691" s="52"/>
      <c r="G691" s="52"/>
      <c r="H691" s="53"/>
      <c r="I691" s="53"/>
      <c r="J691" s="52"/>
      <c r="K691" s="52"/>
      <c r="L691" s="52"/>
      <c r="M691" s="52"/>
      <c r="N691" s="52"/>
      <c r="O691" s="52"/>
      <c r="P691" s="9"/>
      <c r="Q691" s="9"/>
      <c r="R691" s="9"/>
      <c r="S691" s="50"/>
      <c r="T691" s="50"/>
      <c r="U691" s="9"/>
      <c r="V691" s="9"/>
      <c r="W691" s="9"/>
      <c r="X691" s="9"/>
      <c r="Y691" s="9"/>
      <c r="Z691" s="9"/>
      <c r="AA691" s="9"/>
    </row>
    <row r="692">
      <c r="A692" s="52"/>
      <c r="B692" s="50"/>
      <c r="C692" s="52"/>
      <c r="D692" s="52"/>
      <c r="E692" s="52"/>
      <c r="F692" s="52"/>
      <c r="G692" s="52"/>
      <c r="H692" s="53"/>
      <c r="I692" s="53"/>
      <c r="J692" s="52"/>
      <c r="K692" s="52"/>
      <c r="L692" s="52"/>
      <c r="M692" s="52"/>
      <c r="N692" s="52"/>
      <c r="O692" s="52"/>
      <c r="P692" s="9"/>
      <c r="Q692" s="9"/>
      <c r="R692" s="9"/>
      <c r="S692" s="50"/>
      <c r="T692" s="50"/>
      <c r="U692" s="9"/>
      <c r="V692" s="9"/>
      <c r="W692" s="9"/>
      <c r="X692" s="9"/>
      <c r="Y692" s="9"/>
      <c r="Z692" s="9"/>
      <c r="AA692" s="9"/>
    </row>
    <row r="693">
      <c r="A693" s="52"/>
      <c r="B693" s="50"/>
      <c r="C693" s="52"/>
      <c r="D693" s="52"/>
      <c r="E693" s="52"/>
      <c r="F693" s="52"/>
      <c r="G693" s="52"/>
      <c r="H693" s="53"/>
      <c r="I693" s="53"/>
      <c r="J693" s="52"/>
      <c r="K693" s="52"/>
      <c r="L693" s="52"/>
      <c r="M693" s="52"/>
      <c r="N693" s="52"/>
      <c r="O693" s="52"/>
      <c r="P693" s="9"/>
      <c r="Q693" s="9"/>
      <c r="R693" s="9"/>
      <c r="S693" s="50"/>
      <c r="T693" s="50"/>
      <c r="U693" s="9"/>
      <c r="V693" s="9"/>
      <c r="W693" s="9"/>
      <c r="X693" s="9"/>
      <c r="Y693" s="9"/>
      <c r="Z693" s="9"/>
      <c r="AA693" s="9"/>
    </row>
    <row r="694">
      <c r="A694" s="52"/>
      <c r="B694" s="50"/>
      <c r="C694" s="52"/>
      <c r="D694" s="52"/>
      <c r="E694" s="52"/>
      <c r="F694" s="52"/>
      <c r="G694" s="52"/>
      <c r="H694" s="53"/>
      <c r="I694" s="53"/>
      <c r="J694" s="52"/>
      <c r="K694" s="52"/>
      <c r="L694" s="52"/>
      <c r="M694" s="52"/>
      <c r="N694" s="52"/>
      <c r="O694" s="52"/>
      <c r="P694" s="9"/>
      <c r="Q694" s="9"/>
      <c r="R694" s="9"/>
      <c r="S694" s="50"/>
      <c r="T694" s="50"/>
      <c r="U694" s="9"/>
      <c r="V694" s="9"/>
      <c r="W694" s="9"/>
      <c r="X694" s="9"/>
      <c r="Y694" s="9"/>
      <c r="Z694" s="9"/>
      <c r="AA694" s="9"/>
    </row>
    <row r="695">
      <c r="A695" s="52"/>
      <c r="B695" s="50"/>
      <c r="C695" s="52"/>
      <c r="D695" s="52"/>
      <c r="E695" s="52"/>
      <c r="F695" s="52"/>
      <c r="G695" s="52"/>
      <c r="H695" s="53"/>
      <c r="I695" s="53"/>
      <c r="J695" s="52"/>
      <c r="K695" s="52"/>
      <c r="L695" s="52"/>
      <c r="M695" s="52"/>
      <c r="N695" s="52"/>
      <c r="O695" s="52"/>
      <c r="P695" s="9"/>
      <c r="Q695" s="9"/>
      <c r="R695" s="9"/>
      <c r="S695" s="50"/>
      <c r="T695" s="50"/>
      <c r="U695" s="9"/>
      <c r="V695" s="9"/>
      <c r="W695" s="9"/>
      <c r="X695" s="9"/>
      <c r="Y695" s="9"/>
      <c r="Z695" s="9"/>
      <c r="AA695" s="9"/>
    </row>
    <row r="696">
      <c r="A696" s="52"/>
      <c r="B696" s="50"/>
      <c r="C696" s="52"/>
      <c r="D696" s="52"/>
      <c r="E696" s="52"/>
      <c r="F696" s="52"/>
      <c r="G696" s="52"/>
      <c r="H696" s="53"/>
      <c r="I696" s="53"/>
      <c r="J696" s="52"/>
      <c r="K696" s="52"/>
      <c r="L696" s="52"/>
      <c r="M696" s="52"/>
      <c r="N696" s="52"/>
      <c r="O696" s="52"/>
      <c r="P696" s="9"/>
      <c r="Q696" s="9"/>
      <c r="R696" s="9"/>
      <c r="S696" s="50"/>
      <c r="T696" s="50"/>
      <c r="U696" s="9"/>
      <c r="V696" s="9"/>
      <c r="W696" s="9"/>
      <c r="X696" s="9"/>
      <c r="Y696" s="9"/>
      <c r="Z696" s="9"/>
      <c r="AA696" s="9"/>
    </row>
    <row r="697">
      <c r="A697" s="52"/>
      <c r="B697" s="50"/>
      <c r="C697" s="52"/>
      <c r="D697" s="52"/>
      <c r="E697" s="52"/>
      <c r="F697" s="52"/>
      <c r="G697" s="52"/>
      <c r="H697" s="53"/>
      <c r="I697" s="53"/>
      <c r="J697" s="52"/>
      <c r="K697" s="52"/>
      <c r="L697" s="52"/>
      <c r="M697" s="52"/>
      <c r="N697" s="52"/>
      <c r="O697" s="52"/>
      <c r="P697" s="9"/>
      <c r="Q697" s="9"/>
      <c r="R697" s="9"/>
      <c r="S697" s="50"/>
      <c r="T697" s="50"/>
      <c r="U697" s="9"/>
      <c r="V697" s="9"/>
      <c r="W697" s="9"/>
      <c r="X697" s="9"/>
      <c r="Y697" s="9"/>
      <c r="Z697" s="9"/>
      <c r="AA697" s="9"/>
    </row>
    <row r="698">
      <c r="A698" s="52"/>
      <c r="B698" s="50"/>
      <c r="C698" s="52"/>
      <c r="D698" s="52"/>
      <c r="E698" s="52"/>
      <c r="F698" s="52"/>
      <c r="G698" s="52"/>
      <c r="H698" s="53"/>
      <c r="I698" s="53"/>
      <c r="J698" s="52"/>
      <c r="K698" s="52"/>
      <c r="L698" s="52"/>
      <c r="M698" s="52"/>
      <c r="N698" s="52"/>
      <c r="O698" s="52"/>
      <c r="P698" s="9"/>
      <c r="Q698" s="9"/>
      <c r="R698" s="9"/>
      <c r="S698" s="50"/>
      <c r="T698" s="50"/>
      <c r="U698" s="9"/>
      <c r="V698" s="9"/>
      <c r="W698" s="9"/>
      <c r="X698" s="9"/>
      <c r="Y698" s="9"/>
      <c r="Z698" s="9"/>
      <c r="AA698" s="9"/>
    </row>
    <row r="699">
      <c r="A699" s="52"/>
      <c r="B699" s="50"/>
      <c r="C699" s="52"/>
      <c r="D699" s="52"/>
      <c r="E699" s="52"/>
      <c r="F699" s="52"/>
      <c r="G699" s="52"/>
      <c r="H699" s="53"/>
      <c r="I699" s="53"/>
      <c r="J699" s="52"/>
      <c r="K699" s="52"/>
      <c r="L699" s="52"/>
      <c r="M699" s="52"/>
      <c r="N699" s="52"/>
      <c r="O699" s="52"/>
      <c r="P699" s="9"/>
      <c r="Q699" s="9"/>
      <c r="R699" s="9"/>
      <c r="S699" s="50"/>
      <c r="T699" s="50"/>
      <c r="U699" s="9"/>
      <c r="V699" s="9"/>
      <c r="W699" s="9"/>
      <c r="X699" s="9"/>
      <c r="Y699" s="9"/>
      <c r="Z699" s="9"/>
      <c r="AA699" s="9"/>
    </row>
    <row r="700">
      <c r="A700" s="52"/>
      <c r="B700" s="50"/>
      <c r="C700" s="52"/>
      <c r="D700" s="52"/>
      <c r="E700" s="52"/>
      <c r="F700" s="52"/>
      <c r="G700" s="52"/>
      <c r="H700" s="53"/>
      <c r="I700" s="53"/>
      <c r="J700" s="52"/>
      <c r="K700" s="52"/>
      <c r="L700" s="52"/>
      <c r="M700" s="52"/>
      <c r="N700" s="52"/>
      <c r="O700" s="52"/>
      <c r="P700" s="9"/>
      <c r="Q700" s="9"/>
      <c r="R700" s="9"/>
      <c r="S700" s="50"/>
      <c r="T700" s="50"/>
      <c r="U700" s="9"/>
      <c r="V700" s="9"/>
      <c r="W700" s="9"/>
      <c r="X700" s="9"/>
      <c r="Y700" s="9"/>
      <c r="Z700" s="9"/>
      <c r="AA700" s="9"/>
    </row>
    <row r="701">
      <c r="A701" s="52"/>
      <c r="B701" s="50"/>
      <c r="C701" s="52"/>
      <c r="D701" s="52"/>
      <c r="E701" s="52"/>
      <c r="F701" s="52"/>
      <c r="G701" s="52"/>
      <c r="H701" s="53"/>
      <c r="I701" s="53"/>
      <c r="J701" s="52"/>
      <c r="K701" s="52"/>
      <c r="L701" s="52"/>
      <c r="M701" s="52"/>
      <c r="N701" s="52"/>
      <c r="O701" s="52"/>
      <c r="P701" s="9"/>
      <c r="Q701" s="9"/>
      <c r="R701" s="9"/>
      <c r="S701" s="50"/>
      <c r="T701" s="50"/>
      <c r="U701" s="9"/>
      <c r="V701" s="9"/>
      <c r="W701" s="9"/>
      <c r="X701" s="9"/>
      <c r="Y701" s="9"/>
      <c r="Z701" s="9"/>
      <c r="AA701" s="9"/>
    </row>
    <row r="702">
      <c r="A702" s="52"/>
      <c r="B702" s="50"/>
      <c r="C702" s="52"/>
      <c r="D702" s="52"/>
      <c r="E702" s="52"/>
      <c r="F702" s="52"/>
      <c r="G702" s="52"/>
      <c r="H702" s="53"/>
      <c r="I702" s="53"/>
      <c r="J702" s="52"/>
      <c r="K702" s="52"/>
      <c r="L702" s="52"/>
      <c r="M702" s="52"/>
      <c r="N702" s="52"/>
      <c r="O702" s="52"/>
      <c r="P702" s="9"/>
      <c r="Q702" s="9"/>
      <c r="R702" s="9"/>
      <c r="S702" s="50"/>
      <c r="T702" s="50"/>
      <c r="U702" s="9"/>
      <c r="V702" s="9"/>
      <c r="W702" s="9"/>
      <c r="X702" s="9"/>
      <c r="Y702" s="9"/>
      <c r="Z702" s="9"/>
      <c r="AA702" s="9"/>
    </row>
    <row r="703">
      <c r="A703" s="52"/>
      <c r="B703" s="50"/>
      <c r="C703" s="52"/>
      <c r="D703" s="52"/>
      <c r="E703" s="52"/>
      <c r="F703" s="52"/>
      <c r="G703" s="52"/>
      <c r="H703" s="53"/>
      <c r="I703" s="53"/>
      <c r="J703" s="52"/>
      <c r="K703" s="52"/>
      <c r="L703" s="52"/>
      <c r="M703" s="52"/>
      <c r="N703" s="52"/>
      <c r="O703" s="52"/>
      <c r="P703" s="9"/>
      <c r="Q703" s="9"/>
      <c r="R703" s="9"/>
      <c r="S703" s="50"/>
      <c r="T703" s="50"/>
      <c r="U703" s="9"/>
      <c r="V703" s="9"/>
      <c r="W703" s="9"/>
      <c r="X703" s="9"/>
      <c r="Y703" s="9"/>
      <c r="Z703" s="9"/>
      <c r="AA703" s="9"/>
    </row>
    <row r="704">
      <c r="A704" s="52"/>
      <c r="B704" s="50"/>
      <c r="C704" s="52"/>
      <c r="D704" s="52"/>
      <c r="E704" s="52"/>
      <c r="F704" s="52"/>
      <c r="G704" s="52"/>
      <c r="H704" s="53"/>
      <c r="I704" s="53"/>
      <c r="J704" s="52"/>
      <c r="K704" s="52"/>
      <c r="L704" s="52"/>
      <c r="M704" s="52"/>
      <c r="N704" s="52"/>
      <c r="O704" s="52"/>
      <c r="P704" s="9"/>
      <c r="Q704" s="9"/>
      <c r="R704" s="9"/>
      <c r="S704" s="50"/>
      <c r="T704" s="50"/>
      <c r="U704" s="9"/>
      <c r="V704" s="9"/>
      <c r="W704" s="9"/>
      <c r="X704" s="9"/>
      <c r="Y704" s="9"/>
      <c r="Z704" s="9"/>
      <c r="AA704" s="9"/>
    </row>
    <row r="705">
      <c r="A705" s="52"/>
      <c r="B705" s="50"/>
      <c r="C705" s="52"/>
      <c r="D705" s="52"/>
      <c r="E705" s="52"/>
      <c r="F705" s="52"/>
      <c r="G705" s="52"/>
      <c r="H705" s="53"/>
      <c r="I705" s="53"/>
      <c r="J705" s="52"/>
      <c r="K705" s="52"/>
      <c r="L705" s="52"/>
      <c r="M705" s="52"/>
      <c r="N705" s="52"/>
      <c r="O705" s="52"/>
      <c r="P705" s="9"/>
      <c r="Q705" s="9"/>
      <c r="R705" s="9"/>
      <c r="S705" s="50"/>
      <c r="T705" s="50"/>
      <c r="U705" s="9"/>
      <c r="V705" s="9"/>
      <c r="W705" s="9"/>
      <c r="X705" s="9"/>
      <c r="Y705" s="9"/>
      <c r="Z705" s="9"/>
      <c r="AA705" s="9"/>
    </row>
    <row r="706">
      <c r="A706" s="52"/>
      <c r="B706" s="50"/>
      <c r="C706" s="52"/>
      <c r="D706" s="52"/>
      <c r="E706" s="52"/>
      <c r="F706" s="52"/>
      <c r="G706" s="52"/>
      <c r="H706" s="53"/>
      <c r="I706" s="53"/>
      <c r="J706" s="52"/>
      <c r="K706" s="52"/>
      <c r="L706" s="52"/>
      <c r="M706" s="52"/>
      <c r="N706" s="52"/>
      <c r="O706" s="52"/>
      <c r="P706" s="9"/>
      <c r="Q706" s="9"/>
      <c r="R706" s="9"/>
      <c r="S706" s="50"/>
      <c r="T706" s="50"/>
      <c r="U706" s="9"/>
      <c r="V706" s="9"/>
      <c r="W706" s="9"/>
      <c r="X706" s="9"/>
      <c r="Y706" s="9"/>
      <c r="Z706" s="9"/>
      <c r="AA706" s="9"/>
    </row>
    <row r="707">
      <c r="A707" s="52"/>
      <c r="B707" s="50"/>
      <c r="C707" s="52"/>
      <c r="D707" s="52"/>
      <c r="E707" s="52"/>
      <c r="F707" s="52"/>
      <c r="G707" s="52"/>
      <c r="H707" s="53"/>
      <c r="I707" s="53"/>
      <c r="J707" s="52"/>
      <c r="K707" s="52"/>
      <c r="L707" s="52"/>
      <c r="M707" s="52"/>
      <c r="N707" s="52"/>
      <c r="O707" s="52"/>
      <c r="P707" s="9"/>
      <c r="Q707" s="9"/>
      <c r="R707" s="9"/>
      <c r="S707" s="50"/>
      <c r="T707" s="50"/>
      <c r="U707" s="9"/>
      <c r="V707" s="9"/>
      <c r="W707" s="9"/>
      <c r="X707" s="9"/>
      <c r="Y707" s="9"/>
      <c r="Z707" s="9"/>
      <c r="AA707" s="9"/>
    </row>
    <row r="708">
      <c r="A708" s="52"/>
      <c r="B708" s="50"/>
      <c r="C708" s="52"/>
      <c r="D708" s="52"/>
      <c r="E708" s="52"/>
      <c r="F708" s="52"/>
      <c r="G708" s="52"/>
      <c r="H708" s="53"/>
      <c r="I708" s="53"/>
      <c r="J708" s="52"/>
      <c r="K708" s="52"/>
      <c r="L708" s="52"/>
      <c r="M708" s="52"/>
      <c r="N708" s="52"/>
      <c r="O708" s="52"/>
      <c r="P708" s="9"/>
      <c r="Q708" s="9"/>
      <c r="R708" s="9"/>
      <c r="S708" s="50"/>
      <c r="T708" s="50"/>
      <c r="U708" s="9"/>
      <c r="V708" s="9"/>
      <c r="W708" s="9"/>
      <c r="X708" s="9"/>
      <c r="Y708" s="9"/>
      <c r="Z708" s="9"/>
      <c r="AA708" s="9"/>
    </row>
    <row r="709">
      <c r="A709" s="52"/>
      <c r="B709" s="50"/>
      <c r="C709" s="52"/>
      <c r="D709" s="52"/>
      <c r="E709" s="52"/>
      <c r="F709" s="52"/>
      <c r="G709" s="52"/>
      <c r="H709" s="53"/>
      <c r="I709" s="53"/>
      <c r="J709" s="52"/>
      <c r="K709" s="52"/>
      <c r="L709" s="52"/>
      <c r="M709" s="52"/>
      <c r="N709" s="52"/>
      <c r="O709" s="52"/>
      <c r="P709" s="9"/>
      <c r="Q709" s="9"/>
      <c r="R709" s="9"/>
      <c r="S709" s="50"/>
      <c r="T709" s="50"/>
      <c r="U709" s="9"/>
      <c r="V709" s="9"/>
      <c r="W709" s="9"/>
      <c r="X709" s="9"/>
      <c r="Y709" s="9"/>
      <c r="Z709" s="9"/>
      <c r="AA709" s="9"/>
    </row>
    <row r="710">
      <c r="A710" s="52"/>
      <c r="B710" s="50"/>
      <c r="C710" s="52"/>
      <c r="D710" s="52"/>
      <c r="E710" s="52"/>
      <c r="F710" s="52"/>
      <c r="G710" s="52"/>
      <c r="H710" s="53"/>
      <c r="I710" s="53"/>
      <c r="J710" s="52"/>
      <c r="K710" s="52"/>
      <c r="L710" s="52"/>
      <c r="M710" s="52"/>
      <c r="N710" s="52"/>
      <c r="O710" s="52"/>
      <c r="P710" s="9"/>
      <c r="Q710" s="9"/>
      <c r="R710" s="9"/>
      <c r="S710" s="50"/>
      <c r="T710" s="50"/>
      <c r="U710" s="9"/>
      <c r="V710" s="9"/>
      <c r="W710" s="9"/>
      <c r="X710" s="9"/>
      <c r="Y710" s="9"/>
      <c r="Z710" s="9"/>
      <c r="AA710" s="9"/>
    </row>
    <row r="711">
      <c r="A711" s="52"/>
      <c r="B711" s="50"/>
      <c r="C711" s="52"/>
      <c r="D711" s="52"/>
      <c r="E711" s="52"/>
      <c r="F711" s="52"/>
      <c r="G711" s="52"/>
      <c r="H711" s="53"/>
      <c r="I711" s="53"/>
      <c r="J711" s="52"/>
      <c r="K711" s="52"/>
      <c r="L711" s="52"/>
      <c r="M711" s="52"/>
      <c r="N711" s="52"/>
      <c r="O711" s="52"/>
      <c r="P711" s="9"/>
      <c r="Q711" s="9"/>
      <c r="R711" s="9"/>
      <c r="S711" s="50"/>
      <c r="T711" s="50"/>
      <c r="U711" s="9"/>
      <c r="V711" s="9"/>
      <c r="W711" s="9"/>
      <c r="X711" s="9"/>
      <c r="Y711" s="9"/>
      <c r="Z711" s="9"/>
      <c r="AA711" s="9"/>
    </row>
    <row r="712">
      <c r="A712" s="52"/>
      <c r="B712" s="50"/>
      <c r="C712" s="52"/>
      <c r="D712" s="52"/>
      <c r="E712" s="52"/>
      <c r="F712" s="52"/>
      <c r="G712" s="52"/>
      <c r="H712" s="53"/>
      <c r="I712" s="53"/>
      <c r="J712" s="52"/>
      <c r="K712" s="52"/>
      <c r="L712" s="52"/>
      <c r="M712" s="52"/>
      <c r="N712" s="52"/>
      <c r="O712" s="52"/>
      <c r="P712" s="9"/>
      <c r="Q712" s="9"/>
      <c r="R712" s="9"/>
      <c r="S712" s="50"/>
      <c r="T712" s="50"/>
      <c r="U712" s="9"/>
      <c r="V712" s="9"/>
      <c r="W712" s="9"/>
      <c r="X712" s="9"/>
      <c r="Y712" s="9"/>
      <c r="Z712" s="9"/>
      <c r="AA712" s="9"/>
    </row>
    <row r="713">
      <c r="A713" s="52"/>
      <c r="B713" s="50"/>
      <c r="C713" s="52"/>
      <c r="D713" s="52"/>
      <c r="E713" s="52"/>
      <c r="F713" s="52"/>
      <c r="G713" s="52"/>
      <c r="H713" s="53"/>
      <c r="I713" s="53"/>
      <c r="J713" s="52"/>
      <c r="K713" s="52"/>
      <c r="L713" s="52"/>
      <c r="M713" s="52"/>
      <c r="N713" s="52"/>
      <c r="O713" s="52"/>
      <c r="P713" s="9"/>
      <c r="Q713" s="9"/>
      <c r="R713" s="9"/>
      <c r="S713" s="50"/>
      <c r="T713" s="50"/>
      <c r="U713" s="9"/>
      <c r="V713" s="9"/>
      <c r="W713" s="9"/>
      <c r="X713" s="9"/>
      <c r="Y713" s="9"/>
      <c r="Z713" s="9"/>
      <c r="AA713" s="9"/>
    </row>
    <row r="714">
      <c r="A714" s="52"/>
      <c r="B714" s="50"/>
      <c r="C714" s="52"/>
      <c r="D714" s="52"/>
      <c r="E714" s="52"/>
      <c r="F714" s="52"/>
      <c r="G714" s="52"/>
      <c r="H714" s="53"/>
      <c r="I714" s="53"/>
      <c r="J714" s="52"/>
      <c r="K714" s="52"/>
      <c r="L714" s="52"/>
      <c r="M714" s="52"/>
      <c r="N714" s="52"/>
      <c r="O714" s="52"/>
      <c r="P714" s="9"/>
      <c r="Q714" s="9"/>
      <c r="R714" s="9"/>
      <c r="S714" s="50"/>
      <c r="T714" s="50"/>
      <c r="U714" s="9"/>
      <c r="V714" s="9"/>
      <c r="W714" s="9"/>
      <c r="X714" s="9"/>
      <c r="Y714" s="9"/>
      <c r="Z714" s="9"/>
      <c r="AA714" s="9"/>
    </row>
    <row r="715">
      <c r="A715" s="52"/>
      <c r="B715" s="50"/>
      <c r="C715" s="52"/>
      <c r="D715" s="52"/>
      <c r="E715" s="52"/>
      <c r="F715" s="52"/>
      <c r="G715" s="52"/>
      <c r="H715" s="53"/>
      <c r="I715" s="53"/>
      <c r="J715" s="52"/>
      <c r="K715" s="52"/>
      <c r="L715" s="52"/>
      <c r="M715" s="52"/>
      <c r="N715" s="52"/>
      <c r="O715" s="52"/>
      <c r="P715" s="9"/>
      <c r="Q715" s="9"/>
      <c r="R715" s="9"/>
      <c r="S715" s="50"/>
      <c r="T715" s="50"/>
      <c r="U715" s="9"/>
      <c r="V715" s="9"/>
      <c r="W715" s="9"/>
      <c r="X715" s="9"/>
      <c r="Y715" s="9"/>
      <c r="Z715" s="9"/>
      <c r="AA715" s="9"/>
    </row>
    <row r="716">
      <c r="A716" s="52"/>
      <c r="B716" s="50"/>
      <c r="C716" s="52"/>
      <c r="D716" s="52"/>
      <c r="E716" s="52"/>
      <c r="F716" s="52"/>
      <c r="G716" s="52"/>
      <c r="H716" s="53"/>
      <c r="I716" s="53"/>
      <c r="J716" s="52"/>
      <c r="K716" s="52"/>
      <c r="L716" s="52"/>
      <c r="M716" s="52"/>
      <c r="N716" s="52"/>
      <c r="O716" s="52"/>
      <c r="P716" s="9"/>
      <c r="Q716" s="9"/>
      <c r="R716" s="9"/>
      <c r="S716" s="50"/>
      <c r="T716" s="50"/>
      <c r="U716" s="9"/>
      <c r="V716" s="9"/>
      <c r="W716" s="9"/>
      <c r="X716" s="9"/>
      <c r="Y716" s="9"/>
      <c r="Z716" s="9"/>
      <c r="AA716" s="9"/>
    </row>
    <row r="717">
      <c r="A717" s="52"/>
      <c r="B717" s="50"/>
      <c r="C717" s="52"/>
      <c r="D717" s="52"/>
      <c r="E717" s="52"/>
      <c r="F717" s="52"/>
      <c r="G717" s="52"/>
      <c r="H717" s="53"/>
      <c r="I717" s="53"/>
      <c r="J717" s="52"/>
      <c r="K717" s="52"/>
      <c r="L717" s="52"/>
      <c r="M717" s="52"/>
      <c r="N717" s="52"/>
      <c r="O717" s="52"/>
      <c r="P717" s="9"/>
      <c r="Q717" s="9"/>
      <c r="R717" s="9"/>
      <c r="S717" s="50"/>
      <c r="T717" s="50"/>
      <c r="U717" s="9"/>
      <c r="V717" s="9"/>
      <c r="W717" s="9"/>
      <c r="X717" s="9"/>
      <c r="Y717" s="9"/>
      <c r="Z717" s="9"/>
      <c r="AA717" s="9"/>
    </row>
    <row r="718">
      <c r="A718" s="52"/>
      <c r="B718" s="50"/>
      <c r="C718" s="52"/>
      <c r="D718" s="52"/>
      <c r="E718" s="52"/>
      <c r="F718" s="52"/>
      <c r="G718" s="52"/>
      <c r="H718" s="53"/>
      <c r="I718" s="53"/>
      <c r="J718" s="52"/>
      <c r="K718" s="52"/>
      <c r="L718" s="52"/>
      <c r="M718" s="52"/>
      <c r="N718" s="52"/>
      <c r="O718" s="52"/>
      <c r="P718" s="9"/>
      <c r="Q718" s="9"/>
      <c r="R718" s="9"/>
      <c r="S718" s="50"/>
      <c r="T718" s="50"/>
      <c r="U718" s="9"/>
      <c r="V718" s="9"/>
      <c r="W718" s="9"/>
      <c r="X718" s="9"/>
      <c r="Y718" s="9"/>
      <c r="Z718" s="9"/>
      <c r="AA718" s="9"/>
    </row>
    <row r="719">
      <c r="A719" s="52"/>
      <c r="B719" s="50"/>
      <c r="C719" s="52"/>
      <c r="D719" s="52"/>
      <c r="E719" s="52"/>
      <c r="F719" s="52"/>
      <c r="G719" s="52"/>
      <c r="H719" s="53"/>
      <c r="I719" s="53"/>
      <c r="J719" s="52"/>
      <c r="K719" s="52"/>
      <c r="L719" s="52"/>
      <c r="M719" s="52"/>
      <c r="N719" s="52"/>
      <c r="O719" s="52"/>
      <c r="P719" s="9"/>
      <c r="Q719" s="9"/>
      <c r="R719" s="9"/>
      <c r="S719" s="50"/>
      <c r="T719" s="50"/>
      <c r="U719" s="9"/>
      <c r="V719" s="9"/>
      <c r="W719" s="9"/>
      <c r="X719" s="9"/>
      <c r="Y719" s="9"/>
      <c r="Z719" s="9"/>
      <c r="AA719" s="9"/>
    </row>
    <row r="720">
      <c r="A720" s="52"/>
      <c r="B720" s="50"/>
      <c r="C720" s="52"/>
      <c r="D720" s="52"/>
      <c r="E720" s="52"/>
      <c r="F720" s="52"/>
      <c r="G720" s="52"/>
      <c r="H720" s="53"/>
      <c r="I720" s="53"/>
      <c r="J720" s="52"/>
      <c r="K720" s="52"/>
      <c r="L720" s="52"/>
      <c r="M720" s="52"/>
      <c r="N720" s="52"/>
      <c r="O720" s="52"/>
      <c r="P720" s="9"/>
      <c r="Q720" s="9"/>
      <c r="R720" s="9"/>
      <c r="S720" s="50"/>
      <c r="T720" s="50"/>
      <c r="U720" s="9"/>
      <c r="V720" s="9"/>
      <c r="W720" s="9"/>
      <c r="X720" s="9"/>
      <c r="Y720" s="9"/>
      <c r="Z720" s="9"/>
      <c r="AA720" s="9"/>
    </row>
    <row r="721">
      <c r="A721" s="52"/>
      <c r="B721" s="50"/>
      <c r="C721" s="52"/>
      <c r="D721" s="52"/>
      <c r="E721" s="52"/>
      <c r="F721" s="52"/>
      <c r="G721" s="52"/>
      <c r="H721" s="53"/>
      <c r="I721" s="53"/>
      <c r="J721" s="52"/>
      <c r="K721" s="52"/>
      <c r="L721" s="52"/>
      <c r="M721" s="52"/>
      <c r="N721" s="52"/>
      <c r="O721" s="52"/>
      <c r="P721" s="9"/>
      <c r="Q721" s="9"/>
      <c r="R721" s="9"/>
      <c r="S721" s="50"/>
      <c r="T721" s="50"/>
      <c r="U721" s="9"/>
      <c r="V721" s="9"/>
      <c r="W721" s="9"/>
      <c r="X721" s="9"/>
      <c r="Y721" s="9"/>
      <c r="Z721" s="9"/>
      <c r="AA721" s="9"/>
    </row>
    <row r="722">
      <c r="A722" s="52"/>
      <c r="B722" s="50"/>
      <c r="C722" s="52"/>
      <c r="D722" s="52"/>
      <c r="E722" s="52"/>
      <c r="F722" s="52"/>
      <c r="G722" s="52"/>
      <c r="H722" s="53"/>
      <c r="I722" s="53"/>
      <c r="J722" s="52"/>
      <c r="K722" s="52"/>
      <c r="L722" s="52"/>
      <c r="M722" s="52"/>
      <c r="N722" s="52"/>
      <c r="O722" s="52"/>
      <c r="P722" s="9"/>
      <c r="Q722" s="9"/>
      <c r="R722" s="9"/>
      <c r="S722" s="50"/>
      <c r="T722" s="50"/>
      <c r="U722" s="9"/>
      <c r="V722" s="9"/>
      <c r="W722" s="9"/>
      <c r="X722" s="9"/>
      <c r="Y722" s="9"/>
      <c r="Z722" s="9"/>
      <c r="AA722" s="9"/>
    </row>
    <row r="723">
      <c r="A723" s="52"/>
      <c r="B723" s="50"/>
      <c r="C723" s="52"/>
      <c r="D723" s="52"/>
      <c r="E723" s="52"/>
      <c r="F723" s="52"/>
      <c r="G723" s="52"/>
      <c r="H723" s="53"/>
      <c r="I723" s="53"/>
      <c r="J723" s="52"/>
      <c r="K723" s="52"/>
      <c r="L723" s="52"/>
      <c r="M723" s="52"/>
      <c r="N723" s="52"/>
      <c r="O723" s="52"/>
      <c r="P723" s="9"/>
      <c r="Q723" s="9"/>
      <c r="R723" s="9"/>
      <c r="S723" s="50"/>
      <c r="T723" s="50"/>
      <c r="U723" s="9"/>
      <c r="V723" s="9"/>
      <c r="W723" s="9"/>
      <c r="X723" s="9"/>
      <c r="Y723" s="9"/>
      <c r="Z723" s="9"/>
      <c r="AA723" s="9"/>
    </row>
    <row r="724">
      <c r="A724" s="52"/>
      <c r="B724" s="50"/>
      <c r="C724" s="52"/>
      <c r="D724" s="52"/>
      <c r="E724" s="52"/>
      <c r="F724" s="52"/>
      <c r="G724" s="52"/>
      <c r="H724" s="53"/>
      <c r="I724" s="53"/>
      <c r="J724" s="52"/>
      <c r="K724" s="52"/>
      <c r="L724" s="52"/>
      <c r="M724" s="52"/>
      <c r="N724" s="52"/>
      <c r="O724" s="52"/>
      <c r="P724" s="9"/>
      <c r="Q724" s="9"/>
      <c r="R724" s="9"/>
      <c r="S724" s="50"/>
      <c r="T724" s="50"/>
      <c r="U724" s="9"/>
      <c r="V724" s="9"/>
      <c r="W724" s="9"/>
      <c r="X724" s="9"/>
      <c r="Y724" s="9"/>
      <c r="Z724" s="9"/>
      <c r="AA724" s="9"/>
    </row>
    <row r="725">
      <c r="A725" s="52"/>
      <c r="B725" s="50"/>
      <c r="C725" s="52"/>
      <c r="D725" s="52"/>
      <c r="E725" s="52"/>
      <c r="F725" s="52"/>
      <c r="G725" s="52"/>
      <c r="H725" s="53"/>
      <c r="I725" s="53"/>
      <c r="J725" s="52"/>
      <c r="K725" s="52"/>
      <c r="L725" s="52"/>
      <c r="M725" s="52"/>
      <c r="N725" s="52"/>
      <c r="O725" s="52"/>
      <c r="P725" s="9"/>
      <c r="Q725" s="9"/>
      <c r="R725" s="9"/>
      <c r="S725" s="50"/>
      <c r="T725" s="50"/>
      <c r="U725" s="9"/>
      <c r="V725" s="9"/>
      <c r="W725" s="9"/>
      <c r="X725" s="9"/>
      <c r="Y725" s="9"/>
      <c r="Z725" s="9"/>
      <c r="AA725" s="9"/>
    </row>
    <row r="726">
      <c r="A726" s="52"/>
      <c r="B726" s="50"/>
      <c r="C726" s="52"/>
      <c r="D726" s="52"/>
      <c r="E726" s="52"/>
      <c r="F726" s="52"/>
      <c r="G726" s="52"/>
      <c r="H726" s="53"/>
      <c r="I726" s="53"/>
      <c r="J726" s="52"/>
      <c r="K726" s="52"/>
      <c r="L726" s="52"/>
      <c r="M726" s="52"/>
      <c r="N726" s="52"/>
      <c r="O726" s="52"/>
      <c r="P726" s="9"/>
      <c r="Q726" s="9"/>
      <c r="R726" s="9"/>
      <c r="S726" s="50"/>
      <c r="T726" s="50"/>
      <c r="U726" s="9"/>
      <c r="V726" s="9"/>
      <c r="W726" s="9"/>
      <c r="X726" s="9"/>
      <c r="Y726" s="9"/>
      <c r="Z726" s="9"/>
      <c r="AA726" s="9"/>
    </row>
    <row r="727">
      <c r="A727" s="52"/>
      <c r="B727" s="50"/>
      <c r="C727" s="52"/>
      <c r="D727" s="52"/>
      <c r="E727" s="52"/>
      <c r="F727" s="52"/>
      <c r="G727" s="52"/>
      <c r="H727" s="53"/>
      <c r="I727" s="53"/>
      <c r="J727" s="52"/>
      <c r="K727" s="52"/>
      <c r="L727" s="52"/>
      <c r="M727" s="52"/>
      <c r="N727" s="52"/>
      <c r="O727" s="52"/>
      <c r="P727" s="9"/>
      <c r="Q727" s="9"/>
      <c r="R727" s="9"/>
      <c r="S727" s="50"/>
      <c r="T727" s="50"/>
      <c r="U727" s="9"/>
      <c r="V727" s="9"/>
      <c r="W727" s="9"/>
      <c r="X727" s="9"/>
      <c r="Y727" s="9"/>
      <c r="Z727" s="9"/>
      <c r="AA727" s="9"/>
    </row>
    <row r="728">
      <c r="A728" s="52"/>
      <c r="B728" s="50"/>
      <c r="C728" s="52"/>
      <c r="D728" s="52"/>
      <c r="E728" s="52"/>
      <c r="F728" s="52"/>
      <c r="G728" s="52"/>
      <c r="H728" s="53"/>
      <c r="I728" s="53"/>
      <c r="J728" s="52"/>
      <c r="K728" s="52"/>
      <c r="L728" s="52"/>
      <c r="M728" s="52"/>
      <c r="N728" s="52"/>
      <c r="O728" s="52"/>
      <c r="P728" s="9"/>
      <c r="Q728" s="9"/>
      <c r="R728" s="9"/>
      <c r="S728" s="50"/>
      <c r="T728" s="50"/>
      <c r="U728" s="9"/>
      <c r="V728" s="9"/>
      <c r="W728" s="9"/>
      <c r="X728" s="9"/>
      <c r="Y728" s="9"/>
      <c r="Z728" s="9"/>
      <c r="AA728" s="9"/>
    </row>
    <row r="729">
      <c r="A729" s="52"/>
      <c r="B729" s="50"/>
      <c r="C729" s="52"/>
      <c r="D729" s="52"/>
      <c r="E729" s="52"/>
      <c r="F729" s="52"/>
      <c r="G729" s="52"/>
      <c r="H729" s="53"/>
      <c r="I729" s="53"/>
      <c r="J729" s="52"/>
      <c r="K729" s="52"/>
      <c r="L729" s="52"/>
      <c r="M729" s="52"/>
      <c r="N729" s="52"/>
      <c r="O729" s="52"/>
      <c r="P729" s="9"/>
      <c r="Q729" s="9"/>
      <c r="R729" s="9"/>
      <c r="S729" s="50"/>
      <c r="T729" s="50"/>
      <c r="U729" s="9"/>
      <c r="V729" s="9"/>
      <c r="W729" s="9"/>
      <c r="X729" s="9"/>
      <c r="Y729" s="9"/>
      <c r="Z729" s="9"/>
      <c r="AA729" s="9"/>
    </row>
    <row r="730">
      <c r="A730" s="52"/>
      <c r="B730" s="50"/>
      <c r="C730" s="52"/>
      <c r="D730" s="52"/>
      <c r="E730" s="52"/>
      <c r="F730" s="52"/>
      <c r="G730" s="52"/>
      <c r="H730" s="53"/>
      <c r="I730" s="53"/>
      <c r="J730" s="52"/>
      <c r="K730" s="52"/>
      <c r="L730" s="52"/>
      <c r="M730" s="52"/>
      <c r="N730" s="52"/>
      <c r="O730" s="52"/>
      <c r="P730" s="9"/>
      <c r="Q730" s="9"/>
      <c r="R730" s="9"/>
      <c r="S730" s="50"/>
      <c r="T730" s="50"/>
      <c r="U730" s="9"/>
      <c r="V730" s="9"/>
      <c r="W730" s="9"/>
      <c r="X730" s="9"/>
      <c r="Y730" s="9"/>
      <c r="Z730" s="9"/>
      <c r="AA730" s="9"/>
    </row>
    <row r="731">
      <c r="A731" s="52"/>
      <c r="B731" s="50"/>
      <c r="C731" s="52"/>
      <c r="D731" s="52"/>
      <c r="E731" s="52"/>
      <c r="F731" s="52"/>
      <c r="G731" s="52"/>
      <c r="H731" s="53"/>
      <c r="I731" s="53"/>
      <c r="J731" s="52"/>
      <c r="K731" s="52"/>
      <c r="L731" s="52"/>
      <c r="M731" s="52"/>
      <c r="N731" s="52"/>
      <c r="O731" s="52"/>
      <c r="P731" s="9"/>
      <c r="Q731" s="9"/>
      <c r="R731" s="9"/>
      <c r="S731" s="50"/>
      <c r="T731" s="50"/>
      <c r="U731" s="9"/>
      <c r="V731" s="9"/>
      <c r="W731" s="9"/>
      <c r="X731" s="9"/>
      <c r="Y731" s="9"/>
      <c r="Z731" s="9"/>
      <c r="AA731" s="9"/>
    </row>
    <row r="732">
      <c r="A732" s="52"/>
      <c r="B732" s="50"/>
      <c r="C732" s="52"/>
      <c r="D732" s="52"/>
      <c r="E732" s="52"/>
      <c r="F732" s="52"/>
      <c r="G732" s="52"/>
      <c r="H732" s="53"/>
      <c r="I732" s="53"/>
      <c r="J732" s="52"/>
      <c r="K732" s="52"/>
      <c r="L732" s="52"/>
      <c r="M732" s="52"/>
      <c r="N732" s="52"/>
      <c r="O732" s="52"/>
      <c r="P732" s="9"/>
      <c r="Q732" s="9"/>
      <c r="R732" s="9"/>
      <c r="S732" s="50"/>
      <c r="T732" s="50"/>
      <c r="U732" s="9"/>
      <c r="V732" s="9"/>
      <c r="W732" s="9"/>
      <c r="X732" s="9"/>
      <c r="Y732" s="9"/>
      <c r="Z732" s="9"/>
      <c r="AA732" s="9"/>
    </row>
    <row r="733">
      <c r="A733" s="52"/>
      <c r="B733" s="50"/>
      <c r="C733" s="52"/>
      <c r="D733" s="52"/>
      <c r="E733" s="52"/>
      <c r="F733" s="52"/>
      <c r="G733" s="52"/>
      <c r="H733" s="53"/>
      <c r="I733" s="53"/>
      <c r="J733" s="52"/>
      <c r="K733" s="52"/>
      <c r="L733" s="52"/>
      <c r="M733" s="52"/>
      <c r="N733" s="52"/>
      <c r="O733" s="52"/>
      <c r="P733" s="9"/>
      <c r="Q733" s="9"/>
      <c r="R733" s="9"/>
      <c r="S733" s="50"/>
      <c r="T733" s="50"/>
      <c r="U733" s="9"/>
      <c r="V733" s="9"/>
      <c r="W733" s="9"/>
      <c r="X733" s="9"/>
      <c r="Y733" s="9"/>
      <c r="Z733" s="9"/>
      <c r="AA733" s="9"/>
    </row>
    <row r="734">
      <c r="A734" s="52"/>
      <c r="B734" s="50"/>
      <c r="C734" s="52"/>
      <c r="D734" s="52"/>
      <c r="E734" s="52"/>
      <c r="F734" s="52"/>
      <c r="G734" s="52"/>
      <c r="H734" s="53"/>
      <c r="I734" s="53"/>
      <c r="J734" s="52"/>
      <c r="K734" s="52"/>
      <c r="L734" s="52"/>
      <c r="M734" s="52"/>
      <c r="N734" s="52"/>
      <c r="O734" s="52"/>
      <c r="P734" s="9"/>
      <c r="Q734" s="9"/>
      <c r="R734" s="9"/>
      <c r="S734" s="50"/>
      <c r="T734" s="50"/>
      <c r="U734" s="9"/>
      <c r="V734" s="9"/>
      <c r="W734" s="9"/>
      <c r="X734" s="9"/>
      <c r="Y734" s="9"/>
      <c r="Z734" s="9"/>
      <c r="AA734" s="9"/>
    </row>
    <row r="735">
      <c r="A735" s="52"/>
      <c r="B735" s="50"/>
      <c r="C735" s="52"/>
      <c r="D735" s="52"/>
      <c r="E735" s="52"/>
      <c r="F735" s="52"/>
      <c r="G735" s="52"/>
      <c r="H735" s="53"/>
      <c r="I735" s="53"/>
      <c r="J735" s="52"/>
      <c r="K735" s="52"/>
      <c r="L735" s="52"/>
      <c r="M735" s="52"/>
      <c r="N735" s="52"/>
      <c r="O735" s="52"/>
      <c r="P735" s="9"/>
      <c r="Q735" s="9"/>
      <c r="R735" s="9"/>
      <c r="S735" s="50"/>
      <c r="T735" s="50"/>
      <c r="U735" s="9"/>
      <c r="V735" s="9"/>
      <c r="W735" s="9"/>
      <c r="X735" s="9"/>
      <c r="Y735" s="9"/>
      <c r="Z735" s="9"/>
      <c r="AA735" s="9"/>
    </row>
    <row r="736">
      <c r="A736" s="52"/>
      <c r="B736" s="50"/>
      <c r="C736" s="52"/>
      <c r="D736" s="52"/>
      <c r="E736" s="52"/>
      <c r="F736" s="52"/>
      <c r="G736" s="52"/>
      <c r="H736" s="53"/>
      <c r="I736" s="53"/>
      <c r="J736" s="52"/>
      <c r="K736" s="52"/>
      <c r="L736" s="52"/>
      <c r="M736" s="52"/>
      <c r="N736" s="52"/>
      <c r="O736" s="52"/>
      <c r="P736" s="9"/>
      <c r="Q736" s="9"/>
      <c r="R736" s="9"/>
      <c r="S736" s="50"/>
      <c r="T736" s="50"/>
      <c r="U736" s="9"/>
      <c r="V736" s="9"/>
      <c r="W736" s="9"/>
      <c r="X736" s="9"/>
      <c r="Y736" s="9"/>
      <c r="Z736" s="9"/>
      <c r="AA736" s="9"/>
    </row>
    <row r="737">
      <c r="A737" s="52"/>
      <c r="B737" s="50"/>
      <c r="C737" s="52"/>
      <c r="D737" s="52"/>
      <c r="E737" s="52"/>
      <c r="F737" s="52"/>
      <c r="G737" s="52"/>
      <c r="H737" s="53"/>
      <c r="I737" s="53"/>
      <c r="J737" s="52"/>
      <c r="K737" s="52"/>
      <c r="L737" s="52"/>
      <c r="M737" s="52"/>
      <c r="N737" s="52"/>
      <c r="O737" s="52"/>
      <c r="P737" s="9"/>
      <c r="Q737" s="9"/>
      <c r="R737" s="9"/>
      <c r="S737" s="50"/>
      <c r="T737" s="50"/>
      <c r="U737" s="9"/>
      <c r="V737" s="9"/>
      <c r="W737" s="9"/>
      <c r="X737" s="9"/>
      <c r="Y737" s="9"/>
      <c r="Z737" s="9"/>
      <c r="AA737" s="9"/>
    </row>
    <row r="738">
      <c r="A738" s="52"/>
      <c r="B738" s="50"/>
      <c r="C738" s="52"/>
      <c r="D738" s="52"/>
      <c r="E738" s="52"/>
      <c r="F738" s="52"/>
      <c r="G738" s="52"/>
      <c r="H738" s="53"/>
      <c r="I738" s="53"/>
      <c r="J738" s="52"/>
      <c r="K738" s="52"/>
      <c r="L738" s="52"/>
      <c r="M738" s="52"/>
      <c r="N738" s="52"/>
      <c r="O738" s="52"/>
      <c r="P738" s="9"/>
      <c r="Q738" s="9"/>
      <c r="R738" s="9"/>
      <c r="S738" s="50"/>
      <c r="T738" s="50"/>
      <c r="U738" s="9"/>
      <c r="V738" s="9"/>
      <c r="W738" s="9"/>
      <c r="X738" s="9"/>
      <c r="Y738" s="9"/>
      <c r="Z738" s="9"/>
      <c r="AA738" s="9"/>
    </row>
    <row r="739">
      <c r="A739" s="52"/>
      <c r="B739" s="50"/>
      <c r="C739" s="52"/>
      <c r="D739" s="52"/>
      <c r="E739" s="52"/>
      <c r="F739" s="52"/>
      <c r="G739" s="52"/>
      <c r="H739" s="53"/>
      <c r="I739" s="53"/>
      <c r="J739" s="52"/>
      <c r="K739" s="52"/>
      <c r="L739" s="52"/>
      <c r="M739" s="52"/>
      <c r="N739" s="52"/>
      <c r="O739" s="52"/>
      <c r="P739" s="9"/>
      <c r="Q739" s="9"/>
      <c r="R739" s="9"/>
      <c r="S739" s="50"/>
      <c r="T739" s="50"/>
      <c r="U739" s="9"/>
      <c r="V739" s="9"/>
      <c r="W739" s="9"/>
      <c r="X739" s="9"/>
      <c r="Y739" s="9"/>
      <c r="Z739" s="9"/>
      <c r="AA739" s="9"/>
    </row>
    <row r="740">
      <c r="A740" s="52"/>
      <c r="B740" s="50"/>
      <c r="C740" s="52"/>
      <c r="D740" s="52"/>
      <c r="E740" s="52"/>
      <c r="F740" s="52"/>
      <c r="G740" s="52"/>
      <c r="H740" s="53"/>
      <c r="I740" s="53"/>
      <c r="J740" s="52"/>
      <c r="K740" s="52"/>
      <c r="L740" s="52"/>
      <c r="M740" s="52"/>
      <c r="N740" s="52"/>
      <c r="O740" s="52"/>
      <c r="P740" s="9"/>
      <c r="Q740" s="9"/>
      <c r="R740" s="9"/>
      <c r="S740" s="50"/>
      <c r="T740" s="50"/>
      <c r="U740" s="9"/>
      <c r="V740" s="9"/>
      <c r="W740" s="9"/>
      <c r="X740" s="9"/>
      <c r="Y740" s="9"/>
      <c r="Z740" s="9"/>
      <c r="AA740" s="9"/>
    </row>
    <row r="741">
      <c r="A741" s="52"/>
      <c r="B741" s="50"/>
      <c r="C741" s="52"/>
      <c r="D741" s="52"/>
      <c r="E741" s="52"/>
      <c r="F741" s="52"/>
      <c r="G741" s="52"/>
      <c r="H741" s="53"/>
      <c r="I741" s="53"/>
      <c r="J741" s="52"/>
      <c r="K741" s="52"/>
      <c r="L741" s="52"/>
      <c r="M741" s="52"/>
      <c r="N741" s="52"/>
      <c r="O741" s="52"/>
      <c r="P741" s="9"/>
      <c r="Q741" s="9"/>
      <c r="R741" s="9"/>
      <c r="S741" s="50"/>
      <c r="T741" s="50"/>
      <c r="U741" s="9"/>
      <c r="V741" s="9"/>
      <c r="W741" s="9"/>
      <c r="X741" s="9"/>
      <c r="Y741" s="9"/>
      <c r="Z741" s="9"/>
      <c r="AA741" s="9"/>
    </row>
    <row r="742">
      <c r="A742" s="52"/>
      <c r="B742" s="50"/>
      <c r="C742" s="52"/>
      <c r="D742" s="52"/>
      <c r="E742" s="52"/>
      <c r="F742" s="52"/>
      <c r="G742" s="52"/>
      <c r="H742" s="53"/>
      <c r="I742" s="53"/>
      <c r="J742" s="52"/>
      <c r="K742" s="52"/>
      <c r="L742" s="52"/>
      <c r="M742" s="52"/>
      <c r="N742" s="52"/>
      <c r="O742" s="52"/>
      <c r="P742" s="9"/>
      <c r="Q742" s="9"/>
      <c r="R742" s="9"/>
      <c r="S742" s="50"/>
      <c r="T742" s="50"/>
      <c r="U742" s="9"/>
      <c r="V742" s="9"/>
      <c r="W742" s="9"/>
      <c r="X742" s="9"/>
      <c r="Y742" s="9"/>
      <c r="Z742" s="9"/>
      <c r="AA742" s="9"/>
    </row>
    <row r="743">
      <c r="A743" s="52"/>
      <c r="B743" s="50"/>
      <c r="C743" s="52"/>
      <c r="D743" s="52"/>
      <c r="E743" s="52"/>
      <c r="F743" s="52"/>
      <c r="G743" s="52"/>
      <c r="H743" s="53"/>
      <c r="I743" s="53"/>
      <c r="J743" s="52"/>
      <c r="K743" s="52"/>
      <c r="L743" s="52"/>
      <c r="M743" s="52"/>
      <c r="N743" s="52"/>
      <c r="O743" s="52"/>
      <c r="P743" s="9"/>
      <c r="Q743" s="9"/>
      <c r="R743" s="9"/>
      <c r="S743" s="50"/>
      <c r="T743" s="50"/>
      <c r="U743" s="9"/>
      <c r="V743" s="9"/>
      <c r="W743" s="9"/>
      <c r="X743" s="9"/>
      <c r="Y743" s="9"/>
      <c r="Z743" s="9"/>
      <c r="AA743" s="9"/>
    </row>
    <row r="744">
      <c r="A744" s="52"/>
      <c r="B744" s="50"/>
      <c r="C744" s="52"/>
      <c r="D744" s="52"/>
      <c r="E744" s="52"/>
      <c r="F744" s="52"/>
      <c r="G744" s="52"/>
      <c r="H744" s="53"/>
      <c r="I744" s="53"/>
      <c r="J744" s="52"/>
      <c r="K744" s="52"/>
      <c r="L744" s="52"/>
      <c r="M744" s="52"/>
      <c r="N744" s="52"/>
      <c r="O744" s="52"/>
      <c r="P744" s="9"/>
      <c r="Q744" s="9"/>
      <c r="R744" s="9"/>
      <c r="S744" s="50"/>
      <c r="T744" s="50"/>
      <c r="U744" s="9"/>
      <c r="V744" s="9"/>
      <c r="W744" s="9"/>
      <c r="X744" s="9"/>
      <c r="Y744" s="9"/>
      <c r="Z744" s="9"/>
      <c r="AA744" s="9"/>
    </row>
    <row r="745">
      <c r="A745" s="52"/>
      <c r="B745" s="50"/>
      <c r="C745" s="52"/>
      <c r="D745" s="52"/>
      <c r="E745" s="52"/>
      <c r="F745" s="52"/>
      <c r="G745" s="52"/>
      <c r="H745" s="53"/>
      <c r="I745" s="53"/>
      <c r="J745" s="52"/>
      <c r="K745" s="52"/>
      <c r="L745" s="52"/>
      <c r="M745" s="52"/>
      <c r="N745" s="52"/>
      <c r="O745" s="52"/>
      <c r="P745" s="9"/>
      <c r="Q745" s="9"/>
      <c r="R745" s="9"/>
      <c r="S745" s="50"/>
      <c r="T745" s="50"/>
      <c r="U745" s="9"/>
      <c r="V745" s="9"/>
      <c r="W745" s="9"/>
      <c r="X745" s="9"/>
      <c r="Y745" s="9"/>
      <c r="Z745" s="9"/>
      <c r="AA745" s="9"/>
    </row>
    <row r="746">
      <c r="A746" s="52"/>
      <c r="B746" s="50"/>
      <c r="C746" s="52"/>
      <c r="D746" s="52"/>
      <c r="E746" s="52"/>
      <c r="F746" s="52"/>
      <c r="G746" s="52"/>
      <c r="H746" s="53"/>
      <c r="I746" s="53"/>
      <c r="J746" s="52"/>
      <c r="K746" s="52"/>
      <c r="L746" s="52"/>
      <c r="M746" s="52"/>
      <c r="N746" s="52"/>
      <c r="O746" s="52"/>
      <c r="P746" s="9"/>
      <c r="Q746" s="9"/>
      <c r="R746" s="9"/>
      <c r="S746" s="50"/>
      <c r="T746" s="50"/>
      <c r="U746" s="9"/>
      <c r="V746" s="9"/>
      <c r="W746" s="9"/>
      <c r="X746" s="9"/>
      <c r="Y746" s="9"/>
      <c r="Z746" s="9"/>
      <c r="AA746" s="9"/>
    </row>
    <row r="747">
      <c r="A747" s="52"/>
      <c r="B747" s="50"/>
      <c r="C747" s="52"/>
      <c r="D747" s="52"/>
      <c r="E747" s="52"/>
      <c r="F747" s="52"/>
      <c r="G747" s="52"/>
      <c r="H747" s="53"/>
      <c r="I747" s="53"/>
      <c r="J747" s="52"/>
      <c r="K747" s="52"/>
      <c r="L747" s="52"/>
      <c r="M747" s="52"/>
      <c r="N747" s="52"/>
      <c r="O747" s="52"/>
      <c r="P747" s="9"/>
      <c r="Q747" s="9"/>
      <c r="R747" s="9"/>
      <c r="S747" s="50"/>
      <c r="T747" s="50"/>
      <c r="U747" s="9"/>
      <c r="V747" s="9"/>
      <c r="W747" s="9"/>
      <c r="X747" s="9"/>
      <c r="Y747" s="9"/>
      <c r="Z747" s="9"/>
      <c r="AA747" s="9"/>
    </row>
    <row r="748">
      <c r="A748" s="52"/>
      <c r="B748" s="50"/>
      <c r="C748" s="52"/>
      <c r="D748" s="52"/>
      <c r="E748" s="52"/>
      <c r="F748" s="52"/>
      <c r="G748" s="52"/>
      <c r="H748" s="53"/>
      <c r="I748" s="53"/>
      <c r="J748" s="52"/>
      <c r="K748" s="52"/>
      <c r="L748" s="52"/>
      <c r="M748" s="52"/>
      <c r="N748" s="52"/>
      <c r="O748" s="52"/>
      <c r="P748" s="9"/>
      <c r="Q748" s="9"/>
      <c r="R748" s="9"/>
      <c r="S748" s="50"/>
      <c r="T748" s="50"/>
      <c r="U748" s="9"/>
      <c r="V748" s="9"/>
      <c r="W748" s="9"/>
      <c r="X748" s="9"/>
      <c r="Y748" s="9"/>
      <c r="Z748" s="9"/>
      <c r="AA748" s="9"/>
    </row>
    <row r="749">
      <c r="A749" s="52"/>
      <c r="B749" s="50"/>
      <c r="C749" s="52"/>
      <c r="D749" s="52"/>
      <c r="E749" s="52"/>
      <c r="F749" s="52"/>
      <c r="G749" s="52"/>
      <c r="H749" s="53"/>
      <c r="I749" s="53"/>
      <c r="J749" s="52"/>
      <c r="K749" s="52"/>
      <c r="L749" s="52"/>
      <c r="M749" s="52"/>
      <c r="N749" s="52"/>
      <c r="O749" s="52"/>
      <c r="P749" s="9"/>
      <c r="Q749" s="9"/>
      <c r="R749" s="9"/>
      <c r="S749" s="50"/>
      <c r="T749" s="50"/>
      <c r="U749" s="9"/>
      <c r="V749" s="9"/>
      <c r="W749" s="9"/>
      <c r="X749" s="9"/>
      <c r="Y749" s="9"/>
      <c r="Z749" s="9"/>
      <c r="AA749" s="9"/>
    </row>
    <row r="750">
      <c r="A750" s="52"/>
      <c r="B750" s="50"/>
      <c r="C750" s="52"/>
      <c r="D750" s="52"/>
      <c r="E750" s="52"/>
      <c r="F750" s="52"/>
      <c r="G750" s="52"/>
      <c r="H750" s="53"/>
      <c r="I750" s="53"/>
      <c r="J750" s="52"/>
      <c r="K750" s="52"/>
      <c r="L750" s="52"/>
      <c r="M750" s="52"/>
      <c r="N750" s="52"/>
      <c r="O750" s="52"/>
      <c r="P750" s="9"/>
      <c r="Q750" s="9"/>
      <c r="R750" s="9"/>
      <c r="S750" s="50"/>
      <c r="T750" s="50"/>
      <c r="U750" s="9"/>
      <c r="V750" s="9"/>
      <c r="W750" s="9"/>
      <c r="X750" s="9"/>
      <c r="Y750" s="9"/>
      <c r="Z750" s="9"/>
      <c r="AA750" s="9"/>
    </row>
    <row r="751">
      <c r="A751" s="52"/>
      <c r="B751" s="50"/>
      <c r="C751" s="52"/>
      <c r="D751" s="52"/>
      <c r="E751" s="52"/>
      <c r="F751" s="52"/>
      <c r="G751" s="52"/>
      <c r="H751" s="53"/>
      <c r="I751" s="53"/>
      <c r="J751" s="52"/>
      <c r="K751" s="52"/>
      <c r="L751" s="52"/>
      <c r="M751" s="52"/>
      <c r="N751" s="52"/>
      <c r="O751" s="52"/>
      <c r="P751" s="9"/>
      <c r="Q751" s="9"/>
      <c r="R751" s="9"/>
      <c r="S751" s="50"/>
      <c r="T751" s="50"/>
      <c r="U751" s="9"/>
      <c r="V751" s="9"/>
      <c r="W751" s="9"/>
      <c r="X751" s="9"/>
      <c r="Y751" s="9"/>
      <c r="Z751" s="9"/>
      <c r="AA751" s="9"/>
    </row>
    <row r="752">
      <c r="A752" s="52"/>
      <c r="B752" s="50"/>
      <c r="C752" s="52"/>
      <c r="D752" s="52"/>
      <c r="E752" s="52"/>
      <c r="F752" s="52"/>
      <c r="G752" s="52"/>
      <c r="H752" s="53"/>
      <c r="I752" s="53"/>
      <c r="J752" s="52"/>
      <c r="K752" s="52"/>
      <c r="L752" s="52"/>
      <c r="M752" s="52"/>
      <c r="N752" s="52"/>
      <c r="O752" s="52"/>
      <c r="P752" s="9"/>
      <c r="Q752" s="9"/>
      <c r="R752" s="9"/>
      <c r="S752" s="50"/>
      <c r="T752" s="50"/>
      <c r="U752" s="9"/>
      <c r="V752" s="9"/>
      <c r="W752" s="9"/>
      <c r="X752" s="9"/>
      <c r="Y752" s="9"/>
      <c r="Z752" s="9"/>
      <c r="AA752" s="9"/>
    </row>
    <row r="753">
      <c r="A753" s="52"/>
      <c r="B753" s="50"/>
      <c r="C753" s="52"/>
      <c r="D753" s="52"/>
      <c r="E753" s="52"/>
      <c r="F753" s="52"/>
      <c r="G753" s="52"/>
      <c r="H753" s="53"/>
      <c r="I753" s="53"/>
      <c r="J753" s="52"/>
      <c r="K753" s="52"/>
      <c r="L753" s="52"/>
      <c r="M753" s="52"/>
      <c r="N753" s="52"/>
      <c r="O753" s="52"/>
      <c r="P753" s="9"/>
      <c r="Q753" s="9"/>
      <c r="R753" s="9"/>
      <c r="S753" s="50"/>
      <c r="T753" s="50"/>
      <c r="U753" s="9"/>
      <c r="V753" s="9"/>
      <c r="W753" s="9"/>
      <c r="X753" s="9"/>
      <c r="Y753" s="9"/>
      <c r="Z753" s="9"/>
      <c r="AA753" s="9"/>
    </row>
    <row r="754">
      <c r="A754" s="52"/>
      <c r="B754" s="50"/>
      <c r="C754" s="52"/>
      <c r="D754" s="52"/>
      <c r="E754" s="52"/>
      <c r="F754" s="52"/>
      <c r="G754" s="52"/>
      <c r="H754" s="53"/>
      <c r="I754" s="53"/>
      <c r="J754" s="52"/>
      <c r="K754" s="52"/>
      <c r="L754" s="52"/>
      <c r="M754" s="52"/>
      <c r="N754" s="52"/>
      <c r="O754" s="52"/>
      <c r="P754" s="9"/>
      <c r="Q754" s="9"/>
      <c r="R754" s="9"/>
      <c r="S754" s="50"/>
      <c r="T754" s="50"/>
      <c r="U754" s="9"/>
      <c r="V754" s="9"/>
      <c r="W754" s="9"/>
      <c r="X754" s="9"/>
      <c r="Y754" s="9"/>
      <c r="Z754" s="9"/>
      <c r="AA754" s="9"/>
    </row>
    <row r="755">
      <c r="A755" s="52"/>
      <c r="B755" s="50"/>
      <c r="C755" s="52"/>
      <c r="D755" s="52"/>
      <c r="E755" s="52"/>
      <c r="F755" s="52"/>
      <c r="G755" s="52"/>
      <c r="H755" s="53"/>
      <c r="I755" s="53"/>
      <c r="J755" s="52"/>
      <c r="K755" s="52"/>
      <c r="L755" s="52"/>
      <c r="M755" s="52"/>
      <c r="N755" s="52"/>
      <c r="O755" s="52"/>
      <c r="P755" s="9"/>
      <c r="Q755" s="9"/>
      <c r="R755" s="9"/>
      <c r="S755" s="50"/>
      <c r="T755" s="50"/>
      <c r="U755" s="9"/>
      <c r="V755" s="9"/>
      <c r="W755" s="9"/>
      <c r="X755" s="9"/>
      <c r="Y755" s="9"/>
      <c r="Z755" s="9"/>
      <c r="AA755" s="9"/>
    </row>
    <row r="756">
      <c r="A756" s="52"/>
      <c r="B756" s="50"/>
      <c r="C756" s="52"/>
      <c r="D756" s="52"/>
      <c r="E756" s="52"/>
      <c r="F756" s="52"/>
      <c r="G756" s="52"/>
      <c r="H756" s="53"/>
      <c r="I756" s="53"/>
      <c r="J756" s="52"/>
      <c r="K756" s="52"/>
      <c r="L756" s="52"/>
      <c r="M756" s="52"/>
      <c r="N756" s="52"/>
      <c r="O756" s="52"/>
      <c r="P756" s="9"/>
      <c r="Q756" s="9"/>
      <c r="R756" s="9"/>
      <c r="S756" s="50"/>
      <c r="T756" s="50"/>
      <c r="U756" s="9"/>
      <c r="V756" s="9"/>
      <c r="W756" s="9"/>
      <c r="X756" s="9"/>
      <c r="Y756" s="9"/>
      <c r="Z756" s="9"/>
      <c r="AA756" s="9"/>
    </row>
    <row r="757">
      <c r="A757" s="52"/>
      <c r="B757" s="50"/>
      <c r="C757" s="52"/>
      <c r="D757" s="52"/>
      <c r="E757" s="52"/>
      <c r="F757" s="52"/>
      <c r="G757" s="52"/>
      <c r="H757" s="53"/>
      <c r="I757" s="53"/>
      <c r="J757" s="52"/>
      <c r="K757" s="52"/>
      <c r="L757" s="52"/>
      <c r="M757" s="52"/>
      <c r="N757" s="52"/>
      <c r="O757" s="52"/>
      <c r="P757" s="9"/>
      <c r="Q757" s="9"/>
      <c r="R757" s="9"/>
      <c r="S757" s="50"/>
      <c r="T757" s="50"/>
      <c r="U757" s="9"/>
      <c r="V757" s="9"/>
      <c r="W757" s="9"/>
      <c r="X757" s="9"/>
      <c r="Y757" s="9"/>
      <c r="Z757" s="9"/>
      <c r="AA757" s="9"/>
    </row>
    <row r="758">
      <c r="A758" s="52"/>
      <c r="B758" s="50"/>
      <c r="C758" s="52"/>
      <c r="D758" s="52"/>
      <c r="E758" s="52"/>
      <c r="F758" s="52"/>
      <c r="G758" s="52"/>
      <c r="H758" s="53"/>
      <c r="I758" s="53"/>
      <c r="J758" s="52"/>
      <c r="K758" s="52"/>
      <c r="L758" s="52"/>
      <c r="M758" s="52"/>
      <c r="N758" s="52"/>
      <c r="O758" s="52"/>
      <c r="P758" s="9"/>
      <c r="Q758" s="9"/>
      <c r="R758" s="9"/>
      <c r="S758" s="50"/>
      <c r="T758" s="50"/>
      <c r="U758" s="9"/>
      <c r="V758" s="9"/>
      <c r="W758" s="9"/>
      <c r="X758" s="9"/>
      <c r="Y758" s="9"/>
      <c r="Z758" s="9"/>
      <c r="AA758" s="9"/>
    </row>
    <row r="759">
      <c r="A759" s="52"/>
      <c r="B759" s="50"/>
      <c r="C759" s="52"/>
      <c r="D759" s="52"/>
      <c r="E759" s="52"/>
      <c r="F759" s="52"/>
      <c r="G759" s="52"/>
      <c r="H759" s="53"/>
      <c r="I759" s="53"/>
      <c r="J759" s="52"/>
      <c r="K759" s="52"/>
      <c r="L759" s="52"/>
      <c r="M759" s="52"/>
      <c r="N759" s="52"/>
      <c r="O759" s="52"/>
      <c r="P759" s="9"/>
      <c r="Q759" s="9"/>
      <c r="R759" s="9"/>
      <c r="S759" s="50"/>
      <c r="T759" s="50"/>
      <c r="U759" s="9"/>
      <c r="V759" s="9"/>
      <c r="W759" s="9"/>
      <c r="X759" s="9"/>
      <c r="Y759" s="9"/>
      <c r="Z759" s="9"/>
      <c r="AA759" s="9"/>
    </row>
    <row r="760">
      <c r="A760" s="52"/>
      <c r="B760" s="50"/>
      <c r="C760" s="52"/>
      <c r="D760" s="52"/>
      <c r="E760" s="52"/>
      <c r="F760" s="52"/>
      <c r="G760" s="52"/>
      <c r="H760" s="53"/>
      <c r="I760" s="53"/>
      <c r="J760" s="52"/>
      <c r="K760" s="52"/>
      <c r="L760" s="52"/>
      <c r="M760" s="52"/>
      <c r="N760" s="52"/>
      <c r="O760" s="52"/>
      <c r="P760" s="9"/>
      <c r="Q760" s="9"/>
      <c r="R760" s="9"/>
      <c r="S760" s="50"/>
      <c r="T760" s="50"/>
      <c r="U760" s="9"/>
      <c r="V760" s="9"/>
      <c r="W760" s="9"/>
      <c r="X760" s="9"/>
      <c r="Y760" s="9"/>
      <c r="Z760" s="9"/>
      <c r="AA760" s="9"/>
    </row>
    <row r="761">
      <c r="A761" s="52"/>
      <c r="B761" s="50"/>
      <c r="C761" s="52"/>
      <c r="D761" s="52"/>
      <c r="E761" s="52"/>
      <c r="F761" s="52"/>
      <c r="G761" s="52"/>
      <c r="H761" s="53"/>
      <c r="I761" s="53"/>
      <c r="J761" s="52"/>
      <c r="K761" s="52"/>
      <c r="L761" s="52"/>
      <c r="M761" s="52"/>
      <c r="N761" s="52"/>
      <c r="O761" s="52"/>
      <c r="P761" s="9"/>
      <c r="Q761" s="9"/>
      <c r="R761" s="9"/>
      <c r="S761" s="50"/>
      <c r="T761" s="50"/>
      <c r="U761" s="9"/>
      <c r="V761" s="9"/>
      <c r="W761" s="9"/>
      <c r="X761" s="9"/>
      <c r="Y761" s="9"/>
      <c r="Z761" s="9"/>
      <c r="AA761" s="9"/>
    </row>
    <row r="762">
      <c r="A762" s="52"/>
      <c r="B762" s="50"/>
      <c r="C762" s="52"/>
      <c r="D762" s="52"/>
      <c r="E762" s="52"/>
      <c r="F762" s="52"/>
      <c r="G762" s="52"/>
      <c r="H762" s="53"/>
      <c r="I762" s="53"/>
      <c r="J762" s="52"/>
      <c r="K762" s="52"/>
      <c r="L762" s="52"/>
      <c r="M762" s="52"/>
      <c r="N762" s="52"/>
      <c r="O762" s="52"/>
      <c r="P762" s="9"/>
      <c r="Q762" s="9"/>
      <c r="R762" s="9"/>
      <c r="S762" s="50"/>
      <c r="T762" s="50"/>
      <c r="U762" s="9"/>
      <c r="V762" s="9"/>
      <c r="W762" s="9"/>
      <c r="X762" s="9"/>
      <c r="Y762" s="9"/>
      <c r="Z762" s="9"/>
      <c r="AA762" s="9"/>
    </row>
    <row r="763">
      <c r="A763" s="52"/>
      <c r="B763" s="50"/>
      <c r="C763" s="52"/>
      <c r="D763" s="52"/>
      <c r="E763" s="52"/>
      <c r="F763" s="52"/>
      <c r="G763" s="52"/>
      <c r="H763" s="53"/>
      <c r="I763" s="53"/>
      <c r="J763" s="52"/>
      <c r="K763" s="52"/>
      <c r="L763" s="52"/>
      <c r="M763" s="52"/>
      <c r="N763" s="52"/>
      <c r="O763" s="52"/>
      <c r="P763" s="9"/>
      <c r="Q763" s="9"/>
      <c r="R763" s="9"/>
      <c r="S763" s="50"/>
      <c r="T763" s="50"/>
      <c r="U763" s="9"/>
      <c r="V763" s="9"/>
      <c r="W763" s="9"/>
      <c r="X763" s="9"/>
      <c r="Y763" s="9"/>
      <c r="Z763" s="9"/>
      <c r="AA763" s="9"/>
    </row>
    <row r="764">
      <c r="A764" s="52"/>
      <c r="B764" s="50"/>
      <c r="C764" s="52"/>
      <c r="D764" s="52"/>
      <c r="E764" s="52"/>
      <c r="F764" s="52"/>
      <c r="G764" s="52"/>
      <c r="H764" s="53"/>
      <c r="I764" s="53"/>
      <c r="J764" s="52"/>
      <c r="K764" s="52"/>
      <c r="L764" s="52"/>
      <c r="M764" s="52"/>
      <c r="N764" s="52"/>
      <c r="O764" s="52"/>
      <c r="P764" s="9"/>
      <c r="Q764" s="9"/>
      <c r="R764" s="9"/>
      <c r="S764" s="50"/>
      <c r="T764" s="50"/>
      <c r="U764" s="9"/>
      <c r="V764" s="9"/>
      <c r="W764" s="9"/>
      <c r="X764" s="9"/>
      <c r="Y764" s="9"/>
      <c r="Z764" s="9"/>
      <c r="AA764" s="9"/>
    </row>
    <row r="765">
      <c r="A765" s="52"/>
      <c r="B765" s="50"/>
      <c r="C765" s="52"/>
      <c r="D765" s="52"/>
      <c r="E765" s="52"/>
      <c r="F765" s="52"/>
      <c r="G765" s="52"/>
      <c r="H765" s="53"/>
      <c r="I765" s="53"/>
      <c r="J765" s="52"/>
      <c r="K765" s="52"/>
      <c r="L765" s="52"/>
      <c r="M765" s="52"/>
      <c r="N765" s="52"/>
      <c r="O765" s="52"/>
      <c r="P765" s="9"/>
      <c r="Q765" s="9"/>
      <c r="R765" s="9"/>
      <c r="S765" s="50"/>
      <c r="T765" s="50"/>
      <c r="U765" s="9"/>
      <c r="V765" s="9"/>
      <c r="W765" s="9"/>
      <c r="X765" s="9"/>
      <c r="Y765" s="9"/>
      <c r="Z765" s="9"/>
      <c r="AA765" s="9"/>
    </row>
    <row r="766">
      <c r="A766" s="52"/>
      <c r="B766" s="50"/>
      <c r="C766" s="52"/>
      <c r="D766" s="52"/>
      <c r="E766" s="52"/>
      <c r="F766" s="52"/>
      <c r="G766" s="52"/>
      <c r="H766" s="53"/>
      <c r="I766" s="53"/>
      <c r="J766" s="52"/>
      <c r="K766" s="52"/>
      <c r="L766" s="52"/>
      <c r="M766" s="52"/>
      <c r="N766" s="52"/>
      <c r="O766" s="52"/>
      <c r="P766" s="9"/>
      <c r="Q766" s="9"/>
      <c r="R766" s="9"/>
      <c r="S766" s="50"/>
      <c r="T766" s="50"/>
      <c r="U766" s="9"/>
      <c r="V766" s="9"/>
      <c r="W766" s="9"/>
      <c r="X766" s="9"/>
      <c r="Y766" s="9"/>
      <c r="Z766" s="9"/>
      <c r="AA766" s="9"/>
    </row>
    <row r="767">
      <c r="A767" s="52"/>
      <c r="B767" s="50"/>
      <c r="C767" s="52"/>
      <c r="D767" s="52"/>
      <c r="E767" s="52"/>
      <c r="F767" s="52"/>
      <c r="G767" s="52"/>
      <c r="H767" s="53"/>
      <c r="I767" s="53"/>
      <c r="J767" s="52"/>
      <c r="K767" s="52"/>
      <c r="L767" s="52"/>
      <c r="M767" s="52"/>
      <c r="N767" s="52"/>
      <c r="O767" s="52"/>
      <c r="P767" s="9"/>
      <c r="Q767" s="9"/>
      <c r="R767" s="9"/>
      <c r="S767" s="50"/>
      <c r="T767" s="50"/>
      <c r="U767" s="9"/>
      <c r="V767" s="9"/>
      <c r="W767" s="9"/>
      <c r="X767" s="9"/>
      <c r="Y767" s="9"/>
      <c r="Z767" s="9"/>
      <c r="AA767" s="9"/>
    </row>
    <row r="768">
      <c r="A768" s="52"/>
      <c r="B768" s="50"/>
      <c r="C768" s="52"/>
      <c r="D768" s="52"/>
      <c r="E768" s="52"/>
      <c r="F768" s="52"/>
      <c r="G768" s="52"/>
      <c r="H768" s="53"/>
      <c r="I768" s="53"/>
      <c r="J768" s="52"/>
      <c r="K768" s="52"/>
      <c r="L768" s="52"/>
      <c r="M768" s="52"/>
      <c r="N768" s="52"/>
      <c r="O768" s="52"/>
      <c r="P768" s="9"/>
      <c r="Q768" s="9"/>
      <c r="R768" s="9"/>
      <c r="S768" s="50"/>
      <c r="T768" s="50"/>
      <c r="U768" s="9"/>
      <c r="V768" s="9"/>
      <c r="W768" s="9"/>
      <c r="X768" s="9"/>
      <c r="Y768" s="9"/>
      <c r="Z768" s="9"/>
      <c r="AA768" s="9"/>
    </row>
    <row r="769">
      <c r="A769" s="52"/>
      <c r="B769" s="50"/>
      <c r="C769" s="52"/>
      <c r="D769" s="52"/>
      <c r="E769" s="52"/>
      <c r="F769" s="52"/>
      <c r="G769" s="52"/>
      <c r="H769" s="53"/>
      <c r="I769" s="53"/>
      <c r="J769" s="52"/>
      <c r="K769" s="52"/>
      <c r="L769" s="52"/>
      <c r="M769" s="52"/>
      <c r="N769" s="52"/>
      <c r="O769" s="52"/>
      <c r="P769" s="9"/>
      <c r="Q769" s="9"/>
      <c r="R769" s="9"/>
      <c r="S769" s="50"/>
      <c r="T769" s="50"/>
      <c r="U769" s="9"/>
      <c r="V769" s="9"/>
      <c r="W769" s="9"/>
      <c r="X769" s="9"/>
      <c r="Y769" s="9"/>
      <c r="Z769" s="9"/>
      <c r="AA769" s="9"/>
    </row>
    <row r="770">
      <c r="A770" s="52"/>
      <c r="B770" s="50"/>
      <c r="C770" s="52"/>
      <c r="D770" s="52"/>
      <c r="E770" s="52"/>
      <c r="F770" s="52"/>
      <c r="G770" s="52"/>
      <c r="H770" s="53"/>
      <c r="I770" s="53"/>
      <c r="J770" s="52"/>
      <c r="K770" s="52"/>
      <c r="L770" s="52"/>
      <c r="M770" s="52"/>
      <c r="N770" s="52"/>
      <c r="O770" s="52"/>
      <c r="P770" s="9"/>
      <c r="Q770" s="9"/>
      <c r="R770" s="9"/>
      <c r="S770" s="50"/>
      <c r="T770" s="50"/>
      <c r="U770" s="9"/>
      <c r="V770" s="9"/>
      <c r="W770" s="9"/>
      <c r="X770" s="9"/>
      <c r="Y770" s="9"/>
      <c r="Z770" s="9"/>
      <c r="AA770" s="9"/>
    </row>
    <row r="771">
      <c r="A771" s="52"/>
      <c r="B771" s="50"/>
      <c r="C771" s="52"/>
      <c r="D771" s="52"/>
      <c r="E771" s="52"/>
      <c r="F771" s="52"/>
      <c r="G771" s="52"/>
      <c r="H771" s="53"/>
      <c r="I771" s="53"/>
      <c r="J771" s="52"/>
      <c r="K771" s="52"/>
      <c r="L771" s="52"/>
      <c r="M771" s="52"/>
      <c r="N771" s="52"/>
      <c r="O771" s="52"/>
      <c r="P771" s="9"/>
      <c r="Q771" s="9"/>
      <c r="R771" s="9"/>
      <c r="S771" s="50"/>
      <c r="T771" s="50"/>
      <c r="U771" s="9"/>
      <c r="V771" s="9"/>
      <c r="W771" s="9"/>
      <c r="X771" s="9"/>
      <c r="Y771" s="9"/>
      <c r="Z771" s="9"/>
      <c r="AA771" s="9"/>
    </row>
    <row r="772">
      <c r="A772" s="52"/>
      <c r="B772" s="50"/>
      <c r="C772" s="52"/>
      <c r="D772" s="52"/>
      <c r="E772" s="52"/>
      <c r="F772" s="52"/>
      <c r="G772" s="52"/>
      <c r="H772" s="53"/>
      <c r="I772" s="53"/>
      <c r="J772" s="52"/>
      <c r="K772" s="52"/>
      <c r="L772" s="52"/>
      <c r="M772" s="52"/>
      <c r="N772" s="52"/>
      <c r="O772" s="52"/>
      <c r="P772" s="9"/>
      <c r="Q772" s="9"/>
      <c r="R772" s="9"/>
      <c r="S772" s="50"/>
      <c r="T772" s="50"/>
      <c r="U772" s="9"/>
      <c r="V772" s="9"/>
      <c r="W772" s="9"/>
      <c r="X772" s="9"/>
      <c r="Y772" s="9"/>
      <c r="Z772" s="9"/>
      <c r="AA772" s="9"/>
    </row>
    <row r="773">
      <c r="A773" s="52"/>
      <c r="B773" s="50"/>
      <c r="C773" s="52"/>
      <c r="D773" s="52"/>
      <c r="E773" s="52"/>
      <c r="F773" s="52"/>
      <c r="G773" s="52"/>
      <c r="H773" s="53"/>
      <c r="I773" s="53"/>
      <c r="J773" s="52"/>
      <c r="K773" s="52"/>
      <c r="L773" s="52"/>
      <c r="M773" s="52"/>
      <c r="N773" s="52"/>
      <c r="O773" s="52"/>
      <c r="P773" s="9"/>
      <c r="Q773" s="9"/>
      <c r="R773" s="9"/>
      <c r="S773" s="50"/>
      <c r="T773" s="50"/>
      <c r="U773" s="9"/>
      <c r="V773" s="9"/>
      <c r="W773" s="9"/>
      <c r="X773" s="9"/>
      <c r="Y773" s="9"/>
      <c r="Z773" s="9"/>
      <c r="AA773" s="9"/>
    </row>
    <row r="774">
      <c r="A774" s="52"/>
      <c r="B774" s="50"/>
      <c r="C774" s="52"/>
      <c r="D774" s="52"/>
      <c r="E774" s="52"/>
      <c r="F774" s="52"/>
      <c r="G774" s="52"/>
      <c r="H774" s="53"/>
      <c r="I774" s="53"/>
      <c r="J774" s="52"/>
      <c r="K774" s="52"/>
      <c r="L774" s="52"/>
      <c r="M774" s="52"/>
      <c r="N774" s="52"/>
      <c r="O774" s="52"/>
      <c r="P774" s="9"/>
      <c r="Q774" s="9"/>
      <c r="R774" s="9"/>
      <c r="S774" s="50"/>
      <c r="T774" s="50"/>
      <c r="U774" s="9"/>
      <c r="V774" s="9"/>
      <c r="W774" s="9"/>
      <c r="X774" s="9"/>
      <c r="Y774" s="9"/>
      <c r="Z774" s="9"/>
      <c r="AA774" s="9"/>
    </row>
    <row r="775">
      <c r="A775" s="52"/>
      <c r="B775" s="50"/>
      <c r="C775" s="52"/>
      <c r="D775" s="52"/>
      <c r="E775" s="52"/>
      <c r="F775" s="52"/>
      <c r="G775" s="52"/>
      <c r="H775" s="53"/>
      <c r="I775" s="53"/>
      <c r="J775" s="52"/>
      <c r="K775" s="52"/>
      <c r="L775" s="52"/>
      <c r="M775" s="52"/>
      <c r="N775" s="52"/>
      <c r="O775" s="52"/>
      <c r="P775" s="9"/>
      <c r="Q775" s="9"/>
      <c r="R775" s="9"/>
      <c r="S775" s="50"/>
      <c r="T775" s="50"/>
      <c r="U775" s="9"/>
      <c r="V775" s="9"/>
      <c r="W775" s="9"/>
      <c r="X775" s="9"/>
      <c r="Y775" s="9"/>
      <c r="Z775" s="9"/>
      <c r="AA775" s="9"/>
    </row>
    <row r="776">
      <c r="A776" s="52"/>
      <c r="B776" s="50"/>
      <c r="C776" s="52"/>
      <c r="D776" s="52"/>
      <c r="E776" s="52"/>
      <c r="F776" s="52"/>
      <c r="G776" s="52"/>
      <c r="H776" s="53"/>
      <c r="I776" s="53"/>
      <c r="J776" s="52"/>
      <c r="K776" s="52"/>
      <c r="L776" s="52"/>
      <c r="M776" s="52"/>
      <c r="N776" s="52"/>
      <c r="O776" s="52"/>
      <c r="P776" s="9"/>
      <c r="Q776" s="9"/>
      <c r="R776" s="9"/>
      <c r="S776" s="50"/>
      <c r="T776" s="50"/>
      <c r="U776" s="9"/>
      <c r="V776" s="9"/>
      <c r="W776" s="9"/>
      <c r="X776" s="9"/>
      <c r="Y776" s="9"/>
      <c r="Z776" s="9"/>
      <c r="AA776" s="9"/>
    </row>
    <row r="777">
      <c r="A777" s="52"/>
      <c r="B777" s="50"/>
      <c r="C777" s="52"/>
      <c r="D777" s="52"/>
      <c r="E777" s="52"/>
      <c r="F777" s="52"/>
      <c r="G777" s="52"/>
      <c r="H777" s="53"/>
      <c r="I777" s="53"/>
      <c r="J777" s="52"/>
      <c r="K777" s="52"/>
      <c r="L777" s="52"/>
      <c r="M777" s="52"/>
      <c r="N777" s="52"/>
      <c r="O777" s="52"/>
      <c r="P777" s="9"/>
      <c r="Q777" s="9"/>
      <c r="R777" s="9"/>
      <c r="S777" s="50"/>
      <c r="T777" s="50"/>
      <c r="U777" s="9"/>
      <c r="V777" s="9"/>
      <c r="W777" s="9"/>
      <c r="X777" s="9"/>
      <c r="Y777" s="9"/>
      <c r="Z777" s="9"/>
      <c r="AA777" s="9"/>
    </row>
    <row r="778">
      <c r="A778" s="52"/>
      <c r="B778" s="50"/>
      <c r="C778" s="52"/>
      <c r="D778" s="52"/>
      <c r="E778" s="52"/>
      <c r="F778" s="52"/>
      <c r="G778" s="52"/>
      <c r="H778" s="53"/>
      <c r="I778" s="53"/>
      <c r="J778" s="52"/>
      <c r="K778" s="52"/>
      <c r="L778" s="52"/>
      <c r="M778" s="52"/>
      <c r="N778" s="52"/>
      <c r="O778" s="52"/>
      <c r="P778" s="9"/>
      <c r="Q778" s="9"/>
      <c r="R778" s="9"/>
      <c r="S778" s="50"/>
      <c r="T778" s="50"/>
      <c r="U778" s="9"/>
      <c r="V778" s="9"/>
      <c r="W778" s="9"/>
      <c r="X778" s="9"/>
      <c r="Y778" s="9"/>
      <c r="Z778" s="9"/>
      <c r="AA778" s="9"/>
    </row>
    <row r="779">
      <c r="A779" s="52"/>
      <c r="B779" s="50"/>
      <c r="C779" s="52"/>
      <c r="D779" s="52"/>
      <c r="E779" s="52"/>
      <c r="F779" s="52"/>
      <c r="G779" s="52"/>
      <c r="H779" s="53"/>
      <c r="I779" s="53"/>
      <c r="J779" s="52"/>
      <c r="K779" s="52"/>
      <c r="L779" s="52"/>
      <c r="M779" s="52"/>
      <c r="N779" s="52"/>
      <c r="O779" s="52"/>
      <c r="P779" s="9"/>
      <c r="Q779" s="9"/>
      <c r="R779" s="9"/>
      <c r="S779" s="50"/>
      <c r="T779" s="50"/>
      <c r="U779" s="9"/>
      <c r="V779" s="9"/>
      <c r="W779" s="9"/>
      <c r="X779" s="9"/>
      <c r="Y779" s="9"/>
      <c r="Z779" s="9"/>
      <c r="AA779" s="9"/>
    </row>
    <row r="780">
      <c r="A780" s="52"/>
      <c r="B780" s="50"/>
      <c r="C780" s="52"/>
      <c r="D780" s="52"/>
      <c r="E780" s="52"/>
      <c r="F780" s="52"/>
      <c r="G780" s="52"/>
      <c r="H780" s="53"/>
      <c r="I780" s="53"/>
      <c r="J780" s="52"/>
      <c r="K780" s="52"/>
      <c r="L780" s="52"/>
      <c r="M780" s="52"/>
      <c r="N780" s="52"/>
      <c r="O780" s="52"/>
      <c r="P780" s="9"/>
      <c r="Q780" s="9"/>
      <c r="R780" s="9"/>
      <c r="S780" s="50"/>
      <c r="T780" s="50"/>
      <c r="U780" s="9"/>
      <c r="V780" s="9"/>
      <c r="W780" s="9"/>
      <c r="X780" s="9"/>
      <c r="Y780" s="9"/>
      <c r="Z780" s="9"/>
      <c r="AA780" s="9"/>
    </row>
    <row r="781">
      <c r="A781" s="52"/>
      <c r="B781" s="50"/>
      <c r="C781" s="52"/>
      <c r="D781" s="52"/>
      <c r="E781" s="52"/>
      <c r="F781" s="52"/>
      <c r="G781" s="52"/>
      <c r="H781" s="53"/>
      <c r="I781" s="53"/>
      <c r="J781" s="52"/>
      <c r="K781" s="52"/>
      <c r="L781" s="52"/>
      <c r="M781" s="52"/>
      <c r="N781" s="52"/>
      <c r="O781" s="52"/>
      <c r="P781" s="9"/>
      <c r="Q781" s="9"/>
      <c r="R781" s="9"/>
      <c r="S781" s="50"/>
      <c r="T781" s="50"/>
      <c r="U781" s="9"/>
      <c r="V781" s="9"/>
      <c r="W781" s="9"/>
      <c r="X781" s="9"/>
      <c r="Y781" s="9"/>
      <c r="Z781" s="9"/>
      <c r="AA781" s="9"/>
    </row>
    <row r="782">
      <c r="A782" s="52"/>
      <c r="B782" s="50"/>
      <c r="C782" s="52"/>
      <c r="D782" s="52"/>
      <c r="E782" s="52"/>
      <c r="F782" s="52"/>
      <c r="G782" s="52"/>
      <c r="H782" s="53"/>
      <c r="I782" s="53"/>
      <c r="J782" s="52"/>
      <c r="K782" s="52"/>
      <c r="L782" s="52"/>
      <c r="M782" s="52"/>
      <c r="N782" s="52"/>
      <c r="O782" s="52"/>
      <c r="P782" s="9"/>
      <c r="Q782" s="9"/>
      <c r="R782" s="9"/>
      <c r="S782" s="50"/>
      <c r="T782" s="50"/>
      <c r="U782" s="9"/>
      <c r="V782" s="9"/>
      <c r="W782" s="9"/>
      <c r="X782" s="9"/>
      <c r="Y782" s="9"/>
      <c r="Z782" s="9"/>
      <c r="AA782" s="9"/>
    </row>
    <row r="783">
      <c r="A783" s="52"/>
      <c r="B783" s="50"/>
      <c r="C783" s="52"/>
      <c r="D783" s="52"/>
      <c r="E783" s="52"/>
      <c r="F783" s="52"/>
      <c r="G783" s="52"/>
      <c r="H783" s="53"/>
      <c r="I783" s="53"/>
      <c r="J783" s="52"/>
      <c r="K783" s="52"/>
      <c r="L783" s="52"/>
      <c r="M783" s="52"/>
      <c r="N783" s="52"/>
      <c r="O783" s="52"/>
      <c r="P783" s="9"/>
      <c r="Q783" s="9"/>
      <c r="R783" s="9"/>
      <c r="S783" s="50"/>
      <c r="T783" s="50"/>
      <c r="U783" s="9"/>
      <c r="V783" s="9"/>
      <c r="W783" s="9"/>
      <c r="X783" s="9"/>
      <c r="Y783" s="9"/>
      <c r="Z783" s="9"/>
      <c r="AA783" s="9"/>
    </row>
    <row r="784">
      <c r="A784" s="52"/>
      <c r="B784" s="50"/>
      <c r="C784" s="52"/>
      <c r="D784" s="52"/>
      <c r="E784" s="52"/>
      <c r="F784" s="52"/>
      <c r="G784" s="52"/>
      <c r="H784" s="53"/>
      <c r="I784" s="53"/>
      <c r="J784" s="52"/>
      <c r="K784" s="52"/>
      <c r="L784" s="52"/>
      <c r="M784" s="52"/>
      <c r="N784" s="52"/>
      <c r="O784" s="52"/>
      <c r="P784" s="9"/>
      <c r="Q784" s="9"/>
      <c r="R784" s="9"/>
      <c r="S784" s="50"/>
      <c r="T784" s="50"/>
      <c r="U784" s="9"/>
      <c r="V784" s="9"/>
      <c r="W784" s="9"/>
      <c r="X784" s="9"/>
      <c r="Y784" s="9"/>
      <c r="Z784" s="9"/>
      <c r="AA784" s="9"/>
    </row>
    <row r="785">
      <c r="A785" s="52"/>
      <c r="B785" s="50"/>
      <c r="C785" s="52"/>
      <c r="D785" s="52"/>
      <c r="E785" s="52"/>
      <c r="F785" s="52"/>
      <c r="G785" s="52"/>
      <c r="H785" s="53"/>
      <c r="I785" s="53"/>
      <c r="J785" s="52"/>
      <c r="K785" s="52"/>
      <c r="L785" s="52"/>
      <c r="M785" s="52"/>
      <c r="N785" s="52"/>
      <c r="O785" s="52"/>
      <c r="P785" s="9"/>
      <c r="Q785" s="9"/>
      <c r="R785" s="9"/>
      <c r="S785" s="50"/>
      <c r="T785" s="50"/>
      <c r="U785" s="9"/>
      <c r="V785" s="9"/>
      <c r="W785" s="9"/>
      <c r="X785" s="9"/>
      <c r="Y785" s="9"/>
      <c r="Z785" s="9"/>
      <c r="AA785" s="9"/>
    </row>
    <row r="786">
      <c r="A786" s="52"/>
      <c r="B786" s="50"/>
      <c r="C786" s="52"/>
      <c r="D786" s="52"/>
      <c r="E786" s="52"/>
      <c r="F786" s="52"/>
      <c r="G786" s="52"/>
      <c r="H786" s="53"/>
      <c r="I786" s="53"/>
      <c r="J786" s="52"/>
      <c r="K786" s="52"/>
      <c r="L786" s="52"/>
      <c r="M786" s="52"/>
      <c r="N786" s="52"/>
      <c r="O786" s="52"/>
      <c r="P786" s="9"/>
      <c r="Q786" s="9"/>
      <c r="R786" s="9"/>
      <c r="S786" s="50"/>
      <c r="T786" s="50"/>
      <c r="U786" s="9"/>
      <c r="V786" s="9"/>
      <c r="W786" s="9"/>
      <c r="X786" s="9"/>
      <c r="Y786" s="9"/>
      <c r="Z786" s="9"/>
      <c r="AA786" s="9"/>
    </row>
    <row r="787">
      <c r="A787" s="52"/>
      <c r="B787" s="50"/>
      <c r="C787" s="52"/>
      <c r="D787" s="52"/>
      <c r="E787" s="52"/>
      <c r="F787" s="52"/>
      <c r="G787" s="52"/>
      <c r="H787" s="53"/>
      <c r="I787" s="53"/>
      <c r="J787" s="52"/>
      <c r="K787" s="52"/>
      <c r="L787" s="52"/>
      <c r="M787" s="52"/>
      <c r="N787" s="52"/>
      <c r="O787" s="52"/>
      <c r="P787" s="9"/>
      <c r="Q787" s="9"/>
      <c r="R787" s="9"/>
      <c r="S787" s="50"/>
      <c r="T787" s="50"/>
      <c r="U787" s="9"/>
      <c r="V787" s="9"/>
      <c r="W787" s="9"/>
      <c r="X787" s="9"/>
      <c r="Y787" s="9"/>
      <c r="Z787" s="9"/>
      <c r="AA787" s="9"/>
    </row>
    <row r="788">
      <c r="A788" s="52"/>
      <c r="B788" s="50"/>
      <c r="C788" s="52"/>
      <c r="D788" s="52"/>
      <c r="E788" s="52"/>
      <c r="F788" s="52"/>
      <c r="G788" s="52"/>
      <c r="H788" s="53"/>
      <c r="I788" s="53"/>
      <c r="J788" s="52"/>
      <c r="K788" s="52"/>
      <c r="L788" s="52"/>
      <c r="M788" s="52"/>
      <c r="N788" s="52"/>
      <c r="O788" s="52"/>
      <c r="P788" s="9"/>
      <c r="Q788" s="9"/>
      <c r="R788" s="9"/>
      <c r="S788" s="50"/>
      <c r="T788" s="50"/>
      <c r="U788" s="9"/>
      <c r="V788" s="9"/>
      <c r="W788" s="9"/>
      <c r="X788" s="9"/>
      <c r="Y788" s="9"/>
      <c r="Z788" s="9"/>
      <c r="AA788" s="9"/>
    </row>
    <row r="789">
      <c r="A789" s="52"/>
      <c r="B789" s="50"/>
      <c r="C789" s="52"/>
      <c r="D789" s="52"/>
      <c r="E789" s="52"/>
      <c r="F789" s="52"/>
      <c r="G789" s="52"/>
      <c r="H789" s="53"/>
      <c r="I789" s="53"/>
      <c r="J789" s="52"/>
      <c r="K789" s="52"/>
      <c r="L789" s="52"/>
      <c r="M789" s="52"/>
      <c r="N789" s="52"/>
      <c r="O789" s="52"/>
      <c r="P789" s="9"/>
      <c r="Q789" s="9"/>
      <c r="R789" s="9"/>
      <c r="S789" s="50"/>
      <c r="T789" s="50"/>
      <c r="U789" s="9"/>
      <c r="V789" s="9"/>
      <c r="W789" s="9"/>
      <c r="X789" s="9"/>
      <c r="Y789" s="9"/>
      <c r="Z789" s="9"/>
      <c r="AA789" s="9"/>
    </row>
    <row r="790">
      <c r="A790" s="52"/>
      <c r="B790" s="50"/>
      <c r="C790" s="52"/>
      <c r="D790" s="52"/>
      <c r="E790" s="52"/>
      <c r="F790" s="52"/>
      <c r="G790" s="52"/>
      <c r="H790" s="53"/>
      <c r="I790" s="53"/>
      <c r="J790" s="52"/>
      <c r="K790" s="52"/>
      <c r="L790" s="52"/>
      <c r="M790" s="52"/>
      <c r="N790" s="52"/>
      <c r="O790" s="52"/>
      <c r="P790" s="9"/>
      <c r="Q790" s="9"/>
      <c r="R790" s="9"/>
      <c r="S790" s="50"/>
      <c r="T790" s="50"/>
      <c r="U790" s="9"/>
      <c r="V790" s="9"/>
      <c r="W790" s="9"/>
      <c r="X790" s="9"/>
      <c r="Y790" s="9"/>
      <c r="Z790" s="9"/>
      <c r="AA790" s="9"/>
    </row>
    <row r="791">
      <c r="A791" s="52"/>
      <c r="B791" s="50"/>
      <c r="C791" s="52"/>
      <c r="D791" s="52"/>
      <c r="E791" s="52"/>
      <c r="F791" s="52"/>
      <c r="G791" s="52"/>
      <c r="H791" s="53"/>
      <c r="I791" s="53"/>
      <c r="J791" s="52"/>
      <c r="K791" s="52"/>
      <c r="L791" s="52"/>
      <c r="M791" s="52"/>
      <c r="N791" s="52"/>
      <c r="O791" s="52"/>
      <c r="P791" s="9"/>
      <c r="Q791" s="9"/>
      <c r="R791" s="9"/>
      <c r="S791" s="50"/>
      <c r="T791" s="50"/>
      <c r="U791" s="9"/>
      <c r="V791" s="9"/>
      <c r="W791" s="9"/>
      <c r="X791" s="9"/>
      <c r="Y791" s="9"/>
      <c r="Z791" s="9"/>
      <c r="AA791" s="9"/>
    </row>
    <row r="792">
      <c r="A792" s="52"/>
      <c r="B792" s="50"/>
      <c r="C792" s="52"/>
      <c r="D792" s="52"/>
      <c r="E792" s="52"/>
      <c r="F792" s="52"/>
      <c r="G792" s="52"/>
      <c r="H792" s="53"/>
      <c r="I792" s="53"/>
      <c r="J792" s="52"/>
      <c r="K792" s="52"/>
      <c r="L792" s="52"/>
      <c r="M792" s="52"/>
      <c r="N792" s="52"/>
      <c r="O792" s="52"/>
      <c r="P792" s="9"/>
      <c r="Q792" s="9"/>
      <c r="R792" s="9"/>
      <c r="S792" s="50"/>
      <c r="T792" s="50"/>
      <c r="U792" s="9"/>
      <c r="V792" s="9"/>
      <c r="W792" s="9"/>
      <c r="X792" s="9"/>
      <c r="Y792" s="9"/>
      <c r="Z792" s="9"/>
      <c r="AA792" s="9"/>
    </row>
    <row r="793">
      <c r="A793" s="52"/>
      <c r="B793" s="50"/>
      <c r="C793" s="52"/>
      <c r="D793" s="52"/>
      <c r="E793" s="52"/>
      <c r="F793" s="52"/>
      <c r="G793" s="52"/>
      <c r="H793" s="53"/>
      <c r="I793" s="53"/>
      <c r="J793" s="52"/>
      <c r="K793" s="52"/>
      <c r="L793" s="52"/>
      <c r="M793" s="52"/>
      <c r="N793" s="52"/>
      <c r="O793" s="52"/>
      <c r="P793" s="9"/>
      <c r="Q793" s="9"/>
      <c r="R793" s="9"/>
      <c r="S793" s="50"/>
      <c r="T793" s="50"/>
      <c r="U793" s="9"/>
      <c r="V793" s="9"/>
      <c r="W793" s="9"/>
      <c r="X793" s="9"/>
      <c r="Y793" s="9"/>
      <c r="Z793" s="9"/>
      <c r="AA793" s="9"/>
    </row>
    <row r="794">
      <c r="A794" s="52"/>
      <c r="B794" s="50"/>
      <c r="C794" s="52"/>
      <c r="D794" s="52"/>
      <c r="E794" s="52"/>
      <c r="F794" s="52"/>
      <c r="G794" s="52"/>
      <c r="H794" s="53"/>
      <c r="I794" s="53"/>
      <c r="J794" s="52"/>
      <c r="K794" s="52"/>
      <c r="L794" s="52"/>
      <c r="M794" s="52"/>
      <c r="N794" s="52"/>
      <c r="O794" s="52"/>
      <c r="P794" s="9"/>
      <c r="Q794" s="9"/>
      <c r="R794" s="9"/>
      <c r="S794" s="50"/>
      <c r="T794" s="50"/>
      <c r="U794" s="9"/>
      <c r="V794" s="9"/>
      <c r="W794" s="9"/>
      <c r="X794" s="9"/>
      <c r="Y794" s="9"/>
      <c r="Z794" s="9"/>
      <c r="AA794" s="9"/>
    </row>
    <row r="795">
      <c r="A795" s="52"/>
      <c r="B795" s="50"/>
      <c r="C795" s="52"/>
      <c r="D795" s="52"/>
      <c r="E795" s="52"/>
      <c r="F795" s="52"/>
      <c r="G795" s="52"/>
      <c r="H795" s="53"/>
      <c r="I795" s="53"/>
      <c r="J795" s="52"/>
      <c r="K795" s="52"/>
      <c r="L795" s="52"/>
      <c r="M795" s="52"/>
      <c r="N795" s="52"/>
      <c r="O795" s="52"/>
      <c r="P795" s="9"/>
      <c r="Q795" s="9"/>
      <c r="R795" s="9"/>
      <c r="S795" s="50"/>
      <c r="T795" s="50"/>
      <c r="U795" s="9"/>
      <c r="V795" s="9"/>
      <c r="W795" s="9"/>
      <c r="X795" s="9"/>
      <c r="Y795" s="9"/>
      <c r="Z795" s="9"/>
      <c r="AA795" s="9"/>
    </row>
    <row r="796">
      <c r="A796" s="52"/>
      <c r="B796" s="50"/>
      <c r="C796" s="52"/>
      <c r="D796" s="52"/>
      <c r="E796" s="52"/>
      <c r="F796" s="52"/>
      <c r="G796" s="52"/>
      <c r="H796" s="53"/>
      <c r="I796" s="53"/>
      <c r="J796" s="52"/>
      <c r="K796" s="52"/>
      <c r="L796" s="52"/>
      <c r="M796" s="52"/>
      <c r="N796" s="52"/>
      <c r="O796" s="52"/>
      <c r="P796" s="9"/>
      <c r="Q796" s="9"/>
      <c r="R796" s="9"/>
      <c r="S796" s="50"/>
      <c r="T796" s="50"/>
      <c r="U796" s="9"/>
      <c r="V796" s="9"/>
      <c r="W796" s="9"/>
      <c r="X796" s="9"/>
      <c r="Y796" s="9"/>
      <c r="Z796" s="9"/>
      <c r="AA796" s="9"/>
    </row>
    <row r="797">
      <c r="A797" s="52"/>
      <c r="B797" s="50"/>
      <c r="C797" s="52"/>
      <c r="D797" s="52"/>
      <c r="E797" s="52"/>
      <c r="F797" s="52"/>
      <c r="G797" s="52"/>
      <c r="H797" s="53"/>
      <c r="I797" s="53"/>
      <c r="J797" s="52"/>
      <c r="K797" s="52"/>
      <c r="L797" s="52"/>
      <c r="M797" s="52"/>
      <c r="N797" s="52"/>
      <c r="O797" s="52"/>
      <c r="P797" s="9"/>
      <c r="Q797" s="9"/>
      <c r="R797" s="9"/>
      <c r="S797" s="50"/>
      <c r="T797" s="50"/>
      <c r="U797" s="9"/>
      <c r="V797" s="9"/>
      <c r="W797" s="9"/>
      <c r="X797" s="9"/>
      <c r="Y797" s="9"/>
      <c r="Z797" s="9"/>
      <c r="AA797" s="9"/>
    </row>
    <row r="798">
      <c r="A798" s="52"/>
      <c r="B798" s="50"/>
      <c r="C798" s="52"/>
      <c r="D798" s="52"/>
      <c r="E798" s="52"/>
      <c r="F798" s="52"/>
      <c r="G798" s="52"/>
      <c r="H798" s="53"/>
      <c r="I798" s="53"/>
      <c r="J798" s="52"/>
      <c r="K798" s="52"/>
      <c r="L798" s="52"/>
      <c r="M798" s="52"/>
      <c r="N798" s="52"/>
      <c r="O798" s="52"/>
      <c r="P798" s="9"/>
      <c r="Q798" s="9"/>
      <c r="R798" s="9"/>
      <c r="S798" s="50"/>
      <c r="T798" s="50"/>
      <c r="U798" s="9"/>
      <c r="V798" s="9"/>
      <c r="W798" s="9"/>
      <c r="X798" s="9"/>
      <c r="Y798" s="9"/>
      <c r="Z798" s="9"/>
      <c r="AA798" s="9"/>
    </row>
    <row r="799">
      <c r="A799" s="52"/>
      <c r="B799" s="50"/>
      <c r="C799" s="52"/>
      <c r="D799" s="52"/>
      <c r="E799" s="52"/>
      <c r="F799" s="52"/>
      <c r="G799" s="52"/>
      <c r="H799" s="53"/>
      <c r="I799" s="53"/>
      <c r="J799" s="52"/>
      <c r="K799" s="52"/>
      <c r="L799" s="52"/>
      <c r="M799" s="52"/>
      <c r="N799" s="52"/>
      <c r="O799" s="52"/>
      <c r="P799" s="9"/>
      <c r="Q799" s="9"/>
      <c r="R799" s="9"/>
      <c r="S799" s="50"/>
      <c r="T799" s="50"/>
      <c r="U799" s="9"/>
      <c r="V799" s="9"/>
      <c r="W799" s="9"/>
      <c r="X799" s="9"/>
      <c r="Y799" s="9"/>
      <c r="Z799" s="9"/>
      <c r="AA799" s="9"/>
    </row>
    <row r="800">
      <c r="A800" s="52"/>
      <c r="B800" s="50"/>
      <c r="C800" s="52"/>
      <c r="D800" s="52"/>
      <c r="E800" s="52"/>
      <c r="F800" s="52"/>
      <c r="G800" s="52"/>
      <c r="H800" s="53"/>
      <c r="I800" s="53"/>
      <c r="J800" s="52"/>
      <c r="K800" s="52"/>
      <c r="L800" s="52"/>
      <c r="M800" s="52"/>
      <c r="N800" s="52"/>
      <c r="O800" s="52"/>
      <c r="P800" s="9"/>
      <c r="Q800" s="9"/>
      <c r="R800" s="9"/>
      <c r="S800" s="50"/>
      <c r="T800" s="50"/>
      <c r="U800" s="9"/>
      <c r="V800" s="9"/>
      <c r="W800" s="9"/>
      <c r="X800" s="9"/>
      <c r="Y800" s="9"/>
      <c r="Z800" s="9"/>
      <c r="AA800" s="9"/>
    </row>
    <row r="801">
      <c r="A801" s="52"/>
      <c r="B801" s="50"/>
      <c r="C801" s="52"/>
      <c r="D801" s="52"/>
      <c r="E801" s="52"/>
      <c r="F801" s="52"/>
      <c r="G801" s="52"/>
      <c r="H801" s="53"/>
      <c r="I801" s="53"/>
      <c r="J801" s="52"/>
      <c r="K801" s="52"/>
      <c r="L801" s="52"/>
      <c r="M801" s="52"/>
      <c r="N801" s="52"/>
      <c r="O801" s="52"/>
      <c r="P801" s="9"/>
      <c r="Q801" s="9"/>
      <c r="R801" s="9"/>
      <c r="S801" s="50"/>
      <c r="T801" s="50"/>
      <c r="U801" s="9"/>
      <c r="V801" s="9"/>
      <c r="W801" s="9"/>
      <c r="X801" s="9"/>
      <c r="Y801" s="9"/>
      <c r="Z801" s="9"/>
      <c r="AA801" s="9"/>
    </row>
    <row r="802">
      <c r="A802" s="52"/>
      <c r="B802" s="50"/>
      <c r="C802" s="52"/>
      <c r="D802" s="52"/>
      <c r="E802" s="52"/>
      <c r="F802" s="52"/>
      <c r="G802" s="52"/>
      <c r="H802" s="53"/>
      <c r="I802" s="53"/>
      <c r="J802" s="52"/>
      <c r="K802" s="52"/>
      <c r="L802" s="52"/>
      <c r="M802" s="52"/>
      <c r="N802" s="52"/>
      <c r="O802" s="52"/>
      <c r="P802" s="9"/>
      <c r="Q802" s="9"/>
      <c r="R802" s="9"/>
      <c r="S802" s="50"/>
      <c r="T802" s="50"/>
      <c r="U802" s="9"/>
      <c r="V802" s="9"/>
      <c r="W802" s="9"/>
      <c r="X802" s="9"/>
      <c r="Y802" s="9"/>
      <c r="Z802" s="9"/>
      <c r="AA802" s="9"/>
    </row>
    <row r="803">
      <c r="A803" s="52"/>
      <c r="B803" s="50"/>
      <c r="C803" s="52"/>
      <c r="D803" s="52"/>
      <c r="E803" s="52"/>
      <c r="F803" s="52"/>
      <c r="G803" s="52"/>
      <c r="H803" s="53"/>
      <c r="I803" s="53"/>
      <c r="J803" s="52"/>
      <c r="K803" s="52"/>
      <c r="L803" s="52"/>
      <c r="M803" s="52"/>
      <c r="N803" s="52"/>
      <c r="O803" s="52"/>
      <c r="P803" s="9"/>
      <c r="Q803" s="9"/>
      <c r="R803" s="9"/>
      <c r="S803" s="50"/>
      <c r="T803" s="50"/>
      <c r="U803" s="9"/>
      <c r="V803" s="9"/>
      <c r="W803" s="9"/>
      <c r="X803" s="9"/>
      <c r="Y803" s="9"/>
      <c r="Z803" s="9"/>
      <c r="AA803" s="9"/>
    </row>
    <row r="804">
      <c r="A804" s="52"/>
      <c r="B804" s="50"/>
      <c r="C804" s="52"/>
      <c r="D804" s="52"/>
      <c r="E804" s="52"/>
      <c r="F804" s="52"/>
      <c r="G804" s="52"/>
      <c r="H804" s="53"/>
      <c r="I804" s="53"/>
      <c r="J804" s="52"/>
      <c r="K804" s="52"/>
      <c r="L804" s="52"/>
      <c r="M804" s="52"/>
      <c r="N804" s="52"/>
      <c r="O804" s="52"/>
      <c r="P804" s="9"/>
      <c r="Q804" s="9"/>
      <c r="R804" s="9"/>
      <c r="S804" s="50"/>
      <c r="T804" s="50"/>
      <c r="U804" s="9"/>
      <c r="V804" s="9"/>
      <c r="W804" s="9"/>
      <c r="X804" s="9"/>
      <c r="Y804" s="9"/>
      <c r="Z804" s="9"/>
      <c r="AA804" s="9"/>
    </row>
    <row r="805">
      <c r="A805" s="52"/>
      <c r="B805" s="50"/>
      <c r="C805" s="52"/>
      <c r="D805" s="52"/>
      <c r="E805" s="52"/>
      <c r="F805" s="52"/>
      <c r="G805" s="52"/>
      <c r="H805" s="53"/>
      <c r="I805" s="53"/>
      <c r="J805" s="52"/>
      <c r="K805" s="52"/>
      <c r="L805" s="52"/>
      <c r="M805" s="52"/>
      <c r="N805" s="52"/>
      <c r="O805" s="52"/>
      <c r="P805" s="9"/>
      <c r="Q805" s="9"/>
      <c r="R805" s="9"/>
      <c r="S805" s="50"/>
      <c r="T805" s="50"/>
      <c r="U805" s="9"/>
      <c r="V805" s="9"/>
      <c r="W805" s="9"/>
      <c r="X805" s="9"/>
      <c r="Y805" s="9"/>
      <c r="Z805" s="9"/>
      <c r="AA805" s="9"/>
    </row>
    <row r="806">
      <c r="A806" s="52"/>
      <c r="B806" s="50"/>
      <c r="C806" s="52"/>
      <c r="D806" s="52"/>
      <c r="E806" s="52"/>
      <c r="F806" s="52"/>
      <c r="G806" s="52"/>
      <c r="H806" s="53"/>
      <c r="I806" s="53"/>
      <c r="J806" s="52"/>
      <c r="K806" s="52"/>
      <c r="L806" s="52"/>
      <c r="M806" s="52"/>
      <c r="N806" s="52"/>
      <c r="O806" s="52"/>
      <c r="P806" s="9"/>
      <c r="Q806" s="9"/>
      <c r="R806" s="9"/>
      <c r="S806" s="50"/>
      <c r="T806" s="50"/>
      <c r="U806" s="9"/>
      <c r="V806" s="9"/>
      <c r="W806" s="9"/>
      <c r="X806" s="9"/>
      <c r="Y806" s="9"/>
      <c r="Z806" s="9"/>
      <c r="AA806" s="9"/>
    </row>
    <row r="807">
      <c r="A807" s="52"/>
      <c r="B807" s="50"/>
      <c r="C807" s="52"/>
      <c r="D807" s="52"/>
      <c r="E807" s="52"/>
      <c r="F807" s="52"/>
      <c r="G807" s="52"/>
      <c r="H807" s="53"/>
      <c r="I807" s="53"/>
      <c r="J807" s="52"/>
      <c r="K807" s="52"/>
      <c r="L807" s="52"/>
      <c r="M807" s="52"/>
      <c r="N807" s="52"/>
      <c r="O807" s="52"/>
      <c r="P807" s="9"/>
      <c r="Q807" s="9"/>
      <c r="R807" s="9"/>
      <c r="S807" s="50"/>
      <c r="T807" s="50"/>
      <c r="U807" s="9"/>
      <c r="V807" s="9"/>
      <c r="W807" s="9"/>
      <c r="X807" s="9"/>
      <c r="Y807" s="9"/>
      <c r="Z807" s="9"/>
      <c r="AA807" s="9"/>
    </row>
    <row r="808">
      <c r="A808" s="52"/>
      <c r="B808" s="50"/>
      <c r="C808" s="52"/>
      <c r="D808" s="52"/>
      <c r="E808" s="52"/>
      <c r="F808" s="52"/>
      <c r="G808" s="52"/>
      <c r="H808" s="53"/>
      <c r="I808" s="53"/>
      <c r="J808" s="52"/>
      <c r="K808" s="52"/>
      <c r="L808" s="52"/>
      <c r="M808" s="52"/>
      <c r="N808" s="52"/>
      <c r="O808" s="52"/>
      <c r="P808" s="9"/>
      <c r="Q808" s="9"/>
      <c r="R808" s="9"/>
      <c r="S808" s="50"/>
      <c r="T808" s="50"/>
      <c r="U808" s="9"/>
      <c r="V808" s="9"/>
      <c r="W808" s="9"/>
      <c r="X808" s="9"/>
      <c r="Y808" s="9"/>
      <c r="Z808" s="9"/>
      <c r="AA808" s="9"/>
    </row>
    <row r="809">
      <c r="A809" s="52"/>
      <c r="B809" s="50"/>
      <c r="C809" s="52"/>
      <c r="D809" s="52"/>
      <c r="E809" s="52"/>
      <c r="F809" s="52"/>
      <c r="G809" s="52"/>
      <c r="H809" s="53"/>
      <c r="I809" s="53"/>
      <c r="J809" s="52"/>
      <c r="K809" s="52"/>
      <c r="L809" s="52"/>
      <c r="M809" s="52"/>
      <c r="N809" s="52"/>
      <c r="O809" s="52"/>
      <c r="P809" s="9"/>
      <c r="Q809" s="9"/>
      <c r="R809" s="9"/>
      <c r="S809" s="50"/>
      <c r="T809" s="50"/>
      <c r="U809" s="9"/>
      <c r="V809" s="9"/>
      <c r="W809" s="9"/>
      <c r="X809" s="9"/>
      <c r="Y809" s="9"/>
      <c r="Z809" s="9"/>
      <c r="AA809" s="9"/>
    </row>
    <row r="810">
      <c r="A810" s="52"/>
      <c r="B810" s="50"/>
      <c r="C810" s="52"/>
      <c r="D810" s="52"/>
      <c r="E810" s="52"/>
      <c r="F810" s="52"/>
      <c r="G810" s="52"/>
      <c r="H810" s="53"/>
      <c r="I810" s="53"/>
      <c r="J810" s="52"/>
      <c r="K810" s="52"/>
      <c r="L810" s="52"/>
      <c r="M810" s="52"/>
      <c r="N810" s="52"/>
      <c r="O810" s="52"/>
      <c r="P810" s="9"/>
      <c r="Q810" s="9"/>
      <c r="R810" s="9"/>
      <c r="S810" s="50"/>
      <c r="T810" s="50"/>
      <c r="U810" s="9"/>
      <c r="V810" s="9"/>
      <c r="W810" s="9"/>
      <c r="X810" s="9"/>
      <c r="Y810" s="9"/>
      <c r="Z810" s="9"/>
      <c r="AA810" s="9"/>
    </row>
    <row r="811">
      <c r="A811" s="52"/>
      <c r="B811" s="50"/>
      <c r="C811" s="52"/>
      <c r="D811" s="52"/>
      <c r="E811" s="52"/>
      <c r="F811" s="52"/>
      <c r="G811" s="52"/>
      <c r="H811" s="53"/>
      <c r="I811" s="53"/>
      <c r="J811" s="52"/>
      <c r="K811" s="52"/>
      <c r="L811" s="52"/>
      <c r="M811" s="52"/>
      <c r="N811" s="52"/>
      <c r="O811" s="52"/>
      <c r="P811" s="9"/>
      <c r="Q811" s="9"/>
      <c r="R811" s="9"/>
      <c r="S811" s="50"/>
      <c r="T811" s="50"/>
      <c r="U811" s="9"/>
      <c r="V811" s="9"/>
      <c r="W811" s="9"/>
      <c r="X811" s="9"/>
      <c r="Y811" s="9"/>
      <c r="Z811" s="9"/>
      <c r="AA811" s="9"/>
    </row>
    <row r="812">
      <c r="A812" s="52"/>
      <c r="B812" s="50"/>
      <c r="C812" s="52"/>
      <c r="D812" s="52"/>
      <c r="E812" s="52"/>
      <c r="F812" s="52"/>
      <c r="G812" s="52"/>
      <c r="H812" s="53"/>
      <c r="I812" s="53"/>
      <c r="J812" s="52"/>
      <c r="K812" s="52"/>
      <c r="L812" s="52"/>
      <c r="M812" s="52"/>
      <c r="N812" s="52"/>
      <c r="O812" s="52"/>
      <c r="P812" s="9"/>
      <c r="Q812" s="9"/>
      <c r="R812" s="9"/>
      <c r="S812" s="50"/>
      <c r="T812" s="50"/>
      <c r="U812" s="9"/>
      <c r="V812" s="9"/>
      <c r="W812" s="9"/>
      <c r="X812" s="9"/>
      <c r="Y812" s="9"/>
      <c r="Z812" s="9"/>
      <c r="AA812" s="9"/>
    </row>
    <row r="813">
      <c r="A813" s="52"/>
      <c r="B813" s="50"/>
      <c r="C813" s="52"/>
      <c r="D813" s="52"/>
      <c r="E813" s="52"/>
      <c r="F813" s="52"/>
      <c r="G813" s="52"/>
      <c r="H813" s="53"/>
      <c r="I813" s="53"/>
      <c r="J813" s="52"/>
      <c r="K813" s="52"/>
      <c r="L813" s="52"/>
      <c r="M813" s="52"/>
      <c r="N813" s="52"/>
      <c r="O813" s="52"/>
      <c r="P813" s="9"/>
      <c r="Q813" s="9"/>
      <c r="R813" s="9"/>
      <c r="S813" s="50"/>
      <c r="T813" s="50"/>
      <c r="U813" s="9"/>
      <c r="V813" s="9"/>
      <c r="W813" s="9"/>
      <c r="X813" s="9"/>
      <c r="Y813" s="9"/>
      <c r="Z813" s="9"/>
      <c r="AA813" s="9"/>
    </row>
    <row r="814">
      <c r="A814" s="52"/>
      <c r="B814" s="50"/>
      <c r="C814" s="52"/>
      <c r="D814" s="52"/>
      <c r="E814" s="52"/>
      <c r="F814" s="52"/>
      <c r="G814" s="52"/>
      <c r="H814" s="53"/>
      <c r="I814" s="53"/>
      <c r="J814" s="52"/>
      <c r="K814" s="52"/>
      <c r="L814" s="52"/>
      <c r="M814" s="52"/>
      <c r="N814" s="52"/>
      <c r="O814" s="52"/>
      <c r="P814" s="9"/>
      <c r="Q814" s="9"/>
      <c r="R814" s="9"/>
      <c r="S814" s="50"/>
      <c r="T814" s="50"/>
      <c r="U814" s="9"/>
      <c r="V814" s="9"/>
      <c r="W814" s="9"/>
      <c r="X814" s="9"/>
      <c r="Y814" s="9"/>
      <c r="Z814" s="9"/>
      <c r="AA814" s="9"/>
    </row>
    <row r="815">
      <c r="A815" s="52"/>
      <c r="B815" s="50"/>
      <c r="C815" s="52"/>
      <c r="D815" s="52"/>
      <c r="E815" s="52"/>
      <c r="F815" s="52"/>
      <c r="G815" s="52"/>
      <c r="H815" s="53"/>
      <c r="I815" s="53"/>
      <c r="J815" s="52"/>
      <c r="K815" s="52"/>
      <c r="L815" s="52"/>
      <c r="M815" s="52"/>
      <c r="N815" s="52"/>
      <c r="O815" s="52"/>
      <c r="P815" s="9"/>
      <c r="Q815" s="9"/>
      <c r="R815" s="9"/>
      <c r="S815" s="50"/>
      <c r="T815" s="50"/>
      <c r="U815" s="9"/>
      <c r="V815" s="9"/>
      <c r="W815" s="9"/>
      <c r="X815" s="9"/>
      <c r="Y815" s="9"/>
      <c r="Z815" s="9"/>
      <c r="AA815" s="9"/>
    </row>
    <row r="816">
      <c r="A816" s="52"/>
      <c r="B816" s="50"/>
      <c r="C816" s="52"/>
      <c r="D816" s="52"/>
      <c r="E816" s="52"/>
      <c r="F816" s="52"/>
      <c r="G816" s="52"/>
      <c r="H816" s="53"/>
      <c r="I816" s="53"/>
      <c r="J816" s="52"/>
      <c r="K816" s="52"/>
      <c r="L816" s="52"/>
      <c r="M816" s="52"/>
      <c r="N816" s="52"/>
      <c r="O816" s="52"/>
      <c r="P816" s="9"/>
      <c r="Q816" s="9"/>
      <c r="R816" s="9"/>
      <c r="S816" s="50"/>
      <c r="T816" s="50"/>
      <c r="U816" s="9"/>
      <c r="V816" s="9"/>
      <c r="W816" s="9"/>
      <c r="X816" s="9"/>
      <c r="Y816" s="9"/>
      <c r="Z816" s="9"/>
      <c r="AA816" s="9"/>
    </row>
    <row r="817">
      <c r="A817" s="52"/>
      <c r="B817" s="50"/>
      <c r="C817" s="52"/>
      <c r="D817" s="52"/>
      <c r="E817" s="52"/>
      <c r="F817" s="52"/>
      <c r="G817" s="52"/>
      <c r="H817" s="53"/>
      <c r="I817" s="53"/>
      <c r="J817" s="52"/>
      <c r="K817" s="52"/>
      <c r="L817" s="52"/>
      <c r="M817" s="52"/>
      <c r="N817" s="52"/>
      <c r="O817" s="52"/>
      <c r="P817" s="9"/>
      <c r="Q817" s="9"/>
      <c r="R817" s="9"/>
      <c r="S817" s="50"/>
      <c r="T817" s="50"/>
      <c r="U817" s="9"/>
      <c r="V817" s="9"/>
      <c r="W817" s="9"/>
      <c r="X817" s="9"/>
      <c r="Y817" s="9"/>
      <c r="Z817" s="9"/>
      <c r="AA817" s="9"/>
    </row>
    <row r="818">
      <c r="A818" s="52"/>
      <c r="B818" s="50"/>
      <c r="C818" s="52"/>
      <c r="D818" s="52"/>
      <c r="E818" s="52"/>
      <c r="F818" s="52"/>
      <c r="G818" s="52"/>
      <c r="H818" s="53"/>
      <c r="I818" s="53"/>
      <c r="J818" s="52"/>
      <c r="K818" s="52"/>
      <c r="L818" s="52"/>
      <c r="M818" s="52"/>
      <c r="N818" s="52"/>
      <c r="O818" s="52"/>
      <c r="P818" s="9"/>
      <c r="Q818" s="9"/>
      <c r="R818" s="9"/>
      <c r="S818" s="50"/>
      <c r="T818" s="50"/>
      <c r="U818" s="9"/>
      <c r="V818" s="9"/>
      <c r="W818" s="9"/>
      <c r="X818" s="9"/>
      <c r="Y818" s="9"/>
      <c r="Z818" s="9"/>
      <c r="AA818" s="9"/>
    </row>
    <row r="819">
      <c r="A819" s="52"/>
      <c r="B819" s="50"/>
      <c r="C819" s="52"/>
      <c r="D819" s="52"/>
      <c r="E819" s="52"/>
      <c r="F819" s="52"/>
      <c r="G819" s="52"/>
      <c r="H819" s="53"/>
      <c r="I819" s="53"/>
      <c r="J819" s="52"/>
      <c r="K819" s="52"/>
      <c r="L819" s="52"/>
      <c r="M819" s="52"/>
      <c r="N819" s="52"/>
      <c r="O819" s="52"/>
      <c r="P819" s="9"/>
      <c r="Q819" s="9"/>
      <c r="R819" s="9"/>
      <c r="S819" s="50"/>
      <c r="T819" s="50"/>
      <c r="U819" s="9"/>
      <c r="V819" s="9"/>
      <c r="W819" s="9"/>
      <c r="X819" s="9"/>
      <c r="Y819" s="9"/>
      <c r="Z819" s="9"/>
      <c r="AA819" s="9"/>
    </row>
    <row r="820">
      <c r="A820" s="52"/>
      <c r="B820" s="50"/>
      <c r="C820" s="52"/>
      <c r="D820" s="52"/>
      <c r="E820" s="52"/>
      <c r="F820" s="52"/>
      <c r="G820" s="52"/>
      <c r="H820" s="53"/>
      <c r="I820" s="53"/>
      <c r="J820" s="52"/>
      <c r="K820" s="52"/>
      <c r="L820" s="52"/>
      <c r="M820" s="52"/>
      <c r="N820" s="52"/>
      <c r="O820" s="52"/>
      <c r="P820" s="9"/>
      <c r="Q820" s="9"/>
      <c r="R820" s="9"/>
      <c r="S820" s="50"/>
      <c r="T820" s="50"/>
      <c r="U820" s="9"/>
      <c r="V820" s="9"/>
      <c r="W820" s="9"/>
      <c r="X820" s="9"/>
      <c r="Y820" s="9"/>
      <c r="Z820" s="9"/>
      <c r="AA820" s="9"/>
    </row>
    <row r="821">
      <c r="A821" s="52"/>
      <c r="B821" s="50"/>
      <c r="C821" s="52"/>
      <c r="D821" s="52"/>
      <c r="E821" s="52"/>
      <c r="F821" s="52"/>
      <c r="G821" s="52"/>
      <c r="H821" s="53"/>
      <c r="I821" s="53"/>
      <c r="J821" s="52"/>
      <c r="K821" s="52"/>
      <c r="L821" s="52"/>
      <c r="M821" s="52"/>
      <c r="N821" s="52"/>
      <c r="O821" s="52"/>
      <c r="P821" s="9"/>
      <c r="Q821" s="9"/>
      <c r="R821" s="9"/>
      <c r="S821" s="50"/>
      <c r="T821" s="50"/>
      <c r="U821" s="9"/>
      <c r="V821" s="9"/>
      <c r="W821" s="9"/>
      <c r="X821" s="9"/>
      <c r="Y821" s="9"/>
      <c r="Z821" s="9"/>
      <c r="AA821" s="9"/>
    </row>
    <row r="822">
      <c r="A822" s="52"/>
      <c r="B822" s="50"/>
      <c r="C822" s="52"/>
      <c r="D822" s="52"/>
      <c r="E822" s="52"/>
      <c r="F822" s="52"/>
      <c r="G822" s="52"/>
      <c r="H822" s="53"/>
      <c r="I822" s="53"/>
      <c r="J822" s="52"/>
      <c r="K822" s="52"/>
      <c r="L822" s="52"/>
      <c r="M822" s="52"/>
      <c r="N822" s="52"/>
      <c r="O822" s="52"/>
      <c r="P822" s="9"/>
      <c r="Q822" s="9"/>
      <c r="R822" s="9"/>
      <c r="S822" s="50"/>
      <c r="T822" s="50"/>
      <c r="U822" s="9"/>
      <c r="V822" s="9"/>
      <c r="W822" s="9"/>
      <c r="X822" s="9"/>
      <c r="Y822" s="9"/>
      <c r="Z822" s="9"/>
      <c r="AA822" s="9"/>
    </row>
    <row r="823">
      <c r="A823" s="52"/>
      <c r="B823" s="50"/>
      <c r="C823" s="52"/>
      <c r="D823" s="52"/>
      <c r="E823" s="52"/>
      <c r="F823" s="52"/>
      <c r="G823" s="52"/>
      <c r="H823" s="53"/>
      <c r="I823" s="53"/>
      <c r="J823" s="52"/>
      <c r="K823" s="52"/>
      <c r="L823" s="52"/>
      <c r="M823" s="52"/>
      <c r="N823" s="52"/>
      <c r="O823" s="52"/>
      <c r="P823" s="9"/>
      <c r="Q823" s="9"/>
      <c r="R823" s="9"/>
      <c r="S823" s="50"/>
      <c r="T823" s="50"/>
      <c r="U823" s="9"/>
      <c r="V823" s="9"/>
      <c r="W823" s="9"/>
      <c r="X823" s="9"/>
      <c r="Y823" s="9"/>
      <c r="Z823" s="9"/>
      <c r="AA823" s="9"/>
    </row>
    <row r="824">
      <c r="A824" s="52"/>
      <c r="B824" s="50"/>
      <c r="C824" s="52"/>
      <c r="D824" s="52"/>
      <c r="E824" s="52"/>
      <c r="F824" s="52"/>
      <c r="G824" s="52"/>
      <c r="H824" s="53"/>
      <c r="I824" s="53"/>
      <c r="J824" s="52"/>
      <c r="K824" s="52"/>
      <c r="L824" s="52"/>
      <c r="M824" s="52"/>
      <c r="N824" s="52"/>
      <c r="O824" s="52"/>
      <c r="P824" s="9"/>
      <c r="Q824" s="9"/>
      <c r="R824" s="9"/>
      <c r="S824" s="50"/>
      <c r="T824" s="50"/>
      <c r="U824" s="9"/>
      <c r="V824" s="9"/>
      <c r="W824" s="9"/>
      <c r="X824" s="9"/>
      <c r="Y824" s="9"/>
      <c r="Z824" s="9"/>
      <c r="AA824" s="9"/>
    </row>
    <row r="825">
      <c r="A825" s="52"/>
      <c r="B825" s="50"/>
      <c r="C825" s="52"/>
      <c r="D825" s="52"/>
      <c r="E825" s="52"/>
      <c r="F825" s="52"/>
      <c r="G825" s="52"/>
      <c r="H825" s="53"/>
      <c r="I825" s="53"/>
      <c r="J825" s="52"/>
      <c r="K825" s="52"/>
      <c r="L825" s="52"/>
      <c r="M825" s="52"/>
      <c r="N825" s="52"/>
      <c r="O825" s="52"/>
      <c r="P825" s="9"/>
      <c r="Q825" s="9"/>
      <c r="R825" s="9"/>
      <c r="S825" s="50"/>
      <c r="T825" s="50"/>
      <c r="U825" s="9"/>
      <c r="V825" s="9"/>
      <c r="W825" s="9"/>
      <c r="X825" s="9"/>
      <c r="Y825" s="9"/>
      <c r="Z825" s="9"/>
      <c r="AA825" s="9"/>
    </row>
    <row r="826">
      <c r="A826" s="52"/>
      <c r="B826" s="50"/>
      <c r="C826" s="52"/>
      <c r="D826" s="52"/>
      <c r="E826" s="52"/>
      <c r="F826" s="52"/>
      <c r="G826" s="52"/>
      <c r="H826" s="53"/>
      <c r="I826" s="53"/>
      <c r="J826" s="52"/>
      <c r="K826" s="52"/>
      <c r="L826" s="52"/>
      <c r="M826" s="52"/>
      <c r="N826" s="52"/>
      <c r="O826" s="52"/>
      <c r="P826" s="9"/>
      <c r="Q826" s="9"/>
      <c r="R826" s="9"/>
      <c r="S826" s="50"/>
      <c r="T826" s="50"/>
      <c r="U826" s="9"/>
      <c r="V826" s="9"/>
      <c r="W826" s="9"/>
      <c r="X826" s="9"/>
      <c r="Y826" s="9"/>
      <c r="Z826" s="9"/>
      <c r="AA826" s="9"/>
    </row>
    <row r="827">
      <c r="A827" s="52"/>
      <c r="B827" s="50"/>
      <c r="C827" s="52"/>
      <c r="D827" s="52"/>
      <c r="E827" s="52"/>
      <c r="F827" s="52"/>
      <c r="G827" s="52"/>
      <c r="H827" s="53"/>
      <c r="I827" s="53"/>
      <c r="J827" s="52"/>
      <c r="K827" s="52"/>
      <c r="L827" s="52"/>
      <c r="M827" s="52"/>
      <c r="N827" s="52"/>
      <c r="O827" s="52"/>
      <c r="P827" s="9"/>
      <c r="Q827" s="9"/>
      <c r="R827" s="9"/>
      <c r="S827" s="50"/>
      <c r="T827" s="50"/>
      <c r="U827" s="9"/>
      <c r="V827" s="9"/>
      <c r="W827" s="9"/>
      <c r="X827" s="9"/>
      <c r="Y827" s="9"/>
      <c r="Z827" s="9"/>
      <c r="AA827" s="9"/>
    </row>
    <row r="828">
      <c r="A828" s="52"/>
      <c r="B828" s="50"/>
      <c r="C828" s="52"/>
      <c r="D828" s="52"/>
      <c r="E828" s="52"/>
      <c r="F828" s="52"/>
      <c r="G828" s="52"/>
      <c r="H828" s="53"/>
      <c r="I828" s="53"/>
      <c r="J828" s="52"/>
      <c r="K828" s="52"/>
      <c r="L828" s="52"/>
      <c r="M828" s="52"/>
      <c r="N828" s="52"/>
      <c r="O828" s="52"/>
      <c r="P828" s="9"/>
      <c r="Q828" s="9"/>
      <c r="R828" s="9"/>
      <c r="S828" s="50"/>
      <c r="T828" s="50"/>
      <c r="U828" s="9"/>
      <c r="V828" s="9"/>
      <c r="W828" s="9"/>
      <c r="X828" s="9"/>
      <c r="Y828" s="9"/>
      <c r="Z828" s="9"/>
      <c r="AA828" s="9"/>
    </row>
    <row r="829">
      <c r="A829" s="52"/>
      <c r="B829" s="50"/>
      <c r="C829" s="52"/>
      <c r="D829" s="52"/>
      <c r="E829" s="52"/>
      <c r="F829" s="52"/>
      <c r="G829" s="52"/>
      <c r="H829" s="53"/>
      <c r="I829" s="53"/>
      <c r="J829" s="52"/>
      <c r="K829" s="52"/>
      <c r="L829" s="52"/>
      <c r="M829" s="52"/>
      <c r="N829" s="52"/>
      <c r="O829" s="52"/>
      <c r="P829" s="9"/>
      <c r="Q829" s="9"/>
      <c r="R829" s="9"/>
      <c r="S829" s="50"/>
      <c r="T829" s="50"/>
      <c r="U829" s="9"/>
      <c r="V829" s="9"/>
      <c r="W829" s="9"/>
      <c r="X829" s="9"/>
      <c r="Y829" s="9"/>
      <c r="Z829" s="9"/>
      <c r="AA829" s="9"/>
    </row>
    <row r="830">
      <c r="A830" s="52"/>
      <c r="B830" s="50"/>
      <c r="C830" s="52"/>
      <c r="D830" s="52"/>
      <c r="E830" s="52"/>
      <c r="F830" s="52"/>
      <c r="G830" s="52"/>
      <c r="H830" s="53"/>
      <c r="I830" s="53"/>
      <c r="J830" s="52"/>
      <c r="K830" s="52"/>
      <c r="L830" s="52"/>
      <c r="M830" s="52"/>
      <c r="N830" s="52"/>
      <c r="O830" s="52"/>
      <c r="P830" s="9"/>
      <c r="Q830" s="9"/>
      <c r="R830" s="9"/>
      <c r="S830" s="50"/>
      <c r="T830" s="50"/>
      <c r="U830" s="9"/>
      <c r="V830" s="9"/>
      <c r="W830" s="9"/>
      <c r="X830" s="9"/>
      <c r="Y830" s="9"/>
      <c r="Z830" s="9"/>
      <c r="AA830" s="9"/>
    </row>
    <row r="831">
      <c r="A831" s="52"/>
      <c r="B831" s="50"/>
      <c r="C831" s="52"/>
      <c r="D831" s="52"/>
      <c r="E831" s="52"/>
      <c r="F831" s="52"/>
      <c r="G831" s="52"/>
      <c r="H831" s="53"/>
      <c r="I831" s="53"/>
      <c r="J831" s="52"/>
      <c r="K831" s="52"/>
      <c r="L831" s="52"/>
      <c r="M831" s="52"/>
      <c r="N831" s="52"/>
      <c r="O831" s="52"/>
      <c r="P831" s="9"/>
      <c r="Q831" s="9"/>
      <c r="R831" s="9"/>
      <c r="S831" s="50"/>
      <c r="T831" s="50"/>
      <c r="U831" s="9"/>
      <c r="V831" s="9"/>
      <c r="W831" s="9"/>
      <c r="X831" s="9"/>
      <c r="Y831" s="9"/>
      <c r="Z831" s="9"/>
      <c r="AA831" s="9"/>
    </row>
    <row r="832">
      <c r="A832" s="52"/>
      <c r="B832" s="50"/>
      <c r="C832" s="52"/>
      <c r="D832" s="52"/>
      <c r="E832" s="52"/>
      <c r="F832" s="52"/>
      <c r="G832" s="52"/>
      <c r="H832" s="53"/>
      <c r="I832" s="53"/>
      <c r="J832" s="52"/>
      <c r="K832" s="52"/>
      <c r="L832" s="52"/>
      <c r="M832" s="52"/>
      <c r="N832" s="52"/>
      <c r="O832" s="52"/>
      <c r="P832" s="9"/>
      <c r="Q832" s="9"/>
      <c r="R832" s="9"/>
      <c r="S832" s="50"/>
      <c r="T832" s="50"/>
      <c r="U832" s="9"/>
      <c r="V832" s="9"/>
      <c r="W832" s="9"/>
      <c r="X832" s="9"/>
      <c r="Y832" s="9"/>
      <c r="Z832" s="9"/>
      <c r="AA832" s="9"/>
    </row>
    <row r="833">
      <c r="A833" s="52"/>
      <c r="B833" s="50"/>
      <c r="C833" s="52"/>
      <c r="D833" s="52"/>
      <c r="E833" s="52"/>
      <c r="F833" s="52"/>
      <c r="G833" s="52"/>
      <c r="H833" s="53"/>
      <c r="I833" s="53"/>
      <c r="J833" s="52"/>
      <c r="K833" s="52"/>
      <c r="L833" s="52"/>
      <c r="M833" s="52"/>
      <c r="N833" s="52"/>
      <c r="O833" s="52"/>
      <c r="P833" s="9"/>
      <c r="Q833" s="9"/>
      <c r="R833" s="9"/>
      <c r="S833" s="50"/>
      <c r="T833" s="50"/>
      <c r="U833" s="9"/>
      <c r="V833" s="9"/>
      <c r="W833" s="9"/>
      <c r="X833" s="9"/>
      <c r="Y833" s="9"/>
      <c r="Z833" s="9"/>
      <c r="AA833" s="9"/>
    </row>
    <row r="834">
      <c r="A834" s="52"/>
      <c r="B834" s="50"/>
      <c r="C834" s="52"/>
      <c r="D834" s="52"/>
      <c r="E834" s="52"/>
      <c r="F834" s="52"/>
      <c r="G834" s="52"/>
      <c r="H834" s="53"/>
      <c r="I834" s="53"/>
      <c r="J834" s="52"/>
      <c r="K834" s="52"/>
      <c r="L834" s="52"/>
      <c r="M834" s="52"/>
      <c r="N834" s="52"/>
      <c r="O834" s="52"/>
      <c r="P834" s="9"/>
      <c r="Q834" s="9"/>
      <c r="R834" s="9"/>
      <c r="S834" s="50"/>
      <c r="T834" s="50"/>
      <c r="U834" s="9"/>
      <c r="V834" s="9"/>
      <c r="W834" s="9"/>
      <c r="X834" s="9"/>
      <c r="Y834" s="9"/>
      <c r="Z834" s="9"/>
      <c r="AA834" s="9"/>
    </row>
    <row r="835">
      <c r="A835" s="52"/>
      <c r="B835" s="50"/>
      <c r="C835" s="52"/>
      <c r="D835" s="52"/>
      <c r="E835" s="52"/>
      <c r="F835" s="52"/>
      <c r="G835" s="52"/>
      <c r="H835" s="53"/>
      <c r="I835" s="53"/>
      <c r="J835" s="52"/>
      <c r="K835" s="52"/>
      <c r="L835" s="52"/>
      <c r="M835" s="52"/>
      <c r="N835" s="52"/>
      <c r="O835" s="52"/>
      <c r="P835" s="9"/>
      <c r="Q835" s="9"/>
      <c r="R835" s="9"/>
      <c r="S835" s="50"/>
      <c r="T835" s="50"/>
      <c r="U835" s="9"/>
      <c r="V835" s="9"/>
      <c r="W835" s="9"/>
      <c r="X835" s="9"/>
      <c r="Y835" s="9"/>
      <c r="Z835" s="9"/>
      <c r="AA835" s="9"/>
    </row>
    <row r="836">
      <c r="A836" s="52"/>
      <c r="B836" s="50"/>
      <c r="C836" s="52"/>
      <c r="D836" s="52"/>
      <c r="E836" s="52"/>
      <c r="F836" s="52"/>
      <c r="G836" s="52"/>
      <c r="H836" s="53"/>
      <c r="I836" s="53"/>
      <c r="J836" s="52"/>
      <c r="K836" s="52"/>
      <c r="L836" s="52"/>
      <c r="M836" s="52"/>
      <c r="N836" s="52"/>
      <c r="O836" s="52"/>
      <c r="P836" s="9"/>
      <c r="Q836" s="9"/>
      <c r="R836" s="9"/>
      <c r="S836" s="50"/>
      <c r="T836" s="50"/>
      <c r="U836" s="9"/>
      <c r="V836" s="9"/>
      <c r="W836" s="9"/>
      <c r="X836" s="9"/>
      <c r="Y836" s="9"/>
      <c r="Z836" s="9"/>
      <c r="AA836" s="9"/>
    </row>
    <row r="837">
      <c r="A837" s="52"/>
      <c r="B837" s="50"/>
      <c r="C837" s="52"/>
      <c r="D837" s="52"/>
      <c r="E837" s="52"/>
      <c r="F837" s="52"/>
      <c r="G837" s="52"/>
      <c r="H837" s="53"/>
      <c r="I837" s="53"/>
      <c r="J837" s="52"/>
      <c r="K837" s="52"/>
      <c r="L837" s="52"/>
      <c r="M837" s="52"/>
      <c r="N837" s="52"/>
      <c r="O837" s="52"/>
      <c r="P837" s="9"/>
      <c r="Q837" s="9"/>
      <c r="R837" s="9"/>
      <c r="S837" s="50"/>
      <c r="T837" s="50"/>
      <c r="U837" s="9"/>
      <c r="V837" s="9"/>
      <c r="W837" s="9"/>
      <c r="X837" s="9"/>
      <c r="Y837" s="9"/>
      <c r="Z837" s="9"/>
      <c r="AA837" s="9"/>
    </row>
    <row r="838">
      <c r="A838" s="52"/>
      <c r="B838" s="50"/>
      <c r="C838" s="52"/>
      <c r="D838" s="52"/>
      <c r="E838" s="52"/>
      <c r="F838" s="52"/>
      <c r="G838" s="52"/>
      <c r="H838" s="53"/>
      <c r="I838" s="53"/>
      <c r="J838" s="52"/>
      <c r="K838" s="52"/>
      <c r="L838" s="52"/>
      <c r="M838" s="52"/>
      <c r="N838" s="52"/>
      <c r="O838" s="52"/>
      <c r="P838" s="9"/>
      <c r="Q838" s="9"/>
      <c r="R838" s="9"/>
      <c r="S838" s="50"/>
      <c r="T838" s="50"/>
      <c r="U838" s="9"/>
      <c r="V838" s="9"/>
      <c r="W838" s="9"/>
      <c r="X838" s="9"/>
      <c r="Y838" s="9"/>
      <c r="Z838" s="9"/>
      <c r="AA838" s="9"/>
    </row>
    <row r="839">
      <c r="A839" s="52"/>
      <c r="B839" s="50"/>
      <c r="C839" s="52"/>
      <c r="D839" s="52"/>
      <c r="E839" s="52"/>
      <c r="F839" s="52"/>
      <c r="G839" s="52"/>
      <c r="H839" s="53"/>
      <c r="I839" s="53"/>
      <c r="J839" s="52"/>
      <c r="K839" s="52"/>
      <c r="L839" s="52"/>
      <c r="M839" s="52"/>
      <c r="N839" s="52"/>
      <c r="O839" s="52"/>
      <c r="P839" s="9"/>
      <c r="Q839" s="9"/>
      <c r="R839" s="9"/>
      <c r="S839" s="50"/>
      <c r="T839" s="50"/>
      <c r="U839" s="9"/>
      <c r="V839" s="9"/>
      <c r="W839" s="9"/>
      <c r="X839" s="9"/>
      <c r="Y839" s="9"/>
      <c r="Z839" s="9"/>
      <c r="AA839" s="9"/>
    </row>
    <row r="840">
      <c r="A840" s="52"/>
      <c r="B840" s="50"/>
      <c r="C840" s="52"/>
      <c r="D840" s="52"/>
      <c r="E840" s="52"/>
      <c r="F840" s="52"/>
      <c r="G840" s="52"/>
      <c r="H840" s="53"/>
      <c r="I840" s="53"/>
      <c r="J840" s="52"/>
      <c r="K840" s="52"/>
      <c r="L840" s="52"/>
      <c r="M840" s="52"/>
      <c r="N840" s="52"/>
      <c r="O840" s="52"/>
      <c r="P840" s="9"/>
      <c r="Q840" s="9"/>
      <c r="R840" s="9"/>
      <c r="S840" s="50"/>
      <c r="T840" s="50"/>
      <c r="U840" s="9"/>
      <c r="V840" s="9"/>
      <c r="W840" s="9"/>
      <c r="X840" s="9"/>
      <c r="Y840" s="9"/>
      <c r="Z840" s="9"/>
      <c r="AA840" s="9"/>
    </row>
    <row r="841">
      <c r="A841" s="52"/>
      <c r="B841" s="50"/>
      <c r="C841" s="52"/>
      <c r="D841" s="52"/>
      <c r="E841" s="52"/>
      <c r="F841" s="52"/>
      <c r="G841" s="52"/>
      <c r="H841" s="53"/>
      <c r="I841" s="53"/>
      <c r="J841" s="52"/>
      <c r="K841" s="52"/>
      <c r="L841" s="52"/>
      <c r="M841" s="52"/>
      <c r="N841" s="52"/>
      <c r="O841" s="52"/>
      <c r="P841" s="9"/>
      <c r="Q841" s="9"/>
      <c r="R841" s="9"/>
      <c r="S841" s="50"/>
      <c r="T841" s="50"/>
      <c r="U841" s="9"/>
      <c r="V841" s="9"/>
      <c r="W841" s="9"/>
      <c r="X841" s="9"/>
      <c r="Y841" s="9"/>
      <c r="Z841" s="9"/>
      <c r="AA841" s="9"/>
    </row>
    <row r="842">
      <c r="A842" s="52"/>
      <c r="B842" s="50"/>
      <c r="C842" s="52"/>
      <c r="D842" s="52"/>
      <c r="E842" s="52"/>
      <c r="F842" s="52"/>
      <c r="G842" s="52"/>
      <c r="H842" s="53"/>
      <c r="I842" s="53"/>
      <c r="J842" s="52"/>
      <c r="K842" s="52"/>
      <c r="L842" s="52"/>
      <c r="M842" s="52"/>
      <c r="N842" s="52"/>
      <c r="O842" s="52"/>
      <c r="P842" s="9"/>
      <c r="Q842" s="9"/>
      <c r="R842" s="9"/>
      <c r="S842" s="50"/>
      <c r="T842" s="50"/>
      <c r="U842" s="9"/>
      <c r="V842" s="9"/>
      <c r="W842" s="9"/>
      <c r="X842" s="9"/>
      <c r="Y842" s="9"/>
      <c r="Z842" s="9"/>
      <c r="AA842" s="9"/>
    </row>
    <row r="843">
      <c r="A843" s="52"/>
      <c r="B843" s="50"/>
      <c r="C843" s="52"/>
      <c r="D843" s="52"/>
      <c r="E843" s="52"/>
      <c r="F843" s="52"/>
      <c r="G843" s="52"/>
      <c r="H843" s="53"/>
      <c r="I843" s="53"/>
      <c r="J843" s="52"/>
      <c r="K843" s="52"/>
      <c r="L843" s="52"/>
      <c r="M843" s="52"/>
      <c r="N843" s="52"/>
      <c r="O843" s="52"/>
      <c r="P843" s="9"/>
      <c r="Q843" s="9"/>
      <c r="R843" s="9"/>
      <c r="S843" s="50"/>
      <c r="T843" s="50"/>
      <c r="U843" s="9"/>
      <c r="V843" s="9"/>
      <c r="W843" s="9"/>
      <c r="X843" s="9"/>
      <c r="Y843" s="9"/>
      <c r="Z843" s="9"/>
      <c r="AA843" s="9"/>
    </row>
    <row r="844">
      <c r="A844" s="52"/>
      <c r="B844" s="50"/>
      <c r="C844" s="52"/>
      <c r="D844" s="52"/>
      <c r="E844" s="52"/>
      <c r="F844" s="52"/>
      <c r="G844" s="52"/>
      <c r="H844" s="53"/>
      <c r="I844" s="53"/>
      <c r="J844" s="52"/>
      <c r="K844" s="52"/>
      <c r="L844" s="52"/>
      <c r="M844" s="52"/>
      <c r="N844" s="52"/>
      <c r="O844" s="52"/>
      <c r="P844" s="9"/>
      <c r="Q844" s="9"/>
      <c r="R844" s="9"/>
      <c r="S844" s="50"/>
      <c r="T844" s="50"/>
      <c r="U844" s="9"/>
      <c r="V844" s="9"/>
      <c r="W844" s="9"/>
      <c r="X844" s="9"/>
      <c r="Y844" s="9"/>
      <c r="Z844" s="9"/>
      <c r="AA844" s="9"/>
    </row>
    <row r="845">
      <c r="A845" s="52"/>
      <c r="B845" s="50"/>
      <c r="C845" s="52"/>
      <c r="D845" s="52"/>
      <c r="E845" s="52"/>
      <c r="F845" s="52"/>
      <c r="G845" s="52"/>
      <c r="H845" s="53"/>
      <c r="I845" s="53"/>
      <c r="J845" s="52"/>
      <c r="K845" s="52"/>
      <c r="L845" s="52"/>
      <c r="M845" s="52"/>
      <c r="N845" s="52"/>
      <c r="O845" s="52"/>
      <c r="P845" s="9"/>
      <c r="Q845" s="9"/>
      <c r="R845" s="9"/>
      <c r="S845" s="50"/>
      <c r="T845" s="50"/>
      <c r="U845" s="9"/>
      <c r="V845" s="9"/>
      <c r="W845" s="9"/>
      <c r="X845" s="9"/>
      <c r="Y845" s="9"/>
      <c r="Z845" s="9"/>
      <c r="AA845" s="9"/>
    </row>
    <row r="846">
      <c r="A846" s="52"/>
      <c r="B846" s="50"/>
      <c r="C846" s="52"/>
      <c r="D846" s="52"/>
      <c r="E846" s="52"/>
      <c r="F846" s="52"/>
      <c r="G846" s="52"/>
      <c r="H846" s="53"/>
      <c r="I846" s="53"/>
      <c r="J846" s="52"/>
      <c r="K846" s="52"/>
      <c r="L846" s="52"/>
      <c r="M846" s="52"/>
      <c r="N846" s="52"/>
      <c r="O846" s="52"/>
      <c r="P846" s="9"/>
      <c r="Q846" s="9"/>
      <c r="R846" s="9"/>
      <c r="S846" s="50"/>
      <c r="T846" s="50"/>
      <c r="U846" s="9"/>
      <c r="V846" s="9"/>
      <c r="W846" s="9"/>
      <c r="X846" s="9"/>
      <c r="Y846" s="9"/>
      <c r="Z846" s="9"/>
      <c r="AA846" s="9"/>
    </row>
    <row r="847">
      <c r="A847" s="52"/>
      <c r="B847" s="50"/>
      <c r="C847" s="52"/>
      <c r="D847" s="52"/>
      <c r="E847" s="52"/>
      <c r="F847" s="52"/>
      <c r="G847" s="52"/>
      <c r="H847" s="53"/>
      <c r="I847" s="53"/>
      <c r="J847" s="52"/>
      <c r="K847" s="52"/>
      <c r="L847" s="52"/>
      <c r="M847" s="52"/>
      <c r="N847" s="52"/>
      <c r="O847" s="52"/>
      <c r="P847" s="9"/>
      <c r="Q847" s="9"/>
      <c r="R847" s="9"/>
      <c r="S847" s="50"/>
      <c r="T847" s="50"/>
      <c r="U847" s="9"/>
      <c r="V847" s="9"/>
      <c r="W847" s="9"/>
      <c r="X847" s="9"/>
      <c r="Y847" s="9"/>
      <c r="Z847" s="9"/>
      <c r="AA847" s="9"/>
    </row>
    <row r="848">
      <c r="A848" s="52"/>
      <c r="B848" s="50"/>
      <c r="C848" s="52"/>
      <c r="D848" s="52"/>
      <c r="E848" s="52"/>
      <c r="F848" s="52"/>
      <c r="G848" s="52"/>
      <c r="H848" s="53"/>
      <c r="I848" s="53"/>
      <c r="J848" s="52"/>
      <c r="K848" s="52"/>
      <c r="L848" s="52"/>
      <c r="M848" s="52"/>
      <c r="N848" s="52"/>
      <c r="O848" s="52"/>
      <c r="P848" s="9"/>
      <c r="Q848" s="9"/>
      <c r="R848" s="9"/>
      <c r="S848" s="50"/>
      <c r="T848" s="50"/>
      <c r="U848" s="9"/>
      <c r="V848" s="9"/>
      <c r="W848" s="9"/>
      <c r="X848" s="9"/>
      <c r="Y848" s="9"/>
      <c r="Z848" s="9"/>
      <c r="AA848" s="9"/>
    </row>
    <row r="849">
      <c r="A849" s="52"/>
      <c r="B849" s="50"/>
      <c r="C849" s="52"/>
      <c r="D849" s="52"/>
      <c r="E849" s="52"/>
      <c r="F849" s="52"/>
      <c r="G849" s="52"/>
      <c r="H849" s="53"/>
      <c r="I849" s="53"/>
      <c r="J849" s="52"/>
      <c r="K849" s="52"/>
      <c r="L849" s="52"/>
      <c r="M849" s="52"/>
      <c r="N849" s="52"/>
      <c r="O849" s="52"/>
      <c r="P849" s="9"/>
      <c r="Q849" s="9"/>
      <c r="R849" s="9"/>
      <c r="S849" s="50"/>
      <c r="T849" s="50"/>
      <c r="U849" s="9"/>
      <c r="V849" s="9"/>
      <c r="W849" s="9"/>
      <c r="X849" s="9"/>
      <c r="Y849" s="9"/>
      <c r="Z849" s="9"/>
      <c r="AA849" s="9"/>
    </row>
    <row r="850">
      <c r="A850" s="52"/>
      <c r="B850" s="50"/>
      <c r="C850" s="52"/>
      <c r="D850" s="52"/>
      <c r="E850" s="52"/>
      <c r="F850" s="52"/>
      <c r="G850" s="52"/>
      <c r="H850" s="53"/>
      <c r="I850" s="53"/>
      <c r="J850" s="52"/>
      <c r="K850" s="52"/>
      <c r="L850" s="52"/>
      <c r="M850" s="52"/>
      <c r="N850" s="52"/>
      <c r="O850" s="52"/>
      <c r="P850" s="9"/>
      <c r="Q850" s="9"/>
      <c r="R850" s="9"/>
      <c r="S850" s="50"/>
      <c r="T850" s="50"/>
      <c r="U850" s="9"/>
      <c r="V850" s="9"/>
      <c r="W850" s="9"/>
      <c r="X850" s="9"/>
      <c r="Y850" s="9"/>
      <c r="Z850" s="9"/>
      <c r="AA850" s="9"/>
    </row>
    <row r="851">
      <c r="A851" s="52"/>
      <c r="B851" s="50"/>
      <c r="C851" s="52"/>
      <c r="D851" s="52"/>
      <c r="E851" s="52"/>
      <c r="F851" s="52"/>
      <c r="G851" s="52"/>
      <c r="H851" s="53"/>
      <c r="I851" s="53"/>
      <c r="J851" s="52"/>
      <c r="K851" s="52"/>
      <c r="L851" s="52"/>
      <c r="M851" s="52"/>
      <c r="N851" s="52"/>
      <c r="O851" s="52"/>
      <c r="P851" s="9"/>
      <c r="Q851" s="9"/>
      <c r="R851" s="9"/>
      <c r="S851" s="50"/>
      <c r="T851" s="50"/>
      <c r="U851" s="9"/>
      <c r="V851" s="9"/>
      <c r="W851" s="9"/>
      <c r="X851" s="9"/>
      <c r="Y851" s="9"/>
      <c r="Z851" s="9"/>
      <c r="AA851" s="9"/>
    </row>
    <row r="852">
      <c r="A852" s="52"/>
      <c r="B852" s="50"/>
      <c r="C852" s="52"/>
      <c r="D852" s="52"/>
      <c r="E852" s="52"/>
      <c r="F852" s="52"/>
      <c r="G852" s="52"/>
      <c r="H852" s="53"/>
      <c r="I852" s="53"/>
      <c r="J852" s="52"/>
      <c r="K852" s="52"/>
      <c r="L852" s="52"/>
      <c r="M852" s="52"/>
      <c r="N852" s="52"/>
      <c r="O852" s="52"/>
      <c r="P852" s="9"/>
      <c r="Q852" s="9"/>
      <c r="R852" s="9"/>
      <c r="S852" s="50"/>
      <c r="T852" s="50"/>
      <c r="U852" s="9"/>
      <c r="V852" s="9"/>
      <c r="W852" s="9"/>
      <c r="X852" s="9"/>
      <c r="Y852" s="9"/>
      <c r="Z852" s="9"/>
      <c r="AA852" s="9"/>
    </row>
    <row r="853">
      <c r="A853" s="52"/>
      <c r="B853" s="50"/>
      <c r="C853" s="52"/>
      <c r="D853" s="52"/>
      <c r="E853" s="52"/>
      <c r="F853" s="52"/>
      <c r="G853" s="52"/>
      <c r="H853" s="53"/>
      <c r="I853" s="53"/>
      <c r="J853" s="52"/>
      <c r="K853" s="52"/>
      <c r="L853" s="52"/>
      <c r="M853" s="52"/>
      <c r="N853" s="52"/>
      <c r="O853" s="52"/>
      <c r="P853" s="9"/>
      <c r="Q853" s="9"/>
      <c r="R853" s="9"/>
      <c r="S853" s="50"/>
      <c r="T853" s="50"/>
      <c r="U853" s="9"/>
      <c r="V853" s="9"/>
      <c r="W853" s="9"/>
      <c r="X853" s="9"/>
      <c r="Y853" s="9"/>
      <c r="Z853" s="9"/>
      <c r="AA853" s="9"/>
    </row>
    <row r="854">
      <c r="A854" s="52"/>
      <c r="B854" s="50"/>
      <c r="C854" s="52"/>
      <c r="D854" s="52"/>
      <c r="E854" s="52"/>
      <c r="F854" s="52"/>
      <c r="G854" s="52"/>
      <c r="H854" s="53"/>
      <c r="I854" s="53"/>
      <c r="J854" s="52"/>
      <c r="K854" s="52"/>
      <c r="L854" s="52"/>
      <c r="M854" s="52"/>
      <c r="N854" s="52"/>
      <c r="O854" s="52"/>
      <c r="P854" s="9"/>
      <c r="Q854" s="9"/>
      <c r="R854" s="9"/>
      <c r="S854" s="50"/>
      <c r="T854" s="50"/>
      <c r="U854" s="9"/>
      <c r="V854" s="9"/>
      <c r="W854" s="9"/>
      <c r="X854" s="9"/>
      <c r="Y854" s="9"/>
      <c r="Z854" s="9"/>
      <c r="AA854" s="9"/>
    </row>
    <row r="855">
      <c r="A855" s="52"/>
      <c r="B855" s="50"/>
      <c r="C855" s="52"/>
      <c r="D855" s="52"/>
      <c r="E855" s="52"/>
      <c r="F855" s="52"/>
      <c r="G855" s="52"/>
      <c r="H855" s="53"/>
      <c r="I855" s="53"/>
      <c r="J855" s="52"/>
      <c r="K855" s="52"/>
      <c r="L855" s="52"/>
      <c r="M855" s="52"/>
      <c r="N855" s="52"/>
      <c r="O855" s="52"/>
      <c r="P855" s="9"/>
      <c r="Q855" s="9"/>
      <c r="R855" s="9"/>
      <c r="S855" s="50"/>
      <c r="T855" s="50"/>
      <c r="U855" s="9"/>
      <c r="V855" s="9"/>
      <c r="W855" s="9"/>
      <c r="X855" s="9"/>
      <c r="Y855" s="9"/>
      <c r="Z855" s="9"/>
      <c r="AA855" s="9"/>
    </row>
    <row r="856">
      <c r="A856" s="52"/>
      <c r="B856" s="50"/>
      <c r="C856" s="52"/>
      <c r="D856" s="52"/>
      <c r="E856" s="52"/>
      <c r="F856" s="52"/>
      <c r="G856" s="52"/>
      <c r="H856" s="53"/>
      <c r="I856" s="53"/>
      <c r="J856" s="52"/>
      <c r="K856" s="52"/>
      <c r="L856" s="52"/>
      <c r="M856" s="52"/>
      <c r="N856" s="52"/>
      <c r="O856" s="52"/>
      <c r="P856" s="9"/>
      <c r="Q856" s="9"/>
      <c r="R856" s="9"/>
      <c r="S856" s="50"/>
      <c r="T856" s="50"/>
      <c r="U856" s="9"/>
      <c r="V856" s="9"/>
      <c r="W856" s="9"/>
      <c r="X856" s="9"/>
      <c r="Y856" s="9"/>
      <c r="Z856" s="9"/>
      <c r="AA856" s="9"/>
    </row>
    <row r="857">
      <c r="A857" s="52"/>
      <c r="B857" s="50"/>
      <c r="C857" s="52"/>
      <c r="D857" s="52"/>
      <c r="E857" s="52"/>
      <c r="F857" s="52"/>
      <c r="G857" s="52"/>
      <c r="H857" s="53"/>
      <c r="I857" s="53"/>
      <c r="J857" s="52"/>
      <c r="K857" s="52"/>
      <c r="L857" s="52"/>
      <c r="M857" s="52"/>
      <c r="N857" s="52"/>
      <c r="O857" s="52"/>
      <c r="P857" s="9"/>
      <c r="Q857" s="9"/>
      <c r="R857" s="9"/>
      <c r="S857" s="50"/>
      <c r="T857" s="50"/>
      <c r="U857" s="9"/>
      <c r="V857" s="9"/>
      <c r="W857" s="9"/>
      <c r="X857" s="9"/>
      <c r="Y857" s="9"/>
      <c r="Z857" s="9"/>
      <c r="AA857" s="9"/>
    </row>
    <row r="858">
      <c r="A858" s="52"/>
      <c r="B858" s="50"/>
      <c r="C858" s="52"/>
      <c r="D858" s="52"/>
      <c r="E858" s="52"/>
      <c r="F858" s="52"/>
      <c r="G858" s="52"/>
      <c r="H858" s="53"/>
      <c r="I858" s="53"/>
      <c r="J858" s="52"/>
      <c r="K858" s="52"/>
      <c r="L858" s="52"/>
      <c r="M858" s="52"/>
      <c r="N858" s="52"/>
      <c r="O858" s="52"/>
      <c r="P858" s="9"/>
      <c r="Q858" s="9"/>
      <c r="R858" s="9"/>
      <c r="S858" s="50"/>
      <c r="T858" s="50"/>
      <c r="U858" s="9"/>
      <c r="V858" s="9"/>
      <c r="W858" s="9"/>
      <c r="X858" s="9"/>
      <c r="Y858" s="9"/>
      <c r="Z858" s="9"/>
      <c r="AA858" s="9"/>
    </row>
    <row r="859">
      <c r="A859" s="52"/>
      <c r="B859" s="50"/>
      <c r="C859" s="52"/>
      <c r="D859" s="52"/>
      <c r="E859" s="52"/>
      <c r="F859" s="52"/>
      <c r="G859" s="52"/>
      <c r="H859" s="53"/>
      <c r="I859" s="53"/>
      <c r="J859" s="52"/>
      <c r="K859" s="52"/>
      <c r="L859" s="52"/>
      <c r="M859" s="52"/>
      <c r="N859" s="52"/>
      <c r="O859" s="52"/>
      <c r="P859" s="9"/>
      <c r="Q859" s="9"/>
      <c r="R859" s="9"/>
      <c r="S859" s="50"/>
      <c r="T859" s="50"/>
      <c r="U859" s="9"/>
      <c r="V859" s="9"/>
      <c r="W859" s="9"/>
      <c r="X859" s="9"/>
      <c r="Y859" s="9"/>
      <c r="Z859" s="9"/>
      <c r="AA859" s="9"/>
    </row>
    <row r="860">
      <c r="A860" s="52"/>
      <c r="B860" s="50"/>
      <c r="C860" s="52"/>
      <c r="D860" s="52"/>
      <c r="E860" s="52"/>
      <c r="F860" s="52"/>
      <c r="G860" s="52"/>
      <c r="H860" s="53"/>
      <c r="I860" s="53"/>
      <c r="J860" s="52"/>
      <c r="K860" s="52"/>
      <c r="L860" s="52"/>
      <c r="M860" s="52"/>
      <c r="N860" s="52"/>
      <c r="O860" s="52"/>
      <c r="P860" s="9"/>
      <c r="Q860" s="9"/>
      <c r="R860" s="9"/>
      <c r="S860" s="50"/>
      <c r="T860" s="50"/>
      <c r="U860" s="9"/>
      <c r="V860" s="9"/>
      <c r="W860" s="9"/>
      <c r="X860" s="9"/>
      <c r="Y860" s="9"/>
      <c r="Z860" s="9"/>
      <c r="AA860" s="9"/>
    </row>
    <row r="861">
      <c r="A861" s="52"/>
      <c r="B861" s="50"/>
      <c r="C861" s="52"/>
      <c r="D861" s="52"/>
      <c r="E861" s="52"/>
      <c r="F861" s="52"/>
      <c r="G861" s="52"/>
      <c r="H861" s="53"/>
      <c r="I861" s="53"/>
      <c r="J861" s="52"/>
      <c r="K861" s="52"/>
      <c r="L861" s="52"/>
      <c r="M861" s="52"/>
      <c r="N861" s="52"/>
      <c r="O861" s="52"/>
      <c r="P861" s="9"/>
      <c r="Q861" s="9"/>
      <c r="R861" s="9"/>
      <c r="S861" s="50"/>
      <c r="T861" s="50"/>
      <c r="U861" s="9"/>
      <c r="V861" s="9"/>
      <c r="W861" s="9"/>
      <c r="X861" s="9"/>
      <c r="Y861" s="9"/>
      <c r="Z861" s="9"/>
      <c r="AA861" s="9"/>
    </row>
    <row r="862">
      <c r="A862" s="52"/>
      <c r="B862" s="50"/>
      <c r="C862" s="52"/>
      <c r="D862" s="52"/>
      <c r="E862" s="52"/>
      <c r="F862" s="52"/>
      <c r="G862" s="52"/>
      <c r="H862" s="53"/>
      <c r="I862" s="53"/>
      <c r="J862" s="52"/>
      <c r="K862" s="52"/>
      <c r="L862" s="52"/>
      <c r="M862" s="52"/>
      <c r="N862" s="52"/>
      <c r="O862" s="52"/>
      <c r="P862" s="9"/>
      <c r="Q862" s="9"/>
      <c r="R862" s="9"/>
      <c r="S862" s="50"/>
      <c r="T862" s="50"/>
      <c r="U862" s="9"/>
      <c r="V862" s="9"/>
      <c r="W862" s="9"/>
      <c r="X862" s="9"/>
      <c r="Y862" s="9"/>
      <c r="Z862" s="9"/>
      <c r="AA862" s="9"/>
    </row>
    <row r="863">
      <c r="A863" s="52"/>
      <c r="B863" s="50"/>
      <c r="C863" s="52"/>
      <c r="D863" s="52"/>
      <c r="E863" s="52"/>
      <c r="F863" s="52"/>
      <c r="G863" s="52"/>
      <c r="H863" s="53"/>
      <c r="I863" s="53"/>
      <c r="J863" s="52"/>
      <c r="K863" s="52"/>
      <c r="L863" s="52"/>
      <c r="M863" s="52"/>
      <c r="N863" s="52"/>
      <c r="O863" s="52"/>
      <c r="P863" s="9"/>
      <c r="Q863" s="9"/>
      <c r="R863" s="9"/>
      <c r="S863" s="50"/>
      <c r="T863" s="50"/>
      <c r="U863" s="9"/>
      <c r="V863" s="9"/>
      <c r="W863" s="9"/>
      <c r="X863" s="9"/>
      <c r="Y863" s="9"/>
      <c r="Z863" s="9"/>
      <c r="AA863" s="9"/>
    </row>
    <row r="864">
      <c r="A864" s="52"/>
      <c r="B864" s="50"/>
      <c r="C864" s="52"/>
      <c r="D864" s="52"/>
      <c r="E864" s="52"/>
      <c r="F864" s="52"/>
      <c r="G864" s="52"/>
      <c r="H864" s="53"/>
      <c r="I864" s="53"/>
      <c r="J864" s="52"/>
      <c r="K864" s="52"/>
      <c r="L864" s="52"/>
      <c r="M864" s="52"/>
      <c r="N864" s="52"/>
      <c r="O864" s="52"/>
      <c r="P864" s="9"/>
      <c r="Q864" s="9"/>
      <c r="R864" s="9"/>
      <c r="S864" s="50"/>
      <c r="T864" s="50"/>
      <c r="U864" s="9"/>
      <c r="V864" s="9"/>
      <c r="W864" s="9"/>
      <c r="X864" s="9"/>
      <c r="Y864" s="9"/>
      <c r="Z864" s="9"/>
      <c r="AA864" s="9"/>
    </row>
    <row r="865">
      <c r="A865" s="52"/>
      <c r="B865" s="50"/>
      <c r="C865" s="52"/>
      <c r="D865" s="52"/>
      <c r="E865" s="52"/>
      <c r="F865" s="52"/>
      <c r="G865" s="52"/>
      <c r="H865" s="53"/>
      <c r="I865" s="53"/>
      <c r="J865" s="52"/>
      <c r="K865" s="52"/>
      <c r="L865" s="52"/>
      <c r="M865" s="52"/>
      <c r="N865" s="52"/>
      <c r="O865" s="52"/>
      <c r="P865" s="9"/>
      <c r="Q865" s="9"/>
      <c r="R865" s="9"/>
      <c r="S865" s="50"/>
      <c r="T865" s="50"/>
      <c r="U865" s="9"/>
      <c r="V865" s="9"/>
      <c r="W865" s="9"/>
      <c r="X865" s="9"/>
      <c r="Y865" s="9"/>
      <c r="Z865" s="9"/>
      <c r="AA865" s="9"/>
    </row>
    <row r="866">
      <c r="A866" s="52"/>
      <c r="B866" s="50"/>
      <c r="C866" s="52"/>
      <c r="D866" s="52"/>
      <c r="E866" s="52"/>
      <c r="F866" s="52"/>
      <c r="G866" s="52"/>
      <c r="H866" s="53"/>
      <c r="I866" s="53"/>
      <c r="J866" s="52"/>
      <c r="K866" s="52"/>
      <c r="L866" s="52"/>
      <c r="M866" s="52"/>
      <c r="N866" s="52"/>
      <c r="O866" s="52"/>
      <c r="P866" s="9"/>
      <c r="Q866" s="9"/>
      <c r="R866" s="9"/>
      <c r="S866" s="50"/>
      <c r="T866" s="50"/>
      <c r="U866" s="9"/>
      <c r="V866" s="9"/>
      <c r="W866" s="9"/>
      <c r="X866" s="9"/>
      <c r="Y866" s="9"/>
      <c r="Z866" s="9"/>
      <c r="AA866" s="9"/>
    </row>
    <row r="867">
      <c r="A867" s="52"/>
      <c r="B867" s="50"/>
      <c r="C867" s="52"/>
      <c r="D867" s="52"/>
      <c r="E867" s="52"/>
      <c r="F867" s="52"/>
      <c r="G867" s="52"/>
      <c r="H867" s="53"/>
      <c r="I867" s="53"/>
      <c r="J867" s="52"/>
      <c r="K867" s="52"/>
      <c r="L867" s="52"/>
      <c r="M867" s="52"/>
      <c r="N867" s="52"/>
      <c r="O867" s="52"/>
      <c r="P867" s="9"/>
      <c r="Q867" s="9"/>
      <c r="R867" s="9"/>
      <c r="S867" s="50"/>
      <c r="T867" s="50"/>
      <c r="U867" s="9"/>
      <c r="V867" s="9"/>
      <c r="W867" s="9"/>
      <c r="X867" s="9"/>
      <c r="Y867" s="9"/>
      <c r="Z867" s="9"/>
      <c r="AA867" s="9"/>
    </row>
    <row r="868">
      <c r="A868" s="52"/>
      <c r="B868" s="50"/>
      <c r="C868" s="52"/>
      <c r="D868" s="52"/>
      <c r="E868" s="52"/>
      <c r="F868" s="52"/>
      <c r="G868" s="52"/>
      <c r="H868" s="53"/>
      <c r="I868" s="53"/>
      <c r="J868" s="52"/>
      <c r="K868" s="52"/>
      <c r="L868" s="52"/>
      <c r="M868" s="52"/>
      <c r="N868" s="52"/>
      <c r="O868" s="52"/>
      <c r="P868" s="9"/>
      <c r="Q868" s="9"/>
      <c r="R868" s="9"/>
      <c r="S868" s="50"/>
      <c r="T868" s="50"/>
      <c r="U868" s="9"/>
      <c r="V868" s="9"/>
      <c r="W868" s="9"/>
      <c r="X868" s="9"/>
      <c r="Y868" s="9"/>
      <c r="Z868" s="9"/>
      <c r="AA868" s="9"/>
    </row>
    <row r="869">
      <c r="A869" s="52"/>
      <c r="B869" s="50"/>
      <c r="C869" s="52"/>
      <c r="D869" s="52"/>
      <c r="E869" s="52"/>
      <c r="F869" s="52"/>
      <c r="G869" s="52"/>
      <c r="H869" s="53"/>
      <c r="I869" s="53"/>
      <c r="J869" s="52"/>
      <c r="K869" s="52"/>
      <c r="L869" s="52"/>
      <c r="M869" s="52"/>
      <c r="N869" s="52"/>
      <c r="O869" s="52"/>
      <c r="P869" s="9"/>
      <c r="Q869" s="9"/>
      <c r="R869" s="9"/>
      <c r="S869" s="50"/>
      <c r="T869" s="50"/>
      <c r="U869" s="9"/>
      <c r="V869" s="9"/>
      <c r="W869" s="9"/>
      <c r="X869" s="9"/>
      <c r="Y869" s="9"/>
      <c r="Z869" s="9"/>
      <c r="AA869" s="9"/>
    </row>
    <row r="870">
      <c r="A870" s="52"/>
      <c r="B870" s="50"/>
      <c r="C870" s="52"/>
      <c r="D870" s="52"/>
      <c r="E870" s="52"/>
      <c r="F870" s="52"/>
      <c r="G870" s="52"/>
      <c r="H870" s="53"/>
      <c r="I870" s="53"/>
      <c r="J870" s="52"/>
      <c r="K870" s="52"/>
      <c r="L870" s="52"/>
      <c r="M870" s="52"/>
      <c r="N870" s="52"/>
      <c r="O870" s="52"/>
      <c r="P870" s="9"/>
      <c r="Q870" s="9"/>
      <c r="R870" s="9"/>
      <c r="S870" s="50"/>
      <c r="T870" s="50"/>
      <c r="U870" s="9"/>
      <c r="V870" s="9"/>
      <c r="W870" s="9"/>
      <c r="X870" s="9"/>
      <c r="Y870" s="9"/>
      <c r="Z870" s="9"/>
      <c r="AA870" s="9"/>
    </row>
    <row r="871">
      <c r="A871" s="52"/>
      <c r="B871" s="50"/>
      <c r="C871" s="52"/>
      <c r="D871" s="52"/>
      <c r="E871" s="52"/>
      <c r="F871" s="52"/>
      <c r="G871" s="52"/>
      <c r="H871" s="53"/>
      <c r="I871" s="53"/>
      <c r="J871" s="52"/>
      <c r="K871" s="52"/>
      <c r="L871" s="52"/>
      <c r="M871" s="52"/>
      <c r="N871" s="52"/>
      <c r="O871" s="52"/>
      <c r="P871" s="9"/>
      <c r="Q871" s="9"/>
      <c r="R871" s="9"/>
      <c r="S871" s="50"/>
      <c r="T871" s="50"/>
      <c r="U871" s="9"/>
      <c r="V871" s="9"/>
      <c r="W871" s="9"/>
      <c r="X871" s="9"/>
      <c r="Y871" s="9"/>
      <c r="Z871" s="9"/>
      <c r="AA871" s="9"/>
    </row>
    <row r="872">
      <c r="A872" s="52"/>
      <c r="B872" s="50"/>
      <c r="C872" s="52"/>
      <c r="D872" s="52"/>
      <c r="E872" s="52"/>
      <c r="F872" s="52"/>
      <c r="G872" s="52"/>
      <c r="H872" s="53"/>
      <c r="I872" s="53"/>
      <c r="J872" s="52"/>
      <c r="K872" s="52"/>
      <c r="L872" s="52"/>
      <c r="M872" s="52"/>
      <c r="N872" s="52"/>
      <c r="O872" s="52"/>
      <c r="P872" s="9"/>
      <c r="Q872" s="9"/>
      <c r="R872" s="9"/>
      <c r="S872" s="50"/>
      <c r="T872" s="50"/>
      <c r="U872" s="9"/>
      <c r="V872" s="9"/>
      <c r="W872" s="9"/>
      <c r="X872" s="9"/>
      <c r="Y872" s="9"/>
      <c r="Z872" s="9"/>
      <c r="AA872" s="9"/>
    </row>
    <row r="873">
      <c r="A873" s="52"/>
      <c r="B873" s="50"/>
      <c r="C873" s="52"/>
      <c r="D873" s="52"/>
      <c r="E873" s="52"/>
      <c r="F873" s="52"/>
      <c r="G873" s="52"/>
      <c r="H873" s="53"/>
      <c r="I873" s="53"/>
      <c r="J873" s="52"/>
      <c r="K873" s="52"/>
      <c r="L873" s="52"/>
      <c r="M873" s="52"/>
      <c r="N873" s="52"/>
      <c r="O873" s="52"/>
      <c r="P873" s="9"/>
      <c r="Q873" s="9"/>
      <c r="R873" s="9"/>
      <c r="S873" s="50"/>
      <c r="T873" s="50"/>
      <c r="U873" s="9"/>
      <c r="V873" s="9"/>
      <c r="W873" s="9"/>
      <c r="X873" s="9"/>
      <c r="Y873" s="9"/>
      <c r="Z873" s="9"/>
      <c r="AA873" s="9"/>
    </row>
    <row r="874">
      <c r="A874" s="52"/>
      <c r="B874" s="50"/>
      <c r="C874" s="52"/>
      <c r="D874" s="52"/>
      <c r="E874" s="52"/>
      <c r="F874" s="52"/>
      <c r="G874" s="52"/>
      <c r="H874" s="53"/>
      <c r="I874" s="53"/>
      <c r="J874" s="52"/>
      <c r="K874" s="52"/>
      <c r="L874" s="52"/>
      <c r="M874" s="52"/>
      <c r="N874" s="52"/>
      <c r="O874" s="52"/>
      <c r="P874" s="9"/>
      <c r="Q874" s="9"/>
      <c r="R874" s="9"/>
      <c r="S874" s="50"/>
      <c r="T874" s="50"/>
      <c r="U874" s="9"/>
      <c r="V874" s="9"/>
      <c r="W874" s="9"/>
      <c r="X874" s="9"/>
      <c r="Y874" s="9"/>
      <c r="Z874" s="9"/>
      <c r="AA874" s="9"/>
    </row>
    <row r="875">
      <c r="A875" s="52"/>
      <c r="B875" s="50"/>
      <c r="C875" s="52"/>
      <c r="D875" s="52"/>
      <c r="E875" s="52"/>
      <c r="F875" s="52"/>
      <c r="G875" s="52"/>
      <c r="H875" s="53"/>
      <c r="I875" s="53"/>
      <c r="J875" s="52"/>
      <c r="K875" s="52"/>
      <c r="L875" s="52"/>
      <c r="M875" s="52"/>
      <c r="N875" s="52"/>
      <c r="O875" s="52"/>
      <c r="P875" s="9"/>
      <c r="Q875" s="9"/>
      <c r="R875" s="9"/>
      <c r="S875" s="50"/>
      <c r="T875" s="50"/>
      <c r="U875" s="9"/>
      <c r="V875" s="9"/>
      <c r="W875" s="9"/>
      <c r="X875" s="9"/>
      <c r="Y875" s="9"/>
      <c r="Z875" s="9"/>
      <c r="AA875" s="9"/>
    </row>
    <row r="876">
      <c r="A876" s="52"/>
      <c r="B876" s="50"/>
      <c r="C876" s="52"/>
      <c r="D876" s="52"/>
      <c r="E876" s="52"/>
      <c r="F876" s="52"/>
      <c r="G876" s="52"/>
      <c r="H876" s="53"/>
      <c r="I876" s="53"/>
      <c r="J876" s="52"/>
      <c r="K876" s="52"/>
      <c r="L876" s="52"/>
      <c r="M876" s="52"/>
      <c r="N876" s="52"/>
      <c r="O876" s="52"/>
      <c r="P876" s="9"/>
      <c r="Q876" s="9"/>
      <c r="R876" s="9"/>
      <c r="S876" s="50"/>
      <c r="T876" s="50"/>
      <c r="U876" s="9"/>
      <c r="V876" s="9"/>
      <c r="W876" s="9"/>
      <c r="X876" s="9"/>
      <c r="Y876" s="9"/>
      <c r="Z876" s="9"/>
      <c r="AA876" s="9"/>
    </row>
    <row r="877">
      <c r="A877" s="52"/>
      <c r="B877" s="50"/>
      <c r="C877" s="52"/>
      <c r="D877" s="52"/>
      <c r="E877" s="52"/>
      <c r="F877" s="52"/>
      <c r="G877" s="52"/>
      <c r="H877" s="53"/>
      <c r="I877" s="53"/>
      <c r="J877" s="52"/>
      <c r="K877" s="52"/>
      <c r="L877" s="52"/>
      <c r="M877" s="52"/>
      <c r="N877" s="52"/>
      <c r="O877" s="52"/>
      <c r="P877" s="9"/>
      <c r="Q877" s="9"/>
      <c r="R877" s="9"/>
      <c r="S877" s="50"/>
      <c r="T877" s="50"/>
      <c r="U877" s="9"/>
      <c r="V877" s="9"/>
      <c r="W877" s="9"/>
      <c r="X877" s="9"/>
      <c r="Y877" s="9"/>
      <c r="Z877" s="9"/>
      <c r="AA877" s="9"/>
    </row>
    <row r="878">
      <c r="A878" s="52"/>
      <c r="B878" s="50"/>
      <c r="C878" s="52"/>
      <c r="D878" s="52"/>
      <c r="E878" s="52"/>
      <c r="F878" s="52"/>
      <c r="G878" s="52"/>
      <c r="H878" s="53"/>
      <c r="I878" s="53"/>
      <c r="J878" s="52"/>
      <c r="K878" s="52"/>
      <c r="L878" s="52"/>
      <c r="M878" s="52"/>
      <c r="N878" s="52"/>
      <c r="O878" s="52"/>
      <c r="P878" s="9"/>
      <c r="Q878" s="9"/>
      <c r="R878" s="9"/>
      <c r="S878" s="50"/>
      <c r="T878" s="50"/>
      <c r="U878" s="9"/>
      <c r="V878" s="9"/>
      <c r="W878" s="9"/>
      <c r="X878" s="9"/>
      <c r="Y878" s="9"/>
      <c r="Z878" s="9"/>
      <c r="AA878" s="9"/>
    </row>
    <row r="879">
      <c r="A879" s="52"/>
      <c r="B879" s="50"/>
      <c r="C879" s="52"/>
      <c r="D879" s="52"/>
      <c r="E879" s="52"/>
      <c r="F879" s="52"/>
      <c r="G879" s="52"/>
      <c r="H879" s="53"/>
      <c r="I879" s="53"/>
      <c r="J879" s="52"/>
      <c r="K879" s="52"/>
      <c r="L879" s="52"/>
      <c r="M879" s="52"/>
      <c r="N879" s="52"/>
      <c r="O879" s="52"/>
      <c r="P879" s="9"/>
      <c r="Q879" s="9"/>
      <c r="R879" s="9"/>
      <c r="S879" s="50"/>
      <c r="T879" s="50"/>
      <c r="U879" s="9"/>
      <c r="V879" s="9"/>
      <c r="W879" s="9"/>
      <c r="X879" s="9"/>
      <c r="Y879" s="9"/>
      <c r="Z879" s="9"/>
      <c r="AA879" s="9"/>
    </row>
    <row r="880">
      <c r="A880" s="52"/>
      <c r="B880" s="50"/>
      <c r="C880" s="52"/>
      <c r="D880" s="52"/>
      <c r="E880" s="52"/>
      <c r="F880" s="52"/>
      <c r="G880" s="52"/>
      <c r="H880" s="53"/>
      <c r="I880" s="53"/>
      <c r="J880" s="52"/>
      <c r="K880" s="52"/>
      <c r="L880" s="52"/>
      <c r="M880" s="52"/>
      <c r="N880" s="52"/>
      <c r="O880" s="52"/>
      <c r="P880" s="9"/>
      <c r="Q880" s="9"/>
      <c r="R880" s="9"/>
      <c r="S880" s="50"/>
      <c r="T880" s="50"/>
      <c r="U880" s="9"/>
      <c r="V880" s="9"/>
      <c r="W880" s="9"/>
      <c r="X880" s="9"/>
      <c r="Y880" s="9"/>
      <c r="Z880" s="9"/>
      <c r="AA880" s="9"/>
    </row>
    <row r="881">
      <c r="A881" s="52"/>
      <c r="B881" s="50"/>
      <c r="C881" s="52"/>
      <c r="D881" s="52"/>
      <c r="E881" s="52"/>
      <c r="F881" s="52"/>
      <c r="G881" s="52"/>
      <c r="H881" s="53"/>
      <c r="I881" s="53"/>
      <c r="J881" s="52"/>
      <c r="K881" s="52"/>
      <c r="L881" s="52"/>
      <c r="M881" s="52"/>
      <c r="N881" s="52"/>
      <c r="O881" s="52"/>
      <c r="P881" s="9"/>
      <c r="Q881" s="9"/>
      <c r="R881" s="9"/>
      <c r="S881" s="50"/>
      <c r="T881" s="50"/>
      <c r="U881" s="9"/>
      <c r="V881" s="9"/>
      <c r="W881" s="9"/>
      <c r="X881" s="9"/>
      <c r="Y881" s="9"/>
      <c r="Z881" s="9"/>
      <c r="AA881" s="9"/>
    </row>
    <row r="882">
      <c r="A882" s="52"/>
      <c r="B882" s="50"/>
      <c r="C882" s="52"/>
      <c r="D882" s="52"/>
      <c r="E882" s="52"/>
      <c r="F882" s="52"/>
      <c r="G882" s="52"/>
      <c r="H882" s="53"/>
      <c r="I882" s="53"/>
      <c r="J882" s="52"/>
      <c r="K882" s="52"/>
      <c r="L882" s="52"/>
      <c r="M882" s="52"/>
      <c r="N882" s="52"/>
      <c r="O882" s="52"/>
      <c r="P882" s="9"/>
      <c r="Q882" s="9"/>
      <c r="R882" s="9"/>
      <c r="S882" s="50"/>
      <c r="T882" s="50"/>
      <c r="U882" s="9"/>
      <c r="V882" s="9"/>
      <c r="W882" s="9"/>
      <c r="X882" s="9"/>
      <c r="Y882" s="9"/>
      <c r="Z882" s="9"/>
      <c r="AA882" s="9"/>
    </row>
    <row r="883">
      <c r="A883" s="52"/>
      <c r="B883" s="50"/>
      <c r="C883" s="52"/>
      <c r="D883" s="52"/>
      <c r="E883" s="52"/>
      <c r="F883" s="52"/>
      <c r="G883" s="52"/>
      <c r="H883" s="53"/>
      <c r="I883" s="53"/>
      <c r="J883" s="52"/>
      <c r="K883" s="52"/>
      <c r="L883" s="52"/>
      <c r="M883" s="52"/>
      <c r="N883" s="52"/>
      <c r="O883" s="52"/>
      <c r="P883" s="9"/>
      <c r="Q883" s="9"/>
      <c r="R883" s="9"/>
      <c r="S883" s="50"/>
      <c r="T883" s="50"/>
      <c r="U883" s="9"/>
      <c r="V883" s="9"/>
      <c r="W883" s="9"/>
      <c r="X883" s="9"/>
      <c r="Y883" s="9"/>
      <c r="Z883" s="9"/>
      <c r="AA883" s="9"/>
    </row>
    <row r="884">
      <c r="A884" s="52"/>
      <c r="B884" s="50"/>
      <c r="C884" s="52"/>
      <c r="D884" s="52"/>
      <c r="E884" s="52"/>
      <c r="F884" s="52"/>
      <c r="G884" s="52"/>
      <c r="H884" s="53"/>
      <c r="I884" s="53"/>
      <c r="J884" s="52"/>
      <c r="K884" s="52"/>
      <c r="L884" s="52"/>
      <c r="M884" s="52"/>
      <c r="N884" s="52"/>
      <c r="O884" s="52"/>
      <c r="P884" s="9"/>
      <c r="Q884" s="9"/>
      <c r="R884" s="9"/>
      <c r="S884" s="50"/>
      <c r="T884" s="50"/>
      <c r="U884" s="9"/>
      <c r="V884" s="9"/>
      <c r="W884" s="9"/>
      <c r="X884" s="9"/>
      <c r="Y884" s="9"/>
      <c r="Z884" s="9"/>
      <c r="AA884" s="9"/>
    </row>
    <row r="885">
      <c r="A885" s="52"/>
      <c r="B885" s="50"/>
      <c r="C885" s="52"/>
      <c r="D885" s="52"/>
      <c r="E885" s="52"/>
      <c r="F885" s="52"/>
      <c r="G885" s="52"/>
      <c r="H885" s="53"/>
      <c r="I885" s="53"/>
      <c r="J885" s="52"/>
      <c r="K885" s="52"/>
      <c r="L885" s="52"/>
      <c r="M885" s="52"/>
      <c r="N885" s="52"/>
      <c r="O885" s="52"/>
      <c r="P885" s="9"/>
      <c r="Q885" s="9"/>
      <c r="R885" s="9"/>
      <c r="S885" s="50"/>
      <c r="T885" s="50"/>
      <c r="U885" s="9"/>
      <c r="V885" s="9"/>
      <c r="W885" s="9"/>
      <c r="X885" s="9"/>
      <c r="Y885" s="9"/>
      <c r="Z885" s="9"/>
      <c r="AA885" s="9"/>
    </row>
    <row r="886">
      <c r="A886" s="52"/>
      <c r="B886" s="50"/>
      <c r="C886" s="52"/>
      <c r="D886" s="52"/>
      <c r="E886" s="52"/>
      <c r="F886" s="52"/>
      <c r="G886" s="52"/>
      <c r="H886" s="53"/>
      <c r="I886" s="53"/>
      <c r="J886" s="52"/>
      <c r="K886" s="52"/>
      <c r="L886" s="52"/>
      <c r="M886" s="52"/>
      <c r="N886" s="52"/>
      <c r="O886" s="52"/>
      <c r="P886" s="9"/>
      <c r="Q886" s="9"/>
      <c r="R886" s="9"/>
      <c r="S886" s="50"/>
      <c r="T886" s="50"/>
      <c r="U886" s="9"/>
      <c r="V886" s="9"/>
      <c r="W886" s="9"/>
      <c r="X886" s="9"/>
      <c r="Y886" s="9"/>
      <c r="Z886" s="9"/>
      <c r="AA886" s="9"/>
    </row>
    <row r="887">
      <c r="A887" s="52"/>
      <c r="B887" s="50"/>
      <c r="C887" s="52"/>
      <c r="D887" s="52"/>
      <c r="E887" s="52"/>
      <c r="F887" s="52"/>
      <c r="G887" s="52"/>
      <c r="H887" s="53"/>
      <c r="I887" s="53"/>
      <c r="J887" s="52"/>
      <c r="K887" s="52"/>
      <c r="L887" s="52"/>
      <c r="M887" s="52"/>
      <c r="N887" s="52"/>
      <c r="O887" s="52"/>
      <c r="P887" s="9"/>
      <c r="Q887" s="9"/>
      <c r="R887" s="9"/>
      <c r="S887" s="50"/>
      <c r="T887" s="50"/>
      <c r="U887" s="9"/>
      <c r="V887" s="9"/>
      <c r="W887" s="9"/>
      <c r="X887" s="9"/>
      <c r="Y887" s="9"/>
      <c r="Z887" s="9"/>
      <c r="AA887" s="9"/>
    </row>
    <row r="888">
      <c r="A888" s="52"/>
      <c r="B888" s="50"/>
      <c r="C888" s="52"/>
      <c r="D888" s="52"/>
      <c r="E888" s="52"/>
      <c r="F888" s="52"/>
      <c r="G888" s="52"/>
      <c r="H888" s="53"/>
      <c r="I888" s="53"/>
      <c r="J888" s="52"/>
      <c r="K888" s="52"/>
      <c r="L888" s="52"/>
      <c r="M888" s="52"/>
      <c r="N888" s="52"/>
      <c r="O888" s="52"/>
      <c r="P888" s="9"/>
      <c r="Q888" s="9"/>
      <c r="R888" s="9"/>
      <c r="S888" s="50"/>
      <c r="T888" s="50"/>
      <c r="U888" s="9"/>
      <c r="V888" s="9"/>
      <c r="W888" s="9"/>
      <c r="X888" s="9"/>
      <c r="Y888" s="9"/>
      <c r="Z888" s="9"/>
      <c r="AA888" s="9"/>
    </row>
    <row r="889">
      <c r="A889" s="52"/>
      <c r="B889" s="50"/>
      <c r="C889" s="52"/>
      <c r="D889" s="52"/>
      <c r="E889" s="52"/>
      <c r="F889" s="52"/>
      <c r="G889" s="52"/>
      <c r="H889" s="53"/>
      <c r="I889" s="53"/>
      <c r="J889" s="52"/>
      <c r="K889" s="52"/>
      <c r="L889" s="52"/>
      <c r="M889" s="52"/>
      <c r="N889" s="52"/>
      <c r="O889" s="52"/>
      <c r="P889" s="9"/>
      <c r="Q889" s="9"/>
      <c r="R889" s="9"/>
      <c r="S889" s="50"/>
      <c r="T889" s="50"/>
      <c r="U889" s="9"/>
      <c r="V889" s="9"/>
      <c r="W889" s="9"/>
      <c r="X889" s="9"/>
      <c r="Y889" s="9"/>
      <c r="Z889" s="9"/>
      <c r="AA889" s="9"/>
    </row>
    <row r="890">
      <c r="A890" s="52"/>
      <c r="B890" s="50"/>
      <c r="C890" s="52"/>
      <c r="D890" s="52"/>
      <c r="E890" s="52"/>
      <c r="F890" s="52"/>
      <c r="G890" s="52"/>
      <c r="H890" s="53"/>
      <c r="I890" s="53"/>
      <c r="J890" s="52"/>
      <c r="K890" s="52"/>
      <c r="L890" s="52"/>
      <c r="M890" s="52"/>
      <c r="N890" s="52"/>
      <c r="O890" s="52"/>
      <c r="P890" s="9"/>
      <c r="Q890" s="9"/>
      <c r="R890" s="9"/>
      <c r="S890" s="50"/>
      <c r="T890" s="50"/>
      <c r="U890" s="9"/>
      <c r="V890" s="9"/>
      <c r="W890" s="9"/>
      <c r="X890" s="9"/>
      <c r="Y890" s="9"/>
      <c r="Z890" s="9"/>
      <c r="AA890" s="9"/>
    </row>
    <row r="891">
      <c r="A891" s="52"/>
      <c r="B891" s="50"/>
      <c r="C891" s="52"/>
      <c r="D891" s="52"/>
      <c r="E891" s="52"/>
      <c r="F891" s="52"/>
      <c r="G891" s="52"/>
      <c r="H891" s="53"/>
      <c r="I891" s="53"/>
      <c r="J891" s="52"/>
      <c r="K891" s="52"/>
      <c r="L891" s="52"/>
      <c r="M891" s="52"/>
      <c r="N891" s="52"/>
      <c r="O891" s="52"/>
      <c r="P891" s="9"/>
      <c r="Q891" s="9"/>
      <c r="R891" s="9"/>
      <c r="S891" s="50"/>
      <c r="T891" s="50"/>
      <c r="U891" s="9"/>
      <c r="V891" s="9"/>
      <c r="W891" s="9"/>
      <c r="X891" s="9"/>
      <c r="Y891" s="9"/>
      <c r="Z891" s="9"/>
      <c r="AA891" s="9"/>
    </row>
    <row r="892">
      <c r="A892" s="52"/>
      <c r="B892" s="50"/>
      <c r="C892" s="52"/>
      <c r="D892" s="52"/>
      <c r="E892" s="52"/>
      <c r="F892" s="52"/>
      <c r="G892" s="52"/>
      <c r="H892" s="53"/>
      <c r="I892" s="53"/>
      <c r="J892" s="52"/>
      <c r="K892" s="52"/>
      <c r="L892" s="52"/>
      <c r="M892" s="52"/>
      <c r="N892" s="52"/>
      <c r="O892" s="52"/>
      <c r="P892" s="9"/>
      <c r="Q892" s="9"/>
      <c r="R892" s="9"/>
      <c r="S892" s="50"/>
      <c r="T892" s="50"/>
      <c r="U892" s="9"/>
      <c r="V892" s="9"/>
      <c r="W892" s="9"/>
      <c r="X892" s="9"/>
      <c r="Y892" s="9"/>
      <c r="Z892" s="9"/>
      <c r="AA892" s="9"/>
    </row>
    <row r="893">
      <c r="A893" s="52"/>
      <c r="B893" s="50"/>
      <c r="C893" s="52"/>
      <c r="D893" s="52"/>
      <c r="E893" s="52"/>
      <c r="F893" s="52"/>
      <c r="G893" s="52"/>
      <c r="H893" s="53"/>
      <c r="I893" s="53"/>
      <c r="J893" s="52"/>
      <c r="K893" s="52"/>
      <c r="L893" s="52"/>
      <c r="M893" s="52"/>
      <c r="N893" s="52"/>
      <c r="O893" s="52"/>
      <c r="P893" s="9"/>
      <c r="Q893" s="9"/>
      <c r="R893" s="9"/>
      <c r="S893" s="50"/>
      <c r="T893" s="50"/>
      <c r="U893" s="9"/>
      <c r="V893" s="9"/>
      <c r="W893" s="9"/>
      <c r="X893" s="9"/>
      <c r="Y893" s="9"/>
      <c r="Z893" s="9"/>
      <c r="AA893" s="9"/>
    </row>
    <row r="894">
      <c r="A894" s="52"/>
      <c r="B894" s="50"/>
      <c r="C894" s="52"/>
      <c r="D894" s="52"/>
      <c r="E894" s="52"/>
      <c r="F894" s="52"/>
      <c r="G894" s="52"/>
      <c r="H894" s="53"/>
      <c r="I894" s="53"/>
      <c r="J894" s="52"/>
      <c r="K894" s="52"/>
      <c r="L894" s="52"/>
      <c r="M894" s="52"/>
      <c r="N894" s="52"/>
      <c r="O894" s="52"/>
      <c r="P894" s="9"/>
      <c r="Q894" s="9"/>
      <c r="R894" s="9"/>
      <c r="S894" s="50"/>
      <c r="T894" s="50"/>
      <c r="U894" s="9"/>
      <c r="V894" s="9"/>
      <c r="W894" s="9"/>
      <c r="X894" s="9"/>
      <c r="Y894" s="9"/>
      <c r="Z894" s="9"/>
      <c r="AA894" s="9"/>
    </row>
    <row r="895">
      <c r="A895" s="52"/>
      <c r="B895" s="50"/>
      <c r="C895" s="52"/>
      <c r="D895" s="52"/>
      <c r="E895" s="52"/>
      <c r="F895" s="52"/>
      <c r="G895" s="52"/>
      <c r="H895" s="53"/>
      <c r="I895" s="53"/>
      <c r="J895" s="52"/>
      <c r="K895" s="52"/>
      <c r="L895" s="52"/>
      <c r="M895" s="52"/>
      <c r="N895" s="52"/>
      <c r="O895" s="52"/>
      <c r="P895" s="9"/>
      <c r="Q895" s="9"/>
      <c r="R895" s="9"/>
      <c r="S895" s="50"/>
      <c r="T895" s="50"/>
      <c r="U895" s="9"/>
      <c r="V895" s="9"/>
      <c r="W895" s="9"/>
      <c r="X895" s="9"/>
      <c r="Y895" s="9"/>
      <c r="Z895" s="9"/>
      <c r="AA895" s="9"/>
    </row>
    <row r="896">
      <c r="A896" s="52"/>
      <c r="B896" s="50"/>
      <c r="C896" s="52"/>
      <c r="D896" s="52"/>
      <c r="E896" s="52"/>
      <c r="F896" s="52"/>
      <c r="G896" s="52"/>
      <c r="H896" s="53"/>
      <c r="I896" s="53"/>
      <c r="J896" s="52"/>
      <c r="K896" s="52"/>
      <c r="L896" s="52"/>
      <c r="M896" s="52"/>
      <c r="N896" s="52"/>
      <c r="O896" s="52"/>
      <c r="P896" s="9"/>
      <c r="Q896" s="9"/>
      <c r="R896" s="9"/>
      <c r="S896" s="50"/>
      <c r="T896" s="50"/>
      <c r="U896" s="9"/>
      <c r="V896" s="9"/>
      <c r="W896" s="9"/>
      <c r="X896" s="9"/>
      <c r="Y896" s="9"/>
      <c r="Z896" s="9"/>
      <c r="AA896" s="9"/>
    </row>
    <row r="897">
      <c r="A897" s="52"/>
      <c r="B897" s="50"/>
      <c r="C897" s="52"/>
      <c r="D897" s="52"/>
      <c r="E897" s="52"/>
      <c r="F897" s="52"/>
      <c r="G897" s="52"/>
      <c r="H897" s="53"/>
      <c r="I897" s="53"/>
      <c r="J897" s="52"/>
      <c r="K897" s="52"/>
      <c r="L897" s="52"/>
      <c r="M897" s="52"/>
      <c r="N897" s="52"/>
      <c r="O897" s="52"/>
      <c r="P897" s="9"/>
      <c r="Q897" s="9"/>
      <c r="R897" s="9"/>
      <c r="S897" s="50"/>
      <c r="T897" s="50"/>
      <c r="U897" s="9"/>
      <c r="V897" s="9"/>
      <c r="W897" s="9"/>
      <c r="X897" s="9"/>
      <c r="Y897" s="9"/>
      <c r="Z897" s="9"/>
      <c r="AA897" s="9"/>
    </row>
    <row r="898">
      <c r="A898" s="52"/>
      <c r="B898" s="50"/>
      <c r="C898" s="52"/>
      <c r="D898" s="52"/>
      <c r="E898" s="52"/>
      <c r="F898" s="52"/>
      <c r="G898" s="52"/>
      <c r="H898" s="53"/>
      <c r="I898" s="53"/>
      <c r="J898" s="52"/>
      <c r="K898" s="52"/>
      <c r="L898" s="52"/>
      <c r="M898" s="52"/>
      <c r="N898" s="52"/>
      <c r="O898" s="52"/>
      <c r="P898" s="9"/>
      <c r="Q898" s="9"/>
      <c r="R898" s="9"/>
      <c r="S898" s="50"/>
      <c r="T898" s="50"/>
      <c r="U898" s="9"/>
      <c r="V898" s="9"/>
      <c r="W898" s="9"/>
      <c r="X898" s="9"/>
      <c r="Y898" s="9"/>
      <c r="Z898" s="9"/>
      <c r="AA898" s="9"/>
    </row>
    <row r="899">
      <c r="A899" s="52"/>
      <c r="B899" s="50"/>
      <c r="C899" s="52"/>
      <c r="D899" s="52"/>
      <c r="E899" s="52"/>
      <c r="F899" s="52"/>
      <c r="G899" s="52"/>
      <c r="H899" s="53"/>
      <c r="I899" s="53"/>
      <c r="J899" s="52"/>
      <c r="K899" s="52"/>
      <c r="L899" s="52"/>
      <c r="M899" s="52"/>
      <c r="N899" s="52"/>
      <c r="O899" s="52"/>
      <c r="P899" s="9"/>
      <c r="Q899" s="9"/>
      <c r="R899" s="9"/>
      <c r="S899" s="50"/>
      <c r="T899" s="50"/>
      <c r="U899" s="9"/>
      <c r="V899" s="9"/>
      <c r="W899" s="9"/>
      <c r="X899" s="9"/>
      <c r="Y899" s="9"/>
      <c r="Z899" s="9"/>
      <c r="AA899" s="9"/>
    </row>
    <row r="900">
      <c r="A900" s="52"/>
      <c r="B900" s="50"/>
      <c r="C900" s="52"/>
      <c r="D900" s="52"/>
      <c r="E900" s="52"/>
      <c r="F900" s="52"/>
      <c r="G900" s="52"/>
      <c r="H900" s="53"/>
      <c r="I900" s="53"/>
      <c r="J900" s="52"/>
      <c r="K900" s="52"/>
      <c r="L900" s="52"/>
      <c r="M900" s="52"/>
      <c r="N900" s="52"/>
      <c r="O900" s="52"/>
      <c r="P900" s="9"/>
      <c r="Q900" s="9"/>
      <c r="R900" s="9"/>
      <c r="S900" s="50"/>
      <c r="T900" s="50"/>
      <c r="U900" s="9"/>
      <c r="V900" s="9"/>
      <c r="W900" s="9"/>
      <c r="X900" s="9"/>
      <c r="Y900" s="9"/>
      <c r="Z900" s="9"/>
      <c r="AA900" s="9"/>
    </row>
    <row r="901">
      <c r="A901" s="52"/>
      <c r="B901" s="50"/>
      <c r="C901" s="52"/>
      <c r="D901" s="52"/>
      <c r="E901" s="52"/>
      <c r="F901" s="52"/>
      <c r="G901" s="52"/>
      <c r="H901" s="53"/>
      <c r="I901" s="53"/>
      <c r="J901" s="52"/>
      <c r="K901" s="52"/>
      <c r="L901" s="52"/>
      <c r="M901" s="52"/>
      <c r="N901" s="52"/>
      <c r="O901" s="52"/>
      <c r="P901" s="9"/>
      <c r="Q901" s="9"/>
      <c r="R901" s="9"/>
      <c r="S901" s="50"/>
      <c r="T901" s="50"/>
      <c r="U901" s="9"/>
      <c r="V901" s="9"/>
      <c r="W901" s="9"/>
      <c r="X901" s="9"/>
      <c r="Y901" s="9"/>
      <c r="Z901" s="9"/>
      <c r="AA901" s="9"/>
    </row>
    <row r="902">
      <c r="A902" s="52"/>
      <c r="B902" s="50"/>
      <c r="C902" s="52"/>
      <c r="D902" s="52"/>
      <c r="E902" s="52"/>
      <c r="F902" s="52"/>
      <c r="G902" s="52"/>
      <c r="H902" s="53"/>
      <c r="I902" s="53"/>
      <c r="J902" s="52"/>
      <c r="K902" s="52"/>
      <c r="L902" s="52"/>
      <c r="M902" s="52"/>
      <c r="N902" s="52"/>
      <c r="O902" s="52"/>
      <c r="P902" s="9"/>
      <c r="Q902" s="9"/>
      <c r="R902" s="9"/>
      <c r="S902" s="50"/>
      <c r="T902" s="50"/>
      <c r="U902" s="9"/>
      <c r="V902" s="9"/>
      <c r="W902" s="9"/>
      <c r="X902" s="9"/>
      <c r="Y902" s="9"/>
      <c r="Z902" s="9"/>
      <c r="AA902" s="9"/>
    </row>
    <row r="903">
      <c r="A903" s="52"/>
      <c r="B903" s="50"/>
      <c r="C903" s="52"/>
      <c r="D903" s="52"/>
      <c r="E903" s="52"/>
      <c r="F903" s="52"/>
      <c r="G903" s="52"/>
      <c r="H903" s="53"/>
      <c r="I903" s="53"/>
      <c r="J903" s="52"/>
      <c r="K903" s="52"/>
      <c r="L903" s="52"/>
      <c r="M903" s="52"/>
      <c r="N903" s="52"/>
      <c r="O903" s="52"/>
      <c r="P903" s="9"/>
      <c r="Q903" s="9"/>
      <c r="R903" s="9"/>
      <c r="S903" s="50"/>
      <c r="T903" s="50"/>
      <c r="U903" s="9"/>
      <c r="V903" s="9"/>
      <c r="W903" s="9"/>
      <c r="X903" s="9"/>
      <c r="Y903" s="9"/>
      <c r="Z903" s="9"/>
      <c r="AA903" s="9"/>
    </row>
    <row r="904">
      <c r="A904" s="52"/>
      <c r="B904" s="50"/>
      <c r="C904" s="52"/>
      <c r="D904" s="52"/>
      <c r="E904" s="52"/>
      <c r="F904" s="52"/>
      <c r="G904" s="52"/>
      <c r="H904" s="53"/>
      <c r="I904" s="53"/>
      <c r="J904" s="52"/>
      <c r="K904" s="52"/>
      <c r="L904" s="52"/>
      <c r="M904" s="52"/>
      <c r="N904" s="52"/>
      <c r="O904" s="52"/>
      <c r="P904" s="9"/>
      <c r="Q904" s="9"/>
      <c r="R904" s="9"/>
      <c r="S904" s="50"/>
      <c r="T904" s="50"/>
      <c r="U904" s="9"/>
      <c r="V904" s="9"/>
      <c r="W904" s="9"/>
      <c r="X904" s="9"/>
      <c r="Y904" s="9"/>
      <c r="Z904" s="9"/>
      <c r="AA904" s="9"/>
    </row>
    <row r="905">
      <c r="A905" s="52"/>
      <c r="B905" s="50"/>
      <c r="C905" s="52"/>
      <c r="D905" s="52"/>
      <c r="E905" s="52"/>
      <c r="F905" s="52"/>
      <c r="G905" s="52"/>
      <c r="H905" s="53"/>
      <c r="I905" s="53"/>
      <c r="J905" s="52"/>
      <c r="K905" s="52"/>
      <c r="L905" s="52"/>
      <c r="M905" s="52"/>
      <c r="N905" s="52"/>
      <c r="O905" s="52"/>
      <c r="P905" s="9"/>
      <c r="Q905" s="9"/>
      <c r="R905" s="9"/>
      <c r="S905" s="50"/>
      <c r="T905" s="50"/>
      <c r="U905" s="9"/>
      <c r="V905" s="9"/>
      <c r="W905" s="9"/>
      <c r="X905" s="9"/>
      <c r="Y905" s="9"/>
      <c r="Z905" s="9"/>
      <c r="AA905" s="9"/>
    </row>
    <row r="906">
      <c r="A906" s="52"/>
      <c r="B906" s="50"/>
      <c r="C906" s="52"/>
      <c r="D906" s="52"/>
      <c r="E906" s="52"/>
      <c r="F906" s="52"/>
      <c r="G906" s="52"/>
      <c r="H906" s="53"/>
      <c r="I906" s="53"/>
      <c r="J906" s="52"/>
      <c r="K906" s="52"/>
      <c r="L906" s="52"/>
      <c r="M906" s="52"/>
      <c r="N906" s="52"/>
      <c r="O906" s="52"/>
      <c r="P906" s="9"/>
      <c r="Q906" s="9"/>
      <c r="R906" s="9"/>
      <c r="S906" s="50"/>
      <c r="T906" s="50"/>
      <c r="U906" s="9"/>
      <c r="V906" s="9"/>
      <c r="W906" s="9"/>
      <c r="X906" s="9"/>
      <c r="Y906" s="9"/>
      <c r="Z906" s="9"/>
      <c r="AA906" s="9"/>
    </row>
    <row r="907">
      <c r="A907" s="52"/>
      <c r="B907" s="50"/>
      <c r="C907" s="52"/>
      <c r="D907" s="52"/>
      <c r="E907" s="52"/>
      <c r="F907" s="52"/>
      <c r="G907" s="52"/>
      <c r="H907" s="53"/>
      <c r="I907" s="53"/>
      <c r="J907" s="52"/>
      <c r="K907" s="52"/>
      <c r="L907" s="52"/>
      <c r="M907" s="52"/>
      <c r="N907" s="52"/>
      <c r="O907" s="52"/>
      <c r="P907" s="9"/>
      <c r="Q907" s="9"/>
      <c r="R907" s="9"/>
      <c r="S907" s="50"/>
      <c r="T907" s="50"/>
      <c r="U907" s="9"/>
      <c r="V907" s="9"/>
      <c r="W907" s="9"/>
      <c r="X907" s="9"/>
      <c r="Y907" s="9"/>
      <c r="Z907" s="9"/>
      <c r="AA907" s="9"/>
    </row>
    <row r="908">
      <c r="A908" s="52"/>
      <c r="B908" s="50"/>
      <c r="C908" s="52"/>
      <c r="D908" s="52"/>
      <c r="E908" s="52"/>
      <c r="F908" s="52"/>
      <c r="G908" s="52"/>
      <c r="H908" s="53"/>
      <c r="I908" s="53"/>
      <c r="J908" s="52"/>
      <c r="K908" s="52"/>
      <c r="L908" s="52"/>
      <c r="M908" s="52"/>
      <c r="N908" s="52"/>
      <c r="O908" s="52"/>
      <c r="P908" s="9"/>
      <c r="Q908" s="9"/>
      <c r="R908" s="9"/>
      <c r="S908" s="50"/>
      <c r="T908" s="50"/>
      <c r="U908" s="9"/>
      <c r="V908" s="9"/>
      <c r="W908" s="9"/>
      <c r="X908" s="9"/>
      <c r="Y908" s="9"/>
      <c r="Z908" s="9"/>
      <c r="AA908" s="9"/>
    </row>
    <row r="909">
      <c r="A909" s="52"/>
      <c r="B909" s="50"/>
      <c r="C909" s="52"/>
      <c r="D909" s="52"/>
      <c r="E909" s="52"/>
      <c r="F909" s="52"/>
      <c r="G909" s="52"/>
      <c r="H909" s="53"/>
      <c r="I909" s="53"/>
      <c r="J909" s="52"/>
      <c r="K909" s="52"/>
      <c r="L909" s="52"/>
      <c r="M909" s="52"/>
      <c r="N909" s="52"/>
      <c r="O909" s="52"/>
      <c r="P909" s="9"/>
      <c r="Q909" s="9"/>
      <c r="R909" s="9"/>
      <c r="S909" s="50"/>
      <c r="T909" s="50"/>
      <c r="U909" s="9"/>
      <c r="V909" s="9"/>
      <c r="W909" s="9"/>
      <c r="X909" s="9"/>
      <c r="Y909" s="9"/>
      <c r="Z909" s="9"/>
      <c r="AA909" s="9"/>
    </row>
    <row r="910">
      <c r="A910" s="52"/>
      <c r="B910" s="50"/>
      <c r="C910" s="52"/>
      <c r="D910" s="52"/>
      <c r="E910" s="52"/>
      <c r="F910" s="52"/>
      <c r="G910" s="52"/>
      <c r="H910" s="53"/>
      <c r="I910" s="53"/>
      <c r="J910" s="52"/>
      <c r="K910" s="52"/>
      <c r="L910" s="52"/>
      <c r="M910" s="52"/>
      <c r="N910" s="52"/>
      <c r="O910" s="52"/>
      <c r="P910" s="9"/>
      <c r="Q910" s="9"/>
      <c r="R910" s="9"/>
      <c r="S910" s="50"/>
      <c r="T910" s="50"/>
      <c r="U910" s="9"/>
      <c r="V910" s="9"/>
      <c r="W910" s="9"/>
      <c r="X910" s="9"/>
      <c r="Y910" s="9"/>
      <c r="Z910" s="9"/>
      <c r="AA910" s="9"/>
    </row>
    <row r="911">
      <c r="A911" s="52"/>
      <c r="B911" s="50"/>
      <c r="C911" s="52"/>
      <c r="D911" s="52"/>
      <c r="E911" s="52"/>
      <c r="F911" s="52"/>
      <c r="G911" s="52"/>
      <c r="H911" s="53"/>
      <c r="I911" s="53"/>
      <c r="J911" s="52"/>
      <c r="K911" s="52"/>
      <c r="L911" s="52"/>
      <c r="M911" s="52"/>
      <c r="N911" s="52"/>
      <c r="O911" s="52"/>
      <c r="P911" s="9"/>
      <c r="Q911" s="9"/>
      <c r="R911" s="9"/>
      <c r="S911" s="50"/>
      <c r="T911" s="50"/>
      <c r="U911" s="9"/>
      <c r="V911" s="9"/>
      <c r="W911" s="9"/>
      <c r="X911" s="9"/>
      <c r="Y911" s="9"/>
      <c r="Z911" s="9"/>
      <c r="AA911" s="9"/>
    </row>
    <row r="912">
      <c r="A912" s="52"/>
      <c r="B912" s="50"/>
      <c r="C912" s="52"/>
      <c r="D912" s="52"/>
      <c r="E912" s="52"/>
      <c r="F912" s="52"/>
      <c r="G912" s="52"/>
      <c r="H912" s="53"/>
      <c r="I912" s="53"/>
      <c r="J912" s="52"/>
      <c r="K912" s="52"/>
      <c r="L912" s="52"/>
      <c r="M912" s="52"/>
      <c r="N912" s="52"/>
      <c r="O912" s="52"/>
      <c r="P912" s="9"/>
      <c r="Q912" s="9"/>
      <c r="R912" s="9"/>
      <c r="S912" s="50"/>
      <c r="T912" s="50"/>
      <c r="U912" s="9"/>
      <c r="V912" s="9"/>
      <c r="W912" s="9"/>
      <c r="X912" s="9"/>
      <c r="Y912" s="9"/>
      <c r="Z912" s="9"/>
      <c r="AA912" s="9"/>
    </row>
    <row r="913">
      <c r="A913" s="52"/>
      <c r="B913" s="50"/>
      <c r="C913" s="52"/>
      <c r="D913" s="52"/>
      <c r="E913" s="52"/>
      <c r="F913" s="52"/>
      <c r="G913" s="52"/>
      <c r="H913" s="53"/>
      <c r="I913" s="53"/>
      <c r="J913" s="52"/>
      <c r="K913" s="52"/>
      <c r="L913" s="52"/>
      <c r="M913" s="52"/>
      <c r="N913" s="52"/>
      <c r="O913" s="52"/>
      <c r="P913" s="9"/>
      <c r="Q913" s="9"/>
      <c r="R913" s="9"/>
      <c r="S913" s="50"/>
      <c r="T913" s="50"/>
      <c r="U913" s="9"/>
      <c r="V913" s="9"/>
      <c r="W913" s="9"/>
      <c r="X913" s="9"/>
      <c r="Y913" s="9"/>
      <c r="Z913" s="9"/>
      <c r="AA913" s="9"/>
    </row>
    <row r="914">
      <c r="A914" s="52"/>
      <c r="B914" s="50"/>
      <c r="C914" s="52"/>
      <c r="D914" s="52"/>
      <c r="E914" s="52"/>
      <c r="F914" s="52"/>
      <c r="G914" s="52"/>
      <c r="H914" s="53"/>
      <c r="I914" s="53"/>
      <c r="J914" s="52"/>
      <c r="K914" s="52"/>
      <c r="L914" s="52"/>
      <c r="M914" s="52"/>
      <c r="N914" s="52"/>
      <c r="O914" s="52"/>
      <c r="P914" s="9"/>
      <c r="Q914" s="9"/>
      <c r="R914" s="9"/>
      <c r="S914" s="50"/>
      <c r="T914" s="50"/>
      <c r="U914" s="9"/>
      <c r="V914" s="9"/>
      <c r="W914" s="9"/>
      <c r="X914" s="9"/>
      <c r="Y914" s="9"/>
      <c r="Z914" s="9"/>
      <c r="AA914" s="9"/>
    </row>
    <row r="915">
      <c r="A915" s="52"/>
      <c r="B915" s="50"/>
      <c r="C915" s="52"/>
      <c r="D915" s="52"/>
      <c r="E915" s="52"/>
      <c r="F915" s="52"/>
      <c r="G915" s="52"/>
      <c r="H915" s="53"/>
      <c r="I915" s="53"/>
      <c r="J915" s="52"/>
      <c r="K915" s="52"/>
      <c r="L915" s="52"/>
      <c r="M915" s="52"/>
      <c r="N915" s="52"/>
      <c r="O915" s="52"/>
      <c r="P915" s="9"/>
      <c r="Q915" s="9"/>
      <c r="R915" s="9"/>
      <c r="S915" s="50"/>
      <c r="T915" s="50"/>
      <c r="U915" s="9"/>
      <c r="V915" s="9"/>
      <c r="W915" s="9"/>
      <c r="X915" s="9"/>
      <c r="Y915" s="9"/>
      <c r="Z915" s="9"/>
      <c r="AA915" s="9"/>
    </row>
    <row r="916">
      <c r="A916" s="52"/>
      <c r="B916" s="50"/>
      <c r="C916" s="52"/>
      <c r="D916" s="52"/>
      <c r="E916" s="52"/>
      <c r="F916" s="52"/>
      <c r="G916" s="52"/>
      <c r="H916" s="53"/>
      <c r="I916" s="53"/>
      <c r="J916" s="52"/>
      <c r="K916" s="52"/>
      <c r="L916" s="52"/>
      <c r="M916" s="52"/>
      <c r="N916" s="52"/>
      <c r="O916" s="52"/>
      <c r="P916" s="9"/>
      <c r="Q916" s="9"/>
      <c r="R916" s="9"/>
      <c r="S916" s="50"/>
      <c r="T916" s="50"/>
      <c r="U916" s="9"/>
      <c r="V916" s="9"/>
      <c r="W916" s="9"/>
      <c r="X916" s="9"/>
      <c r="Y916" s="9"/>
      <c r="Z916" s="9"/>
      <c r="AA916" s="9"/>
    </row>
    <row r="917">
      <c r="A917" s="52"/>
      <c r="B917" s="50"/>
      <c r="C917" s="52"/>
      <c r="D917" s="52"/>
      <c r="E917" s="52"/>
      <c r="F917" s="52"/>
      <c r="G917" s="52"/>
      <c r="H917" s="53"/>
      <c r="I917" s="53"/>
      <c r="J917" s="52"/>
      <c r="K917" s="52"/>
      <c r="L917" s="52"/>
      <c r="M917" s="52"/>
      <c r="N917" s="52"/>
      <c r="O917" s="52"/>
      <c r="P917" s="9"/>
      <c r="Q917" s="9"/>
      <c r="R917" s="9"/>
      <c r="S917" s="50"/>
      <c r="T917" s="50"/>
      <c r="U917" s="9"/>
      <c r="V917" s="9"/>
      <c r="W917" s="9"/>
      <c r="X917" s="9"/>
      <c r="Y917" s="9"/>
      <c r="Z917" s="9"/>
      <c r="AA917" s="9"/>
    </row>
    <row r="918">
      <c r="A918" s="52"/>
      <c r="B918" s="50"/>
      <c r="C918" s="52"/>
      <c r="D918" s="52"/>
      <c r="E918" s="52"/>
      <c r="F918" s="52"/>
      <c r="G918" s="52"/>
      <c r="H918" s="53"/>
      <c r="I918" s="53"/>
      <c r="J918" s="52"/>
      <c r="K918" s="52"/>
      <c r="L918" s="52"/>
      <c r="M918" s="52"/>
      <c r="N918" s="52"/>
      <c r="O918" s="52"/>
      <c r="P918" s="9"/>
      <c r="Q918" s="9"/>
      <c r="R918" s="9"/>
      <c r="S918" s="50"/>
      <c r="T918" s="50"/>
      <c r="U918" s="9"/>
      <c r="V918" s="9"/>
      <c r="W918" s="9"/>
      <c r="X918" s="9"/>
      <c r="Y918" s="9"/>
      <c r="Z918" s="9"/>
      <c r="AA918" s="9"/>
    </row>
    <row r="919">
      <c r="A919" s="52"/>
      <c r="B919" s="50"/>
      <c r="C919" s="52"/>
      <c r="D919" s="52"/>
      <c r="E919" s="52"/>
      <c r="F919" s="52"/>
      <c r="G919" s="52"/>
      <c r="H919" s="53"/>
      <c r="I919" s="53"/>
      <c r="J919" s="52"/>
      <c r="K919" s="52"/>
      <c r="L919" s="52"/>
      <c r="M919" s="52"/>
      <c r="N919" s="52"/>
      <c r="O919" s="52"/>
      <c r="P919" s="9"/>
      <c r="Q919" s="9"/>
      <c r="R919" s="9"/>
      <c r="S919" s="50"/>
      <c r="T919" s="50"/>
      <c r="U919" s="9"/>
      <c r="V919" s="9"/>
      <c r="W919" s="9"/>
      <c r="X919" s="9"/>
      <c r="Y919" s="9"/>
      <c r="Z919" s="9"/>
      <c r="AA919" s="9"/>
    </row>
    <row r="920">
      <c r="A920" s="52"/>
      <c r="B920" s="50"/>
      <c r="C920" s="52"/>
      <c r="D920" s="52"/>
      <c r="E920" s="52"/>
      <c r="F920" s="52"/>
      <c r="G920" s="52"/>
      <c r="H920" s="53"/>
      <c r="I920" s="53"/>
      <c r="J920" s="52"/>
      <c r="K920" s="52"/>
      <c r="L920" s="52"/>
      <c r="M920" s="52"/>
      <c r="N920" s="52"/>
      <c r="O920" s="52"/>
      <c r="P920" s="9"/>
      <c r="Q920" s="9"/>
      <c r="R920" s="9"/>
      <c r="S920" s="50"/>
      <c r="T920" s="50"/>
      <c r="U920" s="9"/>
      <c r="V920" s="9"/>
      <c r="W920" s="9"/>
      <c r="X920" s="9"/>
      <c r="Y920" s="9"/>
      <c r="Z920" s="9"/>
      <c r="AA920" s="9"/>
    </row>
    <row r="921">
      <c r="A921" s="52"/>
      <c r="B921" s="50"/>
      <c r="C921" s="52"/>
      <c r="D921" s="52"/>
      <c r="E921" s="52"/>
      <c r="F921" s="52"/>
      <c r="G921" s="52"/>
      <c r="H921" s="53"/>
      <c r="I921" s="53"/>
      <c r="J921" s="52"/>
      <c r="K921" s="52"/>
      <c r="L921" s="52"/>
      <c r="M921" s="52"/>
      <c r="N921" s="52"/>
      <c r="O921" s="52"/>
      <c r="P921" s="9"/>
      <c r="Q921" s="9"/>
      <c r="R921" s="9"/>
      <c r="S921" s="50"/>
      <c r="T921" s="50"/>
      <c r="U921" s="9"/>
      <c r="V921" s="9"/>
      <c r="W921" s="9"/>
      <c r="X921" s="9"/>
      <c r="Y921" s="9"/>
      <c r="Z921" s="9"/>
      <c r="AA921" s="9"/>
    </row>
    <row r="922">
      <c r="A922" s="52"/>
      <c r="B922" s="50"/>
      <c r="C922" s="52"/>
      <c r="D922" s="52"/>
      <c r="E922" s="52"/>
      <c r="F922" s="52"/>
      <c r="G922" s="52"/>
      <c r="H922" s="53"/>
      <c r="I922" s="53"/>
      <c r="J922" s="52"/>
      <c r="K922" s="52"/>
      <c r="L922" s="52"/>
      <c r="M922" s="52"/>
      <c r="N922" s="52"/>
      <c r="O922" s="52"/>
      <c r="P922" s="9"/>
      <c r="Q922" s="9"/>
      <c r="R922" s="9"/>
      <c r="S922" s="50"/>
      <c r="T922" s="50"/>
      <c r="U922" s="9"/>
      <c r="V922" s="9"/>
      <c r="W922" s="9"/>
      <c r="X922" s="9"/>
      <c r="Y922" s="9"/>
      <c r="Z922" s="9"/>
      <c r="AA922" s="9"/>
    </row>
    <row r="923">
      <c r="A923" s="52"/>
      <c r="B923" s="50"/>
      <c r="C923" s="52"/>
      <c r="D923" s="52"/>
      <c r="E923" s="52"/>
      <c r="F923" s="52"/>
      <c r="G923" s="52"/>
      <c r="H923" s="53"/>
      <c r="I923" s="53"/>
      <c r="J923" s="52"/>
      <c r="K923" s="52"/>
      <c r="L923" s="52"/>
      <c r="M923" s="52"/>
      <c r="N923" s="52"/>
      <c r="O923" s="52"/>
      <c r="P923" s="9"/>
      <c r="Q923" s="9"/>
      <c r="R923" s="9"/>
      <c r="S923" s="50"/>
      <c r="T923" s="50"/>
      <c r="U923" s="9"/>
      <c r="V923" s="9"/>
      <c r="W923" s="9"/>
      <c r="X923" s="9"/>
      <c r="Y923" s="9"/>
      <c r="Z923" s="9"/>
      <c r="AA923" s="9"/>
    </row>
    <row r="924">
      <c r="A924" s="52"/>
      <c r="B924" s="50"/>
      <c r="C924" s="52"/>
      <c r="D924" s="52"/>
      <c r="E924" s="52"/>
      <c r="F924" s="52"/>
      <c r="G924" s="52"/>
      <c r="H924" s="53"/>
      <c r="I924" s="53"/>
      <c r="J924" s="52"/>
      <c r="K924" s="52"/>
      <c r="L924" s="52"/>
      <c r="M924" s="52"/>
      <c r="N924" s="52"/>
      <c r="O924" s="52"/>
      <c r="P924" s="9"/>
      <c r="Q924" s="9"/>
      <c r="R924" s="9"/>
      <c r="S924" s="50"/>
      <c r="T924" s="50"/>
      <c r="U924" s="9"/>
      <c r="V924" s="9"/>
      <c r="W924" s="9"/>
      <c r="X924" s="9"/>
      <c r="Y924" s="9"/>
      <c r="Z924" s="9"/>
      <c r="AA924" s="9"/>
    </row>
    <row r="925">
      <c r="A925" s="52"/>
      <c r="B925" s="50"/>
      <c r="C925" s="52"/>
      <c r="D925" s="52"/>
      <c r="E925" s="52"/>
      <c r="F925" s="52"/>
      <c r="G925" s="52"/>
      <c r="H925" s="53"/>
      <c r="I925" s="53"/>
      <c r="J925" s="52"/>
      <c r="K925" s="52"/>
      <c r="L925" s="52"/>
      <c r="M925" s="52"/>
      <c r="N925" s="52"/>
      <c r="O925" s="52"/>
      <c r="P925" s="9"/>
      <c r="Q925" s="9"/>
      <c r="R925" s="9"/>
      <c r="S925" s="50"/>
      <c r="T925" s="50"/>
      <c r="U925" s="9"/>
      <c r="V925" s="9"/>
      <c r="W925" s="9"/>
      <c r="X925" s="9"/>
      <c r="Y925" s="9"/>
      <c r="Z925" s="9"/>
      <c r="AA925" s="9"/>
    </row>
    <row r="926">
      <c r="A926" s="52"/>
      <c r="B926" s="50"/>
      <c r="C926" s="52"/>
      <c r="D926" s="52"/>
      <c r="E926" s="52"/>
      <c r="F926" s="52"/>
      <c r="G926" s="52"/>
      <c r="H926" s="53"/>
      <c r="I926" s="53"/>
      <c r="J926" s="52"/>
      <c r="K926" s="52"/>
      <c r="L926" s="52"/>
      <c r="M926" s="52"/>
      <c r="N926" s="52"/>
      <c r="O926" s="52"/>
      <c r="P926" s="9"/>
      <c r="Q926" s="9"/>
      <c r="R926" s="9"/>
      <c r="S926" s="50"/>
      <c r="T926" s="50"/>
      <c r="U926" s="9"/>
      <c r="V926" s="9"/>
      <c r="W926" s="9"/>
      <c r="X926" s="9"/>
      <c r="Y926" s="9"/>
      <c r="Z926" s="9"/>
      <c r="AA926" s="9"/>
    </row>
    <row r="927">
      <c r="A927" s="52"/>
      <c r="B927" s="50"/>
      <c r="C927" s="52"/>
      <c r="D927" s="52"/>
      <c r="E927" s="52"/>
      <c r="F927" s="52"/>
      <c r="G927" s="52"/>
      <c r="H927" s="53"/>
      <c r="I927" s="53"/>
      <c r="J927" s="52"/>
      <c r="K927" s="52"/>
      <c r="L927" s="52"/>
      <c r="M927" s="52"/>
      <c r="N927" s="52"/>
      <c r="O927" s="52"/>
      <c r="P927" s="9"/>
      <c r="Q927" s="9"/>
      <c r="R927" s="9"/>
      <c r="S927" s="50"/>
      <c r="T927" s="50"/>
      <c r="U927" s="9"/>
      <c r="V927" s="9"/>
      <c r="W927" s="9"/>
      <c r="X927" s="9"/>
      <c r="Y927" s="9"/>
      <c r="Z927" s="9"/>
      <c r="AA927" s="9"/>
    </row>
    <row r="928">
      <c r="A928" s="52"/>
      <c r="B928" s="50"/>
      <c r="C928" s="52"/>
      <c r="D928" s="52"/>
      <c r="E928" s="52"/>
      <c r="F928" s="52"/>
      <c r="G928" s="52"/>
      <c r="H928" s="53"/>
      <c r="I928" s="53"/>
      <c r="J928" s="52"/>
      <c r="K928" s="52"/>
      <c r="L928" s="52"/>
      <c r="M928" s="52"/>
      <c r="N928" s="52"/>
      <c r="O928" s="52"/>
      <c r="P928" s="9"/>
      <c r="Q928" s="9"/>
      <c r="R928" s="9"/>
      <c r="S928" s="50"/>
      <c r="T928" s="50"/>
      <c r="U928" s="9"/>
      <c r="V928" s="9"/>
      <c r="W928" s="9"/>
      <c r="X928" s="9"/>
      <c r="Y928" s="9"/>
      <c r="Z928" s="9"/>
      <c r="AA928" s="9"/>
    </row>
    <row r="929">
      <c r="A929" s="52"/>
      <c r="B929" s="50"/>
      <c r="C929" s="52"/>
      <c r="D929" s="52"/>
      <c r="E929" s="52"/>
      <c r="F929" s="52"/>
      <c r="G929" s="52"/>
      <c r="H929" s="53"/>
      <c r="I929" s="53"/>
      <c r="J929" s="52"/>
      <c r="K929" s="52"/>
      <c r="L929" s="52"/>
      <c r="M929" s="52"/>
      <c r="N929" s="52"/>
      <c r="O929" s="52"/>
      <c r="P929" s="9"/>
      <c r="Q929" s="9"/>
      <c r="R929" s="9"/>
      <c r="S929" s="50"/>
      <c r="T929" s="50"/>
      <c r="U929" s="9"/>
      <c r="V929" s="9"/>
      <c r="W929" s="9"/>
      <c r="X929" s="9"/>
      <c r="Y929" s="9"/>
      <c r="Z929" s="9"/>
      <c r="AA929" s="9"/>
    </row>
    <row r="930">
      <c r="A930" s="52"/>
      <c r="B930" s="50"/>
      <c r="C930" s="52"/>
      <c r="D930" s="52"/>
      <c r="E930" s="52"/>
      <c r="F930" s="52"/>
      <c r="G930" s="52"/>
      <c r="H930" s="53"/>
      <c r="I930" s="53"/>
      <c r="J930" s="52"/>
      <c r="K930" s="52"/>
      <c r="L930" s="52"/>
      <c r="M930" s="52"/>
      <c r="N930" s="52"/>
      <c r="O930" s="52"/>
      <c r="P930" s="9"/>
      <c r="Q930" s="9"/>
      <c r="R930" s="9"/>
      <c r="S930" s="50"/>
      <c r="T930" s="50"/>
      <c r="U930" s="9"/>
      <c r="V930" s="9"/>
      <c r="W930" s="9"/>
      <c r="X930" s="9"/>
      <c r="Y930" s="9"/>
      <c r="Z930" s="9"/>
      <c r="AA930" s="9"/>
    </row>
    <row r="931">
      <c r="A931" s="52"/>
      <c r="B931" s="50"/>
      <c r="C931" s="52"/>
      <c r="D931" s="52"/>
      <c r="E931" s="52"/>
      <c r="F931" s="52"/>
      <c r="G931" s="52"/>
      <c r="H931" s="53"/>
      <c r="I931" s="53"/>
      <c r="J931" s="52"/>
      <c r="K931" s="52"/>
      <c r="L931" s="52"/>
      <c r="M931" s="52"/>
      <c r="N931" s="52"/>
      <c r="O931" s="52"/>
      <c r="P931" s="9"/>
      <c r="Q931" s="9"/>
      <c r="R931" s="9"/>
      <c r="S931" s="50"/>
      <c r="T931" s="50"/>
      <c r="U931" s="9"/>
      <c r="V931" s="9"/>
      <c r="W931" s="9"/>
      <c r="X931" s="9"/>
      <c r="Y931" s="9"/>
      <c r="Z931" s="9"/>
      <c r="AA931" s="9"/>
    </row>
    <row r="932">
      <c r="A932" s="52"/>
      <c r="B932" s="50"/>
      <c r="C932" s="52"/>
      <c r="D932" s="52"/>
      <c r="E932" s="52"/>
      <c r="F932" s="52"/>
      <c r="G932" s="52"/>
      <c r="H932" s="53"/>
      <c r="I932" s="53"/>
      <c r="J932" s="52"/>
      <c r="K932" s="52"/>
      <c r="L932" s="52"/>
      <c r="M932" s="52"/>
      <c r="N932" s="52"/>
      <c r="O932" s="52"/>
      <c r="P932" s="9"/>
      <c r="Q932" s="9"/>
      <c r="R932" s="9"/>
      <c r="S932" s="50"/>
      <c r="T932" s="50"/>
      <c r="U932" s="9"/>
      <c r="V932" s="9"/>
      <c r="W932" s="9"/>
      <c r="X932" s="9"/>
      <c r="Y932" s="9"/>
      <c r="Z932" s="9"/>
      <c r="AA932" s="9"/>
    </row>
    <row r="933">
      <c r="A933" s="52"/>
      <c r="B933" s="50"/>
      <c r="C933" s="52"/>
      <c r="D933" s="52"/>
      <c r="E933" s="52"/>
      <c r="F933" s="52"/>
      <c r="G933" s="52"/>
      <c r="H933" s="53"/>
      <c r="I933" s="53"/>
      <c r="J933" s="52"/>
      <c r="K933" s="52"/>
      <c r="L933" s="52"/>
      <c r="M933" s="52"/>
      <c r="N933" s="52"/>
      <c r="O933" s="52"/>
      <c r="P933" s="9"/>
      <c r="Q933" s="9"/>
      <c r="R933" s="9"/>
      <c r="S933" s="50"/>
      <c r="T933" s="50"/>
      <c r="U933" s="9"/>
      <c r="V933" s="9"/>
      <c r="W933" s="9"/>
      <c r="X933" s="9"/>
      <c r="Y933" s="9"/>
      <c r="Z933" s="9"/>
      <c r="AA933" s="9"/>
    </row>
    <row r="934">
      <c r="A934" s="52"/>
      <c r="B934" s="50"/>
      <c r="C934" s="52"/>
      <c r="D934" s="52"/>
      <c r="E934" s="52"/>
      <c r="F934" s="52"/>
      <c r="G934" s="52"/>
      <c r="H934" s="53"/>
      <c r="I934" s="53"/>
      <c r="J934" s="52"/>
      <c r="K934" s="52"/>
      <c r="L934" s="52"/>
      <c r="M934" s="52"/>
      <c r="N934" s="52"/>
      <c r="O934" s="52"/>
      <c r="P934" s="9"/>
      <c r="Q934" s="9"/>
      <c r="R934" s="9"/>
      <c r="S934" s="50"/>
      <c r="T934" s="50"/>
      <c r="U934" s="9"/>
      <c r="V934" s="9"/>
      <c r="W934" s="9"/>
      <c r="X934" s="9"/>
      <c r="Y934" s="9"/>
      <c r="Z934" s="9"/>
      <c r="AA934" s="9"/>
    </row>
    <row r="935">
      <c r="A935" s="52"/>
      <c r="B935" s="50"/>
      <c r="C935" s="52"/>
      <c r="D935" s="52"/>
      <c r="E935" s="52"/>
      <c r="F935" s="52"/>
      <c r="G935" s="52"/>
      <c r="H935" s="53"/>
      <c r="I935" s="53"/>
      <c r="J935" s="52"/>
      <c r="K935" s="52"/>
      <c r="L935" s="52"/>
      <c r="M935" s="52"/>
      <c r="N935" s="52"/>
      <c r="O935" s="52"/>
      <c r="P935" s="9"/>
      <c r="Q935" s="9"/>
      <c r="R935" s="9"/>
      <c r="S935" s="50"/>
      <c r="T935" s="50"/>
      <c r="U935" s="9"/>
      <c r="V935" s="9"/>
      <c r="W935" s="9"/>
      <c r="X935" s="9"/>
      <c r="Y935" s="9"/>
      <c r="Z935" s="9"/>
      <c r="AA935" s="9"/>
    </row>
    <row r="936">
      <c r="A936" s="52"/>
      <c r="B936" s="50"/>
      <c r="C936" s="52"/>
      <c r="D936" s="52"/>
      <c r="E936" s="52"/>
      <c r="F936" s="52"/>
      <c r="G936" s="52"/>
      <c r="H936" s="53"/>
      <c r="I936" s="53"/>
      <c r="J936" s="52"/>
      <c r="K936" s="52"/>
      <c r="L936" s="52"/>
      <c r="M936" s="52"/>
      <c r="N936" s="52"/>
      <c r="O936" s="52"/>
      <c r="P936" s="9"/>
      <c r="Q936" s="9"/>
      <c r="R936" s="9"/>
      <c r="S936" s="50"/>
      <c r="T936" s="50"/>
      <c r="U936" s="9"/>
      <c r="V936" s="9"/>
      <c r="W936" s="9"/>
      <c r="X936" s="9"/>
      <c r="Y936" s="9"/>
      <c r="Z936" s="9"/>
      <c r="AA936" s="9"/>
    </row>
    <row r="937">
      <c r="A937" s="52"/>
      <c r="B937" s="50"/>
      <c r="C937" s="52"/>
      <c r="D937" s="52"/>
      <c r="E937" s="52"/>
      <c r="F937" s="52"/>
      <c r="G937" s="52"/>
      <c r="H937" s="53"/>
      <c r="I937" s="53"/>
      <c r="J937" s="52"/>
      <c r="K937" s="52"/>
      <c r="L937" s="52"/>
      <c r="M937" s="52"/>
      <c r="N937" s="52"/>
      <c r="O937" s="52"/>
      <c r="P937" s="9"/>
      <c r="Q937" s="9"/>
      <c r="R937" s="9"/>
      <c r="S937" s="50"/>
      <c r="T937" s="50"/>
      <c r="U937" s="9"/>
      <c r="V937" s="9"/>
      <c r="W937" s="9"/>
      <c r="X937" s="9"/>
      <c r="Y937" s="9"/>
      <c r="Z937" s="9"/>
      <c r="AA937" s="9"/>
    </row>
    <row r="938">
      <c r="A938" s="52"/>
      <c r="B938" s="50"/>
      <c r="C938" s="52"/>
      <c r="D938" s="52"/>
      <c r="E938" s="52"/>
      <c r="F938" s="52"/>
      <c r="G938" s="52"/>
      <c r="H938" s="53"/>
      <c r="I938" s="53"/>
      <c r="J938" s="52"/>
      <c r="K938" s="52"/>
      <c r="L938" s="52"/>
      <c r="M938" s="52"/>
      <c r="N938" s="52"/>
      <c r="O938" s="52"/>
      <c r="P938" s="9"/>
      <c r="Q938" s="9"/>
      <c r="R938" s="9"/>
      <c r="S938" s="50"/>
      <c r="T938" s="50"/>
      <c r="U938" s="9"/>
      <c r="V938" s="9"/>
      <c r="W938" s="9"/>
      <c r="X938" s="9"/>
      <c r="Y938" s="9"/>
      <c r="Z938" s="9"/>
      <c r="AA938" s="9"/>
    </row>
    <row r="939">
      <c r="A939" s="52"/>
      <c r="B939" s="50"/>
      <c r="C939" s="52"/>
      <c r="D939" s="52"/>
      <c r="E939" s="52"/>
      <c r="F939" s="52"/>
      <c r="G939" s="52"/>
      <c r="H939" s="53"/>
      <c r="I939" s="53"/>
      <c r="J939" s="52"/>
      <c r="K939" s="52"/>
      <c r="L939" s="52"/>
      <c r="M939" s="52"/>
      <c r="N939" s="52"/>
      <c r="O939" s="52"/>
      <c r="P939" s="9"/>
      <c r="Q939" s="9"/>
      <c r="R939" s="9"/>
      <c r="S939" s="50"/>
      <c r="T939" s="50"/>
      <c r="U939" s="9"/>
      <c r="V939" s="9"/>
      <c r="W939" s="9"/>
      <c r="X939" s="9"/>
      <c r="Y939" s="9"/>
      <c r="Z939" s="9"/>
      <c r="AA939" s="9"/>
    </row>
    <row r="940">
      <c r="A940" s="52"/>
      <c r="B940" s="50"/>
      <c r="C940" s="52"/>
      <c r="D940" s="52"/>
      <c r="E940" s="52"/>
      <c r="F940" s="52"/>
      <c r="G940" s="52"/>
      <c r="H940" s="53"/>
      <c r="I940" s="53"/>
      <c r="J940" s="52"/>
      <c r="K940" s="52"/>
      <c r="L940" s="52"/>
      <c r="M940" s="52"/>
      <c r="N940" s="52"/>
      <c r="O940" s="52"/>
      <c r="P940" s="9"/>
      <c r="Q940" s="9"/>
      <c r="R940" s="9"/>
      <c r="S940" s="50"/>
      <c r="T940" s="50"/>
      <c r="U940" s="9"/>
      <c r="V940" s="9"/>
      <c r="W940" s="9"/>
      <c r="X940" s="9"/>
      <c r="Y940" s="9"/>
      <c r="Z940" s="9"/>
      <c r="AA940" s="9"/>
    </row>
    <row r="941">
      <c r="A941" s="52"/>
      <c r="B941" s="50"/>
      <c r="C941" s="52"/>
      <c r="D941" s="52"/>
      <c r="E941" s="52"/>
      <c r="F941" s="52"/>
      <c r="G941" s="52"/>
      <c r="H941" s="53"/>
      <c r="I941" s="53"/>
      <c r="J941" s="52"/>
      <c r="K941" s="52"/>
      <c r="L941" s="52"/>
      <c r="M941" s="52"/>
      <c r="N941" s="52"/>
      <c r="O941" s="52"/>
      <c r="P941" s="9"/>
      <c r="Q941" s="9"/>
      <c r="R941" s="9"/>
      <c r="S941" s="50"/>
      <c r="T941" s="50"/>
      <c r="U941" s="9"/>
      <c r="V941" s="9"/>
      <c r="W941" s="9"/>
      <c r="X941" s="9"/>
      <c r="Y941" s="9"/>
      <c r="Z941" s="9"/>
      <c r="AA941" s="9"/>
    </row>
    <row r="942">
      <c r="A942" s="52"/>
      <c r="B942" s="50"/>
      <c r="C942" s="52"/>
      <c r="D942" s="52"/>
      <c r="E942" s="52"/>
      <c r="F942" s="52"/>
      <c r="G942" s="52"/>
      <c r="H942" s="53"/>
      <c r="I942" s="53"/>
      <c r="J942" s="52"/>
      <c r="K942" s="52"/>
      <c r="L942" s="52"/>
      <c r="M942" s="52"/>
      <c r="N942" s="52"/>
      <c r="O942" s="52"/>
      <c r="P942" s="9"/>
      <c r="Q942" s="9"/>
      <c r="R942" s="9"/>
      <c r="S942" s="50"/>
      <c r="T942" s="50"/>
      <c r="U942" s="9"/>
      <c r="V942" s="9"/>
      <c r="W942" s="9"/>
      <c r="X942" s="9"/>
      <c r="Y942" s="9"/>
      <c r="Z942" s="9"/>
      <c r="AA942" s="9"/>
    </row>
    <row r="943">
      <c r="A943" s="52"/>
      <c r="B943" s="50"/>
      <c r="C943" s="52"/>
      <c r="D943" s="52"/>
      <c r="E943" s="52"/>
      <c r="F943" s="52"/>
      <c r="G943" s="52"/>
      <c r="H943" s="53"/>
      <c r="I943" s="53"/>
      <c r="J943" s="52"/>
      <c r="K943" s="52"/>
      <c r="L943" s="52"/>
      <c r="M943" s="52"/>
      <c r="N943" s="52"/>
      <c r="O943" s="52"/>
      <c r="P943" s="9"/>
      <c r="Q943" s="9"/>
      <c r="R943" s="9"/>
      <c r="S943" s="50"/>
      <c r="T943" s="50"/>
      <c r="U943" s="9"/>
      <c r="V943" s="9"/>
      <c r="W943" s="9"/>
      <c r="X943" s="9"/>
      <c r="Y943" s="9"/>
      <c r="Z943" s="9"/>
      <c r="AA943" s="9"/>
    </row>
    <row r="944">
      <c r="A944" s="52"/>
      <c r="B944" s="50"/>
      <c r="C944" s="52"/>
      <c r="D944" s="52"/>
      <c r="E944" s="52"/>
      <c r="F944" s="52"/>
      <c r="G944" s="52"/>
      <c r="H944" s="53"/>
      <c r="I944" s="53"/>
      <c r="J944" s="52"/>
      <c r="K944" s="52"/>
      <c r="L944" s="52"/>
      <c r="M944" s="52"/>
      <c r="N944" s="52"/>
      <c r="O944" s="52"/>
      <c r="P944" s="9"/>
      <c r="Q944" s="9"/>
      <c r="R944" s="9"/>
      <c r="S944" s="50"/>
      <c r="T944" s="50"/>
      <c r="U944" s="9"/>
      <c r="V944" s="9"/>
      <c r="W944" s="9"/>
      <c r="X944" s="9"/>
      <c r="Y944" s="9"/>
      <c r="Z944" s="9"/>
      <c r="AA944" s="9"/>
    </row>
    <row r="945">
      <c r="A945" s="52"/>
      <c r="B945" s="50"/>
      <c r="C945" s="52"/>
      <c r="D945" s="52"/>
      <c r="E945" s="52"/>
      <c r="F945" s="52"/>
      <c r="G945" s="52"/>
      <c r="H945" s="53"/>
      <c r="I945" s="53"/>
      <c r="J945" s="52"/>
      <c r="K945" s="52"/>
      <c r="L945" s="52"/>
      <c r="M945" s="52"/>
      <c r="N945" s="52"/>
      <c r="O945" s="52"/>
      <c r="P945" s="9"/>
      <c r="Q945" s="9"/>
      <c r="R945" s="9"/>
      <c r="S945" s="50"/>
      <c r="T945" s="50"/>
      <c r="U945" s="9"/>
      <c r="V945" s="9"/>
      <c r="W945" s="9"/>
      <c r="X945" s="9"/>
      <c r="Y945" s="9"/>
      <c r="Z945" s="9"/>
      <c r="AA945" s="9"/>
    </row>
    <row r="946">
      <c r="A946" s="52"/>
      <c r="B946" s="50"/>
      <c r="C946" s="52"/>
      <c r="D946" s="52"/>
      <c r="E946" s="52"/>
      <c r="F946" s="52"/>
      <c r="G946" s="52"/>
      <c r="H946" s="53"/>
      <c r="I946" s="53"/>
      <c r="J946" s="52"/>
      <c r="K946" s="52"/>
      <c r="L946" s="52"/>
      <c r="M946" s="52"/>
      <c r="N946" s="52"/>
      <c r="O946" s="52"/>
      <c r="P946" s="9"/>
      <c r="Q946" s="9"/>
      <c r="R946" s="9"/>
      <c r="S946" s="50"/>
      <c r="T946" s="50"/>
      <c r="U946" s="9"/>
      <c r="V946" s="9"/>
      <c r="W946" s="9"/>
      <c r="X946" s="9"/>
      <c r="Y946" s="9"/>
      <c r="Z946" s="9"/>
      <c r="AA946" s="9"/>
    </row>
    <row r="947">
      <c r="A947" s="52"/>
      <c r="B947" s="50"/>
      <c r="C947" s="52"/>
      <c r="D947" s="52"/>
      <c r="E947" s="52"/>
      <c r="F947" s="52"/>
      <c r="G947" s="52"/>
      <c r="H947" s="53"/>
      <c r="I947" s="53"/>
      <c r="J947" s="52"/>
      <c r="K947" s="52"/>
      <c r="L947" s="52"/>
      <c r="M947" s="52"/>
      <c r="N947" s="52"/>
      <c r="O947" s="52"/>
      <c r="P947" s="9"/>
      <c r="Q947" s="9"/>
      <c r="R947" s="9"/>
      <c r="S947" s="50"/>
      <c r="T947" s="50"/>
      <c r="U947" s="9"/>
      <c r="V947" s="9"/>
      <c r="W947" s="9"/>
      <c r="X947" s="9"/>
      <c r="Y947" s="9"/>
      <c r="Z947" s="9"/>
      <c r="AA947" s="9"/>
    </row>
    <row r="948">
      <c r="A948" s="52"/>
      <c r="B948" s="50"/>
      <c r="C948" s="52"/>
      <c r="D948" s="52"/>
      <c r="E948" s="52"/>
      <c r="F948" s="52"/>
      <c r="G948" s="52"/>
      <c r="H948" s="53"/>
      <c r="I948" s="53"/>
      <c r="J948" s="52"/>
      <c r="K948" s="52"/>
      <c r="L948" s="52"/>
      <c r="M948" s="52"/>
      <c r="N948" s="52"/>
      <c r="O948" s="52"/>
      <c r="P948" s="9"/>
      <c r="Q948" s="9"/>
      <c r="R948" s="9"/>
      <c r="S948" s="50"/>
      <c r="T948" s="50"/>
      <c r="U948" s="9"/>
      <c r="V948" s="9"/>
      <c r="W948" s="9"/>
      <c r="X948" s="9"/>
      <c r="Y948" s="9"/>
      <c r="Z948" s="9"/>
      <c r="AA948" s="9"/>
    </row>
    <row r="949">
      <c r="A949" s="52"/>
      <c r="B949" s="50"/>
      <c r="C949" s="52"/>
      <c r="D949" s="52"/>
      <c r="E949" s="52"/>
      <c r="F949" s="52"/>
      <c r="G949" s="52"/>
      <c r="H949" s="53"/>
      <c r="I949" s="53"/>
      <c r="J949" s="52"/>
      <c r="K949" s="52"/>
      <c r="L949" s="52"/>
      <c r="M949" s="52"/>
      <c r="N949" s="52"/>
      <c r="O949" s="52"/>
      <c r="P949" s="9"/>
      <c r="Q949" s="9"/>
      <c r="R949" s="9"/>
      <c r="S949" s="50"/>
      <c r="T949" s="50"/>
      <c r="U949" s="9"/>
      <c r="V949" s="9"/>
      <c r="W949" s="9"/>
      <c r="X949" s="9"/>
      <c r="Y949" s="9"/>
      <c r="Z949" s="9"/>
      <c r="AA949" s="9"/>
    </row>
    <row r="950">
      <c r="A950" s="52"/>
      <c r="B950" s="50"/>
      <c r="C950" s="52"/>
      <c r="D950" s="52"/>
      <c r="E950" s="52"/>
      <c r="F950" s="52"/>
      <c r="G950" s="52"/>
      <c r="H950" s="53"/>
      <c r="I950" s="53"/>
      <c r="J950" s="52"/>
      <c r="K950" s="52"/>
      <c r="L950" s="52"/>
      <c r="M950" s="52"/>
      <c r="N950" s="52"/>
      <c r="O950" s="52"/>
      <c r="P950" s="9"/>
      <c r="Q950" s="9"/>
      <c r="R950" s="9"/>
      <c r="S950" s="50"/>
      <c r="T950" s="50"/>
      <c r="U950" s="9"/>
      <c r="V950" s="9"/>
      <c r="W950" s="9"/>
      <c r="X950" s="9"/>
      <c r="Y950" s="9"/>
      <c r="Z950" s="9"/>
      <c r="AA950" s="9"/>
    </row>
    <row r="951">
      <c r="A951" s="52"/>
      <c r="B951" s="50"/>
      <c r="C951" s="52"/>
      <c r="D951" s="52"/>
      <c r="E951" s="52"/>
      <c r="F951" s="52"/>
      <c r="G951" s="52"/>
      <c r="H951" s="53"/>
      <c r="I951" s="53"/>
      <c r="J951" s="52"/>
      <c r="K951" s="52"/>
      <c r="L951" s="52"/>
      <c r="M951" s="52"/>
      <c r="N951" s="52"/>
      <c r="O951" s="52"/>
      <c r="P951" s="9"/>
      <c r="Q951" s="9"/>
      <c r="R951" s="9"/>
      <c r="S951" s="50"/>
      <c r="T951" s="50"/>
      <c r="U951" s="9"/>
      <c r="V951" s="9"/>
      <c r="W951" s="9"/>
      <c r="X951" s="9"/>
      <c r="Y951" s="9"/>
      <c r="Z951" s="9"/>
      <c r="AA951" s="9"/>
    </row>
    <row r="952">
      <c r="A952" s="52"/>
      <c r="B952" s="50"/>
      <c r="C952" s="52"/>
      <c r="D952" s="52"/>
      <c r="E952" s="52"/>
      <c r="F952" s="52"/>
      <c r="G952" s="52"/>
      <c r="H952" s="53"/>
      <c r="I952" s="53"/>
      <c r="J952" s="52"/>
      <c r="K952" s="52"/>
      <c r="L952" s="52"/>
      <c r="M952" s="52"/>
      <c r="N952" s="52"/>
      <c r="O952" s="52"/>
      <c r="P952" s="9"/>
      <c r="Q952" s="9"/>
      <c r="R952" s="9"/>
      <c r="S952" s="50"/>
      <c r="T952" s="50"/>
      <c r="U952" s="9"/>
      <c r="V952" s="9"/>
      <c r="W952" s="9"/>
      <c r="X952" s="9"/>
      <c r="Y952" s="9"/>
      <c r="Z952" s="9"/>
      <c r="AA952" s="9"/>
    </row>
    <row r="953">
      <c r="A953" s="52"/>
      <c r="B953" s="50"/>
      <c r="C953" s="52"/>
      <c r="D953" s="52"/>
      <c r="E953" s="52"/>
      <c r="F953" s="52"/>
      <c r="G953" s="52"/>
      <c r="H953" s="53"/>
      <c r="I953" s="53"/>
      <c r="J953" s="52"/>
      <c r="K953" s="52"/>
      <c r="L953" s="52"/>
      <c r="M953" s="52"/>
      <c r="N953" s="52"/>
      <c r="O953" s="52"/>
      <c r="P953" s="9"/>
      <c r="Q953" s="9"/>
      <c r="R953" s="9"/>
      <c r="S953" s="50"/>
      <c r="T953" s="50"/>
      <c r="U953" s="9"/>
      <c r="V953" s="9"/>
      <c r="W953" s="9"/>
      <c r="X953" s="9"/>
      <c r="Y953" s="9"/>
      <c r="Z953" s="9"/>
      <c r="AA953" s="9"/>
    </row>
    <row r="954">
      <c r="A954" s="52"/>
      <c r="B954" s="50"/>
      <c r="C954" s="52"/>
      <c r="D954" s="52"/>
      <c r="E954" s="52"/>
      <c r="F954" s="52"/>
      <c r="G954" s="52"/>
      <c r="H954" s="53"/>
      <c r="I954" s="53"/>
      <c r="J954" s="52"/>
      <c r="K954" s="52"/>
      <c r="L954" s="52"/>
      <c r="M954" s="52"/>
      <c r="N954" s="52"/>
      <c r="O954" s="52"/>
      <c r="P954" s="9"/>
      <c r="Q954" s="9"/>
      <c r="R954" s="9"/>
      <c r="S954" s="50"/>
      <c r="T954" s="50"/>
      <c r="U954" s="9"/>
      <c r="V954" s="9"/>
      <c r="W954" s="9"/>
      <c r="X954" s="9"/>
      <c r="Y954" s="9"/>
      <c r="Z954" s="9"/>
      <c r="AA954" s="9"/>
    </row>
    <row r="955">
      <c r="A955" s="52"/>
      <c r="B955" s="50"/>
      <c r="C955" s="52"/>
      <c r="D955" s="52"/>
      <c r="E955" s="52"/>
      <c r="F955" s="52"/>
      <c r="G955" s="52"/>
      <c r="H955" s="53"/>
      <c r="I955" s="53"/>
      <c r="J955" s="52"/>
      <c r="K955" s="52"/>
      <c r="L955" s="52"/>
      <c r="M955" s="52"/>
      <c r="N955" s="52"/>
      <c r="O955" s="52"/>
      <c r="P955" s="9"/>
      <c r="Q955" s="9"/>
      <c r="R955" s="9"/>
      <c r="S955" s="50"/>
      <c r="T955" s="50"/>
      <c r="U955" s="9"/>
      <c r="V955" s="9"/>
      <c r="W955" s="9"/>
      <c r="X955" s="9"/>
      <c r="Y955" s="9"/>
      <c r="Z955" s="9"/>
      <c r="AA955" s="9"/>
    </row>
    <row r="956">
      <c r="A956" s="52"/>
      <c r="B956" s="50"/>
      <c r="C956" s="52"/>
      <c r="D956" s="52"/>
      <c r="E956" s="52"/>
      <c r="F956" s="52"/>
      <c r="G956" s="52"/>
      <c r="H956" s="53"/>
      <c r="I956" s="53"/>
      <c r="J956" s="52"/>
      <c r="K956" s="52"/>
      <c r="L956" s="52"/>
      <c r="M956" s="52"/>
      <c r="N956" s="52"/>
      <c r="O956" s="52"/>
      <c r="P956" s="9"/>
      <c r="Q956" s="9"/>
      <c r="R956" s="9"/>
      <c r="S956" s="50"/>
      <c r="T956" s="50"/>
      <c r="U956" s="9"/>
      <c r="V956" s="9"/>
      <c r="W956" s="9"/>
      <c r="X956" s="9"/>
      <c r="Y956" s="9"/>
      <c r="Z956" s="9"/>
      <c r="AA956" s="9"/>
    </row>
    <row r="957">
      <c r="A957" s="52"/>
      <c r="B957" s="50"/>
      <c r="C957" s="52"/>
      <c r="D957" s="52"/>
      <c r="E957" s="52"/>
      <c r="F957" s="52"/>
      <c r="G957" s="52"/>
      <c r="H957" s="53"/>
      <c r="I957" s="53"/>
      <c r="J957" s="52"/>
      <c r="K957" s="52"/>
      <c r="L957" s="52"/>
      <c r="M957" s="52"/>
      <c r="N957" s="52"/>
      <c r="O957" s="52"/>
      <c r="P957" s="9"/>
      <c r="Q957" s="9"/>
      <c r="R957" s="9"/>
      <c r="S957" s="50"/>
      <c r="T957" s="50"/>
      <c r="U957" s="9"/>
      <c r="V957" s="9"/>
      <c r="W957" s="9"/>
      <c r="X957" s="9"/>
      <c r="Y957" s="9"/>
      <c r="Z957" s="9"/>
      <c r="AA957" s="9"/>
    </row>
    <row r="958">
      <c r="A958" s="52"/>
      <c r="B958" s="50"/>
      <c r="C958" s="52"/>
      <c r="D958" s="52"/>
      <c r="E958" s="52"/>
      <c r="F958" s="52"/>
      <c r="G958" s="52"/>
      <c r="H958" s="53"/>
      <c r="I958" s="53"/>
      <c r="J958" s="52"/>
      <c r="K958" s="52"/>
      <c r="L958" s="52"/>
      <c r="M958" s="52"/>
      <c r="N958" s="52"/>
      <c r="O958" s="52"/>
      <c r="P958" s="9"/>
      <c r="Q958" s="9"/>
      <c r="R958" s="9"/>
      <c r="S958" s="50"/>
      <c r="T958" s="50"/>
      <c r="U958" s="9"/>
      <c r="V958" s="9"/>
      <c r="W958" s="9"/>
      <c r="X958" s="9"/>
      <c r="Y958" s="9"/>
      <c r="Z958" s="9"/>
      <c r="AA958" s="9"/>
    </row>
    <row r="959">
      <c r="A959" s="52"/>
      <c r="B959" s="50"/>
      <c r="C959" s="52"/>
      <c r="D959" s="52"/>
      <c r="E959" s="52"/>
      <c r="F959" s="52"/>
      <c r="G959" s="52"/>
      <c r="H959" s="53"/>
      <c r="I959" s="53"/>
      <c r="J959" s="52"/>
      <c r="K959" s="52"/>
      <c r="L959" s="52"/>
      <c r="M959" s="52"/>
      <c r="N959" s="52"/>
      <c r="O959" s="52"/>
      <c r="P959" s="9"/>
      <c r="Q959" s="9"/>
      <c r="R959" s="9"/>
      <c r="S959" s="50"/>
      <c r="T959" s="50"/>
      <c r="U959" s="9"/>
      <c r="V959" s="9"/>
      <c r="W959" s="9"/>
      <c r="X959" s="9"/>
      <c r="Y959" s="9"/>
      <c r="Z959" s="9"/>
      <c r="AA959" s="9"/>
    </row>
    <row r="960">
      <c r="A960" s="52"/>
      <c r="B960" s="50"/>
      <c r="C960" s="52"/>
      <c r="D960" s="52"/>
      <c r="E960" s="52"/>
      <c r="F960" s="52"/>
      <c r="G960" s="52"/>
      <c r="H960" s="53"/>
      <c r="I960" s="53"/>
      <c r="J960" s="52"/>
      <c r="K960" s="52"/>
      <c r="L960" s="52"/>
      <c r="M960" s="52"/>
      <c r="N960" s="52"/>
      <c r="O960" s="52"/>
      <c r="P960" s="9"/>
      <c r="Q960" s="9"/>
      <c r="R960" s="9"/>
      <c r="S960" s="50"/>
      <c r="T960" s="50"/>
      <c r="U960" s="9"/>
      <c r="V960" s="9"/>
      <c r="W960" s="9"/>
      <c r="X960" s="9"/>
      <c r="Y960" s="9"/>
      <c r="Z960" s="9"/>
      <c r="AA960" s="9"/>
    </row>
    <row r="961">
      <c r="A961" s="52"/>
      <c r="B961" s="50"/>
      <c r="C961" s="52"/>
      <c r="D961" s="52"/>
      <c r="E961" s="52"/>
      <c r="F961" s="52"/>
      <c r="G961" s="52"/>
      <c r="H961" s="53"/>
      <c r="I961" s="53"/>
      <c r="J961" s="52"/>
      <c r="K961" s="52"/>
      <c r="L961" s="52"/>
      <c r="M961" s="52"/>
      <c r="N961" s="52"/>
      <c r="O961" s="52"/>
      <c r="P961" s="9"/>
      <c r="Q961" s="9"/>
      <c r="R961" s="9"/>
      <c r="S961" s="50"/>
      <c r="T961" s="50"/>
      <c r="U961" s="9"/>
      <c r="V961" s="9"/>
      <c r="W961" s="9"/>
      <c r="X961" s="9"/>
      <c r="Y961" s="9"/>
      <c r="Z961" s="9"/>
      <c r="AA961" s="9"/>
    </row>
    <row r="962">
      <c r="A962" s="52"/>
      <c r="B962" s="50"/>
      <c r="C962" s="52"/>
      <c r="D962" s="52"/>
      <c r="E962" s="52"/>
      <c r="F962" s="52"/>
      <c r="G962" s="52"/>
      <c r="H962" s="53"/>
      <c r="I962" s="53"/>
      <c r="J962" s="52"/>
      <c r="K962" s="52"/>
      <c r="L962" s="52"/>
      <c r="M962" s="52"/>
      <c r="N962" s="52"/>
      <c r="O962" s="52"/>
      <c r="P962" s="9"/>
      <c r="Q962" s="9"/>
      <c r="R962" s="9"/>
      <c r="S962" s="50"/>
      <c r="T962" s="50"/>
      <c r="U962" s="9"/>
      <c r="V962" s="9"/>
      <c r="W962" s="9"/>
      <c r="X962" s="9"/>
      <c r="Y962" s="9"/>
      <c r="Z962" s="9"/>
      <c r="AA962" s="9"/>
    </row>
    <row r="963">
      <c r="A963" s="52"/>
      <c r="B963" s="50"/>
      <c r="C963" s="52"/>
      <c r="D963" s="52"/>
      <c r="E963" s="52"/>
      <c r="F963" s="52"/>
      <c r="G963" s="52"/>
      <c r="H963" s="53"/>
      <c r="I963" s="53"/>
      <c r="J963" s="52"/>
      <c r="K963" s="52"/>
      <c r="L963" s="52"/>
      <c r="M963" s="52"/>
      <c r="N963" s="52"/>
      <c r="O963" s="52"/>
      <c r="P963" s="9"/>
      <c r="Q963" s="9"/>
      <c r="R963" s="9"/>
      <c r="S963" s="50"/>
      <c r="T963" s="50"/>
      <c r="U963" s="9"/>
      <c r="V963" s="9"/>
      <c r="W963" s="9"/>
      <c r="X963" s="9"/>
      <c r="Y963" s="9"/>
      <c r="Z963" s="9"/>
      <c r="AA963" s="9"/>
    </row>
    <row r="964">
      <c r="A964" s="52"/>
      <c r="B964" s="50"/>
      <c r="C964" s="52"/>
      <c r="D964" s="52"/>
      <c r="E964" s="52"/>
      <c r="F964" s="52"/>
      <c r="G964" s="52"/>
      <c r="H964" s="53"/>
      <c r="I964" s="53"/>
      <c r="J964" s="52"/>
      <c r="K964" s="52"/>
      <c r="L964" s="52"/>
      <c r="M964" s="52"/>
      <c r="N964" s="52"/>
      <c r="O964" s="52"/>
      <c r="P964" s="9"/>
      <c r="Q964" s="9"/>
      <c r="R964" s="9"/>
      <c r="S964" s="50"/>
      <c r="T964" s="50"/>
      <c r="U964" s="9"/>
      <c r="V964" s="9"/>
      <c r="W964" s="9"/>
      <c r="X964" s="9"/>
      <c r="Y964" s="9"/>
      <c r="Z964" s="9"/>
      <c r="AA964" s="9"/>
    </row>
    <row r="965">
      <c r="A965" s="52"/>
      <c r="B965" s="50"/>
      <c r="C965" s="52"/>
      <c r="D965" s="52"/>
      <c r="E965" s="52"/>
      <c r="F965" s="52"/>
      <c r="G965" s="52"/>
      <c r="H965" s="53"/>
      <c r="I965" s="53"/>
      <c r="J965" s="52"/>
      <c r="K965" s="52"/>
      <c r="L965" s="52"/>
      <c r="M965" s="52"/>
      <c r="N965" s="52"/>
      <c r="O965" s="52"/>
      <c r="P965" s="9"/>
      <c r="Q965" s="9"/>
      <c r="R965" s="9"/>
      <c r="S965" s="50"/>
      <c r="T965" s="50"/>
      <c r="U965" s="9"/>
      <c r="V965" s="9"/>
      <c r="W965" s="9"/>
      <c r="X965" s="9"/>
      <c r="Y965" s="9"/>
      <c r="Z965" s="9"/>
      <c r="AA965" s="9"/>
    </row>
    <row r="966">
      <c r="A966" s="52"/>
      <c r="B966" s="50"/>
      <c r="C966" s="52"/>
      <c r="D966" s="52"/>
      <c r="E966" s="52"/>
      <c r="F966" s="52"/>
      <c r="G966" s="52"/>
      <c r="H966" s="53"/>
      <c r="I966" s="53"/>
      <c r="J966" s="52"/>
      <c r="K966" s="52"/>
      <c r="L966" s="52"/>
      <c r="M966" s="52"/>
      <c r="N966" s="52"/>
      <c r="O966" s="52"/>
      <c r="P966" s="9"/>
      <c r="Q966" s="9"/>
      <c r="R966" s="9"/>
      <c r="S966" s="50"/>
      <c r="T966" s="50"/>
      <c r="U966" s="9"/>
      <c r="V966" s="9"/>
      <c r="W966" s="9"/>
      <c r="X966" s="9"/>
      <c r="Y966" s="9"/>
      <c r="Z966" s="9"/>
      <c r="AA966" s="9"/>
    </row>
    <row r="967">
      <c r="A967" s="52"/>
      <c r="B967" s="50"/>
      <c r="C967" s="52"/>
      <c r="D967" s="52"/>
      <c r="E967" s="52"/>
      <c r="F967" s="52"/>
      <c r="G967" s="52"/>
      <c r="H967" s="53"/>
      <c r="I967" s="53"/>
      <c r="J967" s="52"/>
      <c r="K967" s="52"/>
      <c r="L967" s="52"/>
      <c r="M967" s="52"/>
      <c r="N967" s="52"/>
      <c r="O967" s="52"/>
      <c r="P967" s="9"/>
      <c r="Q967" s="9"/>
      <c r="R967" s="9"/>
      <c r="S967" s="50"/>
      <c r="T967" s="50"/>
      <c r="U967" s="9"/>
      <c r="V967" s="9"/>
      <c r="W967" s="9"/>
      <c r="X967" s="9"/>
      <c r="Y967" s="9"/>
      <c r="Z967" s="9"/>
      <c r="AA967" s="9"/>
    </row>
    <row r="968">
      <c r="A968" s="52"/>
      <c r="B968" s="50"/>
      <c r="C968" s="52"/>
      <c r="D968" s="52"/>
      <c r="E968" s="52"/>
      <c r="F968" s="52"/>
      <c r="G968" s="52"/>
      <c r="H968" s="53"/>
      <c r="I968" s="53"/>
      <c r="J968" s="52"/>
      <c r="K968" s="52"/>
      <c r="L968" s="52"/>
      <c r="M968" s="52"/>
      <c r="N968" s="52"/>
      <c r="O968" s="52"/>
      <c r="P968" s="9"/>
      <c r="Q968" s="9"/>
      <c r="R968" s="9"/>
      <c r="S968" s="50"/>
      <c r="T968" s="50"/>
      <c r="U968" s="9"/>
      <c r="V968" s="9"/>
      <c r="W968" s="9"/>
      <c r="X968" s="9"/>
      <c r="Y968" s="9"/>
      <c r="Z968" s="9"/>
      <c r="AA968" s="9"/>
    </row>
    <row r="969">
      <c r="A969" s="52"/>
      <c r="B969" s="50"/>
      <c r="C969" s="52"/>
      <c r="D969" s="52"/>
      <c r="E969" s="52"/>
      <c r="F969" s="52"/>
      <c r="G969" s="52"/>
      <c r="H969" s="53"/>
      <c r="I969" s="53"/>
      <c r="J969" s="52"/>
      <c r="K969" s="52"/>
      <c r="L969" s="52"/>
      <c r="M969" s="52"/>
      <c r="N969" s="52"/>
      <c r="O969" s="52"/>
      <c r="P969" s="9"/>
      <c r="Q969" s="9"/>
      <c r="R969" s="9"/>
      <c r="S969" s="50"/>
      <c r="T969" s="50"/>
      <c r="U969" s="9"/>
      <c r="V969" s="9"/>
      <c r="W969" s="9"/>
      <c r="X969" s="9"/>
      <c r="Y969" s="9"/>
      <c r="Z969" s="9"/>
      <c r="AA969" s="9"/>
    </row>
    <row r="970">
      <c r="A970" s="52"/>
      <c r="B970" s="50"/>
      <c r="C970" s="52"/>
      <c r="D970" s="52"/>
      <c r="E970" s="52"/>
      <c r="F970" s="52"/>
      <c r="G970" s="52"/>
      <c r="H970" s="53"/>
      <c r="I970" s="53"/>
      <c r="J970" s="52"/>
      <c r="K970" s="52"/>
      <c r="L970" s="52"/>
      <c r="M970" s="52"/>
      <c r="N970" s="52"/>
      <c r="O970" s="52"/>
      <c r="P970" s="9"/>
      <c r="Q970" s="9"/>
      <c r="R970" s="9"/>
      <c r="S970" s="50"/>
      <c r="T970" s="50"/>
      <c r="U970" s="9"/>
      <c r="V970" s="9"/>
      <c r="W970" s="9"/>
      <c r="X970" s="9"/>
      <c r="Y970" s="9"/>
      <c r="Z970" s="9"/>
      <c r="AA970" s="9"/>
    </row>
    <row r="971">
      <c r="A971" s="52"/>
      <c r="B971" s="50"/>
      <c r="C971" s="52"/>
      <c r="D971" s="52"/>
      <c r="E971" s="52"/>
      <c r="F971" s="52"/>
      <c r="G971" s="52"/>
      <c r="H971" s="53"/>
      <c r="I971" s="53"/>
      <c r="J971" s="52"/>
      <c r="K971" s="52"/>
      <c r="L971" s="52"/>
      <c r="M971" s="52"/>
      <c r="N971" s="52"/>
      <c r="O971" s="52"/>
      <c r="P971" s="9"/>
      <c r="Q971" s="9"/>
      <c r="R971" s="9"/>
      <c r="S971" s="50"/>
      <c r="T971" s="50"/>
      <c r="U971" s="9"/>
      <c r="V971" s="9"/>
      <c r="W971" s="9"/>
      <c r="X971" s="9"/>
      <c r="Y971" s="9"/>
      <c r="Z971" s="9"/>
      <c r="AA971" s="9"/>
    </row>
    <row r="972">
      <c r="A972" s="52"/>
      <c r="B972" s="50"/>
      <c r="C972" s="52"/>
      <c r="D972" s="52"/>
      <c r="E972" s="52"/>
      <c r="F972" s="52"/>
      <c r="G972" s="52"/>
      <c r="H972" s="53"/>
      <c r="I972" s="53"/>
      <c r="J972" s="52"/>
      <c r="K972" s="52"/>
      <c r="L972" s="52"/>
      <c r="M972" s="52"/>
      <c r="N972" s="52"/>
      <c r="O972" s="52"/>
      <c r="P972" s="9"/>
      <c r="Q972" s="9"/>
      <c r="R972" s="9"/>
      <c r="S972" s="50"/>
      <c r="T972" s="50"/>
      <c r="U972" s="9"/>
      <c r="V972" s="9"/>
      <c r="W972" s="9"/>
      <c r="X972" s="9"/>
      <c r="Y972" s="9"/>
      <c r="Z972" s="9"/>
      <c r="AA972" s="9"/>
    </row>
    <row r="973">
      <c r="A973" s="52"/>
      <c r="B973" s="50"/>
      <c r="C973" s="52"/>
      <c r="D973" s="52"/>
      <c r="E973" s="52"/>
      <c r="F973" s="52"/>
      <c r="G973" s="52"/>
      <c r="H973" s="53"/>
      <c r="I973" s="53"/>
      <c r="J973" s="52"/>
      <c r="K973" s="52"/>
      <c r="L973" s="52"/>
      <c r="M973" s="52"/>
      <c r="N973" s="52"/>
      <c r="O973" s="52"/>
      <c r="P973" s="9"/>
      <c r="Q973" s="9"/>
      <c r="R973" s="9"/>
      <c r="S973" s="50"/>
      <c r="T973" s="50"/>
      <c r="U973" s="9"/>
      <c r="V973" s="9"/>
      <c r="W973" s="9"/>
      <c r="X973" s="9"/>
      <c r="Y973" s="9"/>
      <c r="Z973" s="9"/>
      <c r="AA973" s="9"/>
    </row>
    <row r="974">
      <c r="A974" s="52"/>
      <c r="B974" s="50"/>
      <c r="C974" s="52"/>
      <c r="D974" s="52"/>
      <c r="E974" s="52"/>
      <c r="F974" s="52"/>
      <c r="G974" s="52"/>
      <c r="H974" s="53"/>
      <c r="I974" s="53"/>
      <c r="J974" s="52"/>
      <c r="K974" s="52"/>
      <c r="L974" s="52"/>
      <c r="M974" s="52"/>
      <c r="N974" s="52"/>
      <c r="O974" s="52"/>
      <c r="P974" s="9"/>
      <c r="Q974" s="9"/>
      <c r="R974" s="9"/>
      <c r="S974" s="50"/>
      <c r="T974" s="50"/>
      <c r="U974" s="9"/>
      <c r="V974" s="9"/>
      <c r="W974" s="9"/>
      <c r="X974" s="9"/>
      <c r="Y974" s="9"/>
      <c r="Z974" s="9"/>
      <c r="AA974" s="9"/>
    </row>
    <row r="975">
      <c r="A975" s="52"/>
      <c r="B975" s="50"/>
      <c r="C975" s="52"/>
      <c r="D975" s="52"/>
      <c r="E975" s="52"/>
      <c r="F975" s="52"/>
      <c r="G975" s="52"/>
      <c r="H975" s="53"/>
      <c r="I975" s="53"/>
      <c r="J975" s="52"/>
      <c r="K975" s="52"/>
      <c r="L975" s="52"/>
      <c r="M975" s="52"/>
      <c r="N975" s="52"/>
      <c r="O975" s="52"/>
      <c r="P975" s="9"/>
      <c r="Q975" s="9"/>
      <c r="R975" s="9"/>
      <c r="S975" s="50"/>
      <c r="T975" s="50"/>
      <c r="U975" s="9"/>
      <c r="V975" s="9"/>
      <c r="W975" s="9"/>
      <c r="X975" s="9"/>
      <c r="Y975" s="9"/>
      <c r="Z975" s="9"/>
      <c r="AA975" s="9"/>
    </row>
    <row r="976">
      <c r="A976" s="52"/>
      <c r="B976" s="50"/>
      <c r="C976" s="52"/>
      <c r="D976" s="52"/>
      <c r="E976" s="52"/>
      <c r="F976" s="52"/>
      <c r="G976" s="52"/>
      <c r="H976" s="53"/>
      <c r="I976" s="53"/>
      <c r="J976" s="52"/>
      <c r="K976" s="52"/>
      <c r="L976" s="52"/>
      <c r="M976" s="52"/>
      <c r="N976" s="52"/>
      <c r="O976" s="52"/>
      <c r="P976" s="9"/>
      <c r="Q976" s="9"/>
      <c r="R976" s="9"/>
      <c r="S976" s="50"/>
      <c r="T976" s="50"/>
      <c r="U976" s="9"/>
      <c r="V976" s="9"/>
      <c r="W976" s="9"/>
      <c r="X976" s="9"/>
      <c r="Y976" s="9"/>
      <c r="Z976" s="9"/>
      <c r="AA976" s="9"/>
    </row>
    <row r="977">
      <c r="A977" s="52"/>
      <c r="B977" s="50"/>
      <c r="C977" s="52"/>
      <c r="D977" s="52"/>
      <c r="E977" s="52"/>
      <c r="F977" s="52"/>
      <c r="G977" s="52"/>
      <c r="H977" s="53"/>
      <c r="I977" s="53"/>
      <c r="J977" s="52"/>
      <c r="K977" s="52"/>
      <c r="L977" s="52"/>
      <c r="M977" s="52"/>
      <c r="N977" s="52"/>
      <c r="O977" s="52"/>
      <c r="P977" s="9"/>
      <c r="Q977" s="9"/>
      <c r="R977" s="9"/>
      <c r="S977" s="50"/>
      <c r="T977" s="50"/>
      <c r="U977" s="9"/>
      <c r="V977" s="9"/>
      <c r="W977" s="9"/>
      <c r="X977" s="9"/>
      <c r="Y977" s="9"/>
      <c r="Z977" s="9"/>
      <c r="AA977" s="9"/>
    </row>
    <row r="978">
      <c r="A978" s="52"/>
      <c r="B978" s="50"/>
      <c r="C978" s="52"/>
      <c r="D978" s="52"/>
      <c r="E978" s="52"/>
      <c r="F978" s="52"/>
      <c r="G978" s="52"/>
      <c r="H978" s="53"/>
      <c r="I978" s="53"/>
      <c r="J978" s="52"/>
      <c r="K978" s="52"/>
      <c r="L978" s="52"/>
      <c r="M978" s="52"/>
      <c r="N978" s="52"/>
      <c r="O978" s="52"/>
      <c r="P978" s="9"/>
      <c r="Q978" s="9"/>
      <c r="R978" s="9"/>
      <c r="S978" s="50"/>
      <c r="T978" s="50"/>
      <c r="U978" s="9"/>
      <c r="V978" s="9"/>
      <c r="W978" s="9"/>
      <c r="X978" s="9"/>
      <c r="Y978" s="9"/>
      <c r="Z978" s="9"/>
      <c r="AA978" s="9"/>
    </row>
    <row r="979">
      <c r="A979" s="52"/>
      <c r="B979" s="50"/>
      <c r="C979" s="52"/>
      <c r="D979" s="52"/>
      <c r="E979" s="52"/>
      <c r="F979" s="52"/>
      <c r="G979" s="52"/>
      <c r="H979" s="53"/>
      <c r="I979" s="53"/>
      <c r="J979" s="52"/>
      <c r="K979" s="52"/>
      <c r="L979" s="52"/>
      <c r="M979" s="52"/>
      <c r="N979" s="52"/>
      <c r="O979" s="52"/>
      <c r="P979" s="9"/>
      <c r="Q979" s="9"/>
      <c r="R979" s="9"/>
      <c r="S979" s="50"/>
      <c r="T979" s="50"/>
      <c r="U979" s="9"/>
      <c r="V979" s="9"/>
      <c r="W979" s="9"/>
      <c r="X979" s="9"/>
      <c r="Y979" s="9"/>
      <c r="Z979" s="9"/>
      <c r="AA979" s="9"/>
    </row>
    <row r="980">
      <c r="A980" s="52"/>
      <c r="B980" s="50"/>
      <c r="C980" s="52"/>
      <c r="D980" s="52"/>
      <c r="E980" s="52"/>
      <c r="F980" s="52"/>
      <c r="G980" s="52"/>
      <c r="H980" s="53"/>
      <c r="I980" s="53"/>
      <c r="J980" s="52"/>
      <c r="K980" s="52"/>
      <c r="L980" s="52"/>
      <c r="M980" s="52"/>
      <c r="N980" s="52"/>
      <c r="O980" s="52"/>
      <c r="P980" s="9"/>
      <c r="Q980" s="9"/>
      <c r="R980" s="9"/>
      <c r="S980" s="50"/>
      <c r="T980" s="50"/>
      <c r="U980" s="9"/>
      <c r="V980" s="9"/>
      <c r="W980" s="9"/>
      <c r="X980" s="9"/>
      <c r="Y980" s="9"/>
      <c r="Z980" s="9"/>
      <c r="AA980" s="9"/>
    </row>
    <row r="981">
      <c r="A981" s="52"/>
      <c r="B981" s="50"/>
      <c r="C981" s="52"/>
      <c r="D981" s="52"/>
      <c r="E981" s="52"/>
      <c r="F981" s="52"/>
      <c r="G981" s="52"/>
      <c r="H981" s="53"/>
      <c r="I981" s="53"/>
      <c r="J981" s="52"/>
      <c r="K981" s="52"/>
      <c r="L981" s="52"/>
      <c r="M981" s="52"/>
      <c r="N981" s="52"/>
      <c r="O981" s="52"/>
      <c r="P981" s="9"/>
      <c r="Q981" s="9"/>
      <c r="R981" s="9"/>
      <c r="S981" s="50"/>
      <c r="T981" s="50"/>
      <c r="U981" s="9"/>
      <c r="V981" s="9"/>
      <c r="W981" s="9"/>
      <c r="X981" s="9"/>
      <c r="Y981" s="9"/>
      <c r="Z981" s="9"/>
      <c r="AA981" s="9"/>
    </row>
    <row r="982">
      <c r="A982" s="52"/>
      <c r="B982" s="50"/>
      <c r="C982" s="52"/>
      <c r="D982" s="52"/>
      <c r="E982" s="52"/>
      <c r="F982" s="52"/>
      <c r="G982" s="52"/>
      <c r="H982" s="53"/>
      <c r="I982" s="53"/>
      <c r="J982" s="52"/>
      <c r="K982" s="52"/>
      <c r="L982" s="52"/>
      <c r="M982" s="52"/>
      <c r="N982" s="52"/>
      <c r="O982" s="52"/>
      <c r="P982" s="9"/>
      <c r="Q982" s="9"/>
      <c r="R982" s="9"/>
      <c r="S982" s="50"/>
      <c r="T982" s="50"/>
      <c r="U982" s="9"/>
      <c r="V982" s="9"/>
      <c r="W982" s="9"/>
      <c r="X982" s="9"/>
      <c r="Y982" s="9"/>
      <c r="Z982" s="9"/>
      <c r="AA982" s="9"/>
    </row>
    <row r="983">
      <c r="A983" s="52"/>
      <c r="B983" s="50"/>
      <c r="C983" s="52"/>
      <c r="D983" s="52"/>
      <c r="E983" s="52"/>
      <c r="F983" s="52"/>
      <c r="G983" s="52"/>
      <c r="H983" s="53"/>
      <c r="I983" s="53"/>
      <c r="J983" s="52"/>
      <c r="K983" s="52"/>
      <c r="L983" s="52"/>
      <c r="M983" s="52"/>
      <c r="N983" s="52"/>
      <c r="O983" s="52"/>
      <c r="P983" s="9"/>
      <c r="Q983" s="9"/>
      <c r="R983" s="9"/>
      <c r="S983" s="50"/>
      <c r="T983" s="50"/>
      <c r="U983" s="9"/>
      <c r="V983" s="9"/>
      <c r="W983" s="9"/>
      <c r="X983" s="9"/>
      <c r="Y983" s="9"/>
      <c r="Z983" s="9"/>
      <c r="AA983" s="9"/>
    </row>
    <row r="984">
      <c r="A984" s="52"/>
      <c r="B984" s="50"/>
      <c r="C984" s="52"/>
      <c r="D984" s="52"/>
      <c r="E984" s="52"/>
      <c r="F984" s="52"/>
      <c r="G984" s="52"/>
      <c r="H984" s="53"/>
      <c r="I984" s="53"/>
      <c r="J984" s="52"/>
      <c r="K984" s="52"/>
      <c r="L984" s="52"/>
      <c r="M984" s="52"/>
      <c r="N984" s="52"/>
      <c r="O984" s="52"/>
      <c r="P984" s="9"/>
      <c r="Q984" s="9"/>
      <c r="R984" s="9"/>
      <c r="S984" s="50"/>
      <c r="T984" s="50"/>
      <c r="U984" s="9"/>
      <c r="V984" s="9"/>
      <c r="W984" s="9"/>
      <c r="X984" s="9"/>
      <c r="Y984" s="9"/>
      <c r="Z984" s="9"/>
      <c r="AA984" s="9"/>
    </row>
    <row r="985">
      <c r="A985" s="52"/>
      <c r="B985" s="50"/>
      <c r="C985" s="52"/>
      <c r="D985" s="52"/>
      <c r="E985" s="52"/>
      <c r="F985" s="52"/>
      <c r="G985" s="52"/>
      <c r="H985" s="53"/>
      <c r="I985" s="53"/>
      <c r="J985" s="52"/>
      <c r="K985" s="52"/>
      <c r="L985" s="52"/>
      <c r="M985" s="52"/>
      <c r="N985" s="52"/>
      <c r="O985" s="52"/>
      <c r="P985" s="9"/>
      <c r="Q985" s="9"/>
      <c r="R985" s="9"/>
      <c r="S985" s="50"/>
      <c r="T985" s="50"/>
      <c r="U985" s="9"/>
      <c r="V985" s="9"/>
      <c r="W985" s="9"/>
      <c r="X985" s="9"/>
      <c r="Y985" s="9"/>
      <c r="Z985" s="9"/>
      <c r="AA985" s="9"/>
    </row>
    <row r="986">
      <c r="A986" s="52"/>
      <c r="B986" s="50"/>
      <c r="C986" s="52"/>
      <c r="D986" s="52"/>
      <c r="E986" s="52"/>
      <c r="F986" s="52"/>
      <c r="G986" s="52"/>
      <c r="H986" s="53"/>
      <c r="I986" s="53"/>
      <c r="J986" s="52"/>
      <c r="K986" s="52"/>
      <c r="L986" s="52"/>
      <c r="M986" s="52"/>
      <c r="N986" s="52"/>
      <c r="O986" s="52"/>
      <c r="P986" s="9"/>
      <c r="Q986" s="9"/>
      <c r="R986" s="9"/>
      <c r="S986" s="50"/>
      <c r="T986" s="50"/>
      <c r="U986" s="9"/>
      <c r="V986" s="9"/>
      <c r="W986" s="9"/>
      <c r="X986" s="9"/>
      <c r="Y986" s="9"/>
      <c r="Z986" s="9"/>
      <c r="AA986" s="9"/>
    </row>
    <row r="987">
      <c r="A987" s="52"/>
      <c r="B987" s="50"/>
      <c r="C987" s="52"/>
      <c r="D987" s="52"/>
      <c r="E987" s="52"/>
      <c r="F987" s="52"/>
      <c r="G987" s="52"/>
      <c r="H987" s="53"/>
      <c r="I987" s="53"/>
      <c r="J987" s="52"/>
      <c r="K987" s="52"/>
      <c r="L987" s="52"/>
      <c r="M987" s="52"/>
      <c r="N987" s="52"/>
      <c r="O987" s="52"/>
      <c r="P987" s="9"/>
      <c r="Q987" s="9"/>
      <c r="R987" s="9"/>
      <c r="S987" s="50"/>
      <c r="T987" s="50"/>
      <c r="U987" s="9"/>
      <c r="V987" s="9"/>
      <c r="W987" s="9"/>
      <c r="X987" s="9"/>
      <c r="Y987" s="9"/>
      <c r="Z987" s="9"/>
      <c r="AA987" s="9"/>
    </row>
    <row r="988">
      <c r="A988" s="52"/>
      <c r="B988" s="50"/>
      <c r="C988" s="52"/>
      <c r="D988" s="52"/>
      <c r="E988" s="52"/>
      <c r="F988" s="52"/>
      <c r="G988" s="52"/>
      <c r="H988" s="53"/>
      <c r="I988" s="53"/>
      <c r="J988" s="52"/>
      <c r="K988" s="52"/>
      <c r="L988" s="52"/>
      <c r="M988" s="52"/>
      <c r="N988" s="52"/>
      <c r="O988" s="52"/>
      <c r="P988" s="9"/>
      <c r="Q988" s="9"/>
      <c r="R988" s="9"/>
      <c r="S988" s="50"/>
      <c r="T988" s="50"/>
      <c r="U988" s="9"/>
      <c r="V988" s="9"/>
      <c r="W988" s="9"/>
      <c r="X988" s="9"/>
      <c r="Y988" s="9"/>
      <c r="Z988" s="9"/>
      <c r="AA988" s="9"/>
    </row>
    <row r="989">
      <c r="A989" s="52"/>
      <c r="B989" s="50"/>
      <c r="C989" s="52"/>
      <c r="D989" s="52"/>
      <c r="E989" s="52"/>
      <c r="F989" s="52"/>
      <c r="G989" s="52"/>
      <c r="H989" s="53"/>
      <c r="I989" s="53"/>
      <c r="J989" s="52"/>
      <c r="K989" s="52"/>
      <c r="L989" s="52"/>
      <c r="M989" s="52"/>
      <c r="N989" s="52"/>
      <c r="O989" s="52"/>
      <c r="P989" s="9"/>
      <c r="Q989" s="9"/>
      <c r="R989" s="9"/>
      <c r="S989" s="50"/>
      <c r="T989" s="50"/>
      <c r="U989" s="9"/>
      <c r="V989" s="9"/>
      <c r="W989" s="9"/>
      <c r="X989" s="9"/>
      <c r="Y989" s="9"/>
      <c r="Z989" s="9"/>
      <c r="AA989" s="9"/>
    </row>
    <row r="990">
      <c r="A990" s="52"/>
      <c r="B990" s="50"/>
      <c r="C990" s="52"/>
      <c r="D990" s="52"/>
      <c r="E990" s="52"/>
      <c r="F990" s="52"/>
      <c r="G990" s="52"/>
      <c r="H990" s="53"/>
      <c r="I990" s="53"/>
      <c r="J990" s="52"/>
      <c r="K990" s="52"/>
      <c r="L990" s="52"/>
      <c r="M990" s="52"/>
      <c r="N990" s="52"/>
      <c r="O990" s="52"/>
      <c r="P990" s="9"/>
      <c r="Q990" s="9"/>
      <c r="R990" s="9"/>
      <c r="S990" s="50"/>
      <c r="T990" s="50"/>
      <c r="U990" s="9"/>
      <c r="V990" s="9"/>
      <c r="W990" s="9"/>
      <c r="X990" s="9"/>
      <c r="Y990" s="9"/>
      <c r="Z990" s="9"/>
      <c r="AA990" s="9"/>
    </row>
    <row r="991">
      <c r="A991" s="52"/>
      <c r="B991" s="50"/>
      <c r="C991" s="52"/>
      <c r="D991" s="52"/>
      <c r="E991" s="52"/>
      <c r="F991" s="52"/>
      <c r="G991" s="52"/>
      <c r="H991" s="53"/>
      <c r="I991" s="53"/>
      <c r="J991" s="52"/>
      <c r="K991" s="52"/>
      <c r="L991" s="52"/>
      <c r="M991" s="52"/>
      <c r="N991" s="52"/>
      <c r="O991" s="52"/>
      <c r="P991" s="9"/>
      <c r="Q991" s="9"/>
      <c r="R991" s="9"/>
      <c r="S991" s="50"/>
      <c r="T991" s="50"/>
      <c r="U991" s="9"/>
      <c r="V991" s="9"/>
      <c r="W991" s="9"/>
      <c r="X991" s="9"/>
      <c r="Y991" s="9"/>
      <c r="Z991" s="9"/>
      <c r="AA991" s="9"/>
    </row>
    <row r="992">
      <c r="A992" s="52"/>
      <c r="B992" s="50"/>
      <c r="C992" s="52"/>
      <c r="D992" s="52"/>
      <c r="E992" s="52"/>
      <c r="F992" s="52"/>
      <c r="G992" s="52"/>
      <c r="H992" s="53"/>
      <c r="I992" s="53"/>
      <c r="J992" s="52"/>
      <c r="K992" s="52"/>
      <c r="L992" s="52"/>
      <c r="M992" s="52"/>
      <c r="N992" s="52"/>
      <c r="O992" s="52"/>
      <c r="P992" s="9"/>
      <c r="Q992" s="9"/>
      <c r="R992" s="9"/>
      <c r="S992" s="50"/>
      <c r="T992" s="50"/>
      <c r="U992" s="9"/>
      <c r="V992" s="9"/>
      <c r="W992" s="9"/>
      <c r="X992" s="9"/>
      <c r="Y992" s="9"/>
      <c r="Z992" s="9"/>
      <c r="AA992" s="9"/>
    </row>
    <row r="993">
      <c r="A993" s="52"/>
      <c r="B993" s="50"/>
      <c r="C993" s="52"/>
      <c r="D993" s="52"/>
      <c r="E993" s="52"/>
      <c r="F993" s="52"/>
      <c r="G993" s="52"/>
      <c r="H993" s="53"/>
      <c r="I993" s="53"/>
      <c r="J993" s="52"/>
      <c r="K993" s="52"/>
      <c r="L993" s="52"/>
      <c r="M993" s="52"/>
      <c r="N993" s="52"/>
      <c r="O993" s="52"/>
      <c r="P993" s="9"/>
      <c r="Q993" s="9"/>
      <c r="R993" s="9"/>
      <c r="S993" s="50"/>
      <c r="T993" s="50"/>
      <c r="U993" s="9"/>
      <c r="V993" s="9"/>
      <c r="W993" s="9"/>
      <c r="X993" s="9"/>
      <c r="Y993" s="9"/>
      <c r="Z993" s="9"/>
      <c r="AA993" s="9"/>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xSplit="1.0" topLeftCell="B1" activePane="topRight" state="frozen"/>
      <selection activeCell="C2" sqref="C2" pane="topRight"/>
    </sheetView>
  </sheetViews>
  <sheetFormatPr customHeight="1" defaultColWidth="12.63" defaultRowHeight="15.75"/>
  <cols>
    <col customWidth="1" min="1" max="1" width="24.13"/>
    <col customWidth="1" min="2" max="2" width="15.75"/>
    <col customWidth="1" min="3" max="3" width="14.5"/>
    <col customWidth="1" min="5" max="5" width="17.63"/>
    <col customWidth="1" min="6" max="10" width="16.13"/>
    <col customWidth="1" min="11" max="13" width="13.25"/>
    <col customWidth="1" min="26" max="28" width="17.88"/>
    <col customWidth="1" min="34" max="34" width="13.38"/>
    <col customWidth="1" min="39" max="39" width="14.13"/>
    <col customWidth="1" min="41" max="41" width="17.38"/>
    <col customWidth="1" min="43" max="43" width="14.5"/>
    <col customWidth="1" min="46" max="46" width="15.5"/>
  </cols>
  <sheetData>
    <row r="1">
      <c r="A1" s="54" t="s">
        <v>6124</v>
      </c>
      <c r="B1" s="54" t="s">
        <v>6125</v>
      </c>
      <c r="C1" s="54" t="s">
        <v>6126</v>
      </c>
      <c r="D1" s="54" t="s">
        <v>6127</v>
      </c>
      <c r="E1" s="54" t="s">
        <v>128</v>
      </c>
      <c r="F1" s="54" t="s">
        <v>6128</v>
      </c>
      <c r="G1" s="54" t="s">
        <v>6129</v>
      </c>
      <c r="H1" s="54" t="s">
        <v>43</v>
      </c>
      <c r="I1" s="54" t="s">
        <v>6130</v>
      </c>
      <c r="J1" s="54" t="s">
        <v>6131</v>
      </c>
      <c r="K1" s="55" t="s">
        <v>33</v>
      </c>
      <c r="L1" s="54" t="s">
        <v>6132</v>
      </c>
      <c r="M1" s="54" t="s">
        <v>6133</v>
      </c>
      <c r="N1" s="55" t="s">
        <v>51</v>
      </c>
      <c r="O1" s="54" t="s">
        <v>6134</v>
      </c>
      <c r="P1" s="54" t="s">
        <v>6135</v>
      </c>
      <c r="Q1" s="55" t="s">
        <v>73</v>
      </c>
      <c r="R1" s="54" t="s">
        <v>6136</v>
      </c>
      <c r="S1" s="54" t="s">
        <v>6137</v>
      </c>
      <c r="T1" s="54" t="s">
        <v>60</v>
      </c>
      <c r="U1" s="54" t="s">
        <v>6138</v>
      </c>
      <c r="V1" s="54" t="s">
        <v>6139</v>
      </c>
      <c r="W1" s="54" t="s">
        <v>236</v>
      </c>
      <c r="X1" s="54" t="s">
        <v>6140</v>
      </c>
      <c r="Y1" s="54" t="s">
        <v>6141</v>
      </c>
      <c r="Z1" s="54" t="s">
        <v>1333</v>
      </c>
      <c r="AA1" s="54" t="s">
        <v>6142</v>
      </c>
      <c r="AB1" s="54" t="s">
        <v>6143</v>
      </c>
      <c r="AC1" s="54" t="s">
        <v>172</v>
      </c>
      <c r="AD1" s="54" t="s">
        <v>6144</v>
      </c>
      <c r="AE1" s="54" t="s">
        <v>6145</v>
      </c>
      <c r="AF1" s="54" t="s">
        <v>6146</v>
      </c>
      <c r="AG1" s="54" t="s">
        <v>6147</v>
      </c>
      <c r="AH1" s="54" t="s">
        <v>6148</v>
      </c>
      <c r="AI1" s="56" t="s">
        <v>6149</v>
      </c>
      <c r="AJ1" s="54" t="s">
        <v>6150</v>
      </c>
      <c r="AK1" s="57" t="s">
        <v>6151</v>
      </c>
      <c r="AL1" s="54" t="s">
        <v>6152</v>
      </c>
      <c r="AM1" s="54" t="s">
        <v>6153</v>
      </c>
      <c r="AO1" s="54" t="s">
        <v>128</v>
      </c>
      <c r="AP1" s="54" t="s">
        <v>43</v>
      </c>
      <c r="AQ1" s="55" t="s">
        <v>33</v>
      </c>
      <c r="AR1" s="55" t="s">
        <v>51</v>
      </c>
      <c r="AS1" s="55" t="s">
        <v>73</v>
      </c>
      <c r="AT1" s="54" t="s">
        <v>60</v>
      </c>
      <c r="AU1" s="54" t="s">
        <v>236</v>
      </c>
      <c r="AV1" s="54" t="s">
        <v>1333</v>
      </c>
      <c r="AW1" s="54" t="s">
        <v>172</v>
      </c>
    </row>
    <row r="2">
      <c r="A2" s="58" t="s">
        <v>6154</v>
      </c>
      <c r="B2" s="58"/>
      <c r="C2" s="59"/>
      <c r="D2" s="60"/>
      <c r="E2" s="60">
        <f>COUNTIFS('Solicitud de eventos'!$J:$J,E$1,'Solicitud de eventos'!$D:$D,$A2, 'Solicitud de eventos'!X:X,"&lt;&gt;DENEGADO")</f>
        <v>0</v>
      </c>
      <c r="F2" s="60">
        <f t="shared" ref="F2:F57" si="1">IFERROR(E2/$AO$2,0)</f>
        <v>0</v>
      </c>
      <c r="G2" s="61">
        <f t="shared" ref="G2:G57" si="2">IF(F2&gt;0.75,12,IF(F2&gt;0.5,8,IF(F2&gt;0.25,4,0)))</f>
        <v>0</v>
      </c>
      <c r="H2" s="60">
        <f>COUNTIFS('Solicitud de eventos'!$J:$J,H$1,'Solicitud de eventos'!$D:$D,$A2, 'Solicitud de eventos'!X:X,"&lt;&gt;DENEGADO")</f>
        <v>0</v>
      </c>
      <c r="I2" s="60">
        <f t="shared" ref="I2:I57" si="3">IFERROR(H2/$AP$2,0)</f>
        <v>0</v>
      </c>
      <c r="J2" s="61">
        <f t="shared" ref="J2:J57" si="4">IF(I2&gt;0.75,12,IF(I2&gt;0.5,8,IF(I2&gt;0.25,4,0)))</f>
        <v>0</v>
      </c>
      <c r="K2" s="60">
        <f>COUNTIFS('Solicitud de eventos'!$J:$J,K$1,'Solicitud de eventos'!$D:$D,$A2, 'Solicitud de eventos'!X:X,"&lt;&gt;DENEGADO")</f>
        <v>0</v>
      </c>
      <c r="L2" s="60">
        <f t="shared" ref="L2:L57" si="5">IFERROR(K2/$AQ$2,0)</f>
        <v>0</v>
      </c>
      <c r="M2" s="61">
        <f t="shared" ref="M2:M57" si="6">IF(L2&gt;0.75,12,IF(L2&gt;0.5,8,IF(L2&gt;0.25,4,0)))</f>
        <v>0</v>
      </c>
      <c r="N2" s="60">
        <f>COUNTIFS('Solicitud de eventos'!$J:$J,N$1,'Solicitud de eventos'!$D:$D,$A2, 'Solicitud de eventos'!X:X,"&lt;&gt;DENEGADO")</f>
        <v>0</v>
      </c>
      <c r="O2" s="60">
        <f t="shared" ref="O2:O57" si="7">IFERROR(N2/$AR$2,0)</f>
        <v>0</v>
      </c>
      <c r="P2" s="61">
        <f t="shared" ref="P2:P57" si="8">IF(O2&gt;0.75,12,IF(O2&gt;0.5,8,IF(O2&gt;0.25,4,0)))</f>
        <v>0</v>
      </c>
      <c r="Q2" s="60">
        <f>COUNTIFS('Solicitud de eventos'!$J:$J,Q$1,'Solicitud de eventos'!$D:$D,$A2, 'Solicitud de eventos'!X:X,"&lt;&gt;DENEGADO")</f>
        <v>0</v>
      </c>
      <c r="R2" s="60">
        <f t="shared" ref="R2:R57" si="9">IFERROR(Q2/$AS$2,0)</f>
        <v>0</v>
      </c>
      <c r="S2" s="61">
        <f t="shared" ref="S2:S57" si="10">IF(R2&gt;0.75,12,IF(R2&gt;0.5,8,IF(R2&gt;0.25,4,0)))</f>
        <v>0</v>
      </c>
      <c r="T2" s="60">
        <f>COUNTIFS('Solicitud de eventos'!$J:$J,T$1,'Solicitud de eventos'!$D:$D,$A2, 'Solicitud de eventos'!X:X,"&lt;&gt;DENEGADO")</f>
        <v>0</v>
      </c>
      <c r="U2" s="60">
        <f t="shared" ref="U2:U57" si="11">IFERROR(T2/$AT$2,0)</f>
        <v>0</v>
      </c>
      <c r="V2" s="61">
        <f t="shared" ref="V2:V57" si="12">IF(U2&gt;0.75,12,IF(U2&gt;0.5,8,IF(U2&gt;0.25,4,0)))</f>
        <v>0</v>
      </c>
      <c r="W2" s="60">
        <f>COUNTIFS('Solicitud de eventos'!$J:$J,W$1,'Solicitud de eventos'!$D:$D,$A2, 'Solicitud de eventos'!X:X,"&lt;&gt;DENEGADO")</f>
        <v>0</v>
      </c>
      <c r="X2" s="60">
        <f t="shared" ref="X2:X57" si="13">IFERROR(W2/$AU$2,0)</f>
        <v>0</v>
      </c>
      <c r="Y2" s="61">
        <f t="shared" ref="Y2:Y57" si="14">IF(X2&gt;0.75,12,IF(X2&gt;0.5,8,IF(X2&gt;0.25,4,0)))</f>
        <v>0</v>
      </c>
      <c r="Z2" s="60">
        <f>COUNTIFS('Solicitud de eventos'!$J:$J,Z$1,'Solicitud de eventos'!$D:$D,$A2, 'Solicitud de eventos'!X:X,"&lt;&gt;DENEGADO")</f>
        <v>0</v>
      </c>
      <c r="AA2" s="60">
        <f t="shared" ref="AA2:AA57" si="15">IFERROR(Z2/$AV$2,0)</f>
        <v>0</v>
      </c>
      <c r="AB2" s="61">
        <f t="shared" ref="AB2:AB57" si="16">IF(AA2&gt;0.75,12,IF(AA2&gt;0.5,8,IF(AA2&gt;0.25,4,0)))</f>
        <v>0</v>
      </c>
      <c r="AC2" s="60">
        <f>COUNTIFS('Solicitud de eventos'!$J:$J,AC$1,'Solicitud de eventos'!$D:$D,$A2, 'Solicitud de eventos'!X:X,"&lt;&gt;DENEGADO")</f>
        <v>0</v>
      </c>
      <c r="AD2" s="60">
        <f t="shared" ref="AD2:AD57" si="17">IFERROR(AC2/$AW$2,0)</f>
        <v>0</v>
      </c>
      <c r="AE2" s="61">
        <f t="shared" ref="AE2:AE57" si="18">IF(AD2&gt;0.75,12,IF(AD2&gt;0.5,8,IF(AD2&gt;0.25,4,0)))</f>
        <v>0</v>
      </c>
      <c r="AF2" s="60">
        <f>COUNTIFS('Solicitud de eventos'!$Q:$Q,"&gt;0",'Solicitud de eventos'!$D:$D,$A2, 'Solicitud de eventos'!$X:$X,"&lt;&gt;DENEGADO")</f>
        <v>0</v>
      </c>
      <c r="AG2" s="60">
        <f>COUNTIFS('Solicitud de eventos'!$S:$S,"&gt;0",'Solicitud de eventos'!$D:$D,$A2, 'Solicitud de eventos'!$X:$X,"&lt;&gt;DENEGADO")</f>
        <v>0</v>
      </c>
      <c r="AH2" s="60">
        <f>COUNTIFS('Solicitud de eventos'!$U:$U,"&gt;0",'Solicitud de eventos'!$D:$D,$A2, 'Solicitud de eventos'!$X:$X,"&lt;&gt;DENEGADO")</f>
        <v>0</v>
      </c>
      <c r="AI2" s="62"/>
      <c r="AJ2" s="60">
        <f>COUNTIFS('Hoja 4'!F:F,"&lt;7",'Hoja 4'!C:C,$A2, 'Hoja 4'!E:E,"&lt;&gt;DENEGADO")</f>
        <v>0</v>
      </c>
      <c r="AK2" s="60">
        <f>COUNTIFS('Solicitud de eventos'!$D:$D,$A2, 'Solicitud de eventos'!$X:$X,"=DENEGADO")</f>
        <v>0</v>
      </c>
      <c r="AL2" s="60">
        <f t="shared" ref="AL2:AL57" si="19">(SUM(B2,C2,D2,AE2,AB2,Y2,V2,S2,P2,M2,J2,G2,AI2)-AK2)</f>
        <v>0</v>
      </c>
      <c r="AM2" s="63" t="str">
        <f t="shared" ref="AM2:AM57" si="20">IF(AL2&gt;=$AP$6,IF(AL2&gt;=$AP$7,IF(AL2&gt;=$AP$8,"ROBLE AMARILLO","ROBLE ROSADO"),"ROBLE MORADO"),"INACTIVO")</f>
        <v>INACTIVO</v>
      </c>
      <c r="AO2" s="59">
        <f>MAX(E2:E50499)</f>
        <v>80</v>
      </c>
      <c r="AP2" s="59">
        <f>MAX(H2:H50499)</f>
        <v>50</v>
      </c>
      <c r="AQ2" s="59">
        <f>MAX(K2:K50499)</f>
        <v>36</v>
      </c>
      <c r="AR2" s="59">
        <f>MAX(N2:N50499)</f>
        <v>21</v>
      </c>
      <c r="AS2" s="59">
        <f>MAX(Q2:Q50499)</f>
        <v>60</v>
      </c>
      <c r="AT2" s="59">
        <f>MAX(T2:T50499)</f>
        <v>3</v>
      </c>
      <c r="AU2" s="59">
        <f>MAX(W2:W50499)</f>
        <v>4</v>
      </c>
      <c r="AV2" s="59">
        <f>MAX(Z2:Z50499)</f>
        <v>3</v>
      </c>
      <c r="AW2" s="59">
        <f>MAX(AC2:AC50499)</f>
        <v>8</v>
      </c>
    </row>
    <row r="3">
      <c r="A3" s="58" t="s">
        <v>6155</v>
      </c>
      <c r="B3" s="59"/>
      <c r="C3" s="59"/>
      <c r="D3" s="60"/>
      <c r="E3" s="60">
        <f>COUNTIFS('Solicitud de eventos'!$J:$J,E$1,'Solicitud de eventos'!$D:$D,$A3, 'Solicitud de eventos'!X:X,"&lt;&gt;DENEGADO")</f>
        <v>0</v>
      </c>
      <c r="F3" s="60">
        <f t="shared" si="1"/>
        <v>0</v>
      </c>
      <c r="G3" s="61">
        <f t="shared" si="2"/>
        <v>0</v>
      </c>
      <c r="H3" s="60">
        <f>COUNTIFS('Solicitud de eventos'!$J:$J,H$1,'Solicitud de eventos'!$D:$D,$A3, 'Solicitud de eventos'!X:X,"&lt;&gt;DENEGADO")</f>
        <v>0</v>
      </c>
      <c r="I3" s="60">
        <f t="shared" si="3"/>
        <v>0</v>
      </c>
      <c r="J3" s="61">
        <f t="shared" si="4"/>
        <v>0</v>
      </c>
      <c r="K3" s="60">
        <f>COUNTIFS('Solicitud de eventos'!$J:$J,K$1,'Solicitud de eventos'!$D:$D,$A3, 'Solicitud de eventos'!X:X,"&lt;&gt;DENEGADO")</f>
        <v>0</v>
      </c>
      <c r="L3" s="60">
        <f t="shared" si="5"/>
        <v>0</v>
      </c>
      <c r="M3" s="61">
        <f t="shared" si="6"/>
        <v>0</v>
      </c>
      <c r="N3" s="60">
        <f>COUNTIFS('Solicitud de eventos'!$J:$J,N$1,'Solicitud de eventos'!$D:$D,$A3, 'Solicitud de eventos'!X:X,"&lt;&gt;DENEGADO")</f>
        <v>0</v>
      </c>
      <c r="O3" s="60">
        <f t="shared" si="7"/>
        <v>0</v>
      </c>
      <c r="P3" s="61">
        <f t="shared" si="8"/>
        <v>0</v>
      </c>
      <c r="Q3" s="60">
        <f>COUNTIFS('Solicitud de eventos'!$J:$J,Q$1,'Solicitud de eventos'!$D:$D,$A3, 'Solicitud de eventos'!X:X,"&lt;&gt;DENEGADO")</f>
        <v>0</v>
      </c>
      <c r="R3" s="60">
        <f t="shared" si="9"/>
        <v>0</v>
      </c>
      <c r="S3" s="61">
        <f t="shared" si="10"/>
        <v>0</v>
      </c>
      <c r="T3" s="60">
        <f>COUNTIFS('Solicitud de eventos'!$J:$J,T$1,'Solicitud de eventos'!$D:$D,$A3, 'Solicitud de eventos'!X:X,"&lt;&gt;DENEGADO")</f>
        <v>0</v>
      </c>
      <c r="U3" s="60">
        <f t="shared" si="11"/>
        <v>0</v>
      </c>
      <c r="V3" s="61">
        <f t="shared" si="12"/>
        <v>0</v>
      </c>
      <c r="W3" s="60">
        <f>COUNTIFS('Solicitud de eventos'!$J:$J,W$1,'Solicitud de eventos'!$D:$D,$A3, 'Solicitud de eventos'!X:X,"&lt;&gt;DENEGADO")</f>
        <v>0</v>
      </c>
      <c r="X3" s="60">
        <f t="shared" si="13"/>
        <v>0</v>
      </c>
      <c r="Y3" s="61">
        <f t="shared" si="14"/>
        <v>0</v>
      </c>
      <c r="Z3" s="60">
        <f>COUNTIFS('Solicitud de eventos'!$J:$J,Z$1,'Solicitud de eventos'!$D:$D,$A3, 'Solicitud de eventos'!X:X,"&lt;&gt;DENEGADO")</f>
        <v>0</v>
      </c>
      <c r="AA3" s="60">
        <f t="shared" si="15"/>
        <v>0</v>
      </c>
      <c r="AB3" s="61">
        <f t="shared" si="16"/>
        <v>0</v>
      </c>
      <c r="AC3" s="60">
        <f>COUNTIFS('Solicitud de eventos'!$J:$J,AC$1,'Solicitud de eventos'!$D:$D,$A3, 'Solicitud de eventos'!X:X,"&lt;&gt;DENEGADO")</f>
        <v>0</v>
      </c>
      <c r="AD3" s="60">
        <f t="shared" si="17"/>
        <v>0</v>
      </c>
      <c r="AE3" s="61">
        <f t="shared" si="18"/>
        <v>0</v>
      </c>
      <c r="AF3" s="60">
        <f>COUNTIFS('Solicitud de eventos'!$Q:$Q,"&gt;0",'Solicitud de eventos'!$D:$D,$A3, 'Solicitud de eventos'!$X:$X,"&lt;&gt;DENEGADO")</f>
        <v>0</v>
      </c>
      <c r="AG3" s="60">
        <f>COUNTIFS('Solicitud de eventos'!$S:$S,"&gt;0",'Solicitud de eventos'!$D:$D,$A3, 'Solicitud de eventos'!$X:$X,"&lt;&gt;DENEGADO")</f>
        <v>0</v>
      </c>
      <c r="AH3" s="60">
        <f>COUNTIFS('Solicitud de eventos'!$U:$U,"&gt;0",'Solicitud de eventos'!$D:$D,$A3, 'Solicitud de eventos'!$X:$X,"&lt;&gt;DENEGADO")</f>
        <v>0</v>
      </c>
      <c r="AI3" s="62"/>
      <c r="AJ3" s="60">
        <f>COUNTIFS('Hoja 4'!F:F,"&lt;7",'Hoja 4'!C:C,$A3, 'Hoja 4'!E:E,"&lt;&gt;DENEGADO")</f>
        <v>7</v>
      </c>
      <c r="AK3" s="60">
        <f>COUNTIFS('Solicitud de eventos'!$D:$D,$A3, 'Solicitud de eventos'!$X:$X,"=DENEGADO")</f>
        <v>0</v>
      </c>
      <c r="AL3" s="60">
        <f t="shared" si="19"/>
        <v>0</v>
      </c>
      <c r="AM3" s="63" t="str">
        <f t="shared" si="20"/>
        <v>INACTIVO</v>
      </c>
    </row>
    <row r="4">
      <c r="A4" s="58" t="s">
        <v>393</v>
      </c>
      <c r="B4" s="59"/>
      <c r="C4" s="59"/>
      <c r="D4" s="60"/>
      <c r="E4" s="60">
        <f>COUNTIFS('Solicitud de eventos'!$J:$J,E$1,'Solicitud de eventos'!$D:$D,$A4, 'Solicitud de eventos'!X:X,"&lt;&gt;DENEGADO")</f>
        <v>0</v>
      </c>
      <c r="F4" s="60">
        <f t="shared" si="1"/>
        <v>0</v>
      </c>
      <c r="G4" s="61">
        <f t="shared" si="2"/>
        <v>0</v>
      </c>
      <c r="H4" s="60">
        <f>COUNTIFS('Solicitud de eventos'!$J:$J,H$1,'Solicitud de eventos'!$D:$D,$A4, 'Solicitud de eventos'!X:X,"&lt;&gt;DENEGADO")</f>
        <v>1</v>
      </c>
      <c r="I4" s="60">
        <f t="shared" si="3"/>
        <v>0.02</v>
      </c>
      <c r="J4" s="61">
        <f t="shared" si="4"/>
        <v>0</v>
      </c>
      <c r="K4" s="60">
        <f>COUNTIFS('Solicitud de eventos'!$J:$J,K$1,'Solicitud de eventos'!$D:$D,$A4, 'Solicitud de eventos'!X:X,"&lt;&gt;DENEGADO")</f>
        <v>0</v>
      </c>
      <c r="L4" s="60">
        <f t="shared" si="5"/>
        <v>0</v>
      </c>
      <c r="M4" s="61">
        <f t="shared" si="6"/>
        <v>0</v>
      </c>
      <c r="N4" s="60">
        <f>COUNTIFS('Solicitud de eventos'!$J:$J,N$1,'Solicitud de eventos'!$D:$D,$A4, 'Solicitud de eventos'!X:X,"&lt;&gt;DENEGADO")</f>
        <v>0</v>
      </c>
      <c r="O4" s="60">
        <f t="shared" si="7"/>
        <v>0</v>
      </c>
      <c r="P4" s="61">
        <f t="shared" si="8"/>
        <v>0</v>
      </c>
      <c r="Q4" s="60">
        <f>COUNTIFS('Solicitud de eventos'!$J:$J,Q$1,'Solicitud de eventos'!$D:$D,$A4, 'Solicitud de eventos'!X:X,"&lt;&gt;DENEGADO")</f>
        <v>0</v>
      </c>
      <c r="R4" s="60">
        <f t="shared" si="9"/>
        <v>0</v>
      </c>
      <c r="S4" s="61">
        <f t="shared" si="10"/>
        <v>0</v>
      </c>
      <c r="T4" s="60">
        <f>COUNTIFS('Solicitud de eventos'!$J:$J,T$1,'Solicitud de eventos'!$D:$D,$A4, 'Solicitud de eventos'!X:X,"&lt;&gt;DENEGADO")</f>
        <v>0</v>
      </c>
      <c r="U4" s="60">
        <f t="shared" si="11"/>
        <v>0</v>
      </c>
      <c r="V4" s="61">
        <f t="shared" si="12"/>
        <v>0</v>
      </c>
      <c r="W4" s="60">
        <f>COUNTIFS('Solicitud de eventos'!$J:$J,W$1,'Solicitud de eventos'!$D:$D,$A4, 'Solicitud de eventos'!X:X,"&lt;&gt;DENEGADO")</f>
        <v>2</v>
      </c>
      <c r="X4" s="60">
        <f t="shared" si="13"/>
        <v>0.5</v>
      </c>
      <c r="Y4" s="61">
        <f t="shared" si="14"/>
        <v>4</v>
      </c>
      <c r="Z4" s="60">
        <f>COUNTIFS('Solicitud de eventos'!$J:$J,Z$1,'Solicitud de eventos'!$D:$D,$A4, 'Solicitud de eventos'!X:X,"&lt;&gt;DENEGADO")</f>
        <v>3</v>
      </c>
      <c r="AA4" s="60">
        <f t="shared" si="15"/>
        <v>1</v>
      </c>
      <c r="AB4" s="61">
        <f t="shared" si="16"/>
        <v>12</v>
      </c>
      <c r="AC4" s="60">
        <f>COUNTIFS('Solicitud de eventos'!$J:$J,AC$1,'Solicitud de eventos'!$D:$D,$A4, 'Solicitud de eventos'!X:X,"&lt;&gt;DENEGADO")</f>
        <v>3</v>
      </c>
      <c r="AD4" s="60">
        <f t="shared" si="17"/>
        <v>0.375</v>
      </c>
      <c r="AE4" s="61">
        <f t="shared" si="18"/>
        <v>4</v>
      </c>
      <c r="AF4" s="60">
        <f>COUNTIFS('Solicitud de eventos'!$Q:$Q,"&gt;0",'Solicitud de eventos'!$D:$D,$A4, 'Solicitud de eventos'!$X:$X,"&lt;&gt;DENEGADO")</f>
        <v>4</v>
      </c>
      <c r="AG4" s="60">
        <f>COUNTIFS('Solicitud de eventos'!$S:$S,"&gt;0",'Solicitud de eventos'!$D:$D,$A4, 'Solicitud de eventos'!$X:$X,"&lt;&gt;DENEGADO")</f>
        <v>4</v>
      </c>
      <c r="AH4" s="60">
        <f>COUNTIFS('Solicitud de eventos'!$U:$U,"&gt;0",'Solicitud de eventos'!$D:$D,$A4, 'Solicitud de eventos'!$X:$X,"&lt;&gt;DENEGADO")</f>
        <v>1</v>
      </c>
      <c r="AI4" s="62"/>
      <c r="AJ4" s="60">
        <f>COUNTIFS('Hoja 4'!F:F,"&lt;7",'Hoja 4'!C:C,$A4, 'Hoja 4'!E:E,"&lt;&gt;DENEGADO")</f>
        <v>4</v>
      </c>
      <c r="AK4" s="60">
        <f>COUNTIFS('Solicitud de eventos'!$D:$D,$A4, 'Solicitud de eventos'!$X:$X,"=DENEGADO")</f>
        <v>0</v>
      </c>
      <c r="AL4" s="60">
        <f t="shared" si="19"/>
        <v>20</v>
      </c>
      <c r="AM4" s="63" t="str">
        <f t="shared" si="20"/>
        <v>ROBLE MORADO</v>
      </c>
    </row>
    <row r="5">
      <c r="A5" s="58" t="s">
        <v>6156</v>
      </c>
      <c r="B5" s="59"/>
      <c r="C5" s="59"/>
      <c r="D5" s="60"/>
      <c r="E5" s="60">
        <f>COUNTIFS('Solicitud de eventos'!$J:$J,E$1,'Solicitud de eventos'!$D:$D,$A5, 'Solicitud de eventos'!X:X,"&lt;&gt;DENEGADO")</f>
        <v>0</v>
      </c>
      <c r="F5" s="60">
        <f t="shared" si="1"/>
        <v>0</v>
      </c>
      <c r="G5" s="61">
        <f t="shared" si="2"/>
        <v>0</v>
      </c>
      <c r="H5" s="60">
        <f>COUNTIFS('Solicitud de eventos'!$J:$J,H$1,'Solicitud de eventos'!$D:$D,$A5, 'Solicitud de eventos'!X:X,"&lt;&gt;DENEGADO")</f>
        <v>0</v>
      </c>
      <c r="I5" s="60">
        <f t="shared" si="3"/>
        <v>0</v>
      </c>
      <c r="J5" s="61">
        <f t="shared" si="4"/>
        <v>0</v>
      </c>
      <c r="K5" s="60">
        <f>COUNTIFS('Solicitud de eventos'!$J:$J,K$1,'Solicitud de eventos'!$D:$D,$A5, 'Solicitud de eventos'!X:X,"&lt;&gt;DENEGADO")</f>
        <v>0</v>
      </c>
      <c r="L5" s="60">
        <f t="shared" si="5"/>
        <v>0</v>
      </c>
      <c r="M5" s="61">
        <f t="shared" si="6"/>
        <v>0</v>
      </c>
      <c r="N5" s="60">
        <f>COUNTIFS('Solicitud de eventos'!$J:$J,N$1,'Solicitud de eventos'!$D:$D,$A5, 'Solicitud de eventos'!X:X,"&lt;&gt;DENEGADO")</f>
        <v>0</v>
      </c>
      <c r="O5" s="60">
        <f t="shared" si="7"/>
        <v>0</v>
      </c>
      <c r="P5" s="61">
        <f t="shared" si="8"/>
        <v>0</v>
      </c>
      <c r="Q5" s="60">
        <f>COUNTIFS('Solicitud de eventos'!$J:$J,Q$1,'Solicitud de eventos'!$D:$D,$A5, 'Solicitud de eventos'!X:X,"&lt;&gt;DENEGADO")</f>
        <v>0</v>
      </c>
      <c r="R5" s="60">
        <f t="shared" si="9"/>
        <v>0</v>
      </c>
      <c r="S5" s="61">
        <f t="shared" si="10"/>
        <v>0</v>
      </c>
      <c r="T5" s="60">
        <f>COUNTIFS('Solicitud de eventos'!$J:$J,T$1,'Solicitud de eventos'!$D:$D,$A5, 'Solicitud de eventos'!X:X,"&lt;&gt;DENEGADO")</f>
        <v>0</v>
      </c>
      <c r="U5" s="60">
        <f t="shared" si="11"/>
        <v>0</v>
      </c>
      <c r="V5" s="61">
        <f t="shared" si="12"/>
        <v>0</v>
      </c>
      <c r="W5" s="60">
        <f>COUNTIFS('Solicitud de eventos'!$J:$J,W$1,'Solicitud de eventos'!$D:$D,$A5, 'Solicitud de eventos'!X:X,"&lt;&gt;DENEGADO")</f>
        <v>0</v>
      </c>
      <c r="X5" s="60">
        <f t="shared" si="13"/>
        <v>0</v>
      </c>
      <c r="Y5" s="61">
        <f t="shared" si="14"/>
        <v>0</v>
      </c>
      <c r="Z5" s="60">
        <f>COUNTIFS('Solicitud de eventos'!$J:$J,Z$1,'Solicitud de eventos'!$D:$D,$A5, 'Solicitud de eventos'!X:X,"&lt;&gt;DENEGADO")</f>
        <v>0</v>
      </c>
      <c r="AA5" s="60">
        <f t="shared" si="15"/>
        <v>0</v>
      </c>
      <c r="AB5" s="61">
        <f t="shared" si="16"/>
        <v>0</v>
      </c>
      <c r="AC5" s="60">
        <f>COUNTIFS('Solicitud de eventos'!$J:$J,AC$1,'Solicitud de eventos'!$D:$D,$A5, 'Solicitud de eventos'!X:X,"&lt;&gt;DENEGADO")</f>
        <v>0</v>
      </c>
      <c r="AD5" s="60">
        <f t="shared" si="17"/>
        <v>0</v>
      </c>
      <c r="AE5" s="61">
        <f t="shared" si="18"/>
        <v>0</v>
      </c>
      <c r="AF5" s="60">
        <f>COUNTIFS('Solicitud de eventos'!$Q:$Q,"&gt;0",'Solicitud de eventos'!$D:$D,$A5, 'Solicitud de eventos'!$X:$X,"&lt;&gt;DENEGADO")</f>
        <v>0</v>
      </c>
      <c r="AG5" s="60">
        <f>COUNTIFS('Solicitud de eventos'!$S:$S,"&gt;0",'Solicitud de eventos'!$D:$D,$A5, 'Solicitud de eventos'!$X:$X,"&lt;&gt;DENEGADO")</f>
        <v>0</v>
      </c>
      <c r="AH5" s="60">
        <f>COUNTIFS('Solicitud de eventos'!$U:$U,"&gt;0",'Solicitud de eventos'!$D:$D,$A5, 'Solicitud de eventos'!$X:$X,"&lt;&gt;DENEGADO")</f>
        <v>0</v>
      </c>
      <c r="AI5" s="62"/>
      <c r="AJ5" s="60">
        <f>COUNTIFS('Hoja 4'!F:F,"&lt;7",'Hoja 4'!C:C,$A5, 'Hoja 4'!E:E,"&lt;&gt;DENEGADO")</f>
        <v>0</v>
      </c>
      <c r="AK5" s="60">
        <f>COUNTIFS('Solicitud de eventos'!$D:$D,$A5, 'Solicitud de eventos'!$X:$X,"=DENEGADO")</f>
        <v>0</v>
      </c>
      <c r="AL5" s="60">
        <f t="shared" si="19"/>
        <v>0</v>
      </c>
      <c r="AM5" s="63" t="str">
        <f t="shared" si="20"/>
        <v>INACTIVO</v>
      </c>
      <c r="AO5" s="64" t="s">
        <v>6157</v>
      </c>
      <c r="AP5" s="64" t="s">
        <v>6158</v>
      </c>
      <c r="AR5" s="65" t="s">
        <v>6159</v>
      </c>
      <c r="AS5" s="66"/>
      <c r="AT5" s="66"/>
      <c r="AU5" s="67"/>
    </row>
    <row r="6">
      <c r="A6" s="58" t="s">
        <v>1036</v>
      </c>
      <c r="B6" s="59"/>
      <c r="C6" s="59"/>
      <c r="D6" s="60"/>
      <c r="E6" s="60">
        <f>COUNTIFS('Solicitud de eventos'!$J:$J,E$1,'Solicitud de eventos'!$D:$D,$A6, 'Solicitud de eventos'!X:X,"&lt;&gt;DENEGADO")</f>
        <v>18</v>
      </c>
      <c r="F6" s="60">
        <f t="shared" si="1"/>
        <v>0.225</v>
      </c>
      <c r="G6" s="61">
        <f t="shared" si="2"/>
        <v>0</v>
      </c>
      <c r="H6" s="60">
        <f>COUNTIFS('Solicitud de eventos'!$J:$J,H$1,'Solicitud de eventos'!$D:$D,$A6, 'Solicitud de eventos'!X:X,"&lt;&gt;DENEGADO")</f>
        <v>0</v>
      </c>
      <c r="I6" s="60">
        <f t="shared" si="3"/>
        <v>0</v>
      </c>
      <c r="J6" s="61">
        <f t="shared" si="4"/>
        <v>0</v>
      </c>
      <c r="K6" s="60">
        <f>COUNTIFS('Solicitud de eventos'!$J:$J,K$1,'Solicitud de eventos'!$D:$D,$A6, 'Solicitud de eventos'!X:X,"&lt;&gt;DENEGADO")</f>
        <v>0</v>
      </c>
      <c r="L6" s="60">
        <f t="shared" si="5"/>
        <v>0</v>
      </c>
      <c r="M6" s="61">
        <f t="shared" si="6"/>
        <v>0</v>
      </c>
      <c r="N6" s="60">
        <f>COUNTIFS('Solicitud de eventos'!$J:$J,N$1,'Solicitud de eventos'!$D:$D,$A6, 'Solicitud de eventos'!X:X,"&lt;&gt;DENEGADO")</f>
        <v>0</v>
      </c>
      <c r="O6" s="60">
        <f t="shared" si="7"/>
        <v>0</v>
      </c>
      <c r="P6" s="61">
        <f t="shared" si="8"/>
        <v>0</v>
      </c>
      <c r="Q6" s="60">
        <f>COUNTIFS('Solicitud de eventos'!$J:$J,Q$1,'Solicitud de eventos'!$D:$D,$A6, 'Solicitud de eventos'!X:X,"&lt;&gt;DENEGADO")</f>
        <v>0</v>
      </c>
      <c r="R6" s="60">
        <f t="shared" si="9"/>
        <v>0</v>
      </c>
      <c r="S6" s="61">
        <f t="shared" si="10"/>
        <v>0</v>
      </c>
      <c r="T6" s="60">
        <f>COUNTIFS('Solicitud de eventos'!$J:$J,T$1,'Solicitud de eventos'!$D:$D,$A6, 'Solicitud de eventos'!X:X,"&lt;&gt;DENEGADO")</f>
        <v>0</v>
      </c>
      <c r="U6" s="60">
        <f t="shared" si="11"/>
        <v>0</v>
      </c>
      <c r="V6" s="61">
        <f t="shared" si="12"/>
        <v>0</v>
      </c>
      <c r="W6" s="60">
        <f>COUNTIFS('Solicitud de eventos'!$J:$J,W$1,'Solicitud de eventos'!$D:$D,$A6, 'Solicitud de eventos'!X:X,"&lt;&gt;DENEGADO")</f>
        <v>0</v>
      </c>
      <c r="X6" s="60">
        <f t="shared" si="13"/>
        <v>0</v>
      </c>
      <c r="Y6" s="61">
        <f t="shared" si="14"/>
        <v>0</v>
      </c>
      <c r="Z6" s="60">
        <f>COUNTIFS('Solicitud de eventos'!$J:$J,Z$1,'Solicitud de eventos'!$D:$D,$A6, 'Solicitud de eventos'!X:X,"&lt;&gt;DENEGADO")</f>
        <v>0</v>
      </c>
      <c r="AA6" s="60">
        <f t="shared" si="15"/>
        <v>0</v>
      </c>
      <c r="AB6" s="61">
        <f t="shared" si="16"/>
        <v>0</v>
      </c>
      <c r="AC6" s="60">
        <f>COUNTIFS('Solicitud de eventos'!$J:$J,AC$1,'Solicitud de eventos'!$D:$D,$A6, 'Solicitud de eventos'!X:X,"&lt;&gt;DENEGADO")</f>
        <v>1</v>
      </c>
      <c r="AD6" s="60">
        <f t="shared" si="17"/>
        <v>0.125</v>
      </c>
      <c r="AE6" s="61">
        <f t="shared" si="18"/>
        <v>0</v>
      </c>
      <c r="AF6" s="60">
        <f>COUNTIFS('Solicitud de eventos'!$Q:$Q,"&gt;0",'Solicitud de eventos'!$D:$D,$A6, 'Solicitud de eventos'!$X:$X,"&lt;&gt;DENEGADO")</f>
        <v>0</v>
      </c>
      <c r="AG6" s="60">
        <f>COUNTIFS('Solicitud de eventos'!$S:$S,"&gt;0",'Solicitud de eventos'!$D:$D,$A6, 'Solicitud de eventos'!$X:$X,"&lt;&gt;DENEGADO")</f>
        <v>1</v>
      </c>
      <c r="AH6" s="60">
        <f>COUNTIFS('Solicitud de eventos'!$U:$U,"&gt;0",'Solicitud de eventos'!$D:$D,$A6, 'Solicitud de eventos'!$X:$X,"&lt;&gt;DENEGADO")</f>
        <v>0</v>
      </c>
      <c r="AI6" s="62"/>
      <c r="AJ6" s="60">
        <f>COUNTIFS('Hoja 4'!F:F,"&lt;7",'Hoja 4'!C:C,$A6, 'Hoja 4'!E:E,"&lt;&gt;DENEGADO")</f>
        <v>1</v>
      </c>
      <c r="AK6" s="60">
        <f>COUNTIFS('Solicitud de eventos'!$D:$D,$A6, 'Solicitud de eventos'!$X:$X,"=DENEGADO")</f>
        <v>0</v>
      </c>
      <c r="AL6" s="60">
        <f t="shared" si="19"/>
        <v>0</v>
      </c>
      <c r="AM6" s="63" t="str">
        <f t="shared" si="20"/>
        <v>INACTIVO</v>
      </c>
      <c r="AN6" s="68"/>
      <c r="AO6" s="69">
        <v>0.1</v>
      </c>
      <c r="AP6" s="70">
        <f t="shared" ref="AP6:AP8" si="21">$AP$11*AO6</f>
        <v>6.8</v>
      </c>
      <c r="AR6" s="71" t="s">
        <v>6160</v>
      </c>
      <c r="AS6" s="69">
        <v>0.0</v>
      </c>
      <c r="AT6" s="72">
        <f t="shared" ref="AT6:AT8" si="22">AO6</f>
        <v>0.1</v>
      </c>
      <c r="AU6" s="73" t="s">
        <v>6161</v>
      </c>
    </row>
    <row r="7">
      <c r="A7" s="58" t="s">
        <v>560</v>
      </c>
      <c r="B7" s="59"/>
      <c r="C7" s="59"/>
      <c r="D7" s="60"/>
      <c r="E7" s="60">
        <f>COUNTIFS('Solicitud de eventos'!$J:$J,E$1,'Solicitud de eventos'!$D:$D,$A7, 'Solicitud de eventos'!X:X,"&lt;&gt;DENEGADO")</f>
        <v>1</v>
      </c>
      <c r="F7" s="60">
        <f t="shared" si="1"/>
        <v>0.0125</v>
      </c>
      <c r="G7" s="61">
        <f t="shared" si="2"/>
        <v>0</v>
      </c>
      <c r="H7" s="60">
        <f>COUNTIFS('Solicitud de eventos'!$J:$J,H$1,'Solicitud de eventos'!$D:$D,$A7, 'Solicitud de eventos'!X:X,"&lt;&gt;DENEGADO")</f>
        <v>0</v>
      </c>
      <c r="I7" s="60">
        <f t="shared" si="3"/>
        <v>0</v>
      </c>
      <c r="J7" s="61">
        <f t="shared" si="4"/>
        <v>0</v>
      </c>
      <c r="K7" s="60">
        <f>COUNTIFS('Solicitud de eventos'!$J:$J,K$1,'Solicitud de eventos'!$D:$D,$A7, 'Solicitud de eventos'!X:X,"&lt;&gt;DENEGADO")</f>
        <v>4</v>
      </c>
      <c r="L7" s="60">
        <f t="shared" si="5"/>
        <v>0.1111111111</v>
      </c>
      <c r="M7" s="61">
        <f t="shared" si="6"/>
        <v>0</v>
      </c>
      <c r="N7" s="60">
        <f>COUNTIFS('Solicitud de eventos'!$J:$J,N$1,'Solicitud de eventos'!$D:$D,$A7, 'Solicitud de eventos'!X:X,"&lt;&gt;DENEGADO")</f>
        <v>0</v>
      </c>
      <c r="O7" s="60">
        <f t="shared" si="7"/>
        <v>0</v>
      </c>
      <c r="P7" s="61">
        <f t="shared" si="8"/>
        <v>0</v>
      </c>
      <c r="Q7" s="60">
        <f>COUNTIFS('Solicitud de eventos'!$J:$J,Q$1,'Solicitud de eventos'!$D:$D,$A7, 'Solicitud de eventos'!X:X,"&lt;&gt;DENEGADO")</f>
        <v>0</v>
      </c>
      <c r="R7" s="60">
        <f t="shared" si="9"/>
        <v>0</v>
      </c>
      <c r="S7" s="61">
        <f t="shared" si="10"/>
        <v>0</v>
      </c>
      <c r="T7" s="60">
        <f>COUNTIFS('Solicitud de eventos'!$J:$J,T$1,'Solicitud de eventos'!$D:$D,$A7, 'Solicitud de eventos'!X:X,"&lt;&gt;DENEGADO")</f>
        <v>0</v>
      </c>
      <c r="U7" s="60">
        <f t="shared" si="11"/>
        <v>0</v>
      </c>
      <c r="V7" s="61">
        <f t="shared" si="12"/>
        <v>0</v>
      </c>
      <c r="W7" s="60">
        <f>COUNTIFS('Solicitud de eventos'!$J:$J,W$1,'Solicitud de eventos'!$D:$D,$A7, 'Solicitud de eventos'!X:X,"&lt;&gt;DENEGADO")</f>
        <v>0</v>
      </c>
      <c r="X7" s="60">
        <f t="shared" si="13"/>
        <v>0</v>
      </c>
      <c r="Y7" s="61">
        <f t="shared" si="14"/>
        <v>0</v>
      </c>
      <c r="Z7" s="60">
        <f>COUNTIFS('Solicitud de eventos'!$J:$J,Z$1,'Solicitud de eventos'!$D:$D,$A7, 'Solicitud de eventos'!X:X,"&lt;&gt;DENEGADO")</f>
        <v>0</v>
      </c>
      <c r="AA7" s="60">
        <f t="shared" si="15"/>
        <v>0</v>
      </c>
      <c r="AB7" s="61">
        <f t="shared" si="16"/>
        <v>0</v>
      </c>
      <c r="AC7" s="60">
        <f>COUNTIFS('Solicitud de eventos'!$J:$J,AC$1,'Solicitud de eventos'!$D:$D,$A7, 'Solicitud de eventos'!X:X,"&lt;&gt;DENEGADO")</f>
        <v>0</v>
      </c>
      <c r="AD7" s="60">
        <f t="shared" si="17"/>
        <v>0</v>
      </c>
      <c r="AE7" s="61">
        <f t="shared" si="18"/>
        <v>0</v>
      </c>
      <c r="AF7" s="60">
        <f>COUNTIFS('Solicitud de eventos'!$Q:$Q,"&gt;0",'Solicitud de eventos'!$D:$D,$A7, 'Solicitud de eventos'!$X:$X,"&lt;&gt;DENEGADO")</f>
        <v>4</v>
      </c>
      <c r="AG7" s="60">
        <f>COUNTIFS('Solicitud de eventos'!$S:$S,"&gt;0",'Solicitud de eventos'!$D:$D,$A7, 'Solicitud de eventos'!$X:$X,"&lt;&gt;DENEGADO")</f>
        <v>4</v>
      </c>
      <c r="AH7" s="60">
        <f>COUNTIFS('Solicitud de eventos'!$U:$U,"&gt;0",'Solicitud de eventos'!$D:$D,$A7, 'Solicitud de eventos'!$X:$X,"&lt;&gt;DENEGADO")</f>
        <v>4</v>
      </c>
      <c r="AI7" s="62"/>
      <c r="AJ7" s="60">
        <f>COUNTIFS('Hoja 4'!F:F,"&lt;7",'Hoja 4'!C:C,$A7, 'Hoja 4'!E:E,"&lt;&gt;DENEGADO")</f>
        <v>4</v>
      </c>
      <c r="AK7" s="60">
        <f>COUNTIFS('Solicitud de eventos'!$D:$D,$A7, 'Solicitud de eventos'!$X:$X,"=DENEGADO")</f>
        <v>0</v>
      </c>
      <c r="AL7" s="60">
        <f t="shared" si="19"/>
        <v>0</v>
      </c>
      <c r="AM7" s="63" t="str">
        <f t="shared" si="20"/>
        <v>INACTIVO</v>
      </c>
      <c r="AO7" s="69">
        <v>0.4</v>
      </c>
      <c r="AP7" s="70">
        <f t="shared" si="21"/>
        <v>27.2</v>
      </c>
      <c r="AR7" s="74"/>
      <c r="AS7" s="69">
        <f t="shared" ref="AS7:AS9" si="23">AO6</f>
        <v>0.1</v>
      </c>
      <c r="AT7" s="72">
        <f t="shared" si="22"/>
        <v>0.4</v>
      </c>
      <c r="AU7" s="75" t="s">
        <v>6162</v>
      </c>
    </row>
    <row r="8">
      <c r="A8" s="58" t="s">
        <v>29</v>
      </c>
      <c r="B8" s="59"/>
      <c r="C8" s="59"/>
      <c r="D8" s="60"/>
      <c r="E8" s="60">
        <f>COUNTIFS('Solicitud de eventos'!$J:$J,E$1,'Solicitud de eventos'!$D:$D,$A8, 'Solicitud de eventos'!X:X,"&lt;&gt;DENEGADO")</f>
        <v>5</v>
      </c>
      <c r="F8" s="60">
        <f t="shared" si="1"/>
        <v>0.0625</v>
      </c>
      <c r="G8" s="61">
        <f t="shared" si="2"/>
        <v>0</v>
      </c>
      <c r="H8" s="60">
        <f>COUNTIFS('Solicitud de eventos'!$J:$J,H$1,'Solicitud de eventos'!$D:$D,$A8, 'Solicitud de eventos'!X:X,"&lt;&gt;DENEGADO")</f>
        <v>45</v>
      </c>
      <c r="I8" s="60">
        <f t="shared" si="3"/>
        <v>0.9</v>
      </c>
      <c r="J8" s="61">
        <f t="shared" si="4"/>
        <v>12</v>
      </c>
      <c r="K8" s="60">
        <f>COUNTIFS('Solicitud de eventos'!$J:$J,K$1,'Solicitud de eventos'!$D:$D,$A8, 'Solicitud de eventos'!X:X,"&lt;&gt;DENEGADO")</f>
        <v>2</v>
      </c>
      <c r="L8" s="60">
        <f t="shared" si="5"/>
        <v>0.05555555556</v>
      </c>
      <c r="M8" s="61">
        <f t="shared" si="6"/>
        <v>0</v>
      </c>
      <c r="N8" s="60">
        <f>COUNTIFS('Solicitud de eventos'!$J:$J,N$1,'Solicitud de eventos'!$D:$D,$A8, 'Solicitud de eventos'!X:X,"&lt;&gt;DENEGADO")</f>
        <v>5</v>
      </c>
      <c r="O8" s="60">
        <f t="shared" si="7"/>
        <v>0.2380952381</v>
      </c>
      <c r="P8" s="61">
        <f t="shared" si="8"/>
        <v>0</v>
      </c>
      <c r="Q8" s="60">
        <f>COUNTIFS('Solicitud de eventos'!$J:$J,Q$1,'Solicitud de eventos'!$D:$D,$A8, 'Solicitud de eventos'!X:X,"&lt;&gt;DENEGADO")</f>
        <v>0</v>
      </c>
      <c r="R8" s="60">
        <f t="shared" si="9"/>
        <v>0</v>
      </c>
      <c r="S8" s="61">
        <f t="shared" si="10"/>
        <v>0</v>
      </c>
      <c r="T8" s="60">
        <f>COUNTIFS('Solicitud de eventos'!$J:$J,T$1,'Solicitud de eventos'!$D:$D,$A8, 'Solicitud de eventos'!X:X,"&lt;&gt;DENEGADO")</f>
        <v>0</v>
      </c>
      <c r="U8" s="60">
        <f t="shared" si="11"/>
        <v>0</v>
      </c>
      <c r="V8" s="61">
        <f t="shared" si="12"/>
        <v>0</v>
      </c>
      <c r="W8" s="60">
        <f>COUNTIFS('Solicitud de eventos'!$J:$J,W$1,'Solicitud de eventos'!$D:$D,$A8, 'Solicitud de eventos'!X:X,"&lt;&gt;DENEGADO")</f>
        <v>0</v>
      </c>
      <c r="X8" s="60">
        <f t="shared" si="13"/>
        <v>0</v>
      </c>
      <c r="Y8" s="61">
        <f t="shared" si="14"/>
        <v>0</v>
      </c>
      <c r="Z8" s="60">
        <f>COUNTIFS('Solicitud de eventos'!$J:$J,Z$1,'Solicitud de eventos'!$D:$D,$A8, 'Solicitud de eventos'!X:X,"&lt;&gt;DENEGADO")</f>
        <v>0</v>
      </c>
      <c r="AA8" s="60">
        <f t="shared" si="15"/>
        <v>0</v>
      </c>
      <c r="AB8" s="61">
        <f t="shared" si="16"/>
        <v>0</v>
      </c>
      <c r="AC8" s="60">
        <f>COUNTIFS('Solicitud de eventos'!$J:$J,AC$1,'Solicitud de eventos'!$D:$D,$A8, 'Solicitud de eventos'!X:X,"&lt;&gt;DENEGADO")</f>
        <v>0</v>
      </c>
      <c r="AD8" s="60">
        <f t="shared" si="17"/>
        <v>0</v>
      </c>
      <c r="AE8" s="61">
        <f t="shared" si="18"/>
        <v>0</v>
      </c>
      <c r="AF8" s="60">
        <f>COUNTIFS('Solicitud de eventos'!$Q:$Q,"&gt;0",'Solicitud de eventos'!$D:$D,$A8, 'Solicitud de eventos'!$X:$X,"&lt;&gt;DENEGADO")</f>
        <v>0</v>
      </c>
      <c r="AG8" s="60">
        <f>COUNTIFS('Solicitud de eventos'!$S:$S,"&gt;0",'Solicitud de eventos'!$D:$D,$A8, 'Solicitud de eventos'!$X:$X,"&lt;&gt;DENEGADO")</f>
        <v>0</v>
      </c>
      <c r="AH8" s="60">
        <f>COUNTIFS('Solicitud de eventos'!$U:$U,"&gt;0",'Solicitud de eventos'!$D:$D,$A8, 'Solicitud de eventos'!$X:$X,"&lt;&gt;DENEGADO")</f>
        <v>0</v>
      </c>
      <c r="AI8" s="62"/>
      <c r="AJ8" s="60">
        <f>COUNTIFS('Hoja 4'!F:F,"&lt;7",'Hoja 4'!C:C,$A8, 'Hoja 4'!E:E,"&lt;&gt;DENEGADO")</f>
        <v>4</v>
      </c>
      <c r="AK8" s="60">
        <f>COUNTIFS('Solicitud de eventos'!$D:$D,$A8, 'Solicitud de eventos'!$X:$X,"=DENEGADO")</f>
        <v>0</v>
      </c>
      <c r="AL8" s="60">
        <f t="shared" si="19"/>
        <v>12</v>
      </c>
      <c r="AM8" s="63" t="str">
        <f t="shared" si="20"/>
        <v>ROBLE MORADO</v>
      </c>
      <c r="AO8" s="69">
        <v>0.7</v>
      </c>
      <c r="AP8" s="70">
        <f t="shared" si="21"/>
        <v>47.6</v>
      </c>
      <c r="AR8" s="74"/>
      <c r="AS8" s="69">
        <f t="shared" si="23"/>
        <v>0.4</v>
      </c>
      <c r="AT8" s="72">
        <f t="shared" si="22"/>
        <v>0.7</v>
      </c>
      <c r="AU8" s="76" t="s">
        <v>6163</v>
      </c>
    </row>
    <row r="9">
      <c r="A9" s="58" t="s">
        <v>444</v>
      </c>
      <c r="B9" s="59"/>
      <c r="C9" s="59"/>
      <c r="D9" s="60"/>
      <c r="E9" s="60">
        <f>COUNTIFS('Solicitud de eventos'!$J:$J,E$1,'Solicitud de eventos'!$D:$D,$A9, 'Solicitud de eventos'!X:X,"&lt;&gt;DENEGADO")</f>
        <v>0</v>
      </c>
      <c r="F9" s="60">
        <f t="shared" si="1"/>
        <v>0</v>
      </c>
      <c r="G9" s="61">
        <f t="shared" si="2"/>
        <v>0</v>
      </c>
      <c r="H9" s="60">
        <f>COUNTIFS('Solicitud de eventos'!$J:$J,H$1,'Solicitud de eventos'!$D:$D,$A9, 'Solicitud de eventos'!X:X,"&lt;&gt;DENEGADO")</f>
        <v>4</v>
      </c>
      <c r="I9" s="60">
        <f t="shared" si="3"/>
        <v>0.08</v>
      </c>
      <c r="J9" s="61">
        <f t="shared" si="4"/>
        <v>0</v>
      </c>
      <c r="K9" s="60">
        <f>COUNTIFS('Solicitud de eventos'!$J:$J,K$1,'Solicitud de eventos'!$D:$D,$A9, 'Solicitud de eventos'!X:X,"&lt;&gt;DENEGADO")</f>
        <v>0</v>
      </c>
      <c r="L9" s="60">
        <f t="shared" si="5"/>
        <v>0</v>
      </c>
      <c r="M9" s="61">
        <f t="shared" si="6"/>
        <v>0</v>
      </c>
      <c r="N9" s="60">
        <f>COUNTIFS('Solicitud de eventos'!$J:$J,N$1,'Solicitud de eventos'!$D:$D,$A9, 'Solicitud de eventos'!X:X,"&lt;&gt;DENEGADO")</f>
        <v>0</v>
      </c>
      <c r="O9" s="60">
        <f t="shared" si="7"/>
        <v>0</v>
      </c>
      <c r="P9" s="61">
        <f t="shared" si="8"/>
        <v>0</v>
      </c>
      <c r="Q9" s="60">
        <f>COUNTIFS('Solicitud de eventos'!$J:$J,Q$1,'Solicitud de eventos'!$D:$D,$A9, 'Solicitud de eventos'!X:X,"&lt;&gt;DENEGADO")</f>
        <v>0</v>
      </c>
      <c r="R9" s="60">
        <f t="shared" si="9"/>
        <v>0</v>
      </c>
      <c r="S9" s="61">
        <f t="shared" si="10"/>
        <v>0</v>
      </c>
      <c r="T9" s="60">
        <f>COUNTIFS('Solicitud de eventos'!$J:$J,T$1,'Solicitud de eventos'!$D:$D,$A9, 'Solicitud de eventos'!X:X,"&lt;&gt;DENEGADO")</f>
        <v>0</v>
      </c>
      <c r="U9" s="60">
        <f t="shared" si="11"/>
        <v>0</v>
      </c>
      <c r="V9" s="61">
        <f t="shared" si="12"/>
        <v>0</v>
      </c>
      <c r="W9" s="60">
        <f>COUNTIFS('Solicitud de eventos'!$J:$J,W$1,'Solicitud de eventos'!$D:$D,$A9, 'Solicitud de eventos'!X:X,"&lt;&gt;DENEGADO")</f>
        <v>0</v>
      </c>
      <c r="X9" s="60">
        <f t="shared" si="13"/>
        <v>0</v>
      </c>
      <c r="Y9" s="61">
        <f t="shared" si="14"/>
        <v>0</v>
      </c>
      <c r="Z9" s="60">
        <f>COUNTIFS('Solicitud de eventos'!$J:$J,Z$1,'Solicitud de eventos'!$D:$D,$A9, 'Solicitud de eventos'!X:X,"&lt;&gt;DENEGADO")</f>
        <v>0</v>
      </c>
      <c r="AA9" s="60">
        <f t="shared" si="15"/>
        <v>0</v>
      </c>
      <c r="AB9" s="61">
        <f t="shared" si="16"/>
        <v>0</v>
      </c>
      <c r="AC9" s="60">
        <f>COUNTIFS('Solicitud de eventos'!$J:$J,AC$1,'Solicitud de eventos'!$D:$D,$A9, 'Solicitud de eventos'!X:X,"&lt;&gt;DENEGADO")</f>
        <v>0</v>
      </c>
      <c r="AD9" s="60">
        <f t="shared" si="17"/>
        <v>0</v>
      </c>
      <c r="AE9" s="61">
        <f t="shared" si="18"/>
        <v>0</v>
      </c>
      <c r="AF9" s="60">
        <f>COUNTIFS('Solicitud de eventos'!$Q:$Q,"&gt;0",'Solicitud de eventos'!$D:$D,$A9, 'Solicitud de eventos'!$X:$X,"&lt;&gt;DENEGADO")</f>
        <v>1</v>
      </c>
      <c r="AG9" s="60">
        <f>COUNTIFS('Solicitud de eventos'!$S:$S,"&gt;0",'Solicitud de eventos'!$D:$D,$A9, 'Solicitud de eventos'!$X:$X,"&lt;&gt;DENEGADO")</f>
        <v>2</v>
      </c>
      <c r="AH9" s="60">
        <f>COUNTIFS('Solicitud de eventos'!$U:$U,"&gt;0",'Solicitud de eventos'!$D:$D,$A9, 'Solicitud de eventos'!$X:$X,"&lt;&gt;DENEGADO")</f>
        <v>0</v>
      </c>
      <c r="AI9" s="62"/>
      <c r="AJ9" s="60">
        <f>COUNTIFS('Hoja 4'!F:F,"&lt;7",'Hoja 4'!C:C,$A9, 'Hoja 4'!E:E,"&lt;&gt;DENEGADO")</f>
        <v>1</v>
      </c>
      <c r="AK9" s="60">
        <f>COUNTIFS('Solicitud de eventos'!$D:$D,$A9, 'Solicitud de eventos'!$X:$X,"=DENEGADO")</f>
        <v>0</v>
      </c>
      <c r="AL9" s="60">
        <f t="shared" si="19"/>
        <v>0</v>
      </c>
      <c r="AM9" s="63" t="str">
        <f t="shared" si="20"/>
        <v>INACTIVO</v>
      </c>
      <c r="AR9" s="77"/>
      <c r="AS9" s="69">
        <f t="shared" si="23"/>
        <v>0.7</v>
      </c>
      <c r="AT9" s="69">
        <v>1.0</v>
      </c>
      <c r="AU9" s="78" t="s">
        <v>6164</v>
      </c>
    </row>
    <row r="10">
      <c r="A10" s="58" t="s">
        <v>337</v>
      </c>
      <c r="B10" s="59"/>
      <c r="C10" s="59"/>
      <c r="D10" s="60"/>
      <c r="E10" s="60">
        <f>COUNTIFS('Solicitud de eventos'!$J:$J,E$1,'Solicitud de eventos'!$D:$D,$A10, 'Solicitud de eventos'!X:X,"&lt;&gt;DENEGADO")</f>
        <v>13</v>
      </c>
      <c r="F10" s="60">
        <f t="shared" si="1"/>
        <v>0.1625</v>
      </c>
      <c r="G10" s="61">
        <f t="shared" si="2"/>
        <v>0</v>
      </c>
      <c r="H10" s="60">
        <f>COUNTIFS('Solicitud de eventos'!$J:$J,H$1,'Solicitud de eventos'!$D:$D,$A10, 'Solicitud de eventos'!X:X,"&lt;&gt;DENEGADO")</f>
        <v>0</v>
      </c>
      <c r="I10" s="60">
        <f t="shared" si="3"/>
        <v>0</v>
      </c>
      <c r="J10" s="61">
        <f t="shared" si="4"/>
        <v>0</v>
      </c>
      <c r="K10" s="60">
        <f>COUNTIFS('Solicitud de eventos'!$J:$J,K$1,'Solicitud de eventos'!$D:$D,$A10, 'Solicitud de eventos'!X:X,"&lt;&gt;DENEGADO")</f>
        <v>0</v>
      </c>
      <c r="L10" s="60">
        <f t="shared" si="5"/>
        <v>0</v>
      </c>
      <c r="M10" s="61">
        <f t="shared" si="6"/>
        <v>0</v>
      </c>
      <c r="N10" s="60">
        <f>COUNTIFS('Solicitud de eventos'!$J:$J,N$1,'Solicitud de eventos'!$D:$D,$A10, 'Solicitud de eventos'!X:X,"&lt;&gt;DENEGADO")</f>
        <v>0</v>
      </c>
      <c r="O10" s="60">
        <f t="shared" si="7"/>
        <v>0</v>
      </c>
      <c r="P10" s="61">
        <f t="shared" si="8"/>
        <v>0</v>
      </c>
      <c r="Q10" s="60">
        <f>COUNTIFS('Solicitud de eventos'!$J:$J,Q$1,'Solicitud de eventos'!$D:$D,$A10, 'Solicitud de eventos'!X:X,"&lt;&gt;DENEGADO")</f>
        <v>1</v>
      </c>
      <c r="R10" s="60">
        <f t="shared" si="9"/>
        <v>0.01666666667</v>
      </c>
      <c r="S10" s="61">
        <f t="shared" si="10"/>
        <v>0</v>
      </c>
      <c r="T10" s="60">
        <f>COUNTIFS('Solicitud de eventos'!$J:$J,T$1,'Solicitud de eventos'!$D:$D,$A10, 'Solicitud de eventos'!X:X,"&lt;&gt;DENEGADO")</f>
        <v>0</v>
      </c>
      <c r="U10" s="60">
        <f t="shared" si="11"/>
        <v>0</v>
      </c>
      <c r="V10" s="61">
        <f t="shared" si="12"/>
        <v>0</v>
      </c>
      <c r="W10" s="60">
        <f>COUNTIFS('Solicitud de eventos'!$J:$J,W$1,'Solicitud de eventos'!$D:$D,$A10, 'Solicitud de eventos'!X:X,"&lt;&gt;DENEGADO")</f>
        <v>0</v>
      </c>
      <c r="X10" s="60">
        <f t="shared" si="13"/>
        <v>0</v>
      </c>
      <c r="Y10" s="61">
        <f t="shared" si="14"/>
        <v>0</v>
      </c>
      <c r="Z10" s="60">
        <f>COUNTIFS('Solicitud de eventos'!$J:$J,Z$1,'Solicitud de eventos'!$D:$D,$A10, 'Solicitud de eventos'!X:X,"&lt;&gt;DENEGADO")</f>
        <v>0</v>
      </c>
      <c r="AA10" s="60">
        <f t="shared" si="15"/>
        <v>0</v>
      </c>
      <c r="AB10" s="61">
        <f t="shared" si="16"/>
        <v>0</v>
      </c>
      <c r="AC10" s="60">
        <f>COUNTIFS('Solicitud de eventos'!$J:$J,AC$1,'Solicitud de eventos'!$D:$D,$A10, 'Solicitud de eventos'!X:X,"&lt;&gt;DENEGADO")</f>
        <v>1</v>
      </c>
      <c r="AD10" s="60">
        <f t="shared" si="17"/>
        <v>0.125</v>
      </c>
      <c r="AE10" s="61">
        <f t="shared" si="18"/>
        <v>0</v>
      </c>
      <c r="AF10" s="60">
        <f>COUNTIFS('Solicitud de eventos'!$Q:$Q,"&gt;0",'Solicitud de eventos'!$D:$D,$A10, 'Solicitud de eventos'!$X:$X,"&lt;&gt;DENEGADO")</f>
        <v>0</v>
      </c>
      <c r="AG10" s="60">
        <f>COUNTIFS('Solicitud de eventos'!$S:$S,"&gt;0",'Solicitud de eventos'!$D:$D,$A10, 'Solicitud de eventos'!$X:$X,"&lt;&gt;DENEGADO")</f>
        <v>0</v>
      </c>
      <c r="AH10" s="60">
        <f>COUNTIFS('Solicitud de eventos'!$U:$U,"&gt;0",'Solicitud de eventos'!$D:$D,$A10, 'Solicitud de eventos'!$X:$X,"&lt;&gt;DENEGADO")</f>
        <v>0</v>
      </c>
      <c r="AI10" s="62"/>
      <c r="AJ10" s="60">
        <f>COUNTIFS('Hoja 4'!F:F,"&lt;7",'Hoja 4'!C:C,$A10, 'Hoja 4'!E:E,"&lt;&gt;DENEGADO")</f>
        <v>13</v>
      </c>
      <c r="AK10" s="60">
        <f>COUNTIFS('Solicitud de eventos'!$D:$D,$A10, 'Solicitud de eventos'!$X:$X,"=DENEGADO")</f>
        <v>0</v>
      </c>
      <c r="AL10" s="60">
        <f t="shared" si="19"/>
        <v>0</v>
      </c>
      <c r="AM10" s="63" t="str">
        <f t="shared" si="20"/>
        <v>INACTIVO</v>
      </c>
    </row>
    <row r="11">
      <c r="A11" s="58" t="s">
        <v>4269</v>
      </c>
      <c r="B11" s="59"/>
      <c r="C11" s="59"/>
      <c r="D11" s="60"/>
      <c r="E11" s="60">
        <f>COUNTIFS('Solicitud de eventos'!$J:$J,E$1,'Solicitud de eventos'!$D:$D,$A11, 'Solicitud de eventos'!X:X,"&lt;&gt;DENEGADO")</f>
        <v>3</v>
      </c>
      <c r="F11" s="60">
        <f t="shared" si="1"/>
        <v>0.0375</v>
      </c>
      <c r="G11" s="61">
        <f t="shared" si="2"/>
        <v>0</v>
      </c>
      <c r="H11" s="60">
        <f>COUNTIFS('Solicitud de eventos'!$J:$J,H$1,'Solicitud de eventos'!$D:$D,$A11, 'Solicitud de eventos'!X:X,"&lt;&gt;DENEGADO")</f>
        <v>0</v>
      </c>
      <c r="I11" s="60">
        <f t="shared" si="3"/>
        <v>0</v>
      </c>
      <c r="J11" s="61">
        <f t="shared" si="4"/>
        <v>0</v>
      </c>
      <c r="K11" s="60">
        <f>COUNTIFS('Solicitud de eventos'!$J:$J,K$1,'Solicitud de eventos'!$D:$D,$A11, 'Solicitud de eventos'!X:X,"&lt;&gt;DENEGADO")</f>
        <v>4</v>
      </c>
      <c r="L11" s="60">
        <f t="shared" si="5"/>
        <v>0.1111111111</v>
      </c>
      <c r="M11" s="61">
        <f t="shared" si="6"/>
        <v>0</v>
      </c>
      <c r="N11" s="60">
        <f>COUNTIFS('Solicitud de eventos'!$J:$J,N$1,'Solicitud de eventos'!$D:$D,$A11, 'Solicitud de eventos'!X:X,"&lt;&gt;DENEGADO")</f>
        <v>0</v>
      </c>
      <c r="O11" s="60">
        <f t="shared" si="7"/>
        <v>0</v>
      </c>
      <c r="P11" s="61">
        <f t="shared" si="8"/>
        <v>0</v>
      </c>
      <c r="Q11" s="60">
        <f>COUNTIFS('Solicitud de eventos'!$J:$J,Q$1,'Solicitud de eventos'!$D:$D,$A11, 'Solicitud de eventos'!X:X,"&lt;&gt;DENEGADO")</f>
        <v>0</v>
      </c>
      <c r="R11" s="60">
        <f t="shared" si="9"/>
        <v>0</v>
      </c>
      <c r="S11" s="61">
        <f t="shared" si="10"/>
        <v>0</v>
      </c>
      <c r="T11" s="60">
        <f>COUNTIFS('Solicitud de eventos'!$J:$J,T$1,'Solicitud de eventos'!$D:$D,$A11, 'Solicitud de eventos'!X:X,"&lt;&gt;DENEGADO")</f>
        <v>0</v>
      </c>
      <c r="U11" s="60">
        <f t="shared" si="11"/>
        <v>0</v>
      </c>
      <c r="V11" s="61">
        <f t="shared" si="12"/>
        <v>0</v>
      </c>
      <c r="W11" s="60">
        <f>COUNTIFS('Solicitud de eventos'!$J:$J,W$1,'Solicitud de eventos'!$D:$D,$A11, 'Solicitud de eventos'!X:X,"&lt;&gt;DENEGADO")</f>
        <v>0</v>
      </c>
      <c r="X11" s="60">
        <f t="shared" si="13"/>
        <v>0</v>
      </c>
      <c r="Y11" s="61">
        <f t="shared" si="14"/>
        <v>0</v>
      </c>
      <c r="Z11" s="60">
        <f>COUNTIFS('Solicitud de eventos'!$J:$J,Z$1,'Solicitud de eventos'!$D:$D,$A11, 'Solicitud de eventos'!X:X,"&lt;&gt;DENEGADO")</f>
        <v>0</v>
      </c>
      <c r="AA11" s="60">
        <f t="shared" si="15"/>
        <v>0</v>
      </c>
      <c r="AB11" s="61">
        <f t="shared" si="16"/>
        <v>0</v>
      </c>
      <c r="AC11" s="60">
        <f>COUNTIFS('Solicitud de eventos'!$J:$J,AC$1,'Solicitud de eventos'!$D:$D,$A11, 'Solicitud de eventos'!X:X,"&lt;&gt;DENEGADO")</f>
        <v>0</v>
      </c>
      <c r="AD11" s="60">
        <f t="shared" si="17"/>
        <v>0</v>
      </c>
      <c r="AE11" s="61">
        <f t="shared" si="18"/>
        <v>0</v>
      </c>
      <c r="AF11" s="60">
        <f>COUNTIFS('Solicitud de eventos'!$Q:$Q,"&gt;0",'Solicitud de eventos'!$D:$D,$A11, 'Solicitud de eventos'!$X:$X,"&lt;&gt;DENEGADO")</f>
        <v>3</v>
      </c>
      <c r="AG11" s="60">
        <f>COUNTIFS('Solicitud de eventos'!$S:$S,"&gt;0",'Solicitud de eventos'!$D:$D,$A11, 'Solicitud de eventos'!$X:$X,"&lt;&gt;DENEGADO")</f>
        <v>1</v>
      </c>
      <c r="AH11" s="60">
        <f>COUNTIFS('Solicitud de eventos'!$U:$U,"&gt;0",'Solicitud de eventos'!$D:$D,$A11, 'Solicitud de eventos'!$X:$X,"&lt;&gt;DENEGADO")</f>
        <v>0</v>
      </c>
      <c r="AI11" s="62"/>
      <c r="AJ11" s="60">
        <f>COUNTIFS('Hoja 4'!F:F,"&lt;7",'Hoja 4'!C:C,$A11, 'Hoja 4'!E:E,"&lt;&gt;DENEGADO")</f>
        <v>5</v>
      </c>
      <c r="AK11" s="60">
        <f>COUNTIFS('Solicitud de eventos'!$D:$D,$A11, 'Solicitud de eventos'!$X:$X,"=DENEGADO")</f>
        <v>0</v>
      </c>
      <c r="AL11" s="60">
        <f t="shared" si="19"/>
        <v>0</v>
      </c>
      <c r="AM11" s="63" t="str">
        <f t="shared" si="20"/>
        <v>INACTIVO</v>
      </c>
      <c r="AO11" s="64" t="s">
        <v>6165</v>
      </c>
      <c r="AP11" s="59">
        <f>MAX(AL2:AL50499)</f>
        <v>68</v>
      </c>
    </row>
    <row r="12">
      <c r="A12" s="58" t="s">
        <v>419</v>
      </c>
      <c r="B12" s="59"/>
      <c r="C12" s="59"/>
      <c r="D12" s="60"/>
      <c r="E12" s="60">
        <f>COUNTIFS('Solicitud de eventos'!$J:$J,E$1,'Solicitud de eventos'!$D:$D,$A12, 'Solicitud de eventos'!X:X,"&lt;&gt;DENEGADO")</f>
        <v>12</v>
      </c>
      <c r="F12" s="60">
        <f t="shared" si="1"/>
        <v>0.15</v>
      </c>
      <c r="G12" s="61">
        <f t="shared" si="2"/>
        <v>0</v>
      </c>
      <c r="H12" s="60">
        <f>COUNTIFS('Solicitud de eventos'!$J:$J,H$1,'Solicitud de eventos'!$D:$D,$A12, 'Solicitud de eventos'!X:X,"&lt;&gt;DENEGADO")</f>
        <v>3</v>
      </c>
      <c r="I12" s="60">
        <f t="shared" si="3"/>
        <v>0.06</v>
      </c>
      <c r="J12" s="61">
        <f t="shared" si="4"/>
        <v>0</v>
      </c>
      <c r="K12" s="60">
        <f>COUNTIFS('Solicitud de eventos'!$J:$J,K$1,'Solicitud de eventos'!$D:$D,$A12, 'Solicitud de eventos'!X:X,"&lt;&gt;DENEGADO")</f>
        <v>0</v>
      </c>
      <c r="L12" s="60">
        <f t="shared" si="5"/>
        <v>0</v>
      </c>
      <c r="M12" s="61">
        <f t="shared" si="6"/>
        <v>0</v>
      </c>
      <c r="N12" s="60">
        <f>COUNTIFS('Solicitud de eventos'!$J:$J,N$1,'Solicitud de eventos'!$D:$D,$A12, 'Solicitud de eventos'!X:X,"&lt;&gt;DENEGADO")</f>
        <v>0</v>
      </c>
      <c r="O12" s="60">
        <f t="shared" si="7"/>
        <v>0</v>
      </c>
      <c r="P12" s="61">
        <f t="shared" si="8"/>
        <v>0</v>
      </c>
      <c r="Q12" s="60">
        <f>COUNTIFS('Solicitud de eventos'!$J:$J,Q$1,'Solicitud de eventos'!$D:$D,$A12, 'Solicitud de eventos'!X:X,"&lt;&gt;DENEGADO")</f>
        <v>0</v>
      </c>
      <c r="R12" s="60">
        <f t="shared" si="9"/>
        <v>0</v>
      </c>
      <c r="S12" s="61">
        <f t="shared" si="10"/>
        <v>0</v>
      </c>
      <c r="T12" s="60">
        <f>COUNTIFS('Solicitud de eventos'!$J:$J,T$1,'Solicitud de eventos'!$D:$D,$A12, 'Solicitud de eventos'!X:X,"&lt;&gt;DENEGADO")</f>
        <v>0</v>
      </c>
      <c r="U12" s="60">
        <f t="shared" si="11"/>
        <v>0</v>
      </c>
      <c r="V12" s="61">
        <f t="shared" si="12"/>
        <v>0</v>
      </c>
      <c r="W12" s="60">
        <f>COUNTIFS('Solicitud de eventos'!$J:$J,W$1,'Solicitud de eventos'!$D:$D,$A12, 'Solicitud de eventos'!X:X,"&lt;&gt;DENEGADO")</f>
        <v>0</v>
      </c>
      <c r="X12" s="60">
        <f t="shared" si="13"/>
        <v>0</v>
      </c>
      <c r="Y12" s="61">
        <f t="shared" si="14"/>
        <v>0</v>
      </c>
      <c r="Z12" s="60">
        <f>COUNTIFS('Solicitud de eventos'!$J:$J,Z$1,'Solicitud de eventos'!$D:$D,$A12, 'Solicitud de eventos'!X:X,"&lt;&gt;DENEGADO")</f>
        <v>0</v>
      </c>
      <c r="AA12" s="60">
        <f t="shared" si="15"/>
        <v>0</v>
      </c>
      <c r="AB12" s="61">
        <f t="shared" si="16"/>
        <v>0</v>
      </c>
      <c r="AC12" s="60">
        <f>COUNTIFS('Solicitud de eventos'!$J:$J,AC$1,'Solicitud de eventos'!$D:$D,$A12, 'Solicitud de eventos'!X:X,"&lt;&gt;DENEGADO")</f>
        <v>0</v>
      </c>
      <c r="AD12" s="60">
        <f t="shared" si="17"/>
        <v>0</v>
      </c>
      <c r="AE12" s="61">
        <f t="shared" si="18"/>
        <v>0</v>
      </c>
      <c r="AF12" s="60">
        <f>COUNTIFS('Solicitud de eventos'!$Q:$Q,"&gt;0",'Solicitud de eventos'!$D:$D,$A12, 'Solicitud de eventos'!$X:$X,"&lt;&gt;DENEGADO")</f>
        <v>10</v>
      </c>
      <c r="AG12" s="60">
        <f>COUNTIFS('Solicitud de eventos'!$S:$S,"&gt;0",'Solicitud de eventos'!$D:$D,$A12, 'Solicitud de eventos'!$X:$X,"&lt;&gt;DENEGADO")</f>
        <v>1</v>
      </c>
      <c r="AH12" s="60">
        <f>COUNTIFS('Solicitud de eventos'!$U:$U,"&gt;0",'Solicitud de eventos'!$D:$D,$A12, 'Solicitud de eventos'!$X:$X,"&lt;&gt;DENEGADO")</f>
        <v>0</v>
      </c>
      <c r="AI12" s="62"/>
      <c r="AJ12" s="60">
        <f>COUNTIFS('Hoja 4'!F:F,"&lt;7",'Hoja 4'!C:C,$A12, 'Hoja 4'!E:E,"&lt;&gt;DENEGADO")</f>
        <v>15</v>
      </c>
      <c r="AK12" s="60">
        <f>COUNTIFS('Solicitud de eventos'!$D:$D,$A12, 'Solicitud de eventos'!$X:$X,"=DENEGADO")</f>
        <v>0</v>
      </c>
      <c r="AL12" s="60">
        <f t="shared" si="19"/>
        <v>0</v>
      </c>
      <c r="AM12" s="63" t="str">
        <f t="shared" si="20"/>
        <v>INACTIVO</v>
      </c>
    </row>
    <row r="13">
      <c r="A13" s="58" t="s">
        <v>695</v>
      </c>
      <c r="B13" s="59"/>
      <c r="C13" s="59"/>
      <c r="D13" s="60"/>
      <c r="E13" s="60">
        <f>COUNTIFS('Solicitud de eventos'!$J:$J,E$1,'Solicitud de eventos'!$D:$D,$A13, 'Solicitud de eventos'!X:X,"&lt;&gt;DENEGADO")</f>
        <v>13</v>
      </c>
      <c r="F13" s="60">
        <f t="shared" si="1"/>
        <v>0.1625</v>
      </c>
      <c r="G13" s="61">
        <f t="shared" si="2"/>
        <v>0</v>
      </c>
      <c r="H13" s="60">
        <f>COUNTIFS('Solicitud de eventos'!$J:$J,H$1,'Solicitud de eventos'!$D:$D,$A13, 'Solicitud de eventos'!X:X,"&lt;&gt;DENEGADO")</f>
        <v>24</v>
      </c>
      <c r="I13" s="60">
        <f t="shared" si="3"/>
        <v>0.48</v>
      </c>
      <c r="J13" s="61">
        <f t="shared" si="4"/>
        <v>4</v>
      </c>
      <c r="K13" s="60">
        <f>COUNTIFS('Solicitud de eventos'!$J:$J,K$1,'Solicitud de eventos'!$D:$D,$A13, 'Solicitud de eventos'!X:X,"&lt;&gt;DENEGADO")</f>
        <v>3</v>
      </c>
      <c r="L13" s="60">
        <f t="shared" si="5"/>
        <v>0.08333333333</v>
      </c>
      <c r="M13" s="61">
        <f t="shared" si="6"/>
        <v>0</v>
      </c>
      <c r="N13" s="60">
        <f>COUNTIFS('Solicitud de eventos'!$J:$J,N$1,'Solicitud de eventos'!$D:$D,$A13, 'Solicitud de eventos'!X:X,"&lt;&gt;DENEGADO")</f>
        <v>1</v>
      </c>
      <c r="O13" s="60">
        <f t="shared" si="7"/>
        <v>0.04761904762</v>
      </c>
      <c r="P13" s="61">
        <f t="shared" si="8"/>
        <v>0</v>
      </c>
      <c r="Q13" s="60">
        <f>COUNTIFS('Solicitud de eventos'!$J:$J,Q$1,'Solicitud de eventos'!$D:$D,$A13, 'Solicitud de eventos'!X:X,"&lt;&gt;DENEGADO")</f>
        <v>14</v>
      </c>
      <c r="R13" s="60">
        <f t="shared" si="9"/>
        <v>0.2333333333</v>
      </c>
      <c r="S13" s="61">
        <f t="shared" si="10"/>
        <v>0</v>
      </c>
      <c r="T13" s="60">
        <f>COUNTIFS('Solicitud de eventos'!$J:$J,T$1,'Solicitud de eventos'!$D:$D,$A13, 'Solicitud de eventos'!X:X,"&lt;&gt;DENEGADO")</f>
        <v>0</v>
      </c>
      <c r="U13" s="60">
        <f t="shared" si="11"/>
        <v>0</v>
      </c>
      <c r="V13" s="61">
        <f t="shared" si="12"/>
        <v>0</v>
      </c>
      <c r="W13" s="60">
        <f>COUNTIFS('Solicitud de eventos'!$J:$J,W$1,'Solicitud de eventos'!$D:$D,$A13, 'Solicitud de eventos'!X:X,"&lt;&gt;DENEGADO")</f>
        <v>1</v>
      </c>
      <c r="X13" s="60">
        <f t="shared" si="13"/>
        <v>0.25</v>
      </c>
      <c r="Y13" s="61">
        <f t="shared" si="14"/>
        <v>0</v>
      </c>
      <c r="Z13" s="60">
        <f>COUNTIFS('Solicitud de eventos'!$J:$J,Z$1,'Solicitud de eventos'!$D:$D,$A13, 'Solicitud de eventos'!X:X,"&lt;&gt;DENEGADO")</f>
        <v>0</v>
      </c>
      <c r="AA13" s="60">
        <f t="shared" si="15"/>
        <v>0</v>
      </c>
      <c r="AB13" s="61">
        <f t="shared" si="16"/>
        <v>0</v>
      </c>
      <c r="AC13" s="60">
        <f>COUNTIFS('Solicitud de eventos'!$J:$J,AC$1,'Solicitud de eventos'!$D:$D,$A13, 'Solicitud de eventos'!X:X,"&lt;&gt;DENEGADO")</f>
        <v>1</v>
      </c>
      <c r="AD13" s="60">
        <f t="shared" si="17"/>
        <v>0.125</v>
      </c>
      <c r="AE13" s="61">
        <f t="shared" si="18"/>
        <v>0</v>
      </c>
      <c r="AF13" s="60">
        <f>COUNTIFS('Solicitud de eventos'!$Q:$Q,"&gt;0",'Solicitud de eventos'!$D:$D,$A13, 'Solicitud de eventos'!$X:$X,"&lt;&gt;DENEGADO")</f>
        <v>13</v>
      </c>
      <c r="AG13" s="60">
        <f>COUNTIFS('Solicitud de eventos'!$S:$S,"&gt;0",'Solicitud de eventos'!$D:$D,$A13, 'Solicitud de eventos'!$X:$X,"&lt;&gt;DENEGADO")</f>
        <v>2</v>
      </c>
      <c r="AH13" s="60">
        <f>COUNTIFS('Solicitud de eventos'!$U:$U,"&gt;0",'Solicitud de eventos'!$D:$D,$A13, 'Solicitud de eventos'!$X:$X,"&lt;&gt;DENEGADO")</f>
        <v>3</v>
      </c>
      <c r="AI13" s="62"/>
      <c r="AJ13" s="60">
        <f>COUNTIFS('Hoja 4'!F:F,"&lt;7",'Hoja 4'!C:C,$A13, 'Hoja 4'!E:E,"&lt;&gt;DENEGADO")</f>
        <v>13</v>
      </c>
      <c r="AK13" s="60">
        <f>COUNTIFS('Solicitud de eventos'!$D:$D,$A13, 'Solicitud de eventos'!$X:$X,"=DENEGADO")</f>
        <v>0</v>
      </c>
      <c r="AL13" s="60">
        <f t="shared" si="19"/>
        <v>4</v>
      </c>
      <c r="AM13" s="63" t="str">
        <f t="shared" si="20"/>
        <v>INACTIVO</v>
      </c>
    </row>
    <row r="14">
      <c r="A14" s="58" t="s">
        <v>321</v>
      </c>
      <c r="B14" s="59"/>
      <c r="C14" s="59"/>
      <c r="D14" s="60"/>
      <c r="E14" s="60">
        <f>COUNTIFS('Solicitud de eventos'!$J:$J,E$1,'Solicitud de eventos'!$D:$D,$A14, 'Solicitud de eventos'!X:X,"&lt;&gt;DENEGADO")</f>
        <v>4</v>
      </c>
      <c r="F14" s="60">
        <f t="shared" si="1"/>
        <v>0.05</v>
      </c>
      <c r="G14" s="61">
        <f t="shared" si="2"/>
        <v>0</v>
      </c>
      <c r="H14" s="60">
        <f>COUNTIFS('Solicitud de eventos'!$J:$J,H$1,'Solicitud de eventos'!$D:$D,$A14, 'Solicitud de eventos'!X:X,"&lt;&gt;DENEGADO")</f>
        <v>0</v>
      </c>
      <c r="I14" s="60">
        <f t="shared" si="3"/>
        <v>0</v>
      </c>
      <c r="J14" s="61">
        <f t="shared" si="4"/>
        <v>0</v>
      </c>
      <c r="K14" s="60">
        <f>COUNTIFS('Solicitud de eventos'!$J:$J,K$1,'Solicitud de eventos'!$D:$D,$A14, 'Solicitud de eventos'!X:X,"&lt;&gt;DENEGADO")</f>
        <v>4</v>
      </c>
      <c r="L14" s="60">
        <f t="shared" si="5"/>
        <v>0.1111111111</v>
      </c>
      <c r="M14" s="61">
        <f t="shared" si="6"/>
        <v>0</v>
      </c>
      <c r="N14" s="60">
        <f>COUNTIFS('Solicitud de eventos'!$J:$J,N$1,'Solicitud de eventos'!$D:$D,$A14, 'Solicitud de eventos'!X:X,"&lt;&gt;DENEGADO")</f>
        <v>0</v>
      </c>
      <c r="O14" s="60">
        <f t="shared" si="7"/>
        <v>0</v>
      </c>
      <c r="P14" s="61">
        <f t="shared" si="8"/>
        <v>0</v>
      </c>
      <c r="Q14" s="60">
        <f>COUNTIFS('Solicitud de eventos'!$J:$J,Q$1,'Solicitud de eventos'!$D:$D,$A14, 'Solicitud de eventos'!X:X,"&lt;&gt;DENEGADO")</f>
        <v>2</v>
      </c>
      <c r="R14" s="60">
        <f t="shared" si="9"/>
        <v>0.03333333333</v>
      </c>
      <c r="S14" s="61">
        <f t="shared" si="10"/>
        <v>0</v>
      </c>
      <c r="T14" s="60">
        <f>COUNTIFS('Solicitud de eventos'!$J:$J,T$1,'Solicitud de eventos'!$D:$D,$A14, 'Solicitud de eventos'!X:X,"&lt;&gt;DENEGADO")</f>
        <v>0</v>
      </c>
      <c r="U14" s="60">
        <f t="shared" si="11"/>
        <v>0</v>
      </c>
      <c r="V14" s="61">
        <f t="shared" si="12"/>
        <v>0</v>
      </c>
      <c r="W14" s="60">
        <f>COUNTIFS('Solicitud de eventos'!$J:$J,W$1,'Solicitud de eventos'!$D:$D,$A14, 'Solicitud de eventos'!X:X,"&lt;&gt;DENEGADO")</f>
        <v>0</v>
      </c>
      <c r="X14" s="60">
        <f t="shared" si="13"/>
        <v>0</v>
      </c>
      <c r="Y14" s="61">
        <f t="shared" si="14"/>
        <v>0</v>
      </c>
      <c r="Z14" s="60">
        <f>COUNTIFS('Solicitud de eventos'!$J:$J,Z$1,'Solicitud de eventos'!$D:$D,$A14, 'Solicitud de eventos'!X:X,"&lt;&gt;DENEGADO")</f>
        <v>0</v>
      </c>
      <c r="AA14" s="60">
        <f t="shared" si="15"/>
        <v>0</v>
      </c>
      <c r="AB14" s="61">
        <f t="shared" si="16"/>
        <v>0</v>
      </c>
      <c r="AC14" s="60">
        <f>COUNTIFS('Solicitud de eventos'!$J:$J,AC$1,'Solicitud de eventos'!$D:$D,$A14, 'Solicitud de eventos'!X:X,"&lt;&gt;DENEGADO")</f>
        <v>1</v>
      </c>
      <c r="AD14" s="60">
        <f t="shared" si="17"/>
        <v>0.125</v>
      </c>
      <c r="AE14" s="61">
        <f t="shared" si="18"/>
        <v>0</v>
      </c>
      <c r="AF14" s="60">
        <f>COUNTIFS('Solicitud de eventos'!$Q:$Q,"&gt;0",'Solicitud de eventos'!$D:$D,$A14, 'Solicitud de eventos'!$X:$X,"&lt;&gt;DENEGADO")</f>
        <v>0</v>
      </c>
      <c r="AG14" s="60">
        <f>COUNTIFS('Solicitud de eventos'!$S:$S,"&gt;0",'Solicitud de eventos'!$D:$D,$A14, 'Solicitud de eventos'!$X:$X,"&lt;&gt;DENEGADO")</f>
        <v>0</v>
      </c>
      <c r="AH14" s="60">
        <f>COUNTIFS('Solicitud de eventos'!$U:$U,"&gt;0",'Solicitud de eventos'!$D:$D,$A14, 'Solicitud de eventos'!$X:$X,"&lt;&gt;DENEGADO")</f>
        <v>0</v>
      </c>
      <c r="AI14" s="62"/>
      <c r="AJ14" s="60">
        <f>COUNTIFS('Hoja 4'!F:F,"&lt;7",'Hoja 4'!C:C,$A14, 'Hoja 4'!E:E,"&lt;&gt;DENEGADO")</f>
        <v>4</v>
      </c>
      <c r="AK14" s="60">
        <f>COUNTIFS('Solicitud de eventos'!$D:$D,$A14, 'Solicitud de eventos'!$X:$X,"=DENEGADO")</f>
        <v>0</v>
      </c>
      <c r="AL14" s="60">
        <f t="shared" si="19"/>
        <v>0</v>
      </c>
      <c r="AM14" s="63" t="str">
        <f t="shared" si="20"/>
        <v>INACTIVO</v>
      </c>
    </row>
    <row r="15">
      <c r="A15" s="58" t="s">
        <v>69</v>
      </c>
      <c r="B15" s="59"/>
      <c r="C15" s="59"/>
      <c r="D15" s="60"/>
      <c r="E15" s="60">
        <f>COUNTIFS('Solicitud de eventos'!$J:$J,E$1,'Solicitud de eventos'!$D:$D,$A15, 'Solicitud de eventos'!X:X,"&lt;&gt;DENEGADO")</f>
        <v>80</v>
      </c>
      <c r="F15" s="60">
        <f t="shared" si="1"/>
        <v>1</v>
      </c>
      <c r="G15" s="61">
        <f t="shared" si="2"/>
        <v>12</v>
      </c>
      <c r="H15" s="60">
        <f>COUNTIFS('Solicitud de eventos'!$J:$J,H$1,'Solicitud de eventos'!$D:$D,$A15, 'Solicitud de eventos'!X:X,"&lt;&gt;DENEGADO")</f>
        <v>50</v>
      </c>
      <c r="I15" s="60">
        <f t="shared" si="3"/>
        <v>1</v>
      </c>
      <c r="J15" s="61">
        <f t="shared" si="4"/>
        <v>12</v>
      </c>
      <c r="K15" s="60">
        <f>COUNTIFS('Solicitud de eventos'!$J:$J,K$1,'Solicitud de eventos'!$D:$D,$A15, 'Solicitud de eventos'!X:X,"&lt;&gt;DENEGADO")</f>
        <v>12</v>
      </c>
      <c r="L15" s="60">
        <f t="shared" si="5"/>
        <v>0.3333333333</v>
      </c>
      <c r="M15" s="61">
        <f t="shared" si="6"/>
        <v>4</v>
      </c>
      <c r="N15" s="60">
        <f>COUNTIFS('Solicitud de eventos'!$J:$J,N$1,'Solicitud de eventos'!$D:$D,$A15, 'Solicitud de eventos'!X:X,"&lt;&gt;DENEGADO")</f>
        <v>4</v>
      </c>
      <c r="O15" s="60">
        <f t="shared" si="7"/>
        <v>0.1904761905</v>
      </c>
      <c r="P15" s="61">
        <f t="shared" si="8"/>
        <v>0</v>
      </c>
      <c r="Q15" s="60">
        <f>COUNTIFS('Solicitud de eventos'!$J:$J,Q$1,'Solicitud de eventos'!$D:$D,$A15, 'Solicitud de eventos'!X:X,"&lt;&gt;DENEGADO")</f>
        <v>60</v>
      </c>
      <c r="R15" s="60">
        <f t="shared" si="9"/>
        <v>1</v>
      </c>
      <c r="S15" s="61">
        <f t="shared" si="10"/>
        <v>12</v>
      </c>
      <c r="T15" s="60">
        <f>COUNTIFS('Solicitud de eventos'!$J:$J,T$1,'Solicitud de eventos'!$D:$D,$A15, 'Solicitud de eventos'!X:X,"&lt;&gt;DENEGADO")</f>
        <v>1</v>
      </c>
      <c r="U15" s="60">
        <f t="shared" si="11"/>
        <v>0.3333333333</v>
      </c>
      <c r="V15" s="61">
        <f t="shared" si="12"/>
        <v>4</v>
      </c>
      <c r="W15" s="60">
        <f>COUNTIFS('Solicitud de eventos'!$J:$J,W$1,'Solicitud de eventos'!$D:$D,$A15, 'Solicitud de eventos'!X:X,"&lt;&gt;DENEGADO")</f>
        <v>4</v>
      </c>
      <c r="X15" s="60">
        <f t="shared" si="13"/>
        <v>1</v>
      </c>
      <c r="Y15" s="61">
        <f t="shared" si="14"/>
        <v>12</v>
      </c>
      <c r="Z15" s="60">
        <f>COUNTIFS('Solicitud de eventos'!$J:$J,Z$1,'Solicitud de eventos'!$D:$D,$A15, 'Solicitud de eventos'!X:X,"&lt;&gt;DENEGADO")</f>
        <v>2</v>
      </c>
      <c r="AA15" s="60">
        <f t="shared" si="15"/>
        <v>0.6666666667</v>
      </c>
      <c r="AB15" s="61">
        <f t="shared" si="16"/>
        <v>8</v>
      </c>
      <c r="AC15" s="60">
        <f>COUNTIFS('Solicitud de eventos'!$J:$J,AC$1,'Solicitud de eventos'!$D:$D,$A15, 'Solicitud de eventos'!X:X,"&lt;&gt;DENEGADO")</f>
        <v>3</v>
      </c>
      <c r="AD15" s="60">
        <f t="shared" si="17"/>
        <v>0.375</v>
      </c>
      <c r="AE15" s="61">
        <f t="shared" si="18"/>
        <v>4</v>
      </c>
      <c r="AF15" s="60">
        <f>COUNTIFS('Solicitud de eventos'!$Q:$Q,"&gt;0",'Solicitud de eventos'!$D:$D,$A15, 'Solicitud de eventos'!$X:$X,"&lt;&gt;DENEGADO")</f>
        <v>21</v>
      </c>
      <c r="AG15" s="60">
        <f>COUNTIFS('Solicitud de eventos'!$S:$S,"&gt;0",'Solicitud de eventos'!$D:$D,$A15, 'Solicitud de eventos'!$X:$X,"&lt;&gt;DENEGADO")</f>
        <v>16</v>
      </c>
      <c r="AH15" s="60">
        <f>COUNTIFS('Solicitud de eventos'!$U:$U,"&gt;0",'Solicitud de eventos'!$D:$D,$A15, 'Solicitud de eventos'!$X:$X,"&lt;&gt;DENEGADO")</f>
        <v>19</v>
      </c>
      <c r="AI15" s="62"/>
      <c r="AJ15" s="60">
        <f>COUNTIFS('Hoja 4'!F:F,"&lt;7",'Hoja 4'!C:C,$A15, 'Hoja 4'!E:E,"&lt;&gt;DENEGADO")</f>
        <v>44</v>
      </c>
      <c r="AK15" s="60">
        <f>COUNTIFS('Solicitud de eventos'!$D:$D,$A15, 'Solicitud de eventos'!$X:$X,"=DENEGADO")</f>
        <v>0</v>
      </c>
      <c r="AL15" s="60">
        <f t="shared" si="19"/>
        <v>68</v>
      </c>
      <c r="AM15" s="63" t="str">
        <f t="shared" si="20"/>
        <v>ROBLE AMARILLO</v>
      </c>
      <c r="AO15" s="38">
        <v>1.0</v>
      </c>
      <c r="AP15" s="38" t="s">
        <v>6166</v>
      </c>
    </row>
    <row r="16">
      <c r="A16" s="58" t="s">
        <v>47</v>
      </c>
      <c r="B16" s="59"/>
      <c r="C16" s="59"/>
      <c r="D16" s="60"/>
      <c r="E16" s="60">
        <f>COUNTIFS('Solicitud de eventos'!$J:$J,E$1,'Solicitud de eventos'!$D:$D,$A16, 'Solicitud de eventos'!X:X,"&lt;&gt;DENEGADO")</f>
        <v>6</v>
      </c>
      <c r="F16" s="60">
        <f t="shared" si="1"/>
        <v>0.075</v>
      </c>
      <c r="G16" s="61">
        <f t="shared" si="2"/>
        <v>0</v>
      </c>
      <c r="H16" s="60">
        <f>COUNTIFS('Solicitud de eventos'!$J:$J,H$1,'Solicitud de eventos'!$D:$D,$A16, 'Solicitud de eventos'!X:X,"&lt;&gt;DENEGADO")</f>
        <v>5</v>
      </c>
      <c r="I16" s="60">
        <f t="shared" si="3"/>
        <v>0.1</v>
      </c>
      <c r="J16" s="61">
        <f t="shared" si="4"/>
        <v>0</v>
      </c>
      <c r="K16" s="60">
        <f>COUNTIFS('Solicitud de eventos'!$J:$J,K$1,'Solicitud de eventos'!$D:$D,$A16, 'Solicitud de eventos'!X:X,"&lt;&gt;DENEGADO")</f>
        <v>3</v>
      </c>
      <c r="L16" s="60">
        <f t="shared" si="5"/>
        <v>0.08333333333</v>
      </c>
      <c r="M16" s="61">
        <f t="shared" si="6"/>
        <v>0</v>
      </c>
      <c r="N16" s="60">
        <f>COUNTIFS('Solicitud de eventos'!$J:$J,N$1,'Solicitud de eventos'!$D:$D,$A16, 'Solicitud de eventos'!X:X,"&lt;&gt;DENEGADO")</f>
        <v>21</v>
      </c>
      <c r="O16" s="60">
        <f t="shared" si="7"/>
        <v>1</v>
      </c>
      <c r="P16" s="61">
        <f t="shared" si="8"/>
        <v>12</v>
      </c>
      <c r="Q16" s="60">
        <f>COUNTIFS('Solicitud de eventos'!$J:$J,Q$1,'Solicitud de eventos'!$D:$D,$A16, 'Solicitud de eventos'!X:X,"&lt;&gt;DENEGADO")</f>
        <v>0</v>
      </c>
      <c r="R16" s="60">
        <f t="shared" si="9"/>
        <v>0</v>
      </c>
      <c r="S16" s="61">
        <f t="shared" si="10"/>
        <v>0</v>
      </c>
      <c r="T16" s="60">
        <f>COUNTIFS('Solicitud de eventos'!$J:$J,T$1,'Solicitud de eventos'!$D:$D,$A16, 'Solicitud de eventos'!X:X,"&lt;&gt;DENEGADO")</f>
        <v>1</v>
      </c>
      <c r="U16" s="60">
        <f t="shared" si="11"/>
        <v>0.3333333333</v>
      </c>
      <c r="V16" s="61">
        <f t="shared" si="12"/>
        <v>4</v>
      </c>
      <c r="W16" s="60">
        <f>COUNTIFS('Solicitud de eventos'!$J:$J,W$1,'Solicitud de eventos'!$D:$D,$A16, 'Solicitud de eventos'!X:X,"&lt;&gt;DENEGADO")</f>
        <v>1</v>
      </c>
      <c r="X16" s="60">
        <f t="shared" si="13"/>
        <v>0.25</v>
      </c>
      <c r="Y16" s="61">
        <f t="shared" si="14"/>
        <v>0</v>
      </c>
      <c r="Z16" s="60">
        <f>COUNTIFS('Solicitud de eventos'!$J:$J,Z$1,'Solicitud de eventos'!$D:$D,$A16, 'Solicitud de eventos'!X:X,"&lt;&gt;DENEGADO")</f>
        <v>0</v>
      </c>
      <c r="AA16" s="60">
        <f t="shared" si="15"/>
        <v>0</v>
      </c>
      <c r="AB16" s="61">
        <f t="shared" si="16"/>
        <v>0</v>
      </c>
      <c r="AC16" s="60">
        <f>COUNTIFS('Solicitud de eventos'!$J:$J,AC$1,'Solicitud de eventos'!$D:$D,$A16, 'Solicitud de eventos'!X:X,"&lt;&gt;DENEGADO")</f>
        <v>1</v>
      </c>
      <c r="AD16" s="60">
        <f t="shared" si="17"/>
        <v>0.125</v>
      </c>
      <c r="AE16" s="61">
        <f t="shared" si="18"/>
        <v>0</v>
      </c>
      <c r="AF16" s="60">
        <f>COUNTIFS('Solicitud de eventos'!$Q:$Q,"&gt;0",'Solicitud de eventos'!$D:$D,$A16, 'Solicitud de eventos'!$X:$X,"&lt;&gt;DENEGADO")</f>
        <v>1</v>
      </c>
      <c r="AG16" s="60">
        <f>COUNTIFS('Solicitud de eventos'!$S:$S,"&gt;0",'Solicitud de eventos'!$D:$D,$A16, 'Solicitud de eventos'!$X:$X,"&lt;&gt;DENEGADO")</f>
        <v>0</v>
      </c>
      <c r="AH16" s="60">
        <f>COUNTIFS('Solicitud de eventos'!$U:$U,"&gt;0",'Solicitud de eventos'!$D:$D,$A16, 'Solicitud de eventos'!$X:$X,"&lt;&gt;DENEGADO")</f>
        <v>0</v>
      </c>
      <c r="AI16" s="62"/>
      <c r="AJ16" s="60">
        <f>COUNTIFS('Hoja 4'!F:F,"&lt;7",'Hoja 4'!C:C,$A16, 'Hoja 4'!E:E,"&lt;&gt;DENEGADO")</f>
        <v>7</v>
      </c>
      <c r="AK16" s="60">
        <f>COUNTIFS('Solicitud de eventos'!$D:$D,$A16, 'Solicitud de eventos'!$X:$X,"=DENEGADO")</f>
        <v>3</v>
      </c>
      <c r="AL16" s="60">
        <f t="shared" si="19"/>
        <v>13</v>
      </c>
      <c r="AM16" s="63" t="str">
        <f t="shared" si="20"/>
        <v>ROBLE MORADO</v>
      </c>
      <c r="AO16" s="38"/>
      <c r="AP16" s="38"/>
    </row>
    <row r="17">
      <c r="A17" s="58" t="s">
        <v>672</v>
      </c>
      <c r="B17" s="59"/>
      <c r="C17" s="59"/>
      <c r="D17" s="60"/>
      <c r="E17" s="60">
        <f>COUNTIFS('Solicitud de eventos'!$J:$J,E$1,'Solicitud de eventos'!$D:$D,$A17, 'Solicitud de eventos'!X:X,"&lt;&gt;DENEGADO")</f>
        <v>65</v>
      </c>
      <c r="F17" s="60">
        <f t="shared" si="1"/>
        <v>0.8125</v>
      </c>
      <c r="G17" s="61">
        <f t="shared" si="2"/>
        <v>12</v>
      </c>
      <c r="H17" s="60">
        <f>COUNTIFS('Solicitud de eventos'!$J:$J,H$1,'Solicitud de eventos'!$D:$D,$A17, 'Solicitud de eventos'!X:X,"&lt;&gt;DENEGADO")</f>
        <v>10</v>
      </c>
      <c r="I17" s="60">
        <f t="shared" si="3"/>
        <v>0.2</v>
      </c>
      <c r="J17" s="61">
        <f t="shared" si="4"/>
        <v>0</v>
      </c>
      <c r="K17" s="60">
        <f>COUNTIFS('Solicitud de eventos'!$J:$J,K$1,'Solicitud de eventos'!$D:$D,$A17, 'Solicitud de eventos'!X:X,"&lt;&gt;DENEGADO")</f>
        <v>2</v>
      </c>
      <c r="L17" s="60">
        <f t="shared" si="5"/>
        <v>0.05555555556</v>
      </c>
      <c r="M17" s="61">
        <f t="shared" si="6"/>
        <v>0</v>
      </c>
      <c r="N17" s="60">
        <f>COUNTIFS('Solicitud de eventos'!$J:$J,N$1,'Solicitud de eventos'!$D:$D,$A17, 'Solicitud de eventos'!X:X,"&lt;&gt;DENEGADO")</f>
        <v>1</v>
      </c>
      <c r="O17" s="60">
        <f t="shared" si="7"/>
        <v>0.04761904762</v>
      </c>
      <c r="P17" s="61">
        <f t="shared" si="8"/>
        <v>0</v>
      </c>
      <c r="Q17" s="60">
        <f>COUNTIFS('Solicitud de eventos'!$J:$J,Q$1,'Solicitud de eventos'!$D:$D,$A17, 'Solicitud de eventos'!X:X,"&lt;&gt;DENEGADO")</f>
        <v>1</v>
      </c>
      <c r="R17" s="60">
        <f t="shared" si="9"/>
        <v>0.01666666667</v>
      </c>
      <c r="S17" s="61">
        <f t="shared" si="10"/>
        <v>0</v>
      </c>
      <c r="T17" s="60">
        <f>COUNTIFS('Solicitud de eventos'!$J:$J,T$1,'Solicitud de eventos'!$D:$D,$A17, 'Solicitud de eventos'!X:X,"&lt;&gt;DENEGADO")</f>
        <v>0</v>
      </c>
      <c r="U17" s="60">
        <f t="shared" si="11"/>
        <v>0</v>
      </c>
      <c r="V17" s="61">
        <f t="shared" si="12"/>
        <v>0</v>
      </c>
      <c r="W17" s="60">
        <f>COUNTIFS('Solicitud de eventos'!$J:$J,W$1,'Solicitud de eventos'!$D:$D,$A17, 'Solicitud de eventos'!X:X,"&lt;&gt;DENEGADO")</f>
        <v>0</v>
      </c>
      <c r="X17" s="60">
        <f t="shared" si="13"/>
        <v>0</v>
      </c>
      <c r="Y17" s="61">
        <f t="shared" si="14"/>
        <v>0</v>
      </c>
      <c r="Z17" s="60">
        <f>COUNTIFS('Solicitud de eventos'!$J:$J,Z$1,'Solicitud de eventos'!$D:$D,$A17, 'Solicitud de eventos'!X:X,"&lt;&gt;DENEGADO")</f>
        <v>0</v>
      </c>
      <c r="AA17" s="60">
        <f t="shared" si="15"/>
        <v>0</v>
      </c>
      <c r="AB17" s="61">
        <f t="shared" si="16"/>
        <v>0</v>
      </c>
      <c r="AC17" s="60">
        <f>COUNTIFS('Solicitud de eventos'!$J:$J,AC$1,'Solicitud de eventos'!$D:$D,$A17, 'Solicitud de eventos'!X:X,"&lt;&gt;DENEGADO")</f>
        <v>0</v>
      </c>
      <c r="AD17" s="60">
        <f t="shared" si="17"/>
        <v>0</v>
      </c>
      <c r="AE17" s="61">
        <f t="shared" si="18"/>
        <v>0</v>
      </c>
      <c r="AF17" s="60">
        <f>COUNTIFS('Solicitud de eventos'!$Q:$Q,"&gt;0",'Solicitud de eventos'!$D:$D,$A17, 'Solicitud de eventos'!$X:$X,"&lt;&gt;DENEGADO")</f>
        <v>2</v>
      </c>
      <c r="AG17" s="60">
        <f>COUNTIFS('Solicitud de eventos'!$S:$S,"&gt;0",'Solicitud de eventos'!$D:$D,$A17, 'Solicitud de eventos'!$X:$X,"&lt;&gt;DENEGADO")</f>
        <v>7</v>
      </c>
      <c r="AH17" s="60">
        <f>COUNTIFS('Solicitud de eventos'!$U:$U,"&gt;0",'Solicitud de eventos'!$D:$D,$A17, 'Solicitud de eventos'!$X:$X,"&lt;&gt;DENEGADO")</f>
        <v>3</v>
      </c>
      <c r="AI17" s="62"/>
      <c r="AJ17" s="60">
        <f>COUNTIFS('Hoja 4'!F:F,"&lt;7",'Hoja 4'!C:C,$A17, 'Hoja 4'!E:E,"&lt;&gt;DENEGADO")</f>
        <v>11</v>
      </c>
      <c r="AK17" s="60">
        <f>COUNTIFS('Solicitud de eventos'!$D:$D,$A17, 'Solicitud de eventos'!$X:$X,"=DENEGADO")</f>
        <v>1</v>
      </c>
      <c r="AL17" s="60">
        <f t="shared" si="19"/>
        <v>11</v>
      </c>
      <c r="AM17" s="63" t="str">
        <f t="shared" si="20"/>
        <v>ROBLE MORADO</v>
      </c>
      <c r="AO17" s="38"/>
      <c r="AP17" s="38"/>
    </row>
    <row r="18">
      <c r="A18" s="58" t="s">
        <v>81</v>
      </c>
      <c r="B18" s="59"/>
      <c r="C18" s="59"/>
      <c r="D18" s="60"/>
      <c r="E18" s="60">
        <f>COUNTIFS('Solicitud de eventos'!$J:$J,E$1,'Solicitud de eventos'!$D:$D,$A18, 'Solicitud de eventos'!X:X,"&lt;&gt;DENEGADO")</f>
        <v>14</v>
      </c>
      <c r="F18" s="60">
        <f t="shared" si="1"/>
        <v>0.175</v>
      </c>
      <c r="G18" s="61">
        <f t="shared" si="2"/>
        <v>0</v>
      </c>
      <c r="H18" s="60">
        <f>COUNTIFS('Solicitud de eventos'!$J:$J,H$1,'Solicitud de eventos'!$D:$D,$A18, 'Solicitud de eventos'!X:X,"&lt;&gt;DENEGADO")</f>
        <v>34</v>
      </c>
      <c r="I18" s="60">
        <f t="shared" si="3"/>
        <v>0.68</v>
      </c>
      <c r="J18" s="61">
        <f t="shared" si="4"/>
        <v>8</v>
      </c>
      <c r="K18" s="60">
        <f>COUNTIFS('Solicitud de eventos'!$J:$J,K$1,'Solicitud de eventos'!$D:$D,$A18, 'Solicitud de eventos'!X:X,"&lt;&gt;DENEGADO")</f>
        <v>11</v>
      </c>
      <c r="L18" s="60">
        <f t="shared" si="5"/>
        <v>0.3055555556</v>
      </c>
      <c r="M18" s="61">
        <f t="shared" si="6"/>
        <v>4</v>
      </c>
      <c r="N18" s="60">
        <f>COUNTIFS('Solicitud de eventos'!$J:$J,N$1,'Solicitud de eventos'!$D:$D,$A18, 'Solicitud de eventos'!X:X,"&lt;&gt;DENEGADO")</f>
        <v>4</v>
      </c>
      <c r="O18" s="60">
        <f t="shared" si="7"/>
        <v>0.1904761905</v>
      </c>
      <c r="P18" s="61">
        <f t="shared" si="8"/>
        <v>0</v>
      </c>
      <c r="Q18" s="60">
        <f>COUNTIFS('Solicitud de eventos'!$J:$J,Q$1,'Solicitud de eventos'!$D:$D,$A18, 'Solicitud de eventos'!X:X,"&lt;&gt;DENEGADO")</f>
        <v>49</v>
      </c>
      <c r="R18" s="60">
        <f t="shared" si="9"/>
        <v>0.8166666667</v>
      </c>
      <c r="S18" s="61">
        <f t="shared" si="10"/>
        <v>12</v>
      </c>
      <c r="T18" s="60">
        <f>COUNTIFS('Solicitud de eventos'!$J:$J,T$1,'Solicitud de eventos'!$D:$D,$A18, 'Solicitud de eventos'!X:X,"&lt;&gt;DENEGADO")</f>
        <v>0</v>
      </c>
      <c r="U18" s="60">
        <f t="shared" si="11"/>
        <v>0</v>
      </c>
      <c r="V18" s="61">
        <f t="shared" si="12"/>
        <v>0</v>
      </c>
      <c r="W18" s="60">
        <f>COUNTIFS('Solicitud de eventos'!$J:$J,W$1,'Solicitud de eventos'!$D:$D,$A18, 'Solicitud de eventos'!X:X,"&lt;&gt;DENEGADO")</f>
        <v>0</v>
      </c>
      <c r="X18" s="60">
        <f t="shared" si="13"/>
        <v>0</v>
      </c>
      <c r="Y18" s="61">
        <f t="shared" si="14"/>
        <v>0</v>
      </c>
      <c r="Z18" s="60">
        <f>COUNTIFS('Solicitud de eventos'!$J:$J,Z$1,'Solicitud de eventos'!$D:$D,$A18, 'Solicitud de eventos'!X:X,"&lt;&gt;DENEGADO")</f>
        <v>0</v>
      </c>
      <c r="AA18" s="60">
        <f t="shared" si="15"/>
        <v>0</v>
      </c>
      <c r="AB18" s="61">
        <f t="shared" si="16"/>
        <v>0</v>
      </c>
      <c r="AC18" s="60">
        <f>COUNTIFS('Solicitud de eventos'!$J:$J,AC$1,'Solicitud de eventos'!$D:$D,$A18, 'Solicitud de eventos'!X:X,"&lt;&gt;DENEGADO")</f>
        <v>1</v>
      </c>
      <c r="AD18" s="60">
        <f t="shared" si="17"/>
        <v>0.125</v>
      </c>
      <c r="AE18" s="61">
        <f t="shared" si="18"/>
        <v>0</v>
      </c>
      <c r="AF18" s="60">
        <f>COUNTIFS('Solicitud de eventos'!$Q:$Q,"&gt;0",'Solicitud de eventos'!$D:$D,$A18, 'Solicitud de eventos'!$X:$X,"&lt;&gt;DENEGADO")</f>
        <v>39</v>
      </c>
      <c r="AG18" s="60">
        <f>COUNTIFS('Solicitud de eventos'!$S:$S,"&gt;0",'Solicitud de eventos'!$D:$D,$A18, 'Solicitud de eventos'!$X:$X,"&lt;&gt;DENEGADO")</f>
        <v>10</v>
      </c>
      <c r="AH18" s="60">
        <f>COUNTIFS('Solicitud de eventos'!$U:$U,"&gt;0",'Solicitud de eventos'!$D:$D,$A18, 'Solicitud de eventos'!$X:$X,"&lt;&gt;DENEGADO")</f>
        <v>5</v>
      </c>
      <c r="AI18" s="62"/>
      <c r="AJ18" s="60">
        <f>COUNTIFS('Hoja 4'!F:F,"&lt;7",'Hoja 4'!C:C,$A18, 'Hoja 4'!E:E,"&lt;&gt;DENEGADO")</f>
        <v>15</v>
      </c>
      <c r="AK18" s="60">
        <f>COUNTIFS('Solicitud de eventos'!$D:$D,$A18, 'Solicitud de eventos'!$X:$X,"=DENEGADO")</f>
        <v>0</v>
      </c>
      <c r="AL18" s="60">
        <f t="shared" si="19"/>
        <v>24</v>
      </c>
      <c r="AM18" s="63" t="str">
        <f t="shared" si="20"/>
        <v>ROBLE MORADO</v>
      </c>
      <c r="AO18" s="38"/>
      <c r="AP18" s="38"/>
    </row>
    <row r="19">
      <c r="A19" s="58" t="s">
        <v>611</v>
      </c>
      <c r="B19" s="59"/>
      <c r="C19" s="59"/>
      <c r="D19" s="60"/>
      <c r="E19" s="60">
        <f>COUNTIFS('Solicitud de eventos'!$J:$J,E$1,'Solicitud de eventos'!$D:$D,$A19, 'Solicitud de eventos'!X:X,"&lt;&gt;DENEGADO")</f>
        <v>45</v>
      </c>
      <c r="F19" s="60">
        <f t="shared" si="1"/>
        <v>0.5625</v>
      </c>
      <c r="G19" s="61">
        <f t="shared" si="2"/>
        <v>8</v>
      </c>
      <c r="H19" s="60">
        <f>COUNTIFS('Solicitud de eventos'!$J:$J,H$1,'Solicitud de eventos'!$D:$D,$A19, 'Solicitud de eventos'!X:X,"&lt;&gt;DENEGADO")</f>
        <v>0</v>
      </c>
      <c r="I19" s="60">
        <f t="shared" si="3"/>
        <v>0</v>
      </c>
      <c r="J19" s="61">
        <f t="shared" si="4"/>
        <v>0</v>
      </c>
      <c r="K19" s="60">
        <f>COUNTIFS('Solicitud de eventos'!$J:$J,K$1,'Solicitud de eventos'!$D:$D,$A19, 'Solicitud de eventos'!X:X,"&lt;&gt;DENEGADO")</f>
        <v>1</v>
      </c>
      <c r="L19" s="60">
        <f t="shared" si="5"/>
        <v>0.02777777778</v>
      </c>
      <c r="M19" s="61">
        <f t="shared" si="6"/>
        <v>0</v>
      </c>
      <c r="N19" s="60">
        <f>COUNTIFS('Solicitud de eventos'!$J:$J,N$1,'Solicitud de eventos'!$D:$D,$A19, 'Solicitud de eventos'!X:X,"&lt;&gt;DENEGADO")</f>
        <v>0</v>
      </c>
      <c r="O19" s="60">
        <f t="shared" si="7"/>
        <v>0</v>
      </c>
      <c r="P19" s="61">
        <f t="shared" si="8"/>
        <v>0</v>
      </c>
      <c r="Q19" s="60">
        <f>COUNTIFS('Solicitud de eventos'!$J:$J,Q$1,'Solicitud de eventos'!$D:$D,$A19, 'Solicitud de eventos'!X:X,"&lt;&gt;DENEGADO")</f>
        <v>0</v>
      </c>
      <c r="R19" s="60">
        <f t="shared" si="9"/>
        <v>0</v>
      </c>
      <c r="S19" s="61">
        <f t="shared" si="10"/>
        <v>0</v>
      </c>
      <c r="T19" s="60">
        <f>COUNTIFS('Solicitud de eventos'!$J:$J,T$1,'Solicitud de eventos'!$D:$D,$A19, 'Solicitud de eventos'!X:X,"&lt;&gt;DENEGADO")</f>
        <v>0</v>
      </c>
      <c r="U19" s="60">
        <f t="shared" si="11"/>
        <v>0</v>
      </c>
      <c r="V19" s="61">
        <f t="shared" si="12"/>
        <v>0</v>
      </c>
      <c r="W19" s="60">
        <f>COUNTIFS('Solicitud de eventos'!$J:$J,W$1,'Solicitud de eventos'!$D:$D,$A19, 'Solicitud de eventos'!X:X,"&lt;&gt;DENEGADO")</f>
        <v>1</v>
      </c>
      <c r="X19" s="60">
        <f t="shared" si="13"/>
        <v>0.25</v>
      </c>
      <c r="Y19" s="61">
        <f t="shared" si="14"/>
        <v>0</v>
      </c>
      <c r="Z19" s="60">
        <f>COUNTIFS('Solicitud de eventos'!$J:$J,Z$1,'Solicitud de eventos'!$D:$D,$A19, 'Solicitud de eventos'!X:X,"&lt;&gt;DENEGADO")</f>
        <v>0</v>
      </c>
      <c r="AA19" s="60">
        <f t="shared" si="15"/>
        <v>0</v>
      </c>
      <c r="AB19" s="61">
        <f t="shared" si="16"/>
        <v>0</v>
      </c>
      <c r="AC19" s="60">
        <f>COUNTIFS('Solicitud de eventos'!$J:$J,AC$1,'Solicitud de eventos'!$D:$D,$A19, 'Solicitud de eventos'!X:X,"&lt;&gt;DENEGADO")</f>
        <v>2</v>
      </c>
      <c r="AD19" s="60">
        <f t="shared" si="17"/>
        <v>0.25</v>
      </c>
      <c r="AE19" s="61">
        <f t="shared" si="18"/>
        <v>0</v>
      </c>
      <c r="AF19" s="60">
        <f>COUNTIFS('Solicitud de eventos'!$Q:$Q,"&gt;0",'Solicitud de eventos'!$D:$D,$A19, 'Solicitud de eventos'!$X:$X,"&lt;&gt;DENEGADO")</f>
        <v>0</v>
      </c>
      <c r="AG19" s="60">
        <f>COUNTIFS('Solicitud de eventos'!$S:$S,"&gt;0",'Solicitud de eventos'!$D:$D,$A19, 'Solicitud de eventos'!$X:$X,"&lt;&gt;DENEGADO")</f>
        <v>0</v>
      </c>
      <c r="AH19" s="60">
        <f>COUNTIFS('Solicitud de eventos'!$U:$U,"&gt;0",'Solicitud de eventos'!$D:$D,$A19, 'Solicitud de eventos'!$X:$X,"&lt;&gt;DENEGADO")</f>
        <v>0</v>
      </c>
      <c r="AI19" s="62"/>
      <c r="AJ19" s="60">
        <f>COUNTIFS('Hoja 4'!F:F,"&lt;7",'Hoja 4'!C:C,$A19, 'Hoja 4'!E:E,"&lt;&gt;DENEGADO")</f>
        <v>2</v>
      </c>
      <c r="AK19" s="60">
        <f>COUNTIFS('Solicitud de eventos'!$D:$D,$A19, 'Solicitud de eventos'!$X:$X,"=DENEGADO")</f>
        <v>0</v>
      </c>
      <c r="AL19" s="60">
        <f t="shared" si="19"/>
        <v>8</v>
      </c>
      <c r="AM19" s="63" t="str">
        <f t="shared" si="20"/>
        <v>ROBLE MORADO</v>
      </c>
      <c r="AO19" s="38"/>
      <c r="AP19" s="38"/>
    </row>
    <row r="20">
      <c r="A20" s="58" t="s">
        <v>151</v>
      </c>
      <c r="B20" s="59"/>
      <c r="C20" s="59"/>
      <c r="D20" s="60"/>
      <c r="E20" s="60">
        <f>COUNTIFS('Solicitud de eventos'!$J:$J,E$1,'Solicitud de eventos'!$D:$D,$A20, 'Solicitud de eventos'!X:X,"&lt;&gt;DENEGADO")</f>
        <v>18</v>
      </c>
      <c r="F20" s="60">
        <f t="shared" si="1"/>
        <v>0.225</v>
      </c>
      <c r="G20" s="61">
        <f t="shared" si="2"/>
        <v>0</v>
      </c>
      <c r="H20" s="60">
        <f>COUNTIFS('Solicitud de eventos'!$J:$J,H$1,'Solicitud de eventos'!$D:$D,$A20, 'Solicitud de eventos'!X:X,"&lt;&gt;DENEGADO")</f>
        <v>11</v>
      </c>
      <c r="I20" s="60">
        <f t="shared" si="3"/>
        <v>0.22</v>
      </c>
      <c r="J20" s="61">
        <f t="shared" si="4"/>
        <v>0</v>
      </c>
      <c r="K20" s="60">
        <f>COUNTIFS('Solicitud de eventos'!$J:$J,K$1,'Solicitud de eventos'!$D:$D,$A20, 'Solicitud de eventos'!X:X,"&lt;&gt;DENEGADO")</f>
        <v>2</v>
      </c>
      <c r="L20" s="60">
        <f t="shared" si="5"/>
        <v>0.05555555556</v>
      </c>
      <c r="M20" s="61">
        <f t="shared" si="6"/>
        <v>0</v>
      </c>
      <c r="N20" s="60">
        <f>COUNTIFS('Solicitud de eventos'!$J:$J,N$1,'Solicitud de eventos'!$D:$D,$A20, 'Solicitud de eventos'!X:X,"&lt;&gt;DENEGADO")</f>
        <v>2</v>
      </c>
      <c r="O20" s="60">
        <f t="shared" si="7"/>
        <v>0.09523809524</v>
      </c>
      <c r="P20" s="61">
        <f t="shared" si="8"/>
        <v>0</v>
      </c>
      <c r="Q20" s="60">
        <f>COUNTIFS('Solicitud de eventos'!$J:$J,Q$1,'Solicitud de eventos'!$D:$D,$A20, 'Solicitud de eventos'!X:X,"&lt;&gt;DENEGADO")</f>
        <v>0</v>
      </c>
      <c r="R20" s="60">
        <f t="shared" si="9"/>
        <v>0</v>
      </c>
      <c r="S20" s="61">
        <f t="shared" si="10"/>
        <v>0</v>
      </c>
      <c r="T20" s="60">
        <f>COUNTIFS('Solicitud de eventos'!$J:$J,T$1,'Solicitud de eventos'!$D:$D,$A20, 'Solicitud de eventos'!X:X,"&lt;&gt;DENEGADO")</f>
        <v>3</v>
      </c>
      <c r="U20" s="60">
        <f t="shared" si="11"/>
        <v>1</v>
      </c>
      <c r="V20" s="61">
        <f t="shared" si="12"/>
        <v>12</v>
      </c>
      <c r="W20" s="60">
        <f>COUNTIFS('Solicitud de eventos'!$J:$J,W$1,'Solicitud de eventos'!$D:$D,$A20, 'Solicitud de eventos'!X:X,"&lt;&gt;DENEGADO")</f>
        <v>0</v>
      </c>
      <c r="X20" s="60">
        <f t="shared" si="13"/>
        <v>0</v>
      </c>
      <c r="Y20" s="61">
        <f t="shared" si="14"/>
        <v>0</v>
      </c>
      <c r="Z20" s="60">
        <f>COUNTIFS('Solicitud de eventos'!$J:$J,Z$1,'Solicitud de eventos'!$D:$D,$A20, 'Solicitud de eventos'!X:X,"&lt;&gt;DENEGADO")</f>
        <v>0</v>
      </c>
      <c r="AA20" s="60">
        <f t="shared" si="15"/>
        <v>0</v>
      </c>
      <c r="AB20" s="61">
        <f t="shared" si="16"/>
        <v>0</v>
      </c>
      <c r="AC20" s="60">
        <f>COUNTIFS('Solicitud de eventos'!$J:$J,AC$1,'Solicitud de eventos'!$D:$D,$A20, 'Solicitud de eventos'!X:X,"&lt;&gt;DENEGADO")</f>
        <v>0</v>
      </c>
      <c r="AD20" s="60">
        <f t="shared" si="17"/>
        <v>0</v>
      </c>
      <c r="AE20" s="61">
        <f t="shared" si="18"/>
        <v>0</v>
      </c>
      <c r="AF20" s="60">
        <f>COUNTIFS('Solicitud de eventos'!$Q:$Q,"&gt;0",'Solicitud de eventos'!$D:$D,$A20, 'Solicitud de eventos'!$X:$X,"&lt;&gt;DENEGADO")</f>
        <v>7</v>
      </c>
      <c r="AG20" s="60">
        <f>COUNTIFS('Solicitud de eventos'!$S:$S,"&gt;0",'Solicitud de eventos'!$D:$D,$A20, 'Solicitud de eventos'!$X:$X,"&lt;&gt;DENEGADO")</f>
        <v>1</v>
      </c>
      <c r="AH20" s="60">
        <f>COUNTIFS('Solicitud de eventos'!$U:$U,"&gt;0",'Solicitud de eventos'!$D:$D,$A20, 'Solicitud de eventos'!$X:$X,"&lt;&gt;DENEGADO")</f>
        <v>1</v>
      </c>
      <c r="AI20" s="62"/>
      <c r="AJ20" s="60">
        <f>COUNTIFS('Hoja 4'!F:F,"&lt;7",'Hoja 4'!C:C,$A20, 'Hoja 4'!E:E,"&lt;&gt;DENEGADO")</f>
        <v>0</v>
      </c>
      <c r="AK20" s="60">
        <f>COUNTIFS('Solicitud de eventos'!$D:$D,$A20, 'Solicitud de eventos'!$X:$X,"=DENEGADO")</f>
        <v>0</v>
      </c>
      <c r="AL20" s="60">
        <f t="shared" si="19"/>
        <v>12</v>
      </c>
      <c r="AM20" s="63" t="str">
        <f t="shared" si="20"/>
        <v>ROBLE MORADO</v>
      </c>
      <c r="AN20" s="38"/>
      <c r="AO20" s="38"/>
      <c r="AP20" s="38"/>
    </row>
    <row r="21">
      <c r="A21" s="58" t="s">
        <v>728</v>
      </c>
      <c r="B21" s="59"/>
      <c r="C21" s="59"/>
      <c r="D21" s="60"/>
      <c r="E21" s="60">
        <f>COUNTIFS('Solicitud de eventos'!$J:$J,E$1,'Solicitud de eventos'!$D:$D,$A21, 'Solicitud de eventos'!X:X,"&lt;&gt;DENEGADO")</f>
        <v>4</v>
      </c>
      <c r="F21" s="60">
        <f t="shared" si="1"/>
        <v>0.05</v>
      </c>
      <c r="G21" s="61">
        <f t="shared" si="2"/>
        <v>0</v>
      </c>
      <c r="H21" s="60">
        <f>COUNTIFS('Solicitud de eventos'!$J:$J,H$1,'Solicitud de eventos'!$D:$D,$A21, 'Solicitud de eventos'!X:X,"&lt;&gt;DENEGADO")</f>
        <v>1</v>
      </c>
      <c r="I21" s="60">
        <f t="shared" si="3"/>
        <v>0.02</v>
      </c>
      <c r="J21" s="61">
        <f t="shared" si="4"/>
        <v>0</v>
      </c>
      <c r="K21" s="60">
        <f>COUNTIFS('Solicitud de eventos'!$J:$J,K$1,'Solicitud de eventos'!$D:$D,$A21, 'Solicitud de eventos'!X:X,"&lt;&gt;DENEGADO")</f>
        <v>0</v>
      </c>
      <c r="L21" s="60">
        <f t="shared" si="5"/>
        <v>0</v>
      </c>
      <c r="M21" s="61">
        <f t="shared" si="6"/>
        <v>0</v>
      </c>
      <c r="N21" s="60">
        <f>COUNTIFS('Solicitud de eventos'!$J:$J,N$1,'Solicitud de eventos'!$D:$D,$A21, 'Solicitud de eventos'!X:X,"&lt;&gt;DENEGADO")</f>
        <v>0</v>
      </c>
      <c r="O21" s="60">
        <f t="shared" si="7"/>
        <v>0</v>
      </c>
      <c r="P21" s="61">
        <f t="shared" si="8"/>
        <v>0</v>
      </c>
      <c r="Q21" s="60">
        <f>COUNTIFS('Solicitud de eventos'!$J:$J,Q$1,'Solicitud de eventos'!$D:$D,$A21, 'Solicitud de eventos'!X:X,"&lt;&gt;DENEGADO")</f>
        <v>0</v>
      </c>
      <c r="R21" s="60">
        <f t="shared" si="9"/>
        <v>0</v>
      </c>
      <c r="S21" s="61">
        <f t="shared" si="10"/>
        <v>0</v>
      </c>
      <c r="T21" s="60">
        <f>COUNTIFS('Solicitud de eventos'!$J:$J,T$1,'Solicitud de eventos'!$D:$D,$A21, 'Solicitud de eventos'!X:X,"&lt;&gt;DENEGADO")</f>
        <v>0</v>
      </c>
      <c r="U21" s="60">
        <f t="shared" si="11"/>
        <v>0</v>
      </c>
      <c r="V21" s="61">
        <f t="shared" si="12"/>
        <v>0</v>
      </c>
      <c r="W21" s="60">
        <f>COUNTIFS('Solicitud de eventos'!$J:$J,W$1,'Solicitud de eventos'!$D:$D,$A21, 'Solicitud de eventos'!X:X,"&lt;&gt;DENEGADO")</f>
        <v>0</v>
      </c>
      <c r="X21" s="60">
        <f t="shared" si="13"/>
        <v>0</v>
      </c>
      <c r="Y21" s="61">
        <f t="shared" si="14"/>
        <v>0</v>
      </c>
      <c r="Z21" s="60">
        <f>COUNTIFS('Solicitud de eventos'!$J:$J,Z$1,'Solicitud de eventos'!$D:$D,$A21, 'Solicitud de eventos'!X:X,"&lt;&gt;DENEGADO")</f>
        <v>0</v>
      </c>
      <c r="AA21" s="60">
        <f t="shared" si="15"/>
        <v>0</v>
      </c>
      <c r="AB21" s="61">
        <f t="shared" si="16"/>
        <v>0</v>
      </c>
      <c r="AC21" s="60">
        <f>COUNTIFS('Solicitud de eventos'!$J:$J,AC$1,'Solicitud de eventos'!$D:$D,$A21, 'Solicitud de eventos'!X:X,"&lt;&gt;DENEGADO")</f>
        <v>0</v>
      </c>
      <c r="AD21" s="60">
        <f t="shared" si="17"/>
        <v>0</v>
      </c>
      <c r="AE21" s="61">
        <f t="shared" si="18"/>
        <v>0</v>
      </c>
      <c r="AF21" s="60">
        <f>COUNTIFS('Solicitud de eventos'!$Q:$Q,"&gt;0",'Solicitud de eventos'!$D:$D,$A21, 'Solicitud de eventos'!$X:$X,"&lt;&gt;DENEGADO")</f>
        <v>0</v>
      </c>
      <c r="AG21" s="60">
        <f>COUNTIFS('Solicitud de eventos'!$S:$S,"&gt;0",'Solicitud de eventos'!$D:$D,$A21, 'Solicitud de eventos'!$X:$X,"&lt;&gt;DENEGADO")</f>
        <v>1</v>
      </c>
      <c r="AH21" s="60">
        <f>COUNTIFS('Solicitud de eventos'!$U:$U,"&gt;0",'Solicitud de eventos'!$D:$D,$A21, 'Solicitud de eventos'!$X:$X,"&lt;&gt;DENEGADO")</f>
        <v>1</v>
      </c>
      <c r="AI21" s="62"/>
      <c r="AJ21" s="60">
        <f>COUNTIFS('Hoja 4'!F:F,"&lt;7",'Hoja 4'!C:C,$A21, 'Hoja 4'!E:E,"&lt;&gt;DENEGADO")</f>
        <v>0</v>
      </c>
      <c r="AK21" s="60">
        <f>COUNTIFS('Solicitud de eventos'!$D:$D,$A21, 'Solicitud de eventos'!$X:$X,"=DENEGADO")</f>
        <v>0</v>
      </c>
      <c r="AL21" s="60">
        <f t="shared" si="19"/>
        <v>0</v>
      </c>
      <c r="AM21" s="63" t="str">
        <f t="shared" si="20"/>
        <v>INACTIVO</v>
      </c>
      <c r="AO21" s="38"/>
      <c r="AP21" s="38"/>
    </row>
    <row r="22">
      <c r="A22" s="58" t="s">
        <v>6167</v>
      </c>
      <c r="B22" s="59"/>
      <c r="C22" s="59"/>
      <c r="D22" s="60"/>
      <c r="E22" s="60">
        <f>COUNTIFS('Solicitud de eventos'!$J:$J,E$1,'Solicitud de eventos'!$D:$D,$A22, 'Solicitud de eventos'!X:X,"&lt;&gt;DENEGADO")</f>
        <v>0</v>
      </c>
      <c r="F22" s="60">
        <f t="shared" si="1"/>
        <v>0</v>
      </c>
      <c r="G22" s="61">
        <f t="shared" si="2"/>
        <v>0</v>
      </c>
      <c r="H22" s="60">
        <f>COUNTIFS('Solicitud de eventos'!$J:$J,H$1,'Solicitud de eventos'!$D:$D,$A22, 'Solicitud de eventos'!X:X,"&lt;&gt;DENEGADO")</f>
        <v>0</v>
      </c>
      <c r="I22" s="60">
        <f t="shared" si="3"/>
        <v>0</v>
      </c>
      <c r="J22" s="61">
        <f t="shared" si="4"/>
        <v>0</v>
      </c>
      <c r="K22" s="60">
        <f>COUNTIFS('Solicitud de eventos'!$J:$J,K$1,'Solicitud de eventos'!$D:$D,$A22, 'Solicitud de eventos'!X:X,"&lt;&gt;DENEGADO")</f>
        <v>0</v>
      </c>
      <c r="L22" s="60">
        <f t="shared" si="5"/>
        <v>0</v>
      </c>
      <c r="M22" s="61">
        <f t="shared" si="6"/>
        <v>0</v>
      </c>
      <c r="N22" s="60">
        <f>COUNTIFS('Solicitud de eventos'!$J:$J,N$1,'Solicitud de eventos'!$D:$D,$A22, 'Solicitud de eventos'!X:X,"&lt;&gt;DENEGADO")</f>
        <v>0</v>
      </c>
      <c r="O22" s="60">
        <f t="shared" si="7"/>
        <v>0</v>
      </c>
      <c r="P22" s="61">
        <f t="shared" si="8"/>
        <v>0</v>
      </c>
      <c r="Q22" s="60">
        <f>COUNTIFS('Solicitud de eventos'!$J:$J,Q$1,'Solicitud de eventos'!$D:$D,$A22, 'Solicitud de eventos'!X:X,"&lt;&gt;DENEGADO")</f>
        <v>0</v>
      </c>
      <c r="R22" s="60">
        <f t="shared" si="9"/>
        <v>0</v>
      </c>
      <c r="S22" s="61">
        <f t="shared" si="10"/>
        <v>0</v>
      </c>
      <c r="T22" s="60">
        <f>COUNTIFS('Solicitud de eventos'!$J:$J,T$1,'Solicitud de eventos'!$D:$D,$A22, 'Solicitud de eventos'!X:X,"&lt;&gt;DENEGADO")</f>
        <v>0</v>
      </c>
      <c r="U22" s="60">
        <f t="shared" si="11"/>
        <v>0</v>
      </c>
      <c r="V22" s="61">
        <f t="shared" si="12"/>
        <v>0</v>
      </c>
      <c r="W22" s="60">
        <f>COUNTIFS('Solicitud de eventos'!$J:$J,W$1,'Solicitud de eventos'!$D:$D,$A22, 'Solicitud de eventos'!X:X,"&lt;&gt;DENEGADO")</f>
        <v>0</v>
      </c>
      <c r="X22" s="60">
        <f t="shared" si="13"/>
        <v>0</v>
      </c>
      <c r="Y22" s="61">
        <f t="shared" si="14"/>
        <v>0</v>
      </c>
      <c r="Z22" s="60">
        <f>COUNTIFS('Solicitud de eventos'!$J:$J,Z$1,'Solicitud de eventos'!$D:$D,$A22, 'Solicitud de eventos'!X:X,"&lt;&gt;DENEGADO")</f>
        <v>0</v>
      </c>
      <c r="AA22" s="60">
        <f t="shared" si="15"/>
        <v>0</v>
      </c>
      <c r="AB22" s="61">
        <f t="shared" si="16"/>
        <v>0</v>
      </c>
      <c r="AC22" s="60">
        <f>COUNTIFS('Solicitud de eventos'!$J:$J,AC$1,'Solicitud de eventos'!$D:$D,$A22, 'Solicitud de eventos'!X:X,"&lt;&gt;DENEGADO")</f>
        <v>0</v>
      </c>
      <c r="AD22" s="60">
        <f t="shared" si="17"/>
        <v>0</v>
      </c>
      <c r="AE22" s="61">
        <f t="shared" si="18"/>
        <v>0</v>
      </c>
      <c r="AF22" s="60">
        <f>COUNTIFS('Solicitud de eventos'!$Q:$Q,"&gt;0",'Solicitud de eventos'!$D:$D,$A22, 'Solicitud de eventos'!$X:$X,"&lt;&gt;DENEGADO")</f>
        <v>0</v>
      </c>
      <c r="AG22" s="60">
        <f>COUNTIFS('Solicitud de eventos'!$S:$S,"&gt;0",'Solicitud de eventos'!$D:$D,$A22, 'Solicitud de eventos'!$X:$X,"&lt;&gt;DENEGADO")</f>
        <v>0</v>
      </c>
      <c r="AH22" s="60">
        <f>COUNTIFS('Solicitud de eventos'!$U:$U,"&gt;0",'Solicitud de eventos'!$D:$D,$A22, 'Solicitud de eventos'!$X:$X,"&lt;&gt;DENEGADO")</f>
        <v>0</v>
      </c>
      <c r="AI22" s="62"/>
      <c r="AJ22" s="60">
        <f>COUNTIFS('Hoja 4'!F:F,"&lt;7",'Hoja 4'!C:C,$A22, 'Hoja 4'!E:E,"&lt;&gt;DENEGADO")</f>
        <v>18</v>
      </c>
      <c r="AK22" s="60">
        <f>COUNTIFS('Solicitud de eventos'!$D:$D,$A22, 'Solicitud de eventos'!$X:$X,"=DENEGADO")</f>
        <v>0</v>
      </c>
      <c r="AL22" s="60">
        <f t="shared" si="19"/>
        <v>0</v>
      </c>
      <c r="AM22" s="63" t="str">
        <f t="shared" si="20"/>
        <v>INACTIVO</v>
      </c>
      <c r="AO22" s="38"/>
      <c r="AP22" s="38"/>
    </row>
    <row r="23">
      <c r="A23" s="58" t="s">
        <v>103</v>
      </c>
      <c r="B23" s="59"/>
      <c r="C23" s="59"/>
      <c r="D23" s="60"/>
      <c r="E23" s="60">
        <f>COUNTIFS('Solicitud de eventos'!$J:$J,E$1,'Solicitud de eventos'!$D:$D,$A23, 'Solicitud de eventos'!X:X,"&lt;&gt;DENEGADO")</f>
        <v>9</v>
      </c>
      <c r="F23" s="60">
        <f t="shared" si="1"/>
        <v>0.1125</v>
      </c>
      <c r="G23" s="61">
        <f t="shared" si="2"/>
        <v>0</v>
      </c>
      <c r="H23" s="60">
        <f>COUNTIFS('Solicitud de eventos'!$J:$J,H$1,'Solicitud de eventos'!$D:$D,$A23, 'Solicitud de eventos'!X:X,"&lt;&gt;DENEGADO")</f>
        <v>20</v>
      </c>
      <c r="I23" s="60">
        <f t="shared" si="3"/>
        <v>0.4</v>
      </c>
      <c r="J23" s="61">
        <f t="shared" si="4"/>
        <v>4</v>
      </c>
      <c r="K23" s="60">
        <f>COUNTIFS('Solicitud de eventos'!$J:$J,K$1,'Solicitud de eventos'!$D:$D,$A23, 'Solicitud de eventos'!X:X,"&lt;&gt;DENEGADO")</f>
        <v>0</v>
      </c>
      <c r="L23" s="60">
        <f t="shared" si="5"/>
        <v>0</v>
      </c>
      <c r="M23" s="61">
        <f t="shared" si="6"/>
        <v>0</v>
      </c>
      <c r="N23" s="60">
        <f>COUNTIFS('Solicitud de eventos'!$J:$J,N$1,'Solicitud de eventos'!$D:$D,$A23, 'Solicitud de eventos'!X:X,"&lt;&gt;DENEGADO")</f>
        <v>2</v>
      </c>
      <c r="O23" s="60">
        <f t="shared" si="7"/>
        <v>0.09523809524</v>
      </c>
      <c r="P23" s="61">
        <f t="shared" si="8"/>
        <v>0</v>
      </c>
      <c r="Q23" s="60">
        <f>COUNTIFS('Solicitud de eventos'!$J:$J,Q$1,'Solicitud de eventos'!$D:$D,$A23, 'Solicitud de eventos'!X:X,"&lt;&gt;DENEGADO")</f>
        <v>2</v>
      </c>
      <c r="R23" s="60">
        <f t="shared" si="9"/>
        <v>0.03333333333</v>
      </c>
      <c r="S23" s="61">
        <f t="shared" si="10"/>
        <v>0</v>
      </c>
      <c r="T23" s="60">
        <f>COUNTIFS('Solicitud de eventos'!$J:$J,T$1,'Solicitud de eventos'!$D:$D,$A23, 'Solicitud de eventos'!X:X,"&lt;&gt;DENEGADO")</f>
        <v>0</v>
      </c>
      <c r="U23" s="60">
        <f t="shared" si="11"/>
        <v>0</v>
      </c>
      <c r="V23" s="61">
        <f t="shared" si="12"/>
        <v>0</v>
      </c>
      <c r="W23" s="60">
        <f>COUNTIFS('Solicitud de eventos'!$J:$J,W$1,'Solicitud de eventos'!$D:$D,$A23, 'Solicitud de eventos'!X:X,"&lt;&gt;DENEGADO")</f>
        <v>0</v>
      </c>
      <c r="X23" s="60">
        <f t="shared" si="13"/>
        <v>0</v>
      </c>
      <c r="Y23" s="61">
        <f t="shared" si="14"/>
        <v>0</v>
      </c>
      <c r="Z23" s="60">
        <f>COUNTIFS('Solicitud de eventos'!$J:$J,Z$1,'Solicitud de eventos'!$D:$D,$A23, 'Solicitud de eventos'!X:X,"&lt;&gt;DENEGADO")</f>
        <v>0</v>
      </c>
      <c r="AA23" s="60">
        <f t="shared" si="15"/>
        <v>0</v>
      </c>
      <c r="AB23" s="61">
        <f t="shared" si="16"/>
        <v>0</v>
      </c>
      <c r="AC23" s="60">
        <f>COUNTIFS('Solicitud de eventos'!$J:$J,AC$1,'Solicitud de eventos'!$D:$D,$A23, 'Solicitud de eventos'!X:X,"&lt;&gt;DENEGADO")</f>
        <v>0</v>
      </c>
      <c r="AD23" s="60">
        <f t="shared" si="17"/>
        <v>0</v>
      </c>
      <c r="AE23" s="61">
        <f t="shared" si="18"/>
        <v>0</v>
      </c>
      <c r="AF23" s="60">
        <f>COUNTIFS('Solicitud de eventos'!$Q:$Q,"&gt;0",'Solicitud de eventos'!$D:$D,$A23, 'Solicitud de eventos'!$X:$X,"&lt;&gt;DENEGADO")</f>
        <v>11</v>
      </c>
      <c r="AG23" s="60">
        <f>COUNTIFS('Solicitud de eventos'!$S:$S,"&gt;0",'Solicitud de eventos'!$D:$D,$A23, 'Solicitud de eventos'!$X:$X,"&lt;&gt;DENEGADO")</f>
        <v>9</v>
      </c>
      <c r="AH23" s="60">
        <f>COUNTIFS('Solicitud de eventos'!$U:$U,"&gt;0",'Solicitud de eventos'!$D:$D,$A23, 'Solicitud de eventos'!$X:$X,"&lt;&gt;DENEGADO")</f>
        <v>0</v>
      </c>
      <c r="AI23" s="62"/>
      <c r="AJ23" s="60">
        <f>COUNTIFS('Hoja 4'!F:F,"&lt;7",'Hoja 4'!C:C,$A23, 'Hoja 4'!E:E,"&lt;&gt;DENEGADO")</f>
        <v>5</v>
      </c>
      <c r="AK23" s="60">
        <f>COUNTIFS('Solicitud de eventos'!$D:$D,$A23, 'Solicitud de eventos'!$X:$X,"=DENEGADO")</f>
        <v>0</v>
      </c>
      <c r="AL23" s="60">
        <f t="shared" si="19"/>
        <v>4</v>
      </c>
      <c r="AM23" s="63" t="str">
        <f t="shared" si="20"/>
        <v>INACTIVO</v>
      </c>
    </row>
    <row r="24">
      <c r="A24" s="58" t="s">
        <v>220</v>
      </c>
      <c r="B24" s="59"/>
      <c r="C24" s="59"/>
      <c r="D24" s="60"/>
      <c r="E24" s="60">
        <f>COUNTIFS('Solicitud de eventos'!$J:$J,E$1,'Solicitud de eventos'!$D:$D,$A24, 'Solicitud de eventos'!X:X,"&lt;&gt;DENEGADO")</f>
        <v>19</v>
      </c>
      <c r="F24" s="60">
        <f t="shared" si="1"/>
        <v>0.2375</v>
      </c>
      <c r="G24" s="61">
        <f t="shared" si="2"/>
        <v>0</v>
      </c>
      <c r="H24" s="60">
        <f>COUNTIFS('Solicitud de eventos'!$J:$J,H$1,'Solicitud de eventos'!$D:$D,$A24, 'Solicitud de eventos'!X:X,"&lt;&gt;DENEGADO")</f>
        <v>7</v>
      </c>
      <c r="I24" s="60">
        <f t="shared" si="3"/>
        <v>0.14</v>
      </c>
      <c r="J24" s="61">
        <f t="shared" si="4"/>
        <v>0</v>
      </c>
      <c r="K24" s="60">
        <f>COUNTIFS('Solicitud de eventos'!$J:$J,K$1,'Solicitud de eventos'!$D:$D,$A24, 'Solicitud de eventos'!X:X,"&lt;&gt;DENEGADO")</f>
        <v>0</v>
      </c>
      <c r="L24" s="60">
        <f t="shared" si="5"/>
        <v>0</v>
      </c>
      <c r="M24" s="61">
        <f t="shared" si="6"/>
        <v>0</v>
      </c>
      <c r="N24" s="60">
        <f>COUNTIFS('Solicitud de eventos'!$J:$J,N$1,'Solicitud de eventos'!$D:$D,$A24, 'Solicitud de eventos'!X:X,"&lt;&gt;DENEGADO")</f>
        <v>0</v>
      </c>
      <c r="O24" s="60">
        <f t="shared" si="7"/>
        <v>0</v>
      </c>
      <c r="P24" s="61">
        <f t="shared" si="8"/>
        <v>0</v>
      </c>
      <c r="Q24" s="60">
        <f>COUNTIFS('Solicitud de eventos'!$J:$J,Q$1,'Solicitud de eventos'!$D:$D,$A24, 'Solicitud de eventos'!X:X,"&lt;&gt;DENEGADO")</f>
        <v>10</v>
      </c>
      <c r="R24" s="60">
        <f t="shared" si="9"/>
        <v>0.1666666667</v>
      </c>
      <c r="S24" s="61">
        <f t="shared" si="10"/>
        <v>0</v>
      </c>
      <c r="T24" s="60">
        <f>COUNTIFS('Solicitud de eventos'!$J:$J,T$1,'Solicitud de eventos'!$D:$D,$A24, 'Solicitud de eventos'!X:X,"&lt;&gt;DENEGADO")</f>
        <v>0</v>
      </c>
      <c r="U24" s="60">
        <f t="shared" si="11"/>
        <v>0</v>
      </c>
      <c r="V24" s="61">
        <f t="shared" si="12"/>
        <v>0</v>
      </c>
      <c r="W24" s="60">
        <f>COUNTIFS('Solicitud de eventos'!$J:$J,W$1,'Solicitud de eventos'!$D:$D,$A24, 'Solicitud de eventos'!X:X,"&lt;&gt;DENEGADO")</f>
        <v>0</v>
      </c>
      <c r="X24" s="60">
        <f t="shared" si="13"/>
        <v>0</v>
      </c>
      <c r="Y24" s="61">
        <f t="shared" si="14"/>
        <v>0</v>
      </c>
      <c r="Z24" s="60">
        <f>COUNTIFS('Solicitud de eventos'!$J:$J,Z$1,'Solicitud de eventos'!$D:$D,$A24, 'Solicitud de eventos'!X:X,"&lt;&gt;DENEGADO")</f>
        <v>0</v>
      </c>
      <c r="AA24" s="60">
        <f t="shared" si="15"/>
        <v>0</v>
      </c>
      <c r="AB24" s="61">
        <f t="shared" si="16"/>
        <v>0</v>
      </c>
      <c r="AC24" s="60">
        <f>COUNTIFS('Solicitud de eventos'!$J:$J,AC$1,'Solicitud de eventos'!$D:$D,$A24, 'Solicitud de eventos'!X:X,"&lt;&gt;DENEGADO")</f>
        <v>6</v>
      </c>
      <c r="AD24" s="60">
        <f t="shared" si="17"/>
        <v>0.75</v>
      </c>
      <c r="AE24" s="61">
        <f t="shared" si="18"/>
        <v>8</v>
      </c>
      <c r="AF24" s="60">
        <f>COUNTIFS('Solicitud de eventos'!$Q:$Q,"&gt;0",'Solicitud de eventos'!$D:$D,$A24, 'Solicitud de eventos'!$X:$X,"&lt;&gt;DENEGADO")</f>
        <v>0</v>
      </c>
      <c r="AG24" s="60">
        <f>COUNTIFS('Solicitud de eventos'!$S:$S,"&gt;0",'Solicitud de eventos'!$D:$D,$A24, 'Solicitud de eventos'!$X:$X,"&lt;&gt;DENEGADO")</f>
        <v>0</v>
      </c>
      <c r="AH24" s="60">
        <f>COUNTIFS('Solicitud de eventos'!$U:$U,"&gt;0",'Solicitud de eventos'!$D:$D,$A24, 'Solicitud de eventos'!$X:$X,"&lt;&gt;DENEGADO")</f>
        <v>0</v>
      </c>
      <c r="AI24" s="62"/>
      <c r="AJ24" s="60">
        <f>COUNTIFS('Hoja 4'!F:F,"&lt;7",'Hoja 4'!C:C,$A24, 'Hoja 4'!E:E,"&lt;&gt;DENEGADO")</f>
        <v>0</v>
      </c>
      <c r="AK24" s="60">
        <f>COUNTIFS('Solicitud de eventos'!$D:$D,$A24, 'Solicitud de eventos'!$X:$X,"=DENEGADO")</f>
        <v>0</v>
      </c>
      <c r="AL24" s="60">
        <f t="shared" si="19"/>
        <v>8</v>
      </c>
      <c r="AM24" s="63" t="str">
        <f t="shared" si="20"/>
        <v>ROBLE MORADO</v>
      </c>
    </row>
    <row r="25">
      <c r="A25" s="58" t="s">
        <v>2351</v>
      </c>
      <c r="B25" s="59"/>
      <c r="C25" s="59"/>
      <c r="D25" s="60"/>
      <c r="E25" s="60">
        <f>COUNTIFS('Solicitud de eventos'!$J:$J,E$1,'Solicitud de eventos'!$D:$D,$A25, 'Solicitud de eventos'!X:X,"&lt;&gt;DENEGADO")</f>
        <v>0</v>
      </c>
      <c r="F25" s="60">
        <f t="shared" si="1"/>
        <v>0</v>
      </c>
      <c r="G25" s="61">
        <f t="shared" si="2"/>
        <v>0</v>
      </c>
      <c r="H25" s="60">
        <f>COUNTIFS('Solicitud de eventos'!$J:$J,H$1,'Solicitud de eventos'!$D:$D,$A25, 'Solicitud de eventos'!X:X,"&lt;&gt;DENEGADO")</f>
        <v>3</v>
      </c>
      <c r="I25" s="60">
        <f t="shared" si="3"/>
        <v>0.06</v>
      </c>
      <c r="J25" s="61">
        <f t="shared" si="4"/>
        <v>0</v>
      </c>
      <c r="K25" s="60">
        <f>COUNTIFS('Solicitud de eventos'!$J:$J,K$1,'Solicitud de eventos'!$D:$D,$A25, 'Solicitud de eventos'!X:X,"&lt;&gt;DENEGADO")</f>
        <v>0</v>
      </c>
      <c r="L25" s="60">
        <f t="shared" si="5"/>
        <v>0</v>
      </c>
      <c r="M25" s="61">
        <f t="shared" si="6"/>
        <v>0</v>
      </c>
      <c r="N25" s="60">
        <f>COUNTIFS('Solicitud de eventos'!$J:$J,N$1,'Solicitud de eventos'!$D:$D,$A25, 'Solicitud de eventos'!X:X,"&lt;&gt;DENEGADO")</f>
        <v>0</v>
      </c>
      <c r="O25" s="60">
        <f t="shared" si="7"/>
        <v>0</v>
      </c>
      <c r="P25" s="61">
        <f t="shared" si="8"/>
        <v>0</v>
      </c>
      <c r="Q25" s="60">
        <f>COUNTIFS('Solicitud de eventos'!$J:$J,Q$1,'Solicitud de eventos'!$D:$D,$A25, 'Solicitud de eventos'!X:X,"&lt;&gt;DENEGADO")</f>
        <v>0</v>
      </c>
      <c r="R25" s="60">
        <f t="shared" si="9"/>
        <v>0</v>
      </c>
      <c r="S25" s="61">
        <f t="shared" si="10"/>
        <v>0</v>
      </c>
      <c r="T25" s="60">
        <f>COUNTIFS('Solicitud de eventos'!$J:$J,T$1,'Solicitud de eventos'!$D:$D,$A25, 'Solicitud de eventos'!X:X,"&lt;&gt;DENEGADO")</f>
        <v>0</v>
      </c>
      <c r="U25" s="60">
        <f t="shared" si="11"/>
        <v>0</v>
      </c>
      <c r="V25" s="61">
        <f t="shared" si="12"/>
        <v>0</v>
      </c>
      <c r="W25" s="60">
        <f>COUNTIFS('Solicitud de eventos'!$J:$J,W$1,'Solicitud de eventos'!$D:$D,$A25, 'Solicitud de eventos'!X:X,"&lt;&gt;DENEGADO")</f>
        <v>0</v>
      </c>
      <c r="X25" s="60">
        <f t="shared" si="13"/>
        <v>0</v>
      </c>
      <c r="Y25" s="61">
        <f t="shared" si="14"/>
        <v>0</v>
      </c>
      <c r="Z25" s="60">
        <f>COUNTIFS('Solicitud de eventos'!$J:$J,Z$1,'Solicitud de eventos'!$D:$D,$A25, 'Solicitud de eventos'!X:X,"&lt;&gt;DENEGADO")</f>
        <v>0</v>
      </c>
      <c r="AA25" s="60">
        <f t="shared" si="15"/>
        <v>0</v>
      </c>
      <c r="AB25" s="61">
        <f t="shared" si="16"/>
        <v>0</v>
      </c>
      <c r="AC25" s="60">
        <f>COUNTIFS('Solicitud de eventos'!$J:$J,AC$1,'Solicitud de eventos'!$D:$D,$A25, 'Solicitud de eventos'!X:X,"&lt;&gt;DENEGADO")</f>
        <v>0</v>
      </c>
      <c r="AD25" s="60">
        <f t="shared" si="17"/>
        <v>0</v>
      </c>
      <c r="AE25" s="61">
        <f t="shared" si="18"/>
        <v>0</v>
      </c>
      <c r="AF25" s="60">
        <f>COUNTIFS('Solicitud de eventos'!$Q:$Q,"&gt;0",'Solicitud de eventos'!$D:$D,$A25, 'Solicitud de eventos'!$X:$X,"&lt;&gt;DENEGADO")</f>
        <v>2</v>
      </c>
      <c r="AG25" s="60">
        <f>COUNTIFS('Solicitud de eventos'!$S:$S,"&gt;0",'Solicitud de eventos'!$D:$D,$A25, 'Solicitud de eventos'!$X:$X,"&lt;&gt;DENEGADO")</f>
        <v>2</v>
      </c>
      <c r="AH25" s="60">
        <f>COUNTIFS('Solicitud de eventos'!$U:$U,"&gt;0",'Solicitud de eventos'!$D:$D,$A25, 'Solicitud de eventos'!$X:$X,"&lt;&gt;DENEGADO")</f>
        <v>0</v>
      </c>
      <c r="AI25" s="62"/>
      <c r="AJ25" s="60">
        <f>COUNTIFS('Hoja 4'!F:F,"&lt;7",'Hoja 4'!C:C,$A25, 'Hoja 4'!E:E,"&lt;&gt;DENEGADO")</f>
        <v>3</v>
      </c>
      <c r="AK25" s="60">
        <f>COUNTIFS('Solicitud de eventos'!$D:$D,$A25, 'Solicitud de eventos'!$X:$X,"=DENEGADO")</f>
        <v>0</v>
      </c>
      <c r="AL25" s="60">
        <f t="shared" si="19"/>
        <v>0</v>
      </c>
      <c r="AM25" s="63" t="str">
        <f t="shared" si="20"/>
        <v>INACTIVO</v>
      </c>
    </row>
    <row r="26">
      <c r="A26" s="58" t="s">
        <v>1008</v>
      </c>
      <c r="B26" s="59"/>
      <c r="C26" s="59"/>
      <c r="D26" s="60"/>
      <c r="E26" s="60">
        <f>COUNTIFS('Solicitud de eventos'!$J:$J,E$1,'Solicitud de eventos'!$D:$D,$A26, 'Solicitud de eventos'!X:X,"&lt;&gt;DENEGADO")</f>
        <v>1</v>
      </c>
      <c r="F26" s="60">
        <f t="shared" si="1"/>
        <v>0.0125</v>
      </c>
      <c r="G26" s="61">
        <f t="shared" si="2"/>
        <v>0</v>
      </c>
      <c r="H26" s="60">
        <f>COUNTIFS('Solicitud de eventos'!$J:$J,H$1,'Solicitud de eventos'!$D:$D,$A26, 'Solicitud de eventos'!X:X,"&lt;&gt;DENEGADO")</f>
        <v>0</v>
      </c>
      <c r="I26" s="60">
        <f t="shared" si="3"/>
        <v>0</v>
      </c>
      <c r="J26" s="61">
        <f t="shared" si="4"/>
        <v>0</v>
      </c>
      <c r="K26" s="60">
        <f>COUNTIFS('Solicitud de eventos'!$J:$J,K$1,'Solicitud de eventos'!$D:$D,$A26, 'Solicitud de eventos'!X:X,"&lt;&gt;DENEGADO")</f>
        <v>0</v>
      </c>
      <c r="L26" s="60">
        <f t="shared" si="5"/>
        <v>0</v>
      </c>
      <c r="M26" s="61">
        <f t="shared" si="6"/>
        <v>0</v>
      </c>
      <c r="N26" s="60">
        <f>COUNTIFS('Solicitud de eventos'!$J:$J,N$1,'Solicitud de eventos'!$D:$D,$A26, 'Solicitud de eventos'!X:X,"&lt;&gt;DENEGADO")</f>
        <v>0</v>
      </c>
      <c r="O26" s="60">
        <f t="shared" si="7"/>
        <v>0</v>
      </c>
      <c r="P26" s="61">
        <f t="shared" si="8"/>
        <v>0</v>
      </c>
      <c r="Q26" s="60">
        <f>COUNTIFS('Solicitud de eventos'!$J:$J,Q$1,'Solicitud de eventos'!$D:$D,$A26, 'Solicitud de eventos'!X:X,"&lt;&gt;DENEGADO")</f>
        <v>0</v>
      </c>
      <c r="R26" s="60">
        <f t="shared" si="9"/>
        <v>0</v>
      </c>
      <c r="S26" s="61">
        <f t="shared" si="10"/>
        <v>0</v>
      </c>
      <c r="T26" s="60">
        <f>COUNTIFS('Solicitud de eventos'!$J:$J,T$1,'Solicitud de eventos'!$D:$D,$A26, 'Solicitud de eventos'!X:X,"&lt;&gt;DENEGADO")</f>
        <v>0</v>
      </c>
      <c r="U26" s="60">
        <f t="shared" si="11"/>
        <v>0</v>
      </c>
      <c r="V26" s="61">
        <f t="shared" si="12"/>
        <v>0</v>
      </c>
      <c r="W26" s="60">
        <f>COUNTIFS('Solicitud de eventos'!$J:$J,W$1,'Solicitud de eventos'!$D:$D,$A26, 'Solicitud de eventos'!X:X,"&lt;&gt;DENEGADO")</f>
        <v>0</v>
      </c>
      <c r="X26" s="60">
        <f t="shared" si="13"/>
        <v>0</v>
      </c>
      <c r="Y26" s="61">
        <f t="shared" si="14"/>
        <v>0</v>
      </c>
      <c r="Z26" s="60">
        <f>COUNTIFS('Solicitud de eventos'!$J:$J,Z$1,'Solicitud de eventos'!$D:$D,$A26, 'Solicitud de eventos'!X:X,"&lt;&gt;DENEGADO")</f>
        <v>0</v>
      </c>
      <c r="AA26" s="60">
        <f t="shared" si="15"/>
        <v>0</v>
      </c>
      <c r="AB26" s="61">
        <f t="shared" si="16"/>
        <v>0</v>
      </c>
      <c r="AC26" s="60">
        <f>COUNTIFS('Solicitud de eventos'!$J:$J,AC$1,'Solicitud de eventos'!$D:$D,$A26, 'Solicitud de eventos'!X:X,"&lt;&gt;DENEGADO")</f>
        <v>0</v>
      </c>
      <c r="AD26" s="60">
        <f t="shared" si="17"/>
        <v>0</v>
      </c>
      <c r="AE26" s="61">
        <f t="shared" si="18"/>
        <v>0</v>
      </c>
      <c r="AF26" s="60">
        <f>COUNTIFS('Solicitud de eventos'!$Q:$Q,"&gt;0",'Solicitud de eventos'!$D:$D,$A26, 'Solicitud de eventos'!$X:$X,"&lt;&gt;DENEGADO")</f>
        <v>0</v>
      </c>
      <c r="AG26" s="60">
        <f>COUNTIFS('Solicitud de eventos'!$S:$S,"&gt;0",'Solicitud de eventos'!$D:$D,$A26, 'Solicitud de eventos'!$X:$X,"&lt;&gt;DENEGADO")</f>
        <v>0</v>
      </c>
      <c r="AH26" s="60">
        <f>COUNTIFS('Solicitud de eventos'!$U:$U,"&gt;0",'Solicitud de eventos'!$D:$D,$A26, 'Solicitud de eventos'!$X:$X,"&lt;&gt;DENEGADO")</f>
        <v>0</v>
      </c>
      <c r="AI26" s="62"/>
      <c r="AJ26" s="60">
        <f>COUNTIFS('Hoja 4'!F:F,"&lt;7",'Hoja 4'!C:C,$A26, 'Hoja 4'!E:E,"&lt;&gt;DENEGADO")</f>
        <v>4</v>
      </c>
      <c r="AK26" s="60">
        <f>COUNTIFS('Solicitud de eventos'!$D:$D,$A26, 'Solicitud de eventos'!$X:$X,"=DENEGADO")</f>
        <v>0</v>
      </c>
      <c r="AL26" s="60">
        <f t="shared" si="19"/>
        <v>0</v>
      </c>
      <c r="AM26" s="63" t="str">
        <f t="shared" si="20"/>
        <v>INACTIVO</v>
      </c>
    </row>
    <row r="27">
      <c r="A27" s="58" t="s">
        <v>168</v>
      </c>
      <c r="B27" s="59"/>
      <c r="C27" s="59"/>
      <c r="D27" s="60"/>
      <c r="E27" s="60">
        <f>COUNTIFS('Solicitud de eventos'!$J:$J,E$1,'Solicitud de eventos'!$D:$D,$A27, 'Solicitud de eventos'!X:X,"&lt;&gt;DENEGADO")</f>
        <v>4</v>
      </c>
      <c r="F27" s="60">
        <f t="shared" si="1"/>
        <v>0.05</v>
      </c>
      <c r="G27" s="61">
        <f t="shared" si="2"/>
        <v>0</v>
      </c>
      <c r="H27" s="60">
        <f>COUNTIFS('Solicitud de eventos'!$J:$J,H$1,'Solicitud de eventos'!$D:$D,$A27, 'Solicitud de eventos'!X:X,"&lt;&gt;DENEGADO")</f>
        <v>3</v>
      </c>
      <c r="I27" s="60">
        <f t="shared" si="3"/>
        <v>0.06</v>
      </c>
      <c r="J27" s="61">
        <f t="shared" si="4"/>
        <v>0</v>
      </c>
      <c r="K27" s="60">
        <f>COUNTIFS('Solicitud de eventos'!$J:$J,K$1,'Solicitud de eventos'!$D:$D,$A27, 'Solicitud de eventos'!X:X,"&lt;&gt;DENEGADO")</f>
        <v>0</v>
      </c>
      <c r="L27" s="60">
        <f t="shared" si="5"/>
        <v>0</v>
      </c>
      <c r="M27" s="61">
        <f t="shared" si="6"/>
        <v>0</v>
      </c>
      <c r="N27" s="60">
        <f>COUNTIFS('Solicitud de eventos'!$J:$J,N$1,'Solicitud de eventos'!$D:$D,$A27, 'Solicitud de eventos'!X:X,"&lt;&gt;DENEGADO")</f>
        <v>2</v>
      </c>
      <c r="O27" s="60">
        <f t="shared" si="7"/>
        <v>0.09523809524</v>
      </c>
      <c r="P27" s="61">
        <f t="shared" si="8"/>
        <v>0</v>
      </c>
      <c r="Q27" s="60">
        <f>COUNTIFS('Solicitud de eventos'!$J:$J,Q$1,'Solicitud de eventos'!$D:$D,$A27, 'Solicitud de eventos'!X:X,"&lt;&gt;DENEGADO")</f>
        <v>1</v>
      </c>
      <c r="R27" s="60">
        <f t="shared" si="9"/>
        <v>0.01666666667</v>
      </c>
      <c r="S27" s="61">
        <f t="shared" si="10"/>
        <v>0</v>
      </c>
      <c r="T27" s="60">
        <f>COUNTIFS('Solicitud de eventos'!$J:$J,T$1,'Solicitud de eventos'!$D:$D,$A27, 'Solicitud de eventos'!X:X,"&lt;&gt;DENEGADO")</f>
        <v>0</v>
      </c>
      <c r="U27" s="60">
        <f t="shared" si="11"/>
        <v>0</v>
      </c>
      <c r="V27" s="61">
        <f t="shared" si="12"/>
        <v>0</v>
      </c>
      <c r="W27" s="60">
        <f>COUNTIFS('Solicitud de eventos'!$J:$J,W$1,'Solicitud de eventos'!$D:$D,$A27, 'Solicitud de eventos'!X:X,"&lt;&gt;DENEGADO")</f>
        <v>0</v>
      </c>
      <c r="X27" s="60">
        <f t="shared" si="13"/>
        <v>0</v>
      </c>
      <c r="Y27" s="61">
        <f t="shared" si="14"/>
        <v>0</v>
      </c>
      <c r="Z27" s="60">
        <f>COUNTIFS('Solicitud de eventos'!$J:$J,Z$1,'Solicitud de eventos'!$D:$D,$A27, 'Solicitud de eventos'!X:X,"&lt;&gt;DENEGADO")</f>
        <v>0</v>
      </c>
      <c r="AA27" s="60">
        <f t="shared" si="15"/>
        <v>0</v>
      </c>
      <c r="AB27" s="61">
        <f t="shared" si="16"/>
        <v>0</v>
      </c>
      <c r="AC27" s="60">
        <f>COUNTIFS('Solicitud de eventos'!$J:$J,AC$1,'Solicitud de eventos'!$D:$D,$A27, 'Solicitud de eventos'!X:X,"&lt;&gt;DENEGADO")</f>
        <v>1</v>
      </c>
      <c r="AD27" s="60">
        <f t="shared" si="17"/>
        <v>0.125</v>
      </c>
      <c r="AE27" s="61">
        <f t="shared" si="18"/>
        <v>0</v>
      </c>
      <c r="AF27" s="60">
        <f>COUNTIFS('Solicitud de eventos'!$Q:$Q,"&gt;0",'Solicitud de eventos'!$D:$D,$A27, 'Solicitud de eventos'!$X:$X,"&lt;&gt;DENEGADO")</f>
        <v>1</v>
      </c>
      <c r="AG27" s="60">
        <f>COUNTIFS('Solicitud de eventos'!$S:$S,"&gt;0",'Solicitud de eventos'!$D:$D,$A27, 'Solicitud de eventos'!$X:$X,"&lt;&gt;DENEGADO")</f>
        <v>0</v>
      </c>
      <c r="AH27" s="60">
        <f>COUNTIFS('Solicitud de eventos'!$U:$U,"&gt;0",'Solicitud de eventos'!$D:$D,$A27, 'Solicitud de eventos'!$X:$X,"&lt;&gt;DENEGADO")</f>
        <v>0</v>
      </c>
      <c r="AI27" s="62"/>
      <c r="AJ27" s="60">
        <f>COUNTIFS('Hoja 4'!F:F,"&lt;7",'Hoja 4'!C:C,$A27, 'Hoja 4'!E:E,"&lt;&gt;DENEGADO")</f>
        <v>2</v>
      </c>
      <c r="AK27" s="60">
        <f>COUNTIFS('Solicitud de eventos'!$D:$D,$A27, 'Solicitud de eventos'!$X:$X,"=DENEGADO")</f>
        <v>0</v>
      </c>
      <c r="AL27" s="60">
        <f t="shared" si="19"/>
        <v>0</v>
      </c>
      <c r="AM27" s="63" t="str">
        <f t="shared" si="20"/>
        <v>INACTIVO</v>
      </c>
    </row>
    <row r="28">
      <c r="A28" s="58" t="s">
        <v>1406</v>
      </c>
      <c r="B28" s="59"/>
      <c r="C28" s="59"/>
      <c r="D28" s="60"/>
      <c r="E28" s="60">
        <f>COUNTIFS('Solicitud de eventos'!$J:$J,E$1,'Solicitud de eventos'!$D:$D,$A28, 'Solicitud de eventos'!X:X,"&lt;&gt;DENEGADO")</f>
        <v>6</v>
      </c>
      <c r="F28" s="60">
        <f t="shared" si="1"/>
        <v>0.075</v>
      </c>
      <c r="G28" s="61">
        <f t="shared" si="2"/>
        <v>0</v>
      </c>
      <c r="H28" s="60">
        <f>COUNTIFS('Solicitud de eventos'!$J:$J,H$1,'Solicitud de eventos'!$D:$D,$A28, 'Solicitud de eventos'!X:X,"&lt;&gt;DENEGADO")</f>
        <v>0</v>
      </c>
      <c r="I28" s="60">
        <f t="shared" si="3"/>
        <v>0</v>
      </c>
      <c r="J28" s="61">
        <f t="shared" si="4"/>
        <v>0</v>
      </c>
      <c r="K28" s="60">
        <f>COUNTIFS('Solicitud de eventos'!$J:$J,K$1,'Solicitud de eventos'!$D:$D,$A28, 'Solicitud de eventos'!X:X,"&lt;&gt;DENEGADO")</f>
        <v>0</v>
      </c>
      <c r="L28" s="60">
        <f t="shared" si="5"/>
        <v>0</v>
      </c>
      <c r="M28" s="61">
        <f t="shared" si="6"/>
        <v>0</v>
      </c>
      <c r="N28" s="60">
        <f>COUNTIFS('Solicitud de eventos'!$J:$J,N$1,'Solicitud de eventos'!$D:$D,$A28, 'Solicitud de eventos'!X:X,"&lt;&gt;DENEGADO")</f>
        <v>2</v>
      </c>
      <c r="O28" s="60">
        <f t="shared" si="7"/>
        <v>0.09523809524</v>
      </c>
      <c r="P28" s="61">
        <f t="shared" si="8"/>
        <v>0</v>
      </c>
      <c r="Q28" s="60">
        <f>COUNTIFS('Solicitud de eventos'!$J:$J,Q$1,'Solicitud de eventos'!$D:$D,$A28, 'Solicitud de eventos'!X:X,"&lt;&gt;DENEGADO")</f>
        <v>0</v>
      </c>
      <c r="R28" s="60">
        <f t="shared" si="9"/>
        <v>0</v>
      </c>
      <c r="S28" s="61">
        <f t="shared" si="10"/>
        <v>0</v>
      </c>
      <c r="T28" s="60">
        <f>COUNTIFS('Solicitud de eventos'!$J:$J,T$1,'Solicitud de eventos'!$D:$D,$A28, 'Solicitud de eventos'!X:X,"&lt;&gt;DENEGADO")</f>
        <v>0</v>
      </c>
      <c r="U28" s="60">
        <f t="shared" si="11"/>
        <v>0</v>
      </c>
      <c r="V28" s="61">
        <f t="shared" si="12"/>
        <v>0</v>
      </c>
      <c r="W28" s="60">
        <f>COUNTIFS('Solicitud de eventos'!$J:$J,W$1,'Solicitud de eventos'!$D:$D,$A28, 'Solicitud de eventos'!X:X,"&lt;&gt;DENEGADO")</f>
        <v>1</v>
      </c>
      <c r="X28" s="60">
        <f t="shared" si="13"/>
        <v>0.25</v>
      </c>
      <c r="Y28" s="61">
        <f t="shared" si="14"/>
        <v>0</v>
      </c>
      <c r="Z28" s="60">
        <f>COUNTIFS('Solicitud de eventos'!$J:$J,Z$1,'Solicitud de eventos'!$D:$D,$A28, 'Solicitud de eventos'!X:X,"&lt;&gt;DENEGADO")</f>
        <v>0</v>
      </c>
      <c r="AA28" s="60">
        <f t="shared" si="15"/>
        <v>0</v>
      </c>
      <c r="AB28" s="61">
        <f t="shared" si="16"/>
        <v>0</v>
      </c>
      <c r="AC28" s="60">
        <f>COUNTIFS('Solicitud de eventos'!$J:$J,AC$1,'Solicitud de eventos'!$D:$D,$A28, 'Solicitud de eventos'!X:X,"&lt;&gt;DENEGADO")</f>
        <v>0</v>
      </c>
      <c r="AD28" s="60">
        <f t="shared" si="17"/>
        <v>0</v>
      </c>
      <c r="AE28" s="61">
        <f t="shared" si="18"/>
        <v>0</v>
      </c>
      <c r="AF28" s="60">
        <f>COUNTIFS('Solicitud de eventos'!$Q:$Q,"&gt;0",'Solicitud de eventos'!$D:$D,$A28, 'Solicitud de eventos'!$X:$X,"&lt;&gt;DENEGADO")</f>
        <v>0</v>
      </c>
      <c r="AG28" s="60">
        <f>COUNTIFS('Solicitud de eventos'!$S:$S,"&gt;0",'Solicitud de eventos'!$D:$D,$A28, 'Solicitud de eventos'!$X:$X,"&lt;&gt;DENEGADO")</f>
        <v>0</v>
      </c>
      <c r="AH28" s="60">
        <f>COUNTIFS('Solicitud de eventos'!$U:$U,"&gt;0",'Solicitud de eventos'!$D:$D,$A28, 'Solicitud de eventos'!$X:$X,"&lt;&gt;DENEGADO")</f>
        <v>0</v>
      </c>
      <c r="AI28" s="62"/>
      <c r="AJ28" s="60">
        <f>COUNTIFS('Hoja 4'!F:F,"&lt;7",'Hoja 4'!C:C,$A28, 'Hoja 4'!E:E,"&lt;&gt;DENEGADO")</f>
        <v>6</v>
      </c>
      <c r="AK28" s="60">
        <f>COUNTIFS('Solicitud de eventos'!$D:$D,$A28, 'Solicitud de eventos'!$X:$X,"=DENEGADO")</f>
        <v>0</v>
      </c>
      <c r="AL28" s="60">
        <f t="shared" si="19"/>
        <v>0</v>
      </c>
      <c r="AM28" s="63" t="str">
        <f t="shared" si="20"/>
        <v>INACTIVO</v>
      </c>
    </row>
    <row r="29">
      <c r="A29" s="58" t="s">
        <v>375</v>
      </c>
      <c r="B29" s="59"/>
      <c r="C29" s="59"/>
      <c r="D29" s="60"/>
      <c r="E29" s="60">
        <f>COUNTIFS('Solicitud de eventos'!$J:$J,E$1,'Solicitud de eventos'!$D:$D,$A29, 'Solicitud de eventos'!X:X,"&lt;&gt;DENEGADO")</f>
        <v>11</v>
      </c>
      <c r="F29" s="60">
        <f t="shared" si="1"/>
        <v>0.1375</v>
      </c>
      <c r="G29" s="61">
        <f t="shared" si="2"/>
        <v>0</v>
      </c>
      <c r="H29" s="60">
        <f>COUNTIFS('Solicitud de eventos'!$J:$J,H$1,'Solicitud de eventos'!$D:$D,$A29, 'Solicitud de eventos'!X:X,"&lt;&gt;DENEGADO")</f>
        <v>4</v>
      </c>
      <c r="I29" s="60">
        <f t="shared" si="3"/>
        <v>0.08</v>
      </c>
      <c r="J29" s="61">
        <f t="shared" si="4"/>
        <v>0</v>
      </c>
      <c r="K29" s="60">
        <f>COUNTIFS('Solicitud de eventos'!$J:$J,K$1,'Solicitud de eventos'!$D:$D,$A29, 'Solicitud de eventos'!X:X,"&lt;&gt;DENEGADO")</f>
        <v>12</v>
      </c>
      <c r="L29" s="60">
        <f t="shared" si="5"/>
        <v>0.3333333333</v>
      </c>
      <c r="M29" s="61">
        <f t="shared" si="6"/>
        <v>4</v>
      </c>
      <c r="N29" s="60">
        <f>COUNTIFS('Solicitud de eventos'!$J:$J,N$1,'Solicitud de eventos'!$D:$D,$A29, 'Solicitud de eventos'!X:X,"&lt;&gt;DENEGADO")</f>
        <v>5</v>
      </c>
      <c r="O29" s="60">
        <f t="shared" si="7"/>
        <v>0.2380952381</v>
      </c>
      <c r="P29" s="61">
        <f t="shared" si="8"/>
        <v>0</v>
      </c>
      <c r="Q29" s="60">
        <f>COUNTIFS('Solicitud de eventos'!$J:$J,Q$1,'Solicitud de eventos'!$D:$D,$A29, 'Solicitud de eventos'!X:X,"&lt;&gt;DENEGADO")</f>
        <v>3</v>
      </c>
      <c r="R29" s="60">
        <f t="shared" si="9"/>
        <v>0.05</v>
      </c>
      <c r="S29" s="61">
        <f t="shared" si="10"/>
        <v>0</v>
      </c>
      <c r="T29" s="60">
        <f>COUNTIFS('Solicitud de eventos'!$J:$J,T$1,'Solicitud de eventos'!$D:$D,$A29, 'Solicitud de eventos'!X:X,"&lt;&gt;DENEGADO")</f>
        <v>0</v>
      </c>
      <c r="U29" s="60">
        <f t="shared" si="11"/>
        <v>0</v>
      </c>
      <c r="V29" s="61">
        <f t="shared" si="12"/>
        <v>0</v>
      </c>
      <c r="W29" s="60">
        <f>COUNTIFS('Solicitud de eventos'!$J:$J,W$1,'Solicitud de eventos'!$D:$D,$A29, 'Solicitud de eventos'!X:X,"&lt;&gt;DENEGADO")</f>
        <v>0</v>
      </c>
      <c r="X29" s="60">
        <f t="shared" si="13"/>
        <v>0</v>
      </c>
      <c r="Y29" s="61">
        <f t="shared" si="14"/>
        <v>0</v>
      </c>
      <c r="Z29" s="60">
        <f>COUNTIFS('Solicitud de eventos'!$J:$J,Z$1,'Solicitud de eventos'!$D:$D,$A29, 'Solicitud de eventos'!X:X,"&lt;&gt;DENEGADO")</f>
        <v>0</v>
      </c>
      <c r="AA29" s="60">
        <f t="shared" si="15"/>
        <v>0</v>
      </c>
      <c r="AB29" s="61">
        <f t="shared" si="16"/>
        <v>0</v>
      </c>
      <c r="AC29" s="60">
        <f>COUNTIFS('Solicitud de eventos'!$J:$J,AC$1,'Solicitud de eventos'!$D:$D,$A29, 'Solicitud de eventos'!X:X,"&lt;&gt;DENEGADO")</f>
        <v>0</v>
      </c>
      <c r="AD29" s="60">
        <f t="shared" si="17"/>
        <v>0</v>
      </c>
      <c r="AE29" s="61">
        <f t="shared" si="18"/>
        <v>0</v>
      </c>
      <c r="AF29" s="60">
        <f>COUNTIFS('Solicitud de eventos'!$Q:$Q,"&gt;0",'Solicitud de eventos'!$D:$D,$A29, 'Solicitud de eventos'!$X:$X,"&lt;&gt;DENEGADO")</f>
        <v>4</v>
      </c>
      <c r="AG29" s="60">
        <f>COUNTIFS('Solicitud de eventos'!$S:$S,"&gt;0",'Solicitud de eventos'!$D:$D,$A29, 'Solicitud de eventos'!$X:$X,"&lt;&gt;DENEGADO")</f>
        <v>1</v>
      </c>
      <c r="AH29" s="60">
        <f>COUNTIFS('Solicitud de eventos'!$U:$U,"&gt;0",'Solicitud de eventos'!$D:$D,$A29, 'Solicitud de eventos'!$X:$X,"&lt;&gt;DENEGADO")</f>
        <v>0</v>
      </c>
      <c r="AI29" s="62"/>
      <c r="AJ29" s="60">
        <f>COUNTIFS('Hoja 4'!F:F,"&lt;7",'Hoja 4'!C:C,$A29, 'Hoja 4'!E:E,"&lt;&gt;DENEGADO")</f>
        <v>13</v>
      </c>
      <c r="AK29" s="60">
        <f>COUNTIFS('Solicitud de eventos'!$D:$D,$A29, 'Solicitud de eventos'!$X:$X,"=DENEGADO")</f>
        <v>0</v>
      </c>
      <c r="AL29" s="60">
        <f t="shared" si="19"/>
        <v>4</v>
      </c>
      <c r="AM29" s="63" t="str">
        <f t="shared" si="20"/>
        <v>INACTIVO</v>
      </c>
    </row>
    <row r="30">
      <c r="A30" s="58" t="s">
        <v>240</v>
      </c>
      <c r="B30" s="59"/>
      <c r="C30" s="59"/>
      <c r="D30" s="60"/>
      <c r="E30" s="60">
        <f>COUNTIFS('Solicitud de eventos'!$J:$J,E$1,'Solicitud de eventos'!$D:$D,$A30, 'Solicitud de eventos'!X:X,"&lt;&gt;DENEGADO")</f>
        <v>40</v>
      </c>
      <c r="F30" s="60">
        <f t="shared" si="1"/>
        <v>0.5</v>
      </c>
      <c r="G30" s="61">
        <f t="shared" si="2"/>
        <v>4</v>
      </c>
      <c r="H30" s="60">
        <f>COUNTIFS('Solicitud de eventos'!$J:$J,H$1,'Solicitud de eventos'!$D:$D,$A30, 'Solicitud de eventos'!X:X,"&lt;&gt;DENEGADO")</f>
        <v>18</v>
      </c>
      <c r="I30" s="60">
        <f t="shared" si="3"/>
        <v>0.36</v>
      </c>
      <c r="J30" s="61">
        <f t="shared" si="4"/>
        <v>4</v>
      </c>
      <c r="K30" s="60">
        <f>COUNTIFS('Solicitud de eventos'!$J:$J,K$1,'Solicitud de eventos'!$D:$D,$A30, 'Solicitud de eventos'!X:X,"&lt;&gt;DENEGADO")</f>
        <v>13</v>
      </c>
      <c r="L30" s="60">
        <f t="shared" si="5"/>
        <v>0.3611111111</v>
      </c>
      <c r="M30" s="61">
        <f t="shared" si="6"/>
        <v>4</v>
      </c>
      <c r="N30" s="60">
        <f>COUNTIFS('Solicitud de eventos'!$J:$J,N$1,'Solicitud de eventos'!$D:$D,$A30, 'Solicitud de eventos'!X:X,"&lt;&gt;DENEGADO")</f>
        <v>8</v>
      </c>
      <c r="O30" s="60">
        <f t="shared" si="7"/>
        <v>0.380952381</v>
      </c>
      <c r="P30" s="61">
        <f t="shared" si="8"/>
        <v>4</v>
      </c>
      <c r="Q30" s="60">
        <f>COUNTIFS('Solicitud de eventos'!$J:$J,Q$1,'Solicitud de eventos'!$D:$D,$A30, 'Solicitud de eventos'!X:X,"&lt;&gt;DENEGADO")</f>
        <v>2</v>
      </c>
      <c r="R30" s="60">
        <f t="shared" si="9"/>
        <v>0.03333333333</v>
      </c>
      <c r="S30" s="61">
        <f t="shared" si="10"/>
        <v>0</v>
      </c>
      <c r="T30" s="60">
        <f>COUNTIFS('Solicitud de eventos'!$J:$J,T$1,'Solicitud de eventos'!$D:$D,$A30, 'Solicitud de eventos'!X:X,"&lt;&gt;DENEGADO")</f>
        <v>0</v>
      </c>
      <c r="U30" s="60">
        <f t="shared" si="11"/>
        <v>0</v>
      </c>
      <c r="V30" s="61">
        <f t="shared" si="12"/>
        <v>0</v>
      </c>
      <c r="W30" s="60">
        <f>COUNTIFS('Solicitud de eventos'!$J:$J,W$1,'Solicitud de eventos'!$D:$D,$A30, 'Solicitud de eventos'!X:X,"&lt;&gt;DENEGADO")</f>
        <v>2</v>
      </c>
      <c r="X30" s="60">
        <f t="shared" si="13"/>
        <v>0.5</v>
      </c>
      <c r="Y30" s="61">
        <f t="shared" si="14"/>
        <v>4</v>
      </c>
      <c r="Z30" s="60">
        <f>COUNTIFS('Solicitud de eventos'!$J:$J,Z$1,'Solicitud de eventos'!$D:$D,$A30, 'Solicitud de eventos'!X:X,"&lt;&gt;DENEGADO")</f>
        <v>0</v>
      </c>
      <c r="AA30" s="60">
        <f t="shared" si="15"/>
        <v>0</v>
      </c>
      <c r="AB30" s="61">
        <f t="shared" si="16"/>
        <v>0</v>
      </c>
      <c r="AC30" s="60">
        <f>COUNTIFS('Solicitud de eventos'!$J:$J,AC$1,'Solicitud de eventos'!$D:$D,$A30, 'Solicitud de eventos'!X:X,"&lt;&gt;DENEGADO")</f>
        <v>8</v>
      </c>
      <c r="AD30" s="60">
        <f t="shared" si="17"/>
        <v>1</v>
      </c>
      <c r="AE30" s="61">
        <f t="shared" si="18"/>
        <v>12</v>
      </c>
      <c r="AF30" s="60">
        <f>COUNTIFS('Solicitud de eventos'!$Q:$Q,"&gt;0",'Solicitud de eventos'!$D:$D,$A30, 'Solicitud de eventos'!$X:$X,"&lt;&gt;DENEGADO")</f>
        <v>0</v>
      </c>
      <c r="AG30" s="60">
        <f>COUNTIFS('Solicitud de eventos'!$S:$S,"&gt;0",'Solicitud de eventos'!$D:$D,$A30, 'Solicitud de eventos'!$X:$X,"&lt;&gt;DENEGADO")</f>
        <v>0</v>
      </c>
      <c r="AH30" s="60">
        <f>COUNTIFS('Solicitud de eventos'!$U:$U,"&gt;0",'Solicitud de eventos'!$D:$D,$A30, 'Solicitud de eventos'!$X:$X,"&lt;&gt;DENEGADO")</f>
        <v>1</v>
      </c>
      <c r="AI30" s="62"/>
      <c r="AJ30" s="60">
        <f>COUNTIFS('Hoja 4'!F:F,"&lt;7",'Hoja 4'!C:C,$A30, 'Hoja 4'!E:E,"&lt;&gt;DENEGADO")</f>
        <v>20</v>
      </c>
      <c r="AK30" s="60">
        <f>COUNTIFS('Solicitud de eventos'!$D:$D,$A30, 'Solicitud de eventos'!$X:$X,"=DENEGADO")</f>
        <v>1</v>
      </c>
      <c r="AL30" s="60">
        <f t="shared" si="19"/>
        <v>31</v>
      </c>
      <c r="AM30" s="63" t="str">
        <f t="shared" si="20"/>
        <v>ROBLE ROSADO</v>
      </c>
    </row>
    <row r="31">
      <c r="A31" s="58" t="s">
        <v>161</v>
      </c>
      <c r="B31" s="59"/>
      <c r="C31" s="59"/>
      <c r="D31" s="60"/>
      <c r="E31" s="60">
        <f>COUNTIFS('Solicitud de eventos'!$J:$J,E$1,'Solicitud de eventos'!$D:$D,$A31, 'Solicitud de eventos'!X:X,"&lt;&gt;DENEGADO")</f>
        <v>17</v>
      </c>
      <c r="F31" s="60">
        <f t="shared" si="1"/>
        <v>0.2125</v>
      </c>
      <c r="G31" s="61">
        <f t="shared" si="2"/>
        <v>0</v>
      </c>
      <c r="H31" s="60">
        <f>COUNTIFS('Solicitud de eventos'!$J:$J,H$1,'Solicitud de eventos'!$D:$D,$A31, 'Solicitud de eventos'!X:X,"&lt;&gt;DENEGADO")</f>
        <v>26</v>
      </c>
      <c r="I31" s="60">
        <f t="shared" si="3"/>
        <v>0.52</v>
      </c>
      <c r="J31" s="61">
        <f t="shared" si="4"/>
        <v>8</v>
      </c>
      <c r="K31" s="60">
        <f>COUNTIFS('Solicitud de eventos'!$J:$J,K$1,'Solicitud de eventos'!$D:$D,$A31, 'Solicitud de eventos'!X:X,"&lt;&gt;DENEGADO")</f>
        <v>4</v>
      </c>
      <c r="L31" s="60">
        <f t="shared" si="5"/>
        <v>0.1111111111</v>
      </c>
      <c r="M31" s="61">
        <f t="shared" si="6"/>
        <v>0</v>
      </c>
      <c r="N31" s="60">
        <f>COUNTIFS('Solicitud de eventos'!$J:$J,N$1,'Solicitud de eventos'!$D:$D,$A31, 'Solicitud de eventos'!X:X,"&lt;&gt;DENEGADO")</f>
        <v>6</v>
      </c>
      <c r="O31" s="60">
        <f t="shared" si="7"/>
        <v>0.2857142857</v>
      </c>
      <c r="P31" s="61">
        <f t="shared" si="8"/>
        <v>4</v>
      </c>
      <c r="Q31" s="60">
        <f>COUNTIFS('Solicitud de eventos'!$J:$J,Q$1,'Solicitud de eventos'!$D:$D,$A31, 'Solicitud de eventos'!X:X,"&lt;&gt;DENEGADO")</f>
        <v>26</v>
      </c>
      <c r="R31" s="60">
        <f t="shared" si="9"/>
        <v>0.4333333333</v>
      </c>
      <c r="S31" s="61">
        <f t="shared" si="10"/>
        <v>4</v>
      </c>
      <c r="T31" s="60">
        <f>COUNTIFS('Solicitud de eventos'!$J:$J,T$1,'Solicitud de eventos'!$D:$D,$A31, 'Solicitud de eventos'!X:X,"&lt;&gt;DENEGADO")</f>
        <v>0</v>
      </c>
      <c r="U31" s="60">
        <f t="shared" si="11"/>
        <v>0</v>
      </c>
      <c r="V31" s="61">
        <f t="shared" si="12"/>
        <v>0</v>
      </c>
      <c r="W31" s="60">
        <f>COUNTIFS('Solicitud de eventos'!$J:$J,W$1,'Solicitud de eventos'!$D:$D,$A31, 'Solicitud de eventos'!X:X,"&lt;&gt;DENEGADO")</f>
        <v>0</v>
      </c>
      <c r="X31" s="60">
        <f t="shared" si="13"/>
        <v>0</v>
      </c>
      <c r="Y31" s="61">
        <f t="shared" si="14"/>
        <v>0</v>
      </c>
      <c r="Z31" s="60">
        <f>COUNTIFS('Solicitud de eventos'!$J:$J,Z$1,'Solicitud de eventos'!$D:$D,$A31, 'Solicitud de eventos'!X:X,"&lt;&gt;DENEGADO")</f>
        <v>2</v>
      </c>
      <c r="AA31" s="60">
        <f t="shared" si="15"/>
        <v>0.6666666667</v>
      </c>
      <c r="AB31" s="61">
        <f t="shared" si="16"/>
        <v>8</v>
      </c>
      <c r="AC31" s="60">
        <f>COUNTIFS('Solicitud de eventos'!$J:$J,AC$1,'Solicitud de eventos'!$D:$D,$A31, 'Solicitud de eventos'!X:X,"&lt;&gt;DENEGADO")</f>
        <v>2</v>
      </c>
      <c r="AD31" s="60">
        <f t="shared" si="17"/>
        <v>0.25</v>
      </c>
      <c r="AE31" s="61">
        <f t="shared" si="18"/>
        <v>0</v>
      </c>
      <c r="AF31" s="60">
        <f>COUNTIFS('Solicitud de eventos'!$Q:$Q,"&gt;0",'Solicitud de eventos'!$D:$D,$A31, 'Solicitud de eventos'!$X:$X,"&lt;&gt;DENEGADO")</f>
        <v>20</v>
      </c>
      <c r="AG31" s="60">
        <f>COUNTIFS('Solicitud de eventos'!$S:$S,"&gt;0",'Solicitud de eventos'!$D:$D,$A31, 'Solicitud de eventos'!$X:$X,"&lt;&gt;DENEGADO")</f>
        <v>10</v>
      </c>
      <c r="AH31" s="60">
        <f>COUNTIFS('Solicitud de eventos'!$U:$U,"&gt;0",'Solicitud de eventos'!$D:$D,$A31, 'Solicitud de eventos'!$X:$X,"&lt;&gt;DENEGADO")</f>
        <v>8</v>
      </c>
      <c r="AI31" s="62"/>
      <c r="AJ31" s="60">
        <f>COUNTIFS('Hoja 4'!F:F,"&lt;7",'Hoja 4'!C:C,$A31, 'Hoja 4'!E:E,"&lt;&gt;DENEGADO")</f>
        <v>70</v>
      </c>
      <c r="AK31" s="60">
        <f>COUNTIFS('Solicitud de eventos'!$D:$D,$A31, 'Solicitud de eventos'!$X:$X,"=DENEGADO")</f>
        <v>0</v>
      </c>
      <c r="AL31" s="60">
        <f t="shared" si="19"/>
        <v>24</v>
      </c>
      <c r="AM31" s="63" t="str">
        <f t="shared" si="20"/>
        <v>ROBLE MORADO</v>
      </c>
    </row>
    <row r="32">
      <c r="A32" s="58" t="s">
        <v>388</v>
      </c>
      <c r="B32" s="59"/>
      <c r="C32" s="59"/>
      <c r="D32" s="60"/>
      <c r="E32" s="60">
        <f>COUNTIFS('Solicitud de eventos'!$J:$J,E$1,'Solicitud de eventos'!$D:$D,$A32, 'Solicitud de eventos'!X:X,"&lt;&gt;DENEGADO")</f>
        <v>1</v>
      </c>
      <c r="F32" s="60">
        <f t="shared" si="1"/>
        <v>0.0125</v>
      </c>
      <c r="G32" s="61">
        <f t="shared" si="2"/>
        <v>0</v>
      </c>
      <c r="H32" s="60">
        <f>COUNTIFS('Solicitud de eventos'!$J:$J,H$1,'Solicitud de eventos'!$D:$D,$A32, 'Solicitud de eventos'!X:X,"&lt;&gt;DENEGADO")</f>
        <v>2</v>
      </c>
      <c r="I32" s="60">
        <f t="shared" si="3"/>
        <v>0.04</v>
      </c>
      <c r="J32" s="61">
        <f t="shared" si="4"/>
        <v>0</v>
      </c>
      <c r="K32" s="60">
        <f>COUNTIFS('Solicitud de eventos'!$J:$J,K$1,'Solicitud de eventos'!$D:$D,$A32, 'Solicitud de eventos'!X:X,"&lt;&gt;DENEGADO")</f>
        <v>0</v>
      </c>
      <c r="L32" s="60">
        <f t="shared" si="5"/>
        <v>0</v>
      </c>
      <c r="M32" s="61">
        <f t="shared" si="6"/>
        <v>0</v>
      </c>
      <c r="N32" s="60">
        <f>COUNTIFS('Solicitud de eventos'!$J:$J,N$1,'Solicitud de eventos'!$D:$D,$A32, 'Solicitud de eventos'!X:X,"&lt;&gt;DENEGADO")</f>
        <v>0</v>
      </c>
      <c r="O32" s="60">
        <f t="shared" si="7"/>
        <v>0</v>
      </c>
      <c r="P32" s="61">
        <f t="shared" si="8"/>
        <v>0</v>
      </c>
      <c r="Q32" s="60">
        <f>COUNTIFS('Solicitud de eventos'!$J:$J,Q$1,'Solicitud de eventos'!$D:$D,$A32, 'Solicitud de eventos'!X:X,"&lt;&gt;DENEGADO")</f>
        <v>6</v>
      </c>
      <c r="R32" s="60">
        <f t="shared" si="9"/>
        <v>0.1</v>
      </c>
      <c r="S32" s="61">
        <f t="shared" si="10"/>
        <v>0</v>
      </c>
      <c r="T32" s="60">
        <f>COUNTIFS('Solicitud de eventos'!$J:$J,T$1,'Solicitud de eventos'!$D:$D,$A32, 'Solicitud de eventos'!X:X,"&lt;&gt;DENEGADO")</f>
        <v>0</v>
      </c>
      <c r="U32" s="60">
        <f t="shared" si="11"/>
        <v>0</v>
      </c>
      <c r="V32" s="61">
        <f t="shared" si="12"/>
        <v>0</v>
      </c>
      <c r="W32" s="60">
        <f>COUNTIFS('Solicitud de eventos'!$J:$J,W$1,'Solicitud de eventos'!$D:$D,$A32, 'Solicitud de eventos'!X:X,"&lt;&gt;DENEGADO")</f>
        <v>0</v>
      </c>
      <c r="X32" s="60">
        <f t="shared" si="13"/>
        <v>0</v>
      </c>
      <c r="Y32" s="61">
        <f t="shared" si="14"/>
        <v>0</v>
      </c>
      <c r="Z32" s="60">
        <f>COUNTIFS('Solicitud de eventos'!$J:$J,Z$1,'Solicitud de eventos'!$D:$D,$A32, 'Solicitud de eventos'!X:X,"&lt;&gt;DENEGADO")</f>
        <v>0</v>
      </c>
      <c r="AA32" s="60">
        <f t="shared" si="15"/>
        <v>0</v>
      </c>
      <c r="AB32" s="61">
        <f t="shared" si="16"/>
        <v>0</v>
      </c>
      <c r="AC32" s="60">
        <f>COUNTIFS('Solicitud de eventos'!$J:$J,AC$1,'Solicitud de eventos'!$D:$D,$A32, 'Solicitud de eventos'!X:X,"&lt;&gt;DENEGADO")</f>
        <v>1</v>
      </c>
      <c r="AD32" s="60">
        <f t="shared" si="17"/>
        <v>0.125</v>
      </c>
      <c r="AE32" s="61">
        <f t="shared" si="18"/>
        <v>0</v>
      </c>
      <c r="AF32" s="60">
        <f>COUNTIFS('Solicitud de eventos'!$Q:$Q,"&gt;0",'Solicitud de eventos'!$D:$D,$A32, 'Solicitud de eventos'!$X:$X,"&lt;&gt;DENEGADO")</f>
        <v>1</v>
      </c>
      <c r="AG32" s="60">
        <f>COUNTIFS('Solicitud de eventos'!$S:$S,"&gt;0",'Solicitud de eventos'!$D:$D,$A32, 'Solicitud de eventos'!$X:$X,"&lt;&gt;DENEGADO")</f>
        <v>0</v>
      </c>
      <c r="AH32" s="60">
        <f>COUNTIFS('Solicitud de eventos'!$U:$U,"&gt;0",'Solicitud de eventos'!$D:$D,$A32, 'Solicitud de eventos'!$X:$X,"&lt;&gt;DENEGADO")</f>
        <v>0</v>
      </c>
      <c r="AI32" s="62"/>
      <c r="AJ32" s="60">
        <f>COUNTIFS('Hoja 4'!F:F,"&lt;7",'Hoja 4'!C:C,$A32, 'Hoja 4'!E:E,"&lt;&gt;DENEGADO")</f>
        <v>0</v>
      </c>
      <c r="AK32" s="60">
        <f>COUNTIFS('Solicitud de eventos'!$D:$D,$A32, 'Solicitud de eventos'!$X:$X,"=DENEGADO")</f>
        <v>0</v>
      </c>
      <c r="AL32" s="60">
        <f t="shared" si="19"/>
        <v>0</v>
      </c>
      <c r="AM32" s="63" t="str">
        <f t="shared" si="20"/>
        <v>INACTIVO</v>
      </c>
      <c r="AN32" s="38"/>
    </row>
    <row r="33">
      <c r="A33" s="58" t="s">
        <v>6168</v>
      </c>
      <c r="B33" s="59"/>
      <c r="C33" s="59"/>
      <c r="D33" s="60"/>
      <c r="E33" s="60">
        <f>COUNTIFS('Solicitud de eventos'!$J:$J,E$1,'Solicitud de eventos'!$D:$D,$A33, 'Solicitud de eventos'!X:X,"&lt;&gt;DENEGADO")</f>
        <v>0</v>
      </c>
      <c r="F33" s="60">
        <f t="shared" si="1"/>
        <v>0</v>
      </c>
      <c r="G33" s="61">
        <f t="shared" si="2"/>
        <v>0</v>
      </c>
      <c r="H33" s="60">
        <f>COUNTIFS('Solicitud de eventos'!$J:$J,H$1,'Solicitud de eventos'!$D:$D,$A33, 'Solicitud de eventos'!X:X,"&lt;&gt;DENEGADO")</f>
        <v>0</v>
      </c>
      <c r="I33" s="60">
        <f t="shared" si="3"/>
        <v>0</v>
      </c>
      <c r="J33" s="61">
        <f t="shared" si="4"/>
        <v>0</v>
      </c>
      <c r="K33" s="60">
        <f>COUNTIFS('Solicitud de eventos'!$J:$J,K$1,'Solicitud de eventos'!$D:$D,$A33, 'Solicitud de eventos'!X:X,"&lt;&gt;DENEGADO")</f>
        <v>0</v>
      </c>
      <c r="L33" s="60">
        <f t="shared" si="5"/>
        <v>0</v>
      </c>
      <c r="M33" s="61">
        <f t="shared" si="6"/>
        <v>0</v>
      </c>
      <c r="N33" s="60">
        <f>COUNTIFS('Solicitud de eventos'!$J:$J,N$1,'Solicitud de eventos'!$D:$D,$A33, 'Solicitud de eventos'!X:X,"&lt;&gt;DENEGADO")</f>
        <v>0</v>
      </c>
      <c r="O33" s="60">
        <f t="shared" si="7"/>
        <v>0</v>
      </c>
      <c r="P33" s="61">
        <f t="shared" si="8"/>
        <v>0</v>
      </c>
      <c r="Q33" s="60">
        <f>COUNTIFS('Solicitud de eventos'!$J:$J,Q$1,'Solicitud de eventos'!$D:$D,$A33, 'Solicitud de eventos'!X:X,"&lt;&gt;DENEGADO")</f>
        <v>0</v>
      </c>
      <c r="R33" s="60">
        <f t="shared" si="9"/>
        <v>0</v>
      </c>
      <c r="S33" s="61">
        <f t="shared" si="10"/>
        <v>0</v>
      </c>
      <c r="T33" s="60">
        <f>COUNTIFS('Solicitud de eventos'!$J:$J,T$1,'Solicitud de eventos'!$D:$D,$A33, 'Solicitud de eventos'!X:X,"&lt;&gt;DENEGADO")</f>
        <v>0</v>
      </c>
      <c r="U33" s="60">
        <f t="shared" si="11"/>
        <v>0</v>
      </c>
      <c r="V33" s="61">
        <f t="shared" si="12"/>
        <v>0</v>
      </c>
      <c r="W33" s="60">
        <f>COUNTIFS('Solicitud de eventos'!$J:$J,W$1,'Solicitud de eventos'!$D:$D,$A33, 'Solicitud de eventos'!X:X,"&lt;&gt;DENEGADO")</f>
        <v>0</v>
      </c>
      <c r="X33" s="60">
        <f t="shared" si="13"/>
        <v>0</v>
      </c>
      <c r="Y33" s="61">
        <f t="shared" si="14"/>
        <v>0</v>
      </c>
      <c r="Z33" s="60">
        <f>COUNTIFS('Solicitud de eventos'!$J:$J,Z$1,'Solicitud de eventos'!$D:$D,$A33, 'Solicitud de eventos'!X:X,"&lt;&gt;DENEGADO")</f>
        <v>0</v>
      </c>
      <c r="AA33" s="60">
        <f t="shared" si="15"/>
        <v>0</v>
      </c>
      <c r="AB33" s="61">
        <f t="shared" si="16"/>
        <v>0</v>
      </c>
      <c r="AC33" s="60">
        <f>COUNTIFS('Solicitud de eventos'!$J:$J,AC$1,'Solicitud de eventos'!$D:$D,$A33, 'Solicitud de eventos'!X:X,"&lt;&gt;DENEGADO")</f>
        <v>0</v>
      </c>
      <c r="AD33" s="60">
        <f t="shared" si="17"/>
        <v>0</v>
      </c>
      <c r="AE33" s="61">
        <f t="shared" si="18"/>
        <v>0</v>
      </c>
      <c r="AF33" s="60">
        <f>COUNTIFS('Solicitud de eventos'!$Q:$Q,"&gt;0",'Solicitud de eventos'!$D:$D,$A33, 'Solicitud de eventos'!$X:$X,"&lt;&gt;DENEGADO")</f>
        <v>0</v>
      </c>
      <c r="AG33" s="60">
        <f>COUNTIFS('Solicitud de eventos'!$S:$S,"&gt;0",'Solicitud de eventos'!$D:$D,$A33, 'Solicitud de eventos'!$X:$X,"&lt;&gt;DENEGADO")</f>
        <v>0</v>
      </c>
      <c r="AH33" s="60">
        <f>COUNTIFS('Solicitud de eventos'!$U:$U,"&gt;0",'Solicitud de eventos'!$D:$D,$A33, 'Solicitud de eventos'!$X:$X,"&lt;&gt;DENEGADO")</f>
        <v>0</v>
      </c>
      <c r="AI33" s="62"/>
      <c r="AJ33" s="60">
        <f>COUNTIFS('Hoja 4'!F:F,"&lt;7",'Hoja 4'!C:C,$A33, 'Hoja 4'!E:E,"&lt;&gt;DENEGADO")</f>
        <v>0</v>
      </c>
      <c r="AK33" s="60">
        <f>COUNTIFS('Solicitud de eventos'!$D:$D,$A33, 'Solicitud de eventos'!$X:$X,"=DENEGADO")</f>
        <v>0</v>
      </c>
      <c r="AL33" s="60">
        <f t="shared" si="19"/>
        <v>0</v>
      </c>
      <c r="AM33" s="63" t="str">
        <f t="shared" si="20"/>
        <v>INACTIVO</v>
      </c>
    </row>
    <row r="34">
      <c r="A34" s="58" t="s">
        <v>382</v>
      </c>
      <c r="B34" s="59"/>
      <c r="C34" s="59"/>
      <c r="D34" s="60"/>
      <c r="E34" s="60">
        <f>COUNTIFS('Solicitud de eventos'!$J:$J,E$1,'Solicitud de eventos'!$D:$D,$A34, 'Solicitud de eventos'!X:X,"&lt;&gt;DENEGADO")</f>
        <v>15</v>
      </c>
      <c r="F34" s="60">
        <f t="shared" si="1"/>
        <v>0.1875</v>
      </c>
      <c r="G34" s="61">
        <f t="shared" si="2"/>
        <v>0</v>
      </c>
      <c r="H34" s="60">
        <f>COUNTIFS('Solicitud de eventos'!$J:$J,H$1,'Solicitud de eventos'!$D:$D,$A34, 'Solicitud de eventos'!X:X,"&lt;&gt;DENEGADO")</f>
        <v>4</v>
      </c>
      <c r="I34" s="60">
        <f t="shared" si="3"/>
        <v>0.08</v>
      </c>
      <c r="J34" s="61">
        <f t="shared" si="4"/>
        <v>0</v>
      </c>
      <c r="K34" s="60">
        <f>COUNTIFS('Solicitud de eventos'!$J:$J,K$1,'Solicitud de eventos'!$D:$D,$A34, 'Solicitud de eventos'!X:X,"&lt;&gt;DENEGADO")</f>
        <v>0</v>
      </c>
      <c r="L34" s="60">
        <f t="shared" si="5"/>
        <v>0</v>
      </c>
      <c r="M34" s="61">
        <f t="shared" si="6"/>
        <v>0</v>
      </c>
      <c r="N34" s="60">
        <f>COUNTIFS('Solicitud de eventos'!$J:$J,N$1,'Solicitud de eventos'!$D:$D,$A34, 'Solicitud de eventos'!X:X,"&lt;&gt;DENEGADO")</f>
        <v>0</v>
      </c>
      <c r="O34" s="60">
        <f t="shared" si="7"/>
        <v>0</v>
      </c>
      <c r="P34" s="61">
        <f t="shared" si="8"/>
        <v>0</v>
      </c>
      <c r="Q34" s="60">
        <f>COUNTIFS('Solicitud de eventos'!$J:$J,Q$1,'Solicitud de eventos'!$D:$D,$A34, 'Solicitud de eventos'!X:X,"&lt;&gt;DENEGADO")</f>
        <v>0</v>
      </c>
      <c r="R34" s="60">
        <f t="shared" si="9"/>
        <v>0</v>
      </c>
      <c r="S34" s="61">
        <f t="shared" si="10"/>
        <v>0</v>
      </c>
      <c r="T34" s="60">
        <f>COUNTIFS('Solicitud de eventos'!$J:$J,T$1,'Solicitud de eventos'!$D:$D,$A34, 'Solicitud de eventos'!X:X,"&lt;&gt;DENEGADO")</f>
        <v>0</v>
      </c>
      <c r="U34" s="60">
        <f t="shared" si="11"/>
        <v>0</v>
      </c>
      <c r="V34" s="61">
        <f t="shared" si="12"/>
        <v>0</v>
      </c>
      <c r="W34" s="60">
        <f>COUNTIFS('Solicitud de eventos'!$J:$J,W$1,'Solicitud de eventos'!$D:$D,$A34, 'Solicitud de eventos'!X:X,"&lt;&gt;DENEGADO")</f>
        <v>0</v>
      </c>
      <c r="X34" s="60">
        <f t="shared" si="13"/>
        <v>0</v>
      </c>
      <c r="Y34" s="61">
        <f t="shared" si="14"/>
        <v>0</v>
      </c>
      <c r="Z34" s="60">
        <f>COUNTIFS('Solicitud de eventos'!$J:$J,Z$1,'Solicitud de eventos'!$D:$D,$A34, 'Solicitud de eventos'!X:X,"&lt;&gt;DENEGADO")</f>
        <v>0</v>
      </c>
      <c r="AA34" s="60">
        <f t="shared" si="15"/>
        <v>0</v>
      </c>
      <c r="AB34" s="61">
        <f t="shared" si="16"/>
        <v>0</v>
      </c>
      <c r="AC34" s="60">
        <f>COUNTIFS('Solicitud de eventos'!$J:$J,AC$1,'Solicitud de eventos'!$D:$D,$A34, 'Solicitud de eventos'!X:X,"&lt;&gt;DENEGADO")</f>
        <v>1</v>
      </c>
      <c r="AD34" s="60">
        <f t="shared" si="17"/>
        <v>0.125</v>
      </c>
      <c r="AE34" s="61">
        <f t="shared" si="18"/>
        <v>0</v>
      </c>
      <c r="AF34" s="60">
        <f>COUNTIFS('Solicitud de eventos'!$Q:$Q,"&gt;0",'Solicitud de eventos'!$D:$D,$A34, 'Solicitud de eventos'!$X:$X,"&lt;&gt;DENEGADO")</f>
        <v>1</v>
      </c>
      <c r="AG34" s="60">
        <f>COUNTIFS('Solicitud de eventos'!$S:$S,"&gt;0",'Solicitud de eventos'!$D:$D,$A34, 'Solicitud de eventos'!$X:$X,"&lt;&gt;DENEGADO")</f>
        <v>0</v>
      </c>
      <c r="AH34" s="60">
        <f>COUNTIFS('Solicitud de eventos'!$U:$U,"&gt;0",'Solicitud de eventos'!$D:$D,$A34, 'Solicitud de eventos'!$X:$X,"&lt;&gt;DENEGADO")</f>
        <v>0</v>
      </c>
      <c r="AI34" s="62"/>
      <c r="AJ34" s="60">
        <f>COUNTIFS('Hoja 4'!F:F,"&lt;7",'Hoja 4'!C:C,$A34, 'Hoja 4'!E:E,"&lt;&gt;DENEGADO")</f>
        <v>3</v>
      </c>
      <c r="AK34" s="60">
        <f>COUNTIFS('Solicitud de eventos'!$D:$D,$A34, 'Solicitud de eventos'!$X:$X,"=DENEGADO")</f>
        <v>0</v>
      </c>
      <c r="AL34" s="60">
        <f t="shared" si="19"/>
        <v>0</v>
      </c>
      <c r="AM34" s="63" t="str">
        <f t="shared" si="20"/>
        <v>INACTIVO</v>
      </c>
    </row>
    <row r="35">
      <c r="A35" s="58" t="s">
        <v>1360</v>
      </c>
      <c r="B35" s="59"/>
      <c r="C35" s="59"/>
      <c r="D35" s="60"/>
      <c r="E35" s="60">
        <f>COUNTIFS('Solicitud de eventos'!$J:$J,E$1,'Solicitud de eventos'!$D:$D,$A35, 'Solicitud de eventos'!X:X,"&lt;&gt;DENEGADO")</f>
        <v>0</v>
      </c>
      <c r="F35" s="60">
        <f t="shared" si="1"/>
        <v>0</v>
      </c>
      <c r="G35" s="61">
        <f t="shared" si="2"/>
        <v>0</v>
      </c>
      <c r="H35" s="60">
        <f>COUNTIFS('Solicitud de eventos'!$J:$J,H$1,'Solicitud de eventos'!$D:$D,$A35, 'Solicitud de eventos'!X:X,"&lt;&gt;DENEGADO")</f>
        <v>1</v>
      </c>
      <c r="I35" s="60">
        <f t="shared" si="3"/>
        <v>0.02</v>
      </c>
      <c r="J35" s="61">
        <f t="shared" si="4"/>
        <v>0</v>
      </c>
      <c r="K35" s="60">
        <f>COUNTIFS('Solicitud de eventos'!$J:$J,K$1,'Solicitud de eventos'!$D:$D,$A35, 'Solicitud de eventos'!X:X,"&lt;&gt;DENEGADO")</f>
        <v>1</v>
      </c>
      <c r="L35" s="60">
        <f t="shared" si="5"/>
        <v>0.02777777778</v>
      </c>
      <c r="M35" s="61">
        <f t="shared" si="6"/>
        <v>0</v>
      </c>
      <c r="N35" s="60">
        <f>COUNTIFS('Solicitud de eventos'!$J:$J,N$1,'Solicitud de eventos'!$D:$D,$A35, 'Solicitud de eventos'!X:X,"&lt;&gt;DENEGADO")</f>
        <v>0</v>
      </c>
      <c r="O35" s="60">
        <f t="shared" si="7"/>
        <v>0</v>
      </c>
      <c r="P35" s="61">
        <f t="shared" si="8"/>
        <v>0</v>
      </c>
      <c r="Q35" s="60">
        <f>COUNTIFS('Solicitud de eventos'!$J:$J,Q$1,'Solicitud de eventos'!$D:$D,$A35, 'Solicitud de eventos'!X:X,"&lt;&gt;DENEGADO")</f>
        <v>0</v>
      </c>
      <c r="R35" s="60">
        <f t="shared" si="9"/>
        <v>0</v>
      </c>
      <c r="S35" s="61">
        <f t="shared" si="10"/>
        <v>0</v>
      </c>
      <c r="T35" s="60">
        <f>COUNTIFS('Solicitud de eventos'!$J:$J,T$1,'Solicitud de eventos'!$D:$D,$A35, 'Solicitud de eventos'!X:X,"&lt;&gt;DENEGADO")</f>
        <v>0</v>
      </c>
      <c r="U35" s="60">
        <f t="shared" si="11"/>
        <v>0</v>
      </c>
      <c r="V35" s="61">
        <f t="shared" si="12"/>
        <v>0</v>
      </c>
      <c r="W35" s="60">
        <f>COUNTIFS('Solicitud de eventos'!$J:$J,W$1,'Solicitud de eventos'!$D:$D,$A35, 'Solicitud de eventos'!X:X,"&lt;&gt;DENEGADO")</f>
        <v>0</v>
      </c>
      <c r="X35" s="60">
        <f t="shared" si="13"/>
        <v>0</v>
      </c>
      <c r="Y35" s="61">
        <f t="shared" si="14"/>
        <v>0</v>
      </c>
      <c r="Z35" s="60">
        <f>COUNTIFS('Solicitud de eventos'!$J:$J,Z$1,'Solicitud de eventos'!$D:$D,$A35, 'Solicitud de eventos'!X:X,"&lt;&gt;DENEGADO")</f>
        <v>0</v>
      </c>
      <c r="AA35" s="60">
        <f t="shared" si="15"/>
        <v>0</v>
      </c>
      <c r="AB35" s="61">
        <f t="shared" si="16"/>
        <v>0</v>
      </c>
      <c r="AC35" s="60">
        <f>COUNTIFS('Solicitud de eventos'!$J:$J,AC$1,'Solicitud de eventos'!$D:$D,$A35, 'Solicitud de eventos'!X:X,"&lt;&gt;DENEGADO")</f>
        <v>0</v>
      </c>
      <c r="AD35" s="60">
        <f t="shared" si="17"/>
        <v>0</v>
      </c>
      <c r="AE35" s="61">
        <f t="shared" si="18"/>
        <v>0</v>
      </c>
      <c r="AF35" s="60">
        <f>COUNTIFS('Solicitud de eventos'!$Q:$Q,"&gt;0",'Solicitud de eventos'!$D:$D,$A35, 'Solicitud de eventos'!$X:$X,"&lt;&gt;DENEGADO")</f>
        <v>0</v>
      </c>
      <c r="AG35" s="60">
        <f>COUNTIFS('Solicitud de eventos'!$S:$S,"&gt;0",'Solicitud de eventos'!$D:$D,$A35, 'Solicitud de eventos'!$X:$X,"&lt;&gt;DENEGADO")</f>
        <v>1</v>
      </c>
      <c r="AH35" s="60">
        <f>COUNTIFS('Solicitud de eventos'!$U:$U,"&gt;0",'Solicitud de eventos'!$D:$D,$A35, 'Solicitud de eventos'!$X:$X,"&lt;&gt;DENEGADO")</f>
        <v>0</v>
      </c>
      <c r="AI35" s="62"/>
      <c r="AJ35" s="60">
        <f>COUNTIFS('Hoja 4'!F:F,"&lt;7",'Hoja 4'!C:C,$A35, 'Hoja 4'!E:E,"&lt;&gt;DENEGADO")</f>
        <v>4</v>
      </c>
      <c r="AK35" s="60">
        <f>COUNTIFS('Solicitud de eventos'!$D:$D,$A35, 'Solicitud de eventos'!$X:$X,"=DENEGADO")</f>
        <v>0</v>
      </c>
      <c r="AL35" s="60">
        <f t="shared" si="19"/>
        <v>0</v>
      </c>
      <c r="AM35" s="63" t="str">
        <f t="shared" si="20"/>
        <v>INACTIVO</v>
      </c>
    </row>
    <row r="36">
      <c r="A36" s="58" t="s">
        <v>6169</v>
      </c>
      <c r="B36" s="59"/>
      <c r="C36" s="59"/>
      <c r="D36" s="60"/>
      <c r="E36" s="60">
        <f>COUNTIFS('Solicitud de eventos'!$J:$J,E$1,'Solicitud de eventos'!$D:$D,$A36, 'Solicitud de eventos'!X:X,"&lt;&gt;DENEGADO")</f>
        <v>0</v>
      </c>
      <c r="F36" s="60">
        <f t="shared" si="1"/>
        <v>0</v>
      </c>
      <c r="G36" s="61">
        <f t="shared" si="2"/>
        <v>0</v>
      </c>
      <c r="H36" s="60">
        <f>COUNTIFS('Solicitud de eventos'!$J:$J,H$1,'Solicitud de eventos'!$D:$D,$A36, 'Solicitud de eventos'!X:X,"&lt;&gt;DENEGADO")</f>
        <v>0</v>
      </c>
      <c r="I36" s="60">
        <f t="shared" si="3"/>
        <v>0</v>
      </c>
      <c r="J36" s="61">
        <f t="shared" si="4"/>
        <v>0</v>
      </c>
      <c r="K36" s="60">
        <f>COUNTIFS('Solicitud de eventos'!$J:$J,K$1,'Solicitud de eventos'!$D:$D,$A36, 'Solicitud de eventos'!X:X,"&lt;&gt;DENEGADO")</f>
        <v>0</v>
      </c>
      <c r="L36" s="60">
        <f t="shared" si="5"/>
        <v>0</v>
      </c>
      <c r="M36" s="61">
        <f t="shared" si="6"/>
        <v>0</v>
      </c>
      <c r="N36" s="60">
        <f>COUNTIFS('Solicitud de eventos'!$J:$J,N$1,'Solicitud de eventos'!$D:$D,$A36, 'Solicitud de eventos'!X:X,"&lt;&gt;DENEGADO")</f>
        <v>0</v>
      </c>
      <c r="O36" s="60">
        <f t="shared" si="7"/>
        <v>0</v>
      </c>
      <c r="P36" s="61">
        <f t="shared" si="8"/>
        <v>0</v>
      </c>
      <c r="Q36" s="60">
        <f>COUNTIFS('Solicitud de eventos'!$J:$J,Q$1,'Solicitud de eventos'!$D:$D,$A36, 'Solicitud de eventos'!X:X,"&lt;&gt;DENEGADO")</f>
        <v>0</v>
      </c>
      <c r="R36" s="60">
        <f t="shared" si="9"/>
        <v>0</v>
      </c>
      <c r="S36" s="61">
        <f t="shared" si="10"/>
        <v>0</v>
      </c>
      <c r="T36" s="60">
        <f>COUNTIFS('Solicitud de eventos'!$J:$J,T$1,'Solicitud de eventos'!$D:$D,$A36, 'Solicitud de eventos'!X:X,"&lt;&gt;DENEGADO")</f>
        <v>0</v>
      </c>
      <c r="U36" s="60">
        <f t="shared" si="11"/>
        <v>0</v>
      </c>
      <c r="V36" s="61">
        <f t="shared" si="12"/>
        <v>0</v>
      </c>
      <c r="W36" s="60">
        <f>COUNTIFS('Solicitud de eventos'!$J:$J,W$1,'Solicitud de eventos'!$D:$D,$A36, 'Solicitud de eventos'!X:X,"&lt;&gt;DENEGADO")</f>
        <v>0</v>
      </c>
      <c r="X36" s="60">
        <f t="shared" si="13"/>
        <v>0</v>
      </c>
      <c r="Y36" s="61">
        <f t="shared" si="14"/>
        <v>0</v>
      </c>
      <c r="Z36" s="60">
        <f>COUNTIFS('Solicitud de eventos'!$J:$J,Z$1,'Solicitud de eventos'!$D:$D,$A36, 'Solicitud de eventos'!X:X,"&lt;&gt;DENEGADO")</f>
        <v>0</v>
      </c>
      <c r="AA36" s="60">
        <f t="shared" si="15"/>
        <v>0</v>
      </c>
      <c r="AB36" s="61">
        <f t="shared" si="16"/>
        <v>0</v>
      </c>
      <c r="AC36" s="60">
        <f>COUNTIFS('Solicitud de eventos'!$J:$J,AC$1,'Solicitud de eventos'!$D:$D,$A36, 'Solicitud de eventos'!X:X,"&lt;&gt;DENEGADO")</f>
        <v>0</v>
      </c>
      <c r="AD36" s="60">
        <f t="shared" si="17"/>
        <v>0</v>
      </c>
      <c r="AE36" s="61">
        <f t="shared" si="18"/>
        <v>0</v>
      </c>
      <c r="AF36" s="60">
        <f>COUNTIFS('Solicitud de eventos'!$Q:$Q,"&gt;0",'Solicitud de eventos'!$D:$D,$A36, 'Solicitud de eventos'!$X:$X,"&lt;&gt;DENEGADO")</f>
        <v>0</v>
      </c>
      <c r="AG36" s="60">
        <f>COUNTIFS('Solicitud de eventos'!$S:$S,"&gt;0",'Solicitud de eventos'!$D:$D,$A36, 'Solicitud de eventos'!$X:$X,"&lt;&gt;DENEGADO")</f>
        <v>0</v>
      </c>
      <c r="AH36" s="60">
        <f>COUNTIFS('Solicitud de eventos'!$U:$U,"&gt;0",'Solicitud de eventos'!$D:$D,$A36, 'Solicitud de eventos'!$X:$X,"&lt;&gt;DENEGADO")</f>
        <v>0</v>
      </c>
      <c r="AI36" s="62"/>
      <c r="AJ36" s="60">
        <f>COUNTIFS('Hoja 4'!F:F,"&lt;7",'Hoja 4'!C:C,$A36, 'Hoja 4'!E:E,"&lt;&gt;DENEGADO")</f>
        <v>0</v>
      </c>
      <c r="AK36" s="60">
        <f>COUNTIFS('Solicitud de eventos'!$D:$D,$A36, 'Solicitud de eventos'!$X:$X,"=DENEGADO")</f>
        <v>0</v>
      </c>
      <c r="AL36" s="60">
        <f t="shared" si="19"/>
        <v>0</v>
      </c>
      <c r="AM36" s="63" t="str">
        <f t="shared" si="20"/>
        <v>INACTIVO</v>
      </c>
    </row>
    <row r="37">
      <c r="A37" s="58" t="s">
        <v>540</v>
      </c>
      <c r="B37" s="59"/>
      <c r="C37" s="59"/>
      <c r="D37" s="60"/>
      <c r="E37" s="60">
        <f>COUNTIFS('Solicitud de eventos'!$J:$J,E$1,'Solicitud de eventos'!$D:$D,$A37, 'Solicitud de eventos'!X:X,"&lt;&gt;DENEGADO")</f>
        <v>11</v>
      </c>
      <c r="F37" s="60">
        <f t="shared" si="1"/>
        <v>0.1375</v>
      </c>
      <c r="G37" s="61">
        <f t="shared" si="2"/>
        <v>0</v>
      </c>
      <c r="H37" s="60">
        <f>COUNTIFS('Solicitud de eventos'!$J:$J,H$1,'Solicitud de eventos'!$D:$D,$A37, 'Solicitud de eventos'!X:X,"&lt;&gt;DENEGADO")</f>
        <v>11</v>
      </c>
      <c r="I37" s="60">
        <f t="shared" si="3"/>
        <v>0.22</v>
      </c>
      <c r="J37" s="61">
        <f t="shared" si="4"/>
        <v>0</v>
      </c>
      <c r="K37" s="60">
        <f>COUNTIFS('Solicitud de eventos'!$J:$J,K$1,'Solicitud de eventos'!$D:$D,$A37, 'Solicitud de eventos'!X:X,"&lt;&gt;DENEGADO")</f>
        <v>1</v>
      </c>
      <c r="L37" s="60">
        <f t="shared" si="5"/>
        <v>0.02777777778</v>
      </c>
      <c r="M37" s="61">
        <f t="shared" si="6"/>
        <v>0</v>
      </c>
      <c r="N37" s="60">
        <f>COUNTIFS('Solicitud de eventos'!$J:$J,N$1,'Solicitud de eventos'!$D:$D,$A37, 'Solicitud de eventos'!X:X,"&lt;&gt;DENEGADO")</f>
        <v>0</v>
      </c>
      <c r="O37" s="60">
        <f t="shared" si="7"/>
        <v>0</v>
      </c>
      <c r="P37" s="61">
        <f t="shared" si="8"/>
        <v>0</v>
      </c>
      <c r="Q37" s="60">
        <f>COUNTIFS('Solicitud de eventos'!$J:$J,Q$1,'Solicitud de eventos'!$D:$D,$A37, 'Solicitud de eventos'!X:X,"&lt;&gt;DENEGADO")</f>
        <v>14</v>
      </c>
      <c r="R37" s="60">
        <f t="shared" si="9"/>
        <v>0.2333333333</v>
      </c>
      <c r="S37" s="61">
        <f t="shared" si="10"/>
        <v>0</v>
      </c>
      <c r="T37" s="60">
        <f>COUNTIFS('Solicitud de eventos'!$J:$J,T$1,'Solicitud de eventos'!$D:$D,$A37, 'Solicitud de eventos'!X:X,"&lt;&gt;DENEGADO")</f>
        <v>0</v>
      </c>
      <c r="U37" s="60">
        <f t="shared" si="11"/>
        <v>0</v>
      </c>
      <c r="V37" s="61">
        <f t="shared" si="12"/>
        <v>0</v>
      </c>
      <c r="W37" s="60">
        <f>COUNTIFS('Solicitud de eventos'!$J:$J,W$1,'Solicitud de eventos'!$D:$D,$A37, 'Solicitud de eventos'!X:X,"&lt;&gt;DENEGADO")</f>
        <v>0</v>
      </c>
      <c r="X37" s="60">
        <f t="shared" si="13"/>
        <v>0</v>
      </c>
      <c r="Y37" s="61">
        <f t="shared" si="14"/>
        <v>0</v>
      </c>
      <c r="Z37" s="60">
        <f>COUNTIFS('Solicitud de eventos'!$J:$J,Z$1,'Solicitud de eventos'!$D:$D,$A37, 'Solicitud de eventos'!X:X,"&lt;&gt;DENEGADO")</f>
        <v>0</v>
      </c>
      <c r="AA37" s="60">
        <f t="shared" si="15"/>
        <v>0</v>
      </c>
      <c r="AB37" s="61">
        <f t="shared" si="16"/>
        <v>0</v>
      </c>
      <c r="AC37" s="60">
        <f>COUNTIFS('Solicitud de eventos'!$J:$J,AC$1,'Solicitud de eventos'!$D:$D,$A37, 'Solicitud de eventos'!X:X,"&lt;&gt;DENEGADO")</f>
        <v>0</v>
      </c>
      <c r="AD37" s="60">
        <f t="shared" si="17"/>
        <v>0</v>
      </c>
      <c r="AE37" s="61">
        <f t="shared" si="18"/>
        <v>0</v>
      </c>
      <c r="AF37" s="60">
        <f>COUNTIFS('Solicitud de eventos'!$Q:$Q,"&gt;0",'Solicitud de eventos'!$D:$D,$A37, 'Solicitud de eventos'!$X:$X,"&lt;&gt;DENEGADO")</f>
        <v>6</v>
      </c>
      <c r="AG37" s="60">
        <f>COUNTIFS('Solicitud de eventos'!$S:$S,"&gt;0",'Solicitud de eventos'!$D:$D,$A37, 'Solicitud de eventos'!$X:$X,"&lt;&gt;DENEGADO")</f>
        <v>4</v>
      </c>
      <c r="AH37" s="60">
        <f>COUNTIFS('Solicitud de eventos'!$U:$U,"&gt;0",'Solicitud de eventos'!$D:$D,$A37, 'Solicitud de eventos'!$X:$X,"&lt;&gt;DENEGADO")</f>
        <v>1</v>
      </c>
      <c r="AI37" s="62"/>
      <c r="AJ37" s="60">
        <f>COUNTIFS('Hoja 4'!F:F,"&lt;7",'Hoja 4'!C:C,$A37, 'Hoja 4'!E:E,"&lt;&gt;DENEGADO")</f>
        <v>10</v>
      </c>
      <c r="AK37" s="60">
        <f>COUNTIFS('Solicitud de eventos'!$D:$D,$A37, 'Solicitud de eventos'!$X:$X,"=DENEGADO")</f>
        <v>0</v>
      </c>
      <c r="AL37" s="60">
        <f t="shared" si="19"/>
        <v>0</v>
      </c>
      <c r="AM37" s="63" t="str">
        <f t="shared" si="20"/>
        <v>INACTIVO</v>
      </c>
    </row>
    <row r="38">
      <c r="A38" s="58" t="s">
        <v>187</v>
      </c>
      <c r="B38" s="59"/>
      <c r="C38" s="59"/>
      <c r="D38" s="60"/>
      <c r="E38" s="60">
        <f>COUNTIFS('Solicitud de eventos'!$J:$J,E$1,'Solicitud de eventos'!$D:$D,$A38, 'Solicitud de eventos'!X:X,"&lt;&gt;DENEGADO")</f>
        <v>41</v>
      </c>
      <c r="F38" s="60">
        <f t="shared" si="1"/>
        <v>0.5125</v>
      </c>
      <c r="G38" s="61">
        <f t="shared" si="2"/>
        <v>8</v>
      </c>
      <c r="H38" s="60">
        <f>COUNTIFS('Solicitud de eventos'!$J:$J,H$1,'Solicitud de eventos'!$D:$D,$A38, 'Solicitud de eventos'!X:X,"&lt;&gt;DENEGADO")</f>
        <v>6</v>
      </c>
      <c r="I38" s="60">
        <f t="shared" si="3"/>
        <v>0.12</v>
      </c>
      <c r="J38" s="61">
        <f t="shared" si="4"/>
        <v>0</v>
      </c>
      <c r="K38" s="60">
        <f>COUNTIFS('Solicitud de eventos'!$J:$J,K$1,'Solicitud de eventos'!$D:$D,$A38, 'Solicitud de eventos'!X:X,"&lt;&gt;DENEGADO")</f>
        <v>0</v>
      </c>
      <c r="L38" s="60">
        <f t="shared" si="5"/>
        <v>0</v>
      </c>
      <c r="M38" s="61">
        <f t="shared" si="6"/>
        <v>0</v>
      </c>
      <c r="N38" s="60">
        <f>COUNTIFS('Solicitud de eventos'!$J:$J,N$1,'Solicitud de eventos'!$D:$D,$A38, 'Solicitud de eventos'!X:X,"&lt;&gt;DENEGADO")</f>
        <v>1</v>
      </c>
      <c r="O38" s="60">
        <f t="shared" si="7"/>
        <v>0.04761904762</v>
      </c>
      <c r="P38" s="61">
        <f t="shared" si="8"/>
        <v>0</v>
      </c>
      <c r="Q38" s="60">
        <f>COUNTIFS('Solicitud de eventos'!$J:$J,Q$1,'Solicitud de eventos'!$D:$D,$A38, 'Solicitud de eventos'!X:X,"&lt;&gt;DENEGADO")</f>
        <v>0</v>
      </c>
      <c r="R38" s="60">
        <f t="shared" si="9"/>
        <v>0</v>
      </c>
      <c r="S38" s="61">
        <f t="shared" si="10"/>
        <v>0</v>
      </c>
      <c r="T38" s="60">
        <f>COUNTIFS('Solicitud de eventos'!$J:$J,T$1,'Solicitud de eventos'!$D:$D,$A38, 'Solicitud de eventos'!X:X,"&lt;&gt;DENEGADO")</f>
        <v>0</v>
      </c>
      <c r="U38" s="60">
        <f t="shared" si="11"/>
        <v>0</v>
      </c>
      <c r="V38" s="61">
        <f t="shared" si="12"/>
        <v>0</v>
      </c>
      <c r="W38" s="60">
        <f>COUNTIFS('Solicitud de eventos'!$J:$J,W$1,'Solicitud de eventos'!$D:$D,$A38, 'Solicitud de eventos'!X:X,"&lt;&gt;DENEGADO")</f>
        <v>4</v>
      </c>
      <c r="X38" s="60">
        <f t="shared" si="13"/>
        <v>1</v>
      </c>
      <c r="Y38" s="61">
        <f t="shared" si="14"/>
        <v>12</v>
      </c>
      <c r="Z38" s="60">
        <f>COUNTIFS('Solicitud de eventos'!$J:$J,Z$1,'Solicitud de eventos'!$D:$D,$A38, 'Solicitud de eventos'!X:X,"&lt;&gt;DENEGADO")</f>
        <v>0</v>
      </c>
      <c r="AA38" s="60">
        <f t="shared" si="15"/>
        <v>0</v>
      </c>
      <c r="AB38" s="61">
        <f t="shared" si="16"/>
        <v>0</v>
      </c>
      <c r="AC38" s="60">
        <f>COUNTIFS('Solicitud de eventos'!$J:$J,AC$1,'Solicitud de eventos'!$D:$D,$A38, 'Solicitud de eventos'!X:X,"&lt;&gt;DENEGADO")</f>
        <v>2</v>
      </c>
      <c r="AD38" s="60">
        <f t="shared" si="17"/>
        <v>0.25</v>
      </c>
      <c r="AE38" s="61">
        <f t="shared" si="18"/>
        <v>0</v>
      </c>
      <c r="AF38" s="60">
        <f>COUNTIFS('Solicitud de eventos'!$Q:$Q,"&gt;0",'Solicitud de eventos'!$D:$D,$A38, 'Solicitud de eventos'!$X:$X,"&lt;&gt;DENEGADO")</f>
        <v>6</v>
      </c>
      <c r="AG38" s="60">
        <f>COUNTIFS('Solicitud de eventos'!$S:$S,"&gt;0",'Solicitud de eventos'!$D:$D,$A38, 'Solicitud de eventos'!$X:$X,"&lt;&gt;DENEGADO")</f>
        <v>6</v>
      </c>
      <c r="AH38" s="60">
        <f>COUNTIFS('Solicitud de eventos'!$U:$U,"&gt;0",'Solicitud de eventos'!$D:$D,$A38, 'Solicitud de eventos'!$X:$X,"&lt;&gt;DENEGADO")</f>
        <v>5</v>
      </c>
      <c r="AI38" s="62"/>
      <c r="AJ38" s="60">
        <f>COUNTIFS('Hoja 4'!F:F,"&lt;7",'Hoja 4'!C:C,$A38, 'Hoja 4'!E:E,"&lt;&gt;DENEGADO")</f>
        <v>25</v>
      </c>
      <c r="AK38" s="60">
        <f>COUNTIFS('Solicitud de eventos'!$D:$D,$A38, 'Solicitud de eventos'!$X:$X,"=DENEGADO")</f>
        <v>0</v>
      </c>
      <c r="AL38" s="60">
        <f t="shared" si="19"/>
        <v>20</v>
      </c>
      <c r="AM38" s="63" t="str">
        <f t="shared" si="20"/>
        <v>ROBLE MORADO</v>
      </c>
      <c r="AN38" s="38"/>
    </row>
    <row r="39">
      <c r="A39" s="58" t="s">
        <v>976</v>
      </c>
      <c r="B39" s="59"/>
      <c r="C39" s="59"/>
      <c r="D39" s="60"/>
      <c r="E39" s="60">
        <f>COUNTIFS('Solicitud de eventos'!$J:$J,E$1,'Solicitud de eventos'!$D:$D,$A39, 'Solicitud de eventos'!X:X,"&lt;&gt;DENEGADO")</f>
        <v>3</v>
      </c>
      <c r="F39" s="60">
        <f t="shared" si="1"/>
        <v>0.0375</v>
      </c>
      <c r="G39" s="61">
        <f t="shared" si="2"/>
        <v>0</v>
      </c>
      <c r="H39" s="60">
        <f>COUNTIFS('Solicitud de eventos'!$J:$J,H$1,'Solicitud de eventos'!$D:$D,$A39, 'Solicitud de eventos'!X:X,"&lt;&gt;DENEGADO")</f>
        <v>18</v>
      </c>
      <c r="I39" s="60">
        <f t="shared" si="3"/>
        <v>0.36</v>
      </c>
      <c r="J39" s="61">
        <f t="shared" si="4"/>
        <v>4</v>
      </c>
      <c r="K39" s="60">
        <f>COUNTIFS('Solicitud de eventos'!$J:$J,K$1,'Solicitud de eventos'!$D:$D,$A39, 'Solicitud de eventos'!X:X,"&lt;&gt;DENEGADO")</f>
        <v>0</v>
      </c>
      <c r="L39" s="60">
        <f t="shared" si="5"/>
        <v>0</v>
      </c>
      <c r="M39" s="61">
        <f t="shared" si="6"/>
        <v>0</v>
      </c>
      <c r="N39" s="60">
        <f>COUNTIFS('Solicitud de eventos'!$J:$J,N$1,'Solicitud de eventos'!$D:$D,$A39, 'Solicitud de eventos'!X:X,"&lt;&gt;DENEGADO")</f>
        <v>0</v>
      </c>
      <c r="O39" s="60">
        <f t="shared" si="7"/>
        <v>0</v>
      </c>
      <c r="P39" s="61">
        <f t="shared" si="8"/>
        <v>0</v>
      </c>
      <c r="Q39" s="60">
        <f>COUNTIFS('Solicitud de eventos'!$J:$J,Q$1,'Solicitud de eventos'!$D:$D,$A39, 'Solicitud de eventos'!X:X,"&lt;&gt;DENEGADO")</f>
        <v>0</v>
      </c>
      <c r="R39" s="60">
        <f t="shared" si="9"/>
        <v>0</v>
      </c>
      <c r="S39" s="61">
        <f t="shared" si="10"/>
        <v>0</v>
      </c>
      <c r="T39" s="60">
        <f>COUNTIFS('Solicitud de eventos'!$J:$J,T$1,'Solicitud de eventos'!$D:$D,$A39, 'Solicitud de eventos'!X:X,"&lt;&gt;DENEGADO")</f>
        <v>0</v>
      </c>
      <c r="U39" s="60">
        <f t="shared" si="11"/>
        <v>0</v>
      </c>
      <c r="V39" s="61">
        <f t="shared" si="12"/>
        <v>0</v>
      </c>
      <c r="W39" s="60">
        <f>COUNTIFS('Solicitud de eventos'!$J:$J,W$1,'Solicitud de eventos'!$D:$D,$A39, 'Solicitud de eventos'!X:X,"&lt;&gt;DENEGADO")</f>
        <v>0</v>
      </c>
      <c r="X39" s="60">
        <f t="shared" si="13"/>
        <v>0</v>
      </c>
      <c r="Y39" s="61">
        <f t="shared" si="14"/>
        <v>0</v>
      </c>
      <c r="Z39" s="60">
        <f>COUNTIFS('Solicitud de eventos'!$J:$J,Z$1,'Solicitud de eventos'!$D:$D,$A39, 'Solicitud de eventos'!X:X,"&lt;&gt;DENEGADO")</f>
        <v>0</v>
      </c>
      <c r="AA39" s="60">
        <f t="shared" si="15"/>
        <v>0</v>
      </c>
      <c r="AB39" s="61">
        <f t="shared" si="16"/>
        <v>0</v>
      </c>
      <c r="AC39" s="60">
        <f>COUNTIFS('Solicitud de eventos'!$J:$J,AC$1,'Solicitud de eventos'!$D:$D,$A39, 'Solicitud de eventos'!X:X,"&lt;&gt;DENEGADO")</f>
        <v>0</v>
      </c>
      <c r="AD39" s="60">
        <f t="shared" si="17"/>
        <v>0</v>
      </c>
      <c r="AE39" s="61">
        <f t="shared" si="18"/>
        <v>0</v>
      </c>
      <c r="AF39" s="60">
        <f>COUNTIFS('Solicitud de eventos'!$Q:$Q,"&gt;0",'Solicitud de eventos'!$D:$D,$A39, 'Solicitud de eventos'!$X:$X,"&lt;&gt;DENEGADO")</f>
        <v>7</v>
      </c>
      <c r="AG39" s="60">
        <f>COUNTIFS('Solicitud de eventos'!$S:$S,"&gt;0",'Solicitud de eventos'!$D:$D,$A39, 'Solicitud de eventos'!$X:$X,"&lt;&gt;DENEGADO")</f>
        <v>2</v>
      </c>
      <c r="AH39" s="60">
        <f>COUNTIFS('Solicitud de eventos'!$U:$U,"&gt;0",'Solicitud de eventos'!$D:$D,$A39, 'Solicitud de eventos'!$X:$X,"&lt;&gt;DENEGADO")</f>
        <v>2</v>
      </c>
      <c r="AI39" s="62"/>
      <c r="AJ39" s="60">
        <f>COUNTIFS('Hoja 4'!F:F,"&lt;7",'Hoja 4'!C:C,$A39, 'Hoja 4'!E:E,"&lt;&gt;DENEGADO")</f>
        <v>13</v>
      </c>
      <c r="AK39" s="60">
        <f>COUNTIFS('Solicitud de eventos'!$D:$D,$A39, 'Solicitud de eventos'!$X:$X,"=DENEGADO")</f>
        <v>0</v>
      </c>
      <c r="AL39" s="60">
        <f t="shared" si="19"/>
        <v>4</v>
      </c>
      <c r="AM39" s="63" t="str">
        <f t="shared" si="20"/>
        <v>INACTIVO</v>
      </c>
    </row>
    <row r="40">
      <c r="A40" s="58" t="s">
        <v>505</v>
      </c>
      <c r="B40" s="59"/>
      <c r="C40" s="59"/>
      <c r="D40" s="60"/>
      <c r="E40" s="60">
        <f>COUNTIFS('Solicitud de eventos'!$J:$J,E$1,'Solicitud de eventos'!$D:$D,$A40, 'Solicitud de eventos'!X:X,"&lt;&gt;DENEGADO")</f>
        <v>7</v>
      </c>
      <c r="F40" s="60">
        <f t="shared" si="1"/>
        <v>0.0875</v>
      </c>
      <c r="G40" s="61">
        <f t="shared" si="2"/>
        <v>0</v>
      </c>
      <c r="H40" s="60">
        <f>COUNTIFS('Solicitud de eventos'!$J:$J,H$1,'Solicitud de eventos'!$D:$D,$A40, 'Solicitud de eventos'!X:X,"&lt;&gt;DENEGADO")</f>
        <v>11</v>
      </c>
      <c r="I40" s="60">
        <f t="shared" si="3"/>
        <v>0.22</v>
      </c>
      <c r="J40" s="61">
        <f t="shared" si="4"/>
        <v>0</v>
      </c>
      <c r="K40" s="60">
        <f>COUNTIFS('Solicitud de eventos'!$J:$J,K$1,'Solicitud de eventos'!$D:$D,$A40, 'Solicitud de eventos'!X:X,"&lt;&gt;DENEGADO")</f>
        <v>1</v>
      </c>
      <c r="L40" s="60">
        <f t="shared" si="5"/>
        <v>0.02777777778</v>
      </c>
      <c r="M40" s="61">
        <f t="shared" si="6"/>
        <v>0</v>
      </c>
      <c r="N40" s="60">
        <f>COUNTIFS('Solicitud de eventos'!$J:$J,N$1,'Solicitud de eventos'!$D:$D,$A40, 'Solicitud de eventos'!X:X,"&lt;&gt;DENEGADO")</f>
        <v>5</v>
      </c>
      <c r="O40" s="60">
        <f t="shared" si="7"/>
        <v>0.2380952381</v>
      </c>
      <c r="P40" s="61">
        <f t="shared" si="8"/>
        <v>0</v>
      </c>
      <c r="Q40" s="60">
        <f>COUNTIFS('Solicitud de eventos'!$J:$J,Q$1,'Solicitud de eventos'!$D:$D,$A40, 'Solicitud de eventos'!X:X,"&lt;&gt;DENEGADO")</f>
        <v>0</v>
      </c>
      <c r="R40" s="60">
        <f t="shared" si="9"/>
        <v>0</v>
      </c>
      <c r="S40" s="61">
        <f t="shared" si="10"/>
        <v>0</v>
      </c>
      <c r="T40" s="60">
        <f>COUNTIFS('Solicitud de eventos'!$J:$J,T$1,'Solicitud de eventos'!$D:$D,$A40, 'Solicitud de eventos'!X:X,"&lt;&gt;DENEGADO")</f>
        <v>0</v>
      </c>
      <c r="U40" s="60">
        <f t="shared" si="11"/>
        <v>0</v>
      </c>
      <c r="V40" s="61">
        <f t="shared" si="12"/>
        <v>0</v>
      </c>
      <c r="W40" s="60">
        <f>COUNTIFS('Solicitud de eventos'!$J:$J,W$1,'Solicitud de eventos'!$D:$D,$A40, 'Solicitud de eventos'!X:X,"&lt;&gt;DENEGADO")</f>
        <v>0</v>
      </c>
      <c r="X40" s="60">
        <f t="shared" si="13"/>
        <v>0</v>
      </c>
      <c r="Y40" s="61">
        <f t="shared" si="14"/>
        <v>0</v>
      </c>
      <c r="Z40" s="60">
        <f>COUNTIFS('Solicitud de eventos'!$J:$J,Z$1,'Solicitud de eventos'!$D:$D,$A40, 'Solicitud de eventos'!X:X,"&lt;&gt;DENEGADO")</f>
        <v>0</v>
      </c>
      <c r="AA40" s="60">
        <f t="shared" si="15"/>
        <v>0</v>
      </c>
      <c r="AB40" s="61">
        <f t="shared" si="16"/>
        <v>0</v>
      </c>
      <c r="AC40" s="60">
        <f>COUNTIFS('Solicitud de eventos'!$J:$J,AC$1,'Solicitud de eventos'!$D:$D,$A40, 'Solicitud de eventos'!X:X,"&lt;&gt;DENEGADO")</f>
        <v>0</v>
      </c>
      <c r="AD40" s="60">
        <f t="shared" si="17"/>
        <v>0</v>
      </c>
      <c r="AE40" s="61">
        <f t="shared" si="18"/>
        <v>0</v>
      </c>
      <c r="AF40" s="60">
        <f>COUNTIFS('Solicitud de eventos'!$Q:$Q,"&gt;0",'Solicitud de eventos'!$D:$D,$A40, 'Solicitud de eventos'!$X:$X,"&lt;&gt;DENEGADO")</f>
        <v>6</v>
      </c>
      <c r="AG40" s="60">
        <f>COUNTIFS('Solicitud de eventos'!$S:$S,"&gt;0",'Solicitud de eventos'!$D:$D,$A40, 'Solicitud de eventos'!$X:$X,"&lt;&gt;DENEGADO")</f>
        <v>0</v>
      </c>
      <c r="AH40" s="60">
        <f>COUNTIFS('Solicitud de eventos'!$U:$U,"&gt;0",'Solicitud de eventos'!$D:$D,$A40, 'Solicitud de eventos'!$X:$X,"&lt;&gt;DENEGADO")</f>
        <v>0</v>
      </c>
      <c r="AI40" s="62"/>
      <c r="AJ40" s="60">
        <f>COUNTIFS('Hoja 4'!F:F,"&lt;7",'Hoja 4'!C:C,$A40, 'Hoja 4'!E:E,"&lt;&gt;DENEGADO")</f>
        <v>1</v>
      </c>
      <c r="AK40" s="60">
        <f>COUNTIFS('Solicitud de eventos'!$D:$D,$A40, 'Solicitud de eventos'!$X:$X,"=DENEGADO")</f>
        <v>0</v>
      </c>
      <c r="AL40" s="60">
        <f t="shared" si="19"/>
        <v>0</v>
      </c>
      <c r="AM40" s="63" t="str">
        <f t="shared" si="20"/>
        <v>INACTIVO</v>
      </c>
    </row>
    <row r="41">
      <c r="A41" s="58" t="s">
        <v>248</v>
      </c>
      <c r="B41" s="59"/>
      <c r="C41" s="59"/>
      <c r="D41" s="60"/>
      <c r="E41" s="60">
        <f>COUNTIFS('Solicitud de eventos'!$J:$J,E$1,'Solicitud de eventos'!$D:$D,$A41, 'Solicitud de eventos'!X:X,"&lt;&gt;DENEGADO")</f>
        <v>4</v>
      </c>
      <c r="F41" s="60">
        <f t="shared" si="1"/>
        <v>0.05</v>
      </c>
      <c r="G41" s="61">
        <f t="shared" si="2"/>
        <v>0</v>
      </c>
      <c r="H41" s="60">
        <f>COUNTIFS('Solicitud de eventos'!$J:$J,H$1,'Solicitud de eventos'!$D:$D,$A41, 'Solicitud de eventos'!X:X,"&lt;&gt;DENEGADO")</f>
        <v>6</v>
      </c>
      <c r="I41" s="60">
        <f t="shared" si="3"/>
        <v>0.12</v>
      </c>
      <c r="J41" s="61">
        <f t="shared" si="4"/>
        <v>0</v>
      </c>
      <c r="K41" s="60">
        <f>COUNTIFS('Solicitud de eventos'!$J:$J,K$1,'Solicitud de eventos'!$D:$D,$A41, 'Solicitud de eventos'!X:X,"&lt;&gt;DENEGADO")</f>
        <v>2</v>
      </c>
      <c r="L41" s="60">
        <f t="shared" si="5"/>
        <v>0.05555555556</v>
      </c>
      <c r="M41" s="61">
        <f t="shared" si="6"/>
        <v>0</v>
      </c>
      <c r="N41" s="60">
        <f>COUNTIFS('Solicitud de eventos'!$J:$J,N$1,'Solicitud de eventos'!$D:$D,$A41, 'Solicitud de eventos'!X:X,"&lt;&gt;DENEGADO")</f>
        <v>0</v>
      </c>
      <c r="O41" s="60">
        <f t="shared" si="7"/>
        <v>0</v>
      </c>
      <c r="P41" s="61">
        <f t="shared" si="8"/>
        <v>0</v>
      </c>
      <c r="Q41" s="60">
        <f>COUNTIFS('Solicitud de eventos'!$J:$J,Q$1,'Solicitud de eventos'!$D:$D,$A41, 'Solicitud de eventos'!X:X,"&lt;&gt;DENEGADO")</f>
        <v>0</v>
      </c>
      <c r="R41" s="60">
        <f t="shared" si="9"/>
        <v>0</v>
      </c>
      <c r="S41" s="61">
        <f t="shared" si="10"/>
        <v>0</v>
      </c>
      <c r="T41" s="60">
        <f>COUNTIFS('Solicitud de eventos'!$J:$J,T$1,'Solicitud de eventos'!$D:$D,$A41, 'Solicitud de eventos'!X:X,"&lt;&gt;DENEGADO")</f>
        <v>0</v>
      </c>
      <c r="U41" s="60">
        <f t="shared" si="11"/>
        <v>0</v>
      </c>
      <c r="V41" s="61">
        <f t="shared" si="12"/>
        <v>0</v>
      </c>
      <c r="W41" s="60">
        <f>COUNTIFS('Solicitud de eventos'!$J:$J,W$1,'Solicitud de eventos'!$D:$D,$A41, 'Solicitud de eventos'!X:X,"&lt;&gt;DENEGADO")</f>
        <v>0</v>
      </c>
      <c r="X41" s="60">
        <f t="shared" si="13"/>
        <v>0</v>
      </c>
      <c r="Y41" s="61">
        <f t="shared" si="14"/>
        <v>0</v>
      </c>
      <c r="Z41" s="60">
        <f>COUNTIFS('Solicitud de eventos'!$J:$J,Z$1,'Solicitud de eventos'!$D:$D,$A41, 'Solicitud de eventos'!X:X,"&lt;&gt;DENEGADO")</f>
        <v>0</v>
      </c>
      <c r="AA41" s="60">
        <f t="shared" si="15"/>
        <v>0</v>
      </c>
      <c r="AB41" s="61">
        <f t="shared" si="16"/>
        <v>0</v>
      </c>
      <c r="AC41" s="60">
        <f>COUNTIFS('Solicitud de eventos'!$J:$J,AC$1,'Solicitud de eventos'!$D:$D,$A41, 'Solicitud de eventos'!X:X,"&lt;&gt;DENEGADO")</f>
        <v>0</v>
      </c>
      <c r="AD41" s="60">
        <f t="shared" si="17"/>
        <v>0</v>
      </c>
      <c r="AE41" s="61">
        <f t="shared" si="18"/>
        <v>0</v>
      </c>
      <c r="AF41" s="60">
        <f>COUNTIFS('Solicitud de eventos'!$Q:$Q,"&gt;0",'Solicitud de eventos'!$D:$D,$A41, 'Solicitud de eventos'!$X:$X,"&lt;&gt;DENEGADO")</f>
        <v>6</v>
      </c>
      <c r="AG41" s="60">
        <f>COUNTIFS('Solicitud de eventos'!$S:$S,"&gt;0",'Solicitud de eventos'!$D:$D,$A41, 'Solicitud de eventos'!$X:$X,"&lt;&gt;DENEGADO")</f>
        <v>0</v>
      </c>
      <c r="AH41" s="60">
        <f>COUNTIFS('Solicitud de eventos'!$U:$U,"&gt;0",'Solicitud de eventos'!$D:$D,$A41, 'Solicitud de eventos'!$X:$X,"&lt;&gt;DENEGADO")</f>
        <v>2</v>
      </c>
      <c r="AI41" s="62"/>
      <c r="AJ41" s="60">
        <f>COUNTIFS('Hoja 4'!F:F,"&lt;7",'Hoja 4'!C:C,$A41, 'Hoja 4'!E:E,"&lt;&gt;DENEGADO")</f>
        <v>9</v>
      </c>
      <c r="AK41" s="60">
        <f>COUNTIFS('Solicitud de eventos'!$D:$D,$A41, 'Solicitud de eventos'!$X:$X,"=DENEGADO")</f>
        <v>0</v>
      </c>
      <c r="AL41" s="60">
        <f t="shared" si="19"/>
        <v>0</v>
      </c>
      <c r="AM41" s="63" t="str">
        <f t="shared" si="20"/>
        <v>INACTIVO</v>
      </c>
    </row>
    <row r="42">
      <c r="A42" s="58" t="s">
        <v>97</v>
      </c>
      <c r="B42" s="59"/>
      <c r="C42" s="59"/>
      <c r="D42" s="60"/>
      <c r="E42" s="60">
        <f>COUNTIFS('Solicitud de eventos'!$J:$J,E$1,'Solicitud de eventos'!$D:$D,$A42, 'Solicitud de eventos'!X:X,"&lt;&gt;DENEGADO")</f>
        <v>3</v>
      </c>
      <c r="F42" s="60">
        <f t="shared" si="1"/>
        <v>0.0375</v>
      </c>
      <c r="G42" s="61">
        <f t="shared" si="2"/>
        <v>0</v>
      </c>
      <c r="H42" s="60">
        <f>COUNTIFS('Solicitud de eventos'!$J:$J,H$1,'Solicitud de eventos'!$D:$D,$A42, 'Solicitud de eventos'!X:X,"&lt;&gt;DENEGADO")</f>
        <v>16</v>
      </c>
      <c r="I42" s="60">
        <f t="shared" si="3"/>
        <v>0.32</v>
      </c>
      <c r="J42" s="61">
        <f t="shared" si="4"/>
        <v>4</v>
      </c>
      <c r="K42" s="60">
        <f>COUNTIFS('Solicitud de eventos'!$J:$J,K$1,'Solicitud de eventos'!$D:$D,$A42, 'Solicitud de eventos'!X:X,"&lt;&gt;DENEGADO")</f>
        <v>6</v>
      </c>
      <c r="L42" s="60">
        <f t="shared" si="5"/>
        <v>0.1666666667</v>
      </c>
      <c r="M42" s="61">
        <f t="shared" si="6"/>
        <v>0</v>
      </c>
      <c r="N42" s="60">
        <f>COUNTIFS('Solicitud de eventos'!$J:$J,N$1,'Solicitud de eventos'!$D:$D,$A42, 'Solicitud de eventos'!X:X,"&lt;&gt;DENEGADO")</f>
        <v>5</v>
      </c>
      <c r="O42" s="60">
        <f t="shared" si="7"/>
        <v>0.2380952381</v>
      </c>
      <c r="P42" s="61">
        <f t="shared" si="8"/>
        <v>0</v>
      </c>
      <c r="Q42" s="60">
        <f>COUNTIFS('Solicitud de eventos'!$J:$J,Q$1,'Solicitud de eventos'!$D:$D,$A42, 'Solicitud de eventos'!X:X,"&lt;&gt;DENEGADO")</f>
        <v>9</v>
      </c>
      <c r="R42" s="60">
        <f t="shared" si="9"/>
        <v>0.15</v>
      </c>
      <c r="S42" s="61">
        <f t="shared" si="10"/>
        <v>0</v>
      </c>
      <c r="T42" s="60">
        <f>COUNTIFS('Solicitud de eventos'!$J:$J,T$1,'Solicitud de eventos'!$D:$D,$A42, 'Solicitud de eventos'!X:X,"&lt;&gt;DENEGADO")</f>
        <v>0</v>
      </c>
      <c r="U42" s="60">
        <f t="shared" si="11"/>
        <v>0</v>
      </c>
      <c r="V42" s="61">
        <f t="shared" si="12"/>
        <v>0</v>
      </c>
      <c r="W42" s="60">
        <f>COUNTIFS('Solicitud de eventos'!$J:$J,W$1,'Solicitud de eventos'!$D:$D,$A42, 'Solicitud de eventos'!X:X,"&lt;&gt;DENEGADO")</f>
        <v>0</v>
      </c>
      <c r="X42" s="60">
        <f t="shared" si="13"/>
        <v>0</v>
      </c>
      <c r="Y42" s="61">
        <f t="shared" si="14"/>
        <v>0</v>
      </c>
      <c r="Z42" s="60">
        <f>COUNTIFS('Solicitud de eventos'!$J:$J,Z$1,'Solicitud de eventos'!$D:$D,$A42, 'Solicitud de eventos'!X:X,"&lt;&gt;DENEGADO")</f>
        <v>0</v>
      </c>
      <c r="AA42" s="60">
        <f t="shared" si="15"/>
        <v>0</v>
      </c>
      <c r="AB42" s="61">
        <f t="shared" si="16"/>
        <v>0</v>
      </c>
      <c r="AC42" s="60">
        <f>COUNTIFS('Solicitud de eventos'!$J:$J,AC$1,'Solicitud de eventos'!$D:$D,$A42, 'Solicitud de eventos'!X:X,"&lt;&gt;DENEGADO")</f>
        <v>1</v>
      </c>
      <c r="AD42" s="60">
        <f t="shared" si="17"/>
        <v>0.125</v>
      </c>
      <c r="AE42" s="61">
        <f t="shared" si="18"/>
        <v>0</v>
      </c>
      <c r="AF42" s="60">
        <f>COUNTIFS('Solicitud de eventos'!$Q:$Q,"&gt;0",'Solicitud de eventos'!$D:$D,$A42, 'Solicitud de eventos'!$X:$X,"&lt;&gt;DENEGADO")</f>
        <v>17</v>
      </c>
      <c r="AG42" s="60">
        <f>COUNTIFS('Solicitud de eventos'!$S:$S,"&gt;0",'Solicitud de eventos'!$D:$D,$A42, 'Solicitud de eventos'!$X:$X,"&lt;&gt;DENEGADO")</f>
        <v>3</v>
      </c>
      <c r="AH42" s="60">
        <f>COUNTIFS('Solicitud de eventos'!$U:$U,"&gt;0",'Solicitud de eventos'!$D:$D,$A42, 'Solicitud de eventos'!$X:$X,"&lt;&gt;DENEGADO")</f>
        <v>0</v>
      </c>
      <c r="AI42" s="62"/>
      <c r="AJ42" s="60">
        <f>COUNTIFS('Hoja 4'!F:F,"&lt;7",'Hoja 4'!C:C,$A42, 'Hoja 4'!E:E,"&lt;&gt;DENEGADO")</f>
        <v>10</v>
      </c>
      <c r="AK42" s="60">
        <f>COUNTIFS('Solicitud de eventos'!$D:$D,$A42, 'Solicitud de eventos'!$X:$X,"=DENEGADO")</f>
        <v>0</v>
      </c>
      <c r="AL42" s="60">
        <f t="shared" si="19"/>
        <v>4</v>
      </c>
      <c r="AM42" s="63" t="str">
        <f t="shared" si="20"/>
        <v>INACTIVO</v>
      </c>
    </row>
    <row r="43">
      <c r="A43" s="58" t="s">
        <v>362</v>
      </c>
      <c r="B43" s="59"/>
      <c r="C43" s="59"/>
      <c r="D43" s="60"/>
      <c r="E43" s="60">
        <f>COUNTIFS('Solicitud de eventos'!$J:$J,E$1,'Solicitud de eventos'!$D:$D,$A43, 'Solicitud de eventos'!X:X,"&lt;&gt;DENEGADO")</f>
        <v>0</v>
      </c>
      <c r="F43" s="60">
        <f t="shared" si="1"/>
        <v>0</v>
      </c>
      <c r="G43" s="61">
        <f t="shared" si="2"/>
        <v>0</v>
      </c>
      <c r="H43" s="60">
        <f>COUNTIFS('Solicitud de eventos'!$J:$J,H$1,'Solicitud de eventos'!$D:$D,$A43, 'Solicitud de eventos'!X:X,"&lt;&gt;DENEGADO")</f>
        <v>3</v>
      </c>
      <c r="I43" s="60">
        <f t="shared" si="3"/>
        <v>0.06</v>
      </c>
      <c r="J43" s="61">
        <f t="shared" si="4"/>
        <v>0</v>
      </c>
      <c r="K43" s="60">
        <f>COUNTIFS('Solicitud de eventos'!$J:$J,K$1,'Solicitud de eventos'!$D:$D,$A43, 'Solicitud de eventos'!X:X,"&lt;&gt;DENEGADO")</f>
        <v>0</v>
      </c>
      <c r="L43" s="60">
        <f t="shared" si="5"/>
        <v>0</v>
      </c>
      <c r="M43" s="61">
        <f t="shared" si="6"/>
        <v>0</v>
      </c>
      <c r="N43" s="60">
        <f>COUNTIFS('Solicitud de eventos'!$J:$J,N$1,'Solicitud de eventos'!$D:$D,$A43, 'Solicitud de eventos'!X:X,"&lt;&gt;DENEGADO")</f>
        <v>0</v>
      </c>
      <c r="O43" s="60">
        <f t="shared" si="7"/>
        <v>0</v>
      </c>
      <c r="P43" s="61">
        <f t="shared" si="8"/>
        <v>0</v>
      </c>
      <c r="Q43" s="60">
        <f>COUNTIFS('Solicitud de eventos'!$J:$J,Q$1,'Solicitud de eventos'!$D:$D,$A43, 'Solicitud de eventos'!X:X,"&lt;&gt;DENEGADO")</f>
        <v>0</v>
      </c>
      <c r="R43" s="60">
        <f t="shared" si="9"/>
        <v>0</v>
      </c>
      <c r="S43" s="61">
        <f t="shared" si="10"/>
        <v>0</v>
      </c>
      <c r="T43" s="60">
        <f>COUNTIFS('Solicitud de eventos'!$J:$J,T$1,'Solicitud de eventos'!$D:$D,$A43, 'Solicitud de eventos'!X:X,"&lt;&gt;DENEGADO")</f>
        <v>0</v>
      </c>
      <c r="U43" s="60">
        <f t="shared" si="11"/>
        <v>0</v>
      </c>
      <c r="V43" s="61">
        <f t="shared" si="12"/>
        <v>0</v>
      </c>
      <c r="W43" s="60">
        <f>COUNTIFS('Solicitud de eventos'!$J:$J,W$1,'Solicitud de eventos'!$D:$D,$A43, 'Solicitud de eventos'!X:X,"&lt;&gt;DENEGADO")</f>
        <v>0</v>
      </c>
      <c r="X43" s="60">
        <f t="shared" si="13"/>
        <v>0</v>
      </c>
      <c r="Y43" s="61">
        <f t="shared" si="14"/>
        <v>0</v>
      </c>
      <c r="Z43" s="60">
        <f>COUNTIFS('Solicitud de eventos'!$J:$J,Z$1,'Solicitud de eventos'!$D:$D,$A43, 'Solicitud de eventos'!X:X,"&lt;&gt;DENEGADO")</f>
        <v>0</v>
      </c>
      <c r="AA43" s="60">
        <f t="shared" si="15"/>
        <v>0</v>
      </c>
      <c r="AB43" s="61">
        <f t="shared" si="16"/>
        <v>0</v>
      </c>
      <c r="AC43" s="60">
        <f>COUNTIFS('Solicitud de eventos'!$J:$J,AC$1,'Solicitud de eventos'!$D:$D,$A43, 'Solicitud de eventos'!X:X,"&lt;&gt;DENEGADO")</f>
        <v>1</v>
      </c>
      <c r="AD43" s="60">
        <f t="shared" si="17"/>
        <v>0.125</v>
      </c>
      <c r="AE43" s="61">
        <f t="shared" si="18"/>
        <v>0</v>
      </c>
      <c r="AF43" s="60">
        <f>COUNTIFS('Solicitud de eventos'!$Q:$Q,"&gt;0",'Solicitud de eventos'!$D:$D,$A43, 'Solicitud de eventos'!$X:$X,"&lt;&gt;DENEGADO")</f>
        <v>0</v>
      </c>
      <c r="AG43" s="60">
        <f>COUNTIFS('Solicitud de eventos'!$S:$S,"&gt;0",'Solicitud de eventos'!$D:$D,$A43, 'Solicitud de eventos'!$X:$X,"&lt;&gt;DENEGADO")</f>
        <v>0</v>
      </c>
      <c r="AH43" s="60">
        <f>COUNTIFS('Solicitud de eventos'!$U:$U,"&gt;0",'Solicitud de eventos'!$D:$D,$A43, 'Solicitud de eventos'!$X:$X,"&lt;&gt;DENEGADO")</f>
        <v>0</v>
      </c>
      <c r="AI43" s="62"/>
      <c r="AJ43" s="60">
        <f>COUNTIFS('Hoja 4'!F:F,"&lt;7",'Hoja 4'!C:C,$A43, 'Hoja 4'!E:E,"&lt;&gt;DENEGADO")</f>
        <v>0</v>
      </c>
      <c r="AK43" s="60">
        <f>COUNTIFS('Solicitud de eventos'!$D:$D,$A43, 'Solicitud de eventos'!$X:$X,"=DENEGADO")</f>
        <v>0</v>
      </c>
      <c r="AL43" s="60">
        <f t="shared" si="19"/>
        <v>0</v>
      </c>
      <c r="AM43" s="63" t="str">
        <f t="shared" si="20"/>
        <v>INACTIVO</v>
      </c>
    </row>
    <row r="44">
      <c r="A44" s="58" t="s">
        <v>6170</v>
      </c>
      <c r="B44" s="59"/>
      <c r="C44" s="59"/>
      <c r="D44" s="60"/>
      <c r="E44" s="60">
        <f>COUNTIFS('Solicitud de eventos'!$J:$J,E$1,'Solicitud de eventos'!$D:$D,$A44, 'Solicitud de eventos'!X:X,"&lt;&gt;DENEGADO")</f>
        <v>0</v>
      </c>
      <c r="F44" s="60">
        <f t="shared" si="1"/>
        <v>0</v>
      </c>
      <c r="G44" s="61">
        <f t="shared" si="2"/>
        <v>0</v>
      </c>
      <c r="H44" s="60">
        <f>COUNTIFS('Solicitud de eventos'!$J:$J,H$1,'Solicitud de eventos'!$D:$D,$A44, 'Solicitud de eventos'!X:X,"&lt;&gt;DENEGADO")</f>
        <v>0</v>
      </c>
      <c r="I44" s="60">
        <f t="shared" si="3"/>
        <v>0</v>
      </c>
      <c r="J44" s="61">
        <f t="shared" si="4"/>
        <v>0</v>
      </c>
      <c r="K44" s="60">
        <f>COUNTIFS('Solicitud de eventos'!$J:$J,K$1,'Solicitud de eventos'!$D:$D,$A44, 'Solicitud de eventos'!X:X,"&lt;&gt;DENEGADO")</f>
        <v>0</v>
      </c>
      <c r="L44" s="60">
        <f t="shared" si="5"/>
        <v>0</v>
      </c>
      <c r="M44" s="61">
        <f t="shared" si="6"/>
        <v>0</v>
      </c>
      <c r="N44" s="60">
        <f>COUNTIFS('Solicitud de eventos'!$J:$J,N$1,'Solicitud de eventos'!$D:$D,$A44, 'Solicitud de eventos'!X:X,"&lt;&gt;DENEGADO")</f>
        <v>0</v>
      </c>
      <c r="O44" s="60">
        <f t="shared" si="7"/>
        <v>0</v>
      </c>
      <c r="P44" s="61">
        <f t="shared" si="8"/>
        <v>0</v>
      </c>
      <c r="Q44" s="60">
        <f>COUNTIFS('Solicitud de eventos'!$J:$J,Q$1,'Solicitud de eventos'!$D:$D,$A44, 'Solicitud de eventos'!X:X,"&lt;&gt;DENEGADO")</f>
        <v>0</v>
      </c>
      <c r="R44" s="60">
        <f t="shared" si="9"/>
        <v>0</v>
      </c>
      <c r="S44" s="61">
        <f t="shared" si="10"/>
        <v>0</v>
      </c>
      <c r="T44" s="60">
        <f>COUNTIFS('Solicitud de eventos'!$J:$J,T$1,'Solicitud de eventos'!$D:$D,$A44, 'Solicitud de eventos'!X:X,"&lt;&gt;DENEGADO")</f>
        <v>0</v>
      </c>
      <c r="U44" s="60">
        <f t="shared" si="11"/>
        <v>0</v>
      </c>
      <c r="V44" s="61">
        <f t="shared" si="12"/>
        <v>0</v>
      </c>
      <c r="W44" s="60">
        <f>COUNTIFS('Solicitud de eventos'!$J:$J,W$1,'Solicitud de eventos'!$D:$D,$A44, 'Solicitud de eventos'!X:X,"&lt;&gt;DENEGADO")</f>
        <v>0</v>
      </c>
      <c r="X44" s="60">
        <f t="shared" si="13"/>
        <v>0</v>
      </c>
      <c r="Y44" s="61">
        <f t="shared" si="14"/>
        <v>0</v>
      </c>
      <c r="Z44" s="60">
        <f>COUNTIFS('Solicitud de eventos'!$J:$J,Z$1,'Solicitud de eventos'!$D:$D,$A44, 'Solicitud de eventos'!X:X,"&lt;&gt;DENEGADO")</f>
        <v>0</v>
      </c>
      <c r="AA44" s="60">
        <f t="shared" si="15"/>
        <v>0</v>
      </c>
      <c r="AB44" s="61">
        <f t="shared" si="16"/>
        <v>0</v>
      </c>
      <c r="AC44" s="60">
        <f>COUNTIFS('Solicitud de eventos'!$J:$J,AC$1,'Solicitud de eventos'!$D:$D,$A44, 'Solicitud de eventos'!X:X,"&lt;&gt;DENEGADO")</f>
        <v>0</v>
      </c>
      <c r="AD44" s="60">
        <f t="shared" si="17"/>
        <v>0</v>
      </c>
      <c r="AE44" s="61">
        <f t="shared" si="18"/>
        <v>0</v>
      </c>
      <c r="AF44" s="60">
        <f>COUNTIFS('Solicitud de eventos'!$Q:$Q,"&gt;0",'Solicitud de eventos'!$D:$D,$A44, 'Solicitud de eventos'!$X:$X,"&lt;&gt;DENEGADO")</f>
        <v>0</v>
      </c>
      <c r="AG44" s="60">
        <f>COUNTIFS('Solicitud de eventos'!$S:$S,"&gt;0",'Solicitud de eventos'!$D:$D,$A44, 'Solicitud de eventos'!$X:$X,"&lt;&gt;DENEGADO")</f>
        <v>0</v>
      </c>
      <c r="AH44" s="60">
        <f>COUNTIFS('Solicitud de eventos'!$U:$U,"&gt;0",'Solicitud de eventos'!$D:$D,$A44, 'Solicitud de eventos'!$X:$X,"&lt;&gt;DENEGADO")</f>
        <v>0</v>
      </c>
      <c r="AI44" s="62"/>
      <c r="AJ44" s="60">
        <f>COUNTIFS('Hoja 4'!F:F,"&lt;7",'Hoja 4'!C:C,$A44, 'Hoja 4'!E:E,"&lt;&gt;DENEGADO")</f>
        <v>0</v>
      </c>
      <c r="AK44" s="60">
        <f>COUNTIFS('Solicitud de eventos'!$D:$D,$A44, 'Solicitud de eventos'!$X:$X,"=DENEGADO")</f>
        <v>0</v>
      </c>
      <c r="AL44" s="60">
        <f t="shared" si="19"/>
        <v>0</v>
      </c>
      <c r="AM44" s="63" t="str">
        <f t="shared" si="20"/>
        <v>INACTIVO</v>
      </c>
    </row>
    <row r="45">
      <c r="A45" s="58" t="s">
        <v>138</v>
      </c>
      <c r="B45" s="59"/>
      <c r="C45" s="59"/>
      <c r="D45" s="60"/>
      <c r="E45" s="60">
        <f>COUNTIFS('Solicitud de eventos'!$J:$J,E$1,'Solicitud de eventos'!$D:$D,$A45, 'Solicitud de eventos'!X:X,"&lt;&gt;DENEGADO")</f>
        <v>42</v>
      </c>
      <c r="F45" s="60">
        <f t="shared" si="1"/>
        <v>0.525</v>
      </c>
      <c r="G45" s="61">
        <f t="shared" si="2"/>
        <v>8</v>
      </c>
      <c r="H45" s="60">
        <f>COUNTIFS('Solicitud de eventos'!$J:$J,H$1,'Solicitud de eventos'!$D:$D,$A45, 'Solicitud de eventos'!X:X,"&lt;&gt;DENEGADO")</f>
        <v>12</v>
      </c>
      <c r="I45" s="60">
        <f t="shared" si="3"/>
        <v>0.24</v>
      </c>
      <c r="J45" s="61">
        <f t="shared" si="4"/>
        <v>0</v>
      </c>
      <c r="K45" s="60">
        <f>COUNTIFS('Solicitud de eventos'!$J:$J,K$1,'Solicitud de eventos'!$D:$D,$A45, 'Solicitud de eventos'!X:X,"&lt;&gt;DENEGADO")</f>
        <v>1</v>
      </c>
      <c r="L45" s="60">
        <f t="shared" si="5"/>
        <v>0.02777777778</v>
      </c>
      <c r="M45" s="61">
        <f t="shared" si="6"/>
        <v>0</v>
      </c>
      <c r="N45" s="60">
        <f>COUNTIFS('Solicitud de eventos'!$J:$J,N$1,'Solicitud de eventos'!$D:$D,$A45, 'Solicitud de eventos'!X:X,"&lt;&gt;DENEGADO")</f>
        <v>0</v>
      </c>
      <c r="O45" s="60">
        <f t="shared" si="7"/>
        <v>0</v>
      </c>
      <c r="P45" s="61">
        <f t="shared" si="8"/>
        <v>0</v>
      </c>
      <c r="Q45" s="60">
        <f>COUNTIFS('Solicitud de eventos'!$J:$J,Q$1,'Solicitud de eventos'!$D:$D,$A45, 'Solicitud de eventos'!X:X,"&lt;&gt;DENEGADO")</f>
        <v>0</v>
      </c>
      <c r="R45" s="60">
        <f t="shared" si="9"/>
        <v>0</v>
      </c>
      <c r="S45" s="61">
        <f t="shared" si="10"/>
        <v>0</v>
      </c>
      <c r="T45" s="60">
        <f>COUNTIFS('Solicitud de eventos'!$J:$J,T$1,'Solicitud de eventos'!$D:$D,$A45, 'Solicitud de eventos'!X:X,"&lt;&gt;DENEGADO")</f>
        <v>3</v>
      </c>
      <c r="U45" s="60">
        <f t="shared" si="11"/>
        <v>1</v>
      </c>
      <c r="V45" s="61">
        <f t="shared" si="12"/>
        <v>12</v>
      </c>
      <c r="W45" s="60">
        <f>COUNTIFS('Solicitud de eventos'!$J:$J,W$1,'Solicitud de eventos'!$D:$D,$A45, 'Solicitud de eventos'!X:X,"&lt;&gt;DENEGADO")</f>
        <v>1</v>
      </c>
      <c r="X45" s="60">
        <f t="shared" si="13"/>
        <v>0.25</v>
      </c>
      <c r="Y45" s="61">
        <f t="shared" si="14"/>
        <v>0</v>
      </c>
      <c r="Z45" s="60">
        <f>COUNTIFS('Solicitud de eventos'!$J:$J,Z$1,'Solicitud de eventos'!$D:$D,$A45, 'Solicitud de eventos'!X:X,"&lt;&gt;DENEGADO")</f>
        <v>0</v>
      </c>
      <c r="AA45" s="60">
        <f t="shared" si="15"/>
        <v>0</v>
      </c>
      <c r="AB45" s="61">
        <f t="shared" si="16"/>
        <v>0</v>
      </c>
      <c r="AC45" s="60">
        <f>COUNTIFS('Solicitud de eventos'!$J:$J,AC$1,'Solicitud de eventos'!$D:$D,$A45, 'Solicitud de eventos'!X:X,"&lt;&gt;DENEGADO")</f>
        <v>2</v>
      </c>
      <c r="AD45" s="60">
        <f t="shared" si="17"/>
        <v>0.25</v>
      </c>
      <c r="AE45" s="61">
        <f t="shared" si="18"/>
        <v>0</v>
      </c>
      <c r="AF45" s="60">
        <f>COUNTIFS('Solicitud de eventos'!$Q:$Q,"&gt;0",'Solicitud de eventos'!$D:$D,$A45, 'Solicitud de eventos'!$X:$X,"&lt;&gt;DENEGADO")</f>
        <v>1</v>
      </c>
      <c r="AG45" s="60">
        <f>COUNTIFS('Solicitud de eventos'!$S:$S,"&gt;0",'Solicitud de eventos'!$D:$D,$A45, 'Solicitud de eventos'!$X:$X,"&lt;&gt;DENEGADO")</f>
        <v>0</v>
      </c>
      <c r="AH45" s="60">
        <f>COUNTIFS('Solicitud de eventos'!$U:$U,"&gt;0",'Solicitud de eventos'!$D:$D,$A45, 'Solicitud de eventos'!$X:$X,"&lt;&gt;DENEGADO")</f>
        <v>0</v>
      </c>
      <c r="AI45" s="62"/>
      <c r="AJ45" s="60">
        <f>COUNTIFS('Hoja 4'!F:F,"&lt;7",'Hoja 4'!C:C,$A45, 'Hoja 4'!E:E,"&lt;&gt;DENEGADO")</f>
        <v>14</v>
      </c>
      <c r="AK45" s="60">
        <f>COUNTIFS('Solicitud de eventos'!$D:$D,$A45, 'Solicitud de eventos'!$X:$X,"=DENEGADO")</f>
        <v>0</v>
      </c>
      <c r="AL45" s="60">
        <f t="shared" si="19"/>
        <v>20</v>
      </c>
      <c r="AM45" s="63" t="str">
        <f t="shared" si="20"/>
        <v>ROBLE MORADO</v>
      </c>
    </row>
    <row r="46">
      <c r="A46" s="58" t="s">
        <v>511</v>
      </c>
      <c r="B46" s="59"/>
      <c r="C46" s="59"/>
      <c r="D46" s="60"/>
      <c r="E46" s="60">
        <f>COUNTIFS('Solicitud de eventos'!$J:$J,E$1,'Solicitud de eventos'!$D:$D,$A46, 'Solicitud de eventos'!X:X,"&lt;&gt;DENEGADO")</f>
        <v>9</v>
      </c>
      <c r="F46" s="60">
        <f t="shared" si="1"/>
        <v>0.1125</v>
      </c>
      <c r="G46" s="61">
        <f t="shared" si="2"/>
        <v>0</v>
      </c>
      <c r="H46" s="60">
        <f>COUNTIFS('Solicitud de eventos'!$J:$J,H$1,'Solicitud de eventos'!$D:$D,$A46, 'Solicitud de eventos'!X:X,"&lt;&gt;DENEGADO")</f>
        <v>4</v>
      </c>
      <c r="I46" s="60">
        <f t="shared" si="3"/>
        <v>0.08</v>
      </c>
      <c r="J46" s="61">
        <f t="shared" si="4"/>
        <v>0</v>
      </c>
      <c r="K46" s="60">
        <f>COUNTIFS('Solicitud de eventos'!$J:$J,K$1,'Solicitud de eventos'!$D:$D,$A46, 'Solicitud de eventos'!X:X,"&lt;&gt;DENEGADO")</f>
        <v>0</v>
      </c>
      <c r="L46" s="60">
        <f t="shared" si="5"/>
        <v>0</v>
      </c>
      <c r="M46" s="61">
        <f t="shared" si="6"/>
        <v>0</v>
      </c>
      <c r="N46" s="60">
        <f>COUNTIFS('Solicitud de eventos'!$J:$J,N$1,'Solicitud de eventos'!$D:$D,$A46, 'Solicitud de eventos'!X:X,"&lt;&gt;DENEGADO")</f>
        <v>6</v>
      </c>
      <c r="O46" s="60">
        <f t="shared" si="7"/>
        <v>0.2857142857</v>
      </c>
      <c r="P46" s="61">
        <f t="shared" si="8"/>
        <v>4</v>
      </c>
      <c r="Q46" s="60">
        <f>COUNTIFS('Solicitud de eventos'!$J:$J,Q$1,'Solicitud de eventos'!$D:$D,$A46, 'Solicitud de eventos'!X:X,"&lt;&gt;DENEGADO")</f>
        <v>1</v>
      </c>
      <c r="R46" s="60">
        <f t="shared" si="9"/>
        <v>0.01666666667</v>
      </c>
      <c r="S46" s="61">
        <f t="shared" si="10"/>
        <v>0</v>
      </c>
      <c r="T46" s="60">
        <f>COUNTIFS('Solicitud de eventos'!$J:$J,T$1,'Solicitud de eventos'!$D:$D,$A46, 'Solicitud de eventos'!X:X,"&lt;&gt;DENEGADO")</f>
        <v>0</v>
      </c>
      <c r="U46" s="60">
        <f t="shared" si="11"/>
        <v>0</v>
      </c>
      <c r="V46" s="61">
        <f t="shared" si="12"/>
        <v>0</v>
      </c>
      <c r="W46" s="60">
        <f>COUNTIFS('Solicitud de eventos'!$J:$J,W$1,'Solicitud de eventos'!$D:$D,$A46, 'Solicitud de eventos'!X:X,"&lt;&gt;DENEGADO")</f>
        <v>0</v>
      </c>
      <c r="X46" s="60">
        <f t="shared" si="13"/>
        <v>0</v>
      </c>
      <c r="Y46" s="61">
        <f t="shared" si="14"/>
        <v>0</v>
      </c>
      <c r="Z46" s="60">
        <f>COUNTIFS('Solicitud de eventos'!$J:$J,Z$1,'Solicitud de eventos'!$D:$D,$A46, 'Solicitud de eventos'!X:X,"&lt;&gt;DENEGADO")</f>
        <v>0</v>
      </c>
      <c r="AA46" s="60">
        <f t="shared" si="15"/>
        <v>0</v>
      </c>
      <c r="AB46" s="61">
        <f t="shared" si="16"/>
        <v>0</v>
      </c>
      <c r="AC46" s="60">
        <f>COUNTIFS('Solicitud de eventos'!$J:$J,AC$1,'Solicitud de eventos'!$D:$D,$A46, 'Solicitud de eventos'!X:X,"&lt;&gt;DENEGADO")</f>
        <v>0</v>
      </c>
      <c r="AD46" s="60">
        <f t="shared" si="17"/>
        <v>0</v>
      </c>
      <c r="AE46" s="61">
        <f t="shared" si="18"/>
        <v>0</v>
      </c>
      <c r="AF46" s="60">
        <f>COUNTIFS('Solicitud de eventos'!$Q:$Q,"&gt;0",'Solicitud de eventos'!$D:$D,$A46, 'Solicitud de eventos'!$X:$X,"&lt;&gt;DENEGADO")</f>
        <v>0</v>
      </c>
      <c r="AG46" s="60">
        <f>COUNTIFS('Solicitud de eventos'!$S:$S,"&gt;0",'Solicitud de eventos'!$D:$D,$A46, 'Solicitud de eventos'!$X:$X,"&lt;&gt;DENEGADO")</f>
        <v>0</v>
      </c>
      <c r="AH46" s="60">
        <f>COUNTIFS('Solicitud de eventos'!$U:$U,"&gt;0",'Solicitud de eventos'!$D:$D,$A46, 'Solicitud de eventos'!$X:$X,"&lt;&gt;DENEGADO")</f>
        <v>0</v>
      </c>
      <c r="AI46" s="62"/>
      <c r="AJ46" s="60">
        <f>COUNTIFS('Hoja 4'!F:F,"&lt;7",'Hoja 4'!C:C,$A46, 'Hoja 4'!E:E,"&lt;&gt;DENEGADO")</f>
        <v>48</v>
      </c>
      <c r="AK46" s="60">
        <f>COUNTIFS('Solicitud de eventos'!$D:$D,$A46, 'Solicitud de eventos'!$X:$X,"=DENEGADO")</f>
        <v>0</v>
      </c>
      <c r="AL46" s="60">
        <f t="shared" si="19"/>
        <v>4</v>
      </c>
      <c r="AM46" s="63" t="str">
        <f t="shared" si="20"/>
        <v>INACTIVO</v>
      </c>
    </row>
    <row r="47">
      <c r="A47" s="58" t="s">
        <v>6171</v>
      </c>
      <c r="B47" s="59"/>
      <c r="C47" s="59"/>
      <c r="D47" s="60"/>
      <c r="E47" s="60">
        <f>COUNTIFS('Solicitud de eventos'!$J:$J,E$1,'Solicitud de eventos'!$D:$D,$A47, 'Solicitud de eventos'!X:X,"&lt;&gt;DENEGADO")</f>
        <v>0</v>
      </c>
      <c r="F47" s="60">
        <f t="shared" si="1"/>
        <v>0</v>
      </c>
      <c r="G47" s="61">
        <f t="shared" si="2"/>
        <v>0</v>
      </c>
      <c r="H47" s="60">
        <f>COUNTIFS('Solicitud de eventos'!$J:$J,H$1,'Solicitud de eventos'!$D:$D,$A47, 'Solicitud de eventos'!X:X,"&lt;&gt;DENEGADO")</f>
        <v>0</v>
      </c>
      <c r="I47" s="60">
        <f t="shared" si="3"/>
        <v>0</v>
      </c>
      <c r="J47" s="61">
        <f t="shared" si="4"/>
        <v>0</v>
      </c>
      <c r="K47" s="60">
        <f>COUNTIFS('Solicitud de eventos'!$J:$J,K$1,'Solicitud de eventos'!$D:$D,$A47, 'Solicitud de eventos'!X:X,"&lt;&gt;DENEGADO")</f>
        <v>0</v>
      </c>
      <c r="L47" s="60">
        <f t="shared" si="5"/>
        <v>0</v>
      </c>
      <c r="M47" s="61">
        <f t="shared" si="6"/>
        <v>0</v>
      </c>
      <c r="N47" s="60">
        <f>COUNTIFS('Solicitud de eventos'!$J:$J,N$1,'Solicitud de eventos'!$D:$D,$A47, 'Solicitud de eventos'!X:X,"&lt;&gt;DENEGADO")</f>
        <v>0</v>
      </c>
      <c r="O47" s="60">
        <f t="shared" si="7"/>
        <v>0</v>
      </c>
      <c r="P47" s="61">
        <f t="shared" si="8"/>
        <v>0</v>
      </c>
      <c r="Q47" s="60">
        <f>COUNTIFS('Solicitud de eventos'!$J:$J,Q$1,'Solicitud de eventos'!$D:$D,$A47, 'Solicitud de eventos'!X:X,"&lt;&gt;DENEGADO")</f>
        <v>0</v>
      </c>
      <c r="R47" s="60">
        <f t="shared" si="9"/>
        <v>0</v>
      </c>
      <c r="S47" s="61">
        <f t="shared" si="10"/>
        <v>0</v>
      </c>
      <c r="T47" s="60">
        <f>COUNTIFS('Solicitud de eventos'!$J:$J,T$1,'Solicitud de eventos'!$D:$D,$A47, 'Solicitud de eventos'!X:X,"&lt;&gt;DENEGADO")</f>
        <v>0</v>
      </c>
      <c r="U47" s="60">
        <f t="shared" si="11"/>
        <v>0</v>
      </c>
      <c r="V47" s="61">
        <f t="shared" si="12"/>
        <v>0</v>
      </c>
      <c r="W47" s="60">
        <f>COUNTIFS('Solicitud de eventos'!$J:$J,W$1,'Solicitud de eventos'!$D:$D,$A47, 'Solicitud de eventos'!X:X,"&lt;&gt;DENEGADO")</f>
        <v>0</v>
      </c>
      <c r="X47" s="60">
        <f t="shared" si="13"/>
        <v>0</v>
      </c>
      <c r="Y47" s="61">
        <f t="shared" si="14"/>
        <v>0</v>
      </c>
      <c r="Z47" s="60">
        <f>COUNTIFS('Solicitud de eventos'!$J:$J,Z$1,'Solicitud de eventos'!$D:$D,$A47, 'Solicitud de eventos'!X:X,"&lt;&gt;DENEGADO")</f>
        <v>0</v>
      </c>
      <c r="AA47" s="60">
        <f t="shared" si="15"/>
        <v>0</v>
      </c>
      <c r="AB47" s="61">
        <f t="shared" si="16"/>
        <v>0</v>
      </c>
      <c r="AC47" s="60">
        <f>COUNTIFS('Solicitud de eventos'!$J:$J,AC$1,'Solicitud de eventos'!$D:$D,$A47, 'Solicitud de eventos'!X:X,"&lt;&gt;DENEGADO")</f>
        <v>0</v>
      </c>
      <c r="AD47" s="60">
        <f t="shared" si="17"/>
        <v>0</v>
      </c>
      <c r="AE47" s="61">
        <f t="shared" si="18"/>
        <v>0</v>
      </c>
      <c r="AF47" s="60">
        <f>COUNTIFS('Solicitud de eventos'!$Q:$Q,"&gt;0",'Solicitud de eventos'!$D:$D,$A47, 'Solicitud de eventos'!$X:$X,"&lt;&gt;DENEGADO")</f>
        <v>0</v>
      </c>
      <c r="AG47" s="60">
        <f>COUNTIFS('Solicitud de eventos'!$S:$S,"&gt;0",'Solicitud de eventos'!$D:$D,$A47, 'Solicitud de eventos'!$X:$X,"&lt;&gt;DENEGADO")</f>
        <v>0</v>
      </c>
      <c r="AH47" s="60">
        <f>COUNTIFS('Solicitud de eventos'!$U:$U,"&gt;0",'Solicitud de eventos'!$D:$D,$A47, 'Solicitud de eventos'!$X:$X,"&lt;&gt;DENEGADO")</f>
        <v>0</v>
      </c>
      <c r="AI47" s="62"/>
      <c r="AJ47" s="60">
        <f>COUNTIFS('Hoja 4'!F:F,"&lt;7",'Hoja 4'!C:C,$A47, 'Hoja 4'!E:E,"&lt;&gt;DENEGADO")</f>
        <v>0</v>
      </c>
      <c r="AK47" s="60">
        <f>COUNTIFS('Solicitud de eventos'!$D:$D,$A47, 'Solicitud de eventos'!$X:$X,"=DENEGADO")</f>
        <v>0</v>
      </c>
      <c r="AL47" s="60">
        <f t="shared" si="19"/>
        <v>0</v>
      </c>
      <c r="AM47" s="63" t="str">
        <f t="shared" si="20"/>
        <v>INACTIVO</v>
      </c>
    </row>
    <row r="48">
      <c r="A48" s="58" t="s">
        <v>492</v>
      </c>
      <c r="B48" s="59"/>
      <c r="C48" s="59"/>
      <c r="D48" s="60"/>
      <c r="E48" s="60">
        <f>COUNTIFS('Solicitud de eventos'!$J:$J,E$1,'Solicitud de eventos'!$D:$D,$A48, 'Solicitud de eventos'!X:X,"&lt;&gt;DENEGADO")</f>
        <v>18</v>
      </c>
      <c r="F48" s="60">
        <f t="shared" si="1"/>
        <v>0.225</v>
      </c>
      <c r="G48" s="61">
        <f t="shared" si="2"/>
        <v>0</v>
      </c>
      <c r="H48" s="60">
        <f>COUNTIFS('Solicitud de eventos'!$J:$J,H$1,'Solicitud de eventos'!$D:$D,$A48, 'Solicitud de eventos'!X:X,"&lt;&gt;DENEGADO")</f>
        <v>4</v>
      </c>
      <c r="I48" s="60">
        <f t="shared" si="3"/>
        <v>0.08</v>
      </c>
      <c r="J48" s="61">
        <f t="shared" si="4"/>
        <v>0</v>
      </c>
      <c r="K48" s="60">
        <f>COUNTIFS('Solicitud de eventos'!$J:$J,K$1,'Solicitud de eventos'!$D:$D,$A48, 'Solicitud de eventos'!X:X,"&lt;&gt;DENEGADO")</f>
        <v>0</v>
      </c>
      <c r="L48" s="60">
        <f t="shared" si="5"/>
        <v>0</v>
      </c>
      <c r="M48" s="61">
        <f t="shared" si="6"/>
        <v>0</v>
      </c>
      <c r="N48" s="60">
        <f>COUNTIFS('Solicitud de eventos'!$J:$J,N$1,'Solicitud de eventos'!$D:$D,$A48, 'Solicitud de eventos'!X:X,"&lt;&gt;DENEGADO")</f>
        <v>1</v>
      </c>
      <c r="O48" s="60">
        <f t="shared" si="7"/>
        <v>0.04761904762</v>
      </c>
      <c r="P48" s="61">
        <f t="shared" si="8"/>
        <v>0</v>
      </c>
      <c r="Q48" s="60">
        <f>COUNTIFS('Solicitud de eventos'!$J:$J,Q$1,'Solicitud de eventos'!$D:$D,$A48, 'Solicitud de eventos'!X:X,"&lt;&gt;DENEGADO")</f>
        <v>26</v>
      </c>
      <c r="R48" s="60">
        <f t="shared" si="9"/>
        <v>0.4333333333</v>
      </c>
      <c r="S48" s="61">
        <f t="shared" si="10"/>
        <v>4</v>
      </c>
      <c r="T48" s="60">
        <f>COUNTIFS('Solicitud de eventos'!$J:$J,T$1,'Solicitud de eventos'!$D:$D,$A48, 'Solicitud de eventos'!X:X,"&lt;&gt;DENEGADO")</f>
        <v>0</v>
      </c>
      <c r="U48" s="60">
        <f t="shared" si="11"/>
        <v>0</v>
      </c>
      <c r="V48" s="61">
        <f t="shared" si="12"/>
        <v>0</v>
      </c>
      <c r="W48" s="60">
        <f>COUNTIFS('Solicitud de eventos'!$J:$J,W$1,'Solicitud de eventos'!$D:$D,$A48, 'Solicitud de eventos'!X:X,"&lt;&gt;DENEGADO")</f>
        <v>0</v>
      </c>
      <c r="X48" s="60">
        <f t="shared" si="13"/>
        <v>0</v>
      </c>
      <c r="Y48" s="61">
        <f t="shared" si="14"/>
        <v>0</v>
      </c>
      <c r="Z48" s="60">
        <f>COUNTIFS('Solicitud de eventos'!$J:$J,Z$1,'Solicitud de eventos'!$D:$D,$A48, 'Solicitud de eventos'!X:X,"&lt;&gt;DENEGADO")</f>
        <v>0</v>
      </c>
      <c r="AA48" s="60">
        <f t="shared" si="15"/>
        <v>0</v>
      </c>
      <c r="AB48" s="61">
        <f t="shared" si="16"/>
        <v>0</v>
      </c>
      <c r="AC48" s="60">
        <f>COUNTIFS('Solicitud de eventos'!$J:$J,AC$1,'Solicitud de eventos'!$D:$D,$A48, 'Solicitud de eventos'!X:X,"&lt;&gt;DENEGADO")</f>
        <v>0</v>
      </c>
      <c r="AD48" s="60">
        <f t="shared" si="17"/>
        <v>0</v>
      </c>
      <c r="AE48" s="61">
        <f t="shared" si="18"/>
        <v>0</v>
      </c>
      <c r="AF48" s="60">
        <f>COUNTIFS('Solicitud de eventos'!$Q:$Q,"&gt;0",'Solicitud de eventos'!$D:$D,$A48, 'Solicitud de eventos'!$X:$X,"&lt;&gt;DENEGADO")</f>
        <v>0</v>
      </c>
      <c r="AG48" s="60">
        <f>COUNTIFS('Solicitud de eventos'!$S:$S,"&gt;0",'Solicitud de eventos'!$D:$D,$A48, 'Solicitud de eventos'!$X:$X,"&lt;&gt;DENEGADO")</f>
        <v>0</v>
      </c>
      <c r="AH48" s="60">
        <f>COUNTIFS('Solicitud de eventos'!$U:$U,"&gt;0",'Solicitud de eventos'!$D:$D,$A48, 'Solicitud de eventos'!$X:$X,"&lt;&gt;DENEGADO")</f>
        <v>0</v>
      </c>
      <c r="AI48" s="62"/>
      <c r="AJ48" s="60">
        <f>COUNTIFS('Hoja 4'!F:F,"&lt;7",'Hoja 4'!C:C,$A48, 'Hoja 4'!E:E,"&lt;&gt;DENEGADO")</f>
        <v>1</v>
      </c>
      <c r="AK48" s="60">
        <f>COUNTIFS('Solicitud de eventos'!$D:$D,$A48, 'Solicitud de eventos'!$X:$X,"=DENEGADO")</f>
        <v>0</v>
      </c>
      <c r="AL48" s="60">
        <f t="shared" si="19"/>
        <v>4</v>
      </c>
      <c r="AM48" s="63" t="str">
        <f t="shared" si="20"/>
        <v>INACTIVO</v>
      </c>
    </row>
    <row r="49">
      <c r="A49" s="58" t="s">
        <v>2591</v>
      </c>
      <c r="B49" s="59"/>
      <c r="C49" s="59"/>
      <c r="D49" s="60"/>
      <c r="E49" s="60">
        <f>COUNTIFS('Solicitud de eventos'!$J:$J,E$1,'Solicitud de eventos'!$D:$D,$A49, 'Solicitud de eventos'!X:X,"&lt;&gt;DENEGADO")</f>
        <v>2</v>
      </c>
      <c r="F49" s="60">
        <f t="shared" si="1"/>
        <v>0.025</v>
      </c>
      <c r="G49" s="61">
        <f t="shared" si="2"/>
        <v>0</v>
      </c>
      <c r="H49" s="60">
        <f>COUNTIFS('Solicitud de eventos'!$J:$J,H$1,'Solicitud de eventos'!$D:$D,$A49, 'Solicitud de eventos'!X:X,"&lt;&gt;DENEGADO")</f>
        <v>0</v>
      </c>
      <c r="I49" s="60">
        <f t="shared" si="3"/>
        <v>0</v>
      </c>
      <c r="J49" s="61">
        <f t="shared" si="4"/>
        <v>0</v>
      </c>
      <c r="K49" s="60">
        <f>COUNTIFS('Solicitud de eventos'!$J:$J,K$1,'Solicitud de eventos'!$D:$D,$A49, 'Solicitud de eventos'!X:X,"&lt;&gt;DENEGADO")</f>
        <v>0</v>
      </c>
      <c r="L49" s="60">
        <f t="shared" si="5"/>
        <v>0</v>
      </c>
      <c r="M49" s="61">
        <f t="shared" si="6"/>
        <v>0</v>
      </c>
      <c r="N49" s="60">
        <f>COUNTIFS('Solicitud de eventos'!$J:$J,N$1,'Solicitud de eventos'!$D:$D,$A49, 'Solicitud de eventos'!X:X,"&lt;&gt;DENEGADO")</f>
        <v>0</v>
      </c>
      <c r="O49" s="60">
        <f t="shared" si="7"/>
        <v>0</v>
      </c>
      <c r="P49" s="61">
        <f t="shared" si="8"/>
        <v>0</v>
      </c>
      <c r="Q49" s="60">
        <f>COUNTIFS('Solicitud de eventos'!$J:$J,Q$1,'Solicitud de eventos'!$D:$D,$A49, 'Solicitud de eventos'!X:X,"&lt;&gt;DENEGADO")</f>
        <v>0</v>
      </c>
      <c r="R49" s="60">
        <f t="shared" si="9"/>
        <v>0</v>
      </c>
      <c r="S49" s="61">
        <f t="shared" si="10"/>
        <v>0</v>
      </c>
      <c r="T49" s="60">
        <f>COUNTIFS('Solicitud de eventos'!$J:$J,T$1,'Solicitud de eventos'!$D:$D,$A49, 'Solicitud de eventos'!X:X,"&lt;&gt;DENEGADO")</f>
        <v>0</v>
      </c>
      <c r="U49" s="60">
        <f t="shared" si="11"/>
        <v>0</v>
      </c>
      <c r="V49" s="61">
        <f t="shared" si="12"/>
        <v>0</v>
      </c>
      <c r="W49" s="60">
        <f>COUNTIFS('Solicitud de eventos'!$J:$J,W$1,'Solicitud de eventos'!$D:$D,$A49, 'Solicitud de eventos'!X:X,"&lt;&gt;DENEGADO")</f>
        <v>0</v>
      </c>
      <c r="X49" s="60">
        <f t="shared" si="13"/>
        <v>0</v>
      </c>
      <c r="Y49" s="61">
        <f t="shared" si="14"/>
        <v>0</v>
      </c>
      <c r="Z49" s="60">
        <f>COUNTIFS('Solicitud de eventos'!$J:$J,Z$1,'Solicitud de eventos'!$D:$D,$A49, 'Solicitud de eventos'!X:X,"&lt;&gt;DENEGADO")</f>
        <v>0</v>
      </c>
      <c r="AA49" s="60">
        <f t="shared" si="15"/>
        <v>0</v>
      </c>
      <c r="AB49" s="61">
        <f t="shared" si="16"/>
        <v>0</v>
      </c>
      <c r="AC49" s="60">
        <f>COUNTIFS('Solicitud de eventos'!$J:$J,AC$1,'Solicitud de eventos'!$D:$D,$A49, 'Solicitud de eventos'!X:X,"&lt;&gt;DENEGADO")</f>
        <v>0</v>
      </c>
      <c r="AD49" s="60">
        <f t="shared" si="17"/>
        <v>0</v>
      </c>
      <c r="AE49" s="61">
        <f t="shared" si="18"/>
        <v>0</v>
      </c>
      <c r="AF49" s="60">
        <f>COUNTIFS('Solicitud de eventos'!$Q:$Q,"&gt;0",'Solicitud de eventos'!$D:$D,$A49, 'Solicitud de eventos'!$X:$X,"&lt;&gt;DENEGADO")</f>
        <v>0</v>
      </c>
      <c r="AG49" s="60">
        <f>COUNTIFS('Solicitud de eventos'!$S:$S,"&gt;0",'Solicitud de eventos'!$D:$D,$A49, 'Solicitud de eventos'!$X:$X,"&lt;&gt;DENEGADO")</f>
        <v>0</v>
      </c>
      <c r="AH49" s="60">
        <f>COUNTIFS('Solicitud de eventos'!$U:$U,"&gt;0",'Solicitud de eventos'!$D:$D,$A49, 'Solicitud de eventos'!$X:$X,"&lt;&gt;DENEGADO")</f>
        <v>0</v>
      </c>
      <c r="AI49" s="62"/>
      <c r="AJ49" s="60">
        <f>COUNTIFS('Hoja 4'!F:F,"&lt;7",'Hoja 4'!C:C,$A49, 'Hoja 4'!E:E,"&lt;&gt;DENEGADO")</f>
        <v>2</v>
      </c>
      <c r="AK49" s="60">
        <f>COUNTIFS('Solicitud de eventos'!$D:$D,$A49, 'Solicitud de eventos'!$X:$X,"=DENEGADO")</f>
        <v>0</v>
      </c>
      <c r="AL49" s="60">
        <f t="shared" si="19"/>
        <v>0</v>
      </c>
      <c r="AM49" s="63" t="str">
        <f t="shared" si="20"/>
        <v>INACTIVO</v>
      </c>
    </row>
    <row r="50">
      <c r="A50" s="58" t="s">
        <v>210</v>
      </c>
      <c r="B50" s="59"/>
      <c r="C50" s="59"/>
      <c r="D50" s="60"/>
      <c r="E50" s="60">
        <f>COUNTIFS('Solicitud de eventos'!$J:$J,E$1,'Solicitud de eventos'!$D:$D,$A50, 'Solicitud de eventos'!X:X,"&lt;&gt;DENEGADO")</f>
        <v>24</v>
      </c>
      <c r="F50" s="60">
        <f t="shared" si="1"/>
        <v>0.3</v>
      </c>
      <c r="G50" s="61">
        <f t="shared" si="2"/>
        <v>4</v>
      </c>
      <c r="H50" s="60">
        <f>COUNTIFS('Solicitud de eventos'!$J:$J,H$1,'Solicitud de eventos'!$D:$D,$A50, 'Solicitud de eventos'!X:X,"&lt;&gt;DENEGADO")</f>
        <v>13</v>
      </c>
      <c r="I50" s="60">
        <f t="shared" si="3"/>
        <v>0.26</v>
      </c>
      <c r="J50" s="61">
        <f t="shared" si="4"/>
        <v>4</v>
      </c>
      <c r="K50" s="60">
        <f>COUNTIFS('Solicitud de eventos'!$J:$J,K$1,'Solicitud de eventos'!$D:$D,$A50, 'Solicitud de eventos'!X:X,"&lt;&gt;DENEGADO")</f>
        <v>36</v>
      </c>
      <c r="L50" s="60">
        <f t="shared" si="5"/>
        <v>1</v>
      </c>
      <c r="M50" s="61">
        <f t="shared" si="6"/>
        <v>12</v>
      </c>
      <c r="N50" s="60">
        <f>COUNTIFS('Solicitud de eventos'!$J:$J,N$1,'Solicitud de eventos'!$D:$D,$A50, 'Solicitud de eventos'!X:X,"&lt;&gt;DENEGADO")</f>
        <v>11</v>
      </c>
      <c r="O50" s="60">
        <f t="shared" si="7"/>
        <v>0.5238095238</v>
      </c>
      <c r="P50" s="61">
        <f t="shared" si="8"/>
        <v>8</v>
      </c>
      <c r="Q50" s="60">
        <f>COUNTIFS('Solicitud de eventos'!$J:$J,Q$1,'Solicitud de eventos'!$D:$D,$A50, 'Solicitud de eventos'!X:X,"&lt;&gt;DENEGADO")</f>
        <v>5</v>
      </c>
      <c r="R50" s="60">
        <f t="shared" si="9"/>
        <v>0.08333333333</v>
      </c>
      <c r="S50" s="61">
        <f t="shared" si="10"/>
        <v>0</v>
      </c>
      <c r="T50" s="60">
        <f>COUNTIFS('Solicitud de eventos'!$J:$J,T$1,'Solicitud de eventos'!$D:$D,$A50, 'Solicitud de eventos'!X:X,"&lt;&gt;DENEGADO")</f>
        <v>0</v>
      </c>
      <c r="U50" s="60">
        <f t="shared" si="11"/>
        <v>0</v>
      </c>
      <c r="V50" s="61">
        <f t="shared" si="12"/>
        <v>0</v>
      </c>
      <c r="W50" s="60">
        <f>COUNTIFS('Solicitud de eventos'!$J:$J,W$1,'Solicitud de eventos'!$D:$D,$A50, 'Solicitud de eventos'!X:X,"&lt;&gt;DENEGADO")</f>
        <v>0</v>
      </c>
      <c r="X50" s="60">
        <f t="shared" si="13"/>
        <v>0</v>
      </c>
      <c r="Y50" s="61">
        <f t="shared" si="14"/>
        <v>0</v>
      </c>
      <c r="Z50" s="60">
        <f>COUNTIFS('Solicitud de eventos'!$J:$J,Z$1,'Solicitud de eventos'!$D:$D,$A50, 'Solicitud de eventos'!X:X,"&lt;&gt;DENEGADO")</f>
        <v>0</v>
      </c>
      <c r="AA50" s="60">
        <f t="shared" si="15"/>
        <v>0</v>
      </c>
      <c r="AB50" s="61">
        <f t="shared" si="16"/>
        <v>0</v>
      </c>
      <c r="AC50" s="60">
        <f>COUNTIFS('Solicitud de eventos'!$J:$J,AC$1,'Solicitud de eventos'!$D:$D,$A50, 'Solicitud de eventos'!X:X,"&lt;&gt;DENEGADO")</f>
        <v>0</v>
      </c>
      <c r="AD50" s="60">
        <f t="shared" si="17"/>
        <v>0</v>
      </c>
      <c r="AE50" s="61">
        <f t="shared" si="18"/>
        <v>0</v>
      </c>
      <c r="AF50" s="60">
        <f>COUNTIFS('Solicitud de eventos'!$Q:$Q,"&gt;0",'Solicitud de eventos'!$D:$D,$A50, 'Solicitud de eventos'!$X:$X,"&lt;&gt;DENEGADO")</f>
        <v>4</v>
      </c>
      <c r="AG50" s="60">
        <f>COUNTIFS('Solicitud de eventos'!$S:$S,"&gt;0",'Solicitud de eventos'!$D:$D,$A50, 'Solicitud de eventos'!$X:$X,"&lt;&gt;DENEGADO")</f>
        <v>8</v>
      </c>
      <c r="AH50" s="60">
        <f>COUNTIFS('Solicitud de eventos'!$U:$U,"&gt;0",'Solicitud de eventos'!$D:$D,$A50, 'Solicitud de eventos'!$X:$X,"&lt;&gt;DENEGADO")</f>
        <v>5</v>
      </c>
      <c r="AI50" s="62"/>
      <c r="AJ50" s="60">
        <f>COUNTIFS('Hoja 4'!F:F,"&lt;7",'Hoja 4'!C:C,$A50, 'Hoja 4'!E:E,"&lt;&gt;DENEGADO")</f>
        <v>25</v>
      </c>
      <c r="AK50" s="60">
        <f>COUNTIFS('Solicitud de eventos'!$D:$D,$A50, 'Solicitud de eventos'!$X:$X,"=DENEGADO")</f>
        <v>0</v>
      </c>
      <c r="AL50" s="60">
        <f t="shared" si="19"/>
        <v>28</v>
      </c>
      <c r="AM50" s="63" t="str">
        <f t="shared" si="20"/>
        <v>ROBLE ROSADO</v>
      </c>
    </row>
    <row r="51">
      <c r="A51" s="58" t="s">
        <v>662</v>
      </c>
      <c r="B51" s="59"/>
      <c r="C51" s="59"/>
      <c r="D51" s="60"/>
      <c r="E51" s="60">
        <f>COUNTIFS('Solicitud de eventos'!$J:$J,E$1,'Solicitud de eventos'!$D:$D,$A51, 'Solicitud de eventos'!X:X,"&lt;&gt;DENEGADO")</f>
        <v>2</v>
      </c>
      <c r="F51" s="60">
        <f t="shared" si="1"/>
        <v>0.025</v>
      </c>
      <c r="G51" s="61">
        <f t="shared" si="2"/>
        <v>0</v>
      </c>
      <c r="H51" s="60">
        <f>COUNTIFS('Solicitud de eventos'!$J:$J,H$1,'Solicitud de eventos'!$D:$D,$A51, 'Solicitud de eventos'!X:X,"&lt;&gt;DENEGADO")</f>
        <v>0</v>
      </c>
      <c r="I51" s="60">
        <f t="shared" si="3"/>
        <v>0</v>
      </c>
      <c r="J51" s="61">
        <f t="shared" si="4"/>
        <v>0</v>
      </c>
      <c r="K51" s="60">
        <f>COUNTIFS('Solicitud de eventos'!$J:$J,K$1,'Solicitud de eventos'!$D:$D,$A51, 'Solicitud de eventos'!X:X,"&lt;&gt;DENEGADO")</f>
        <v>0</v>
      </c>
      <c r="L51" s="60">
        <f t="shared" si="5"/>
        <v>0</v>
      </c>
      <c r="M51" s="61">
        <f t="shared" si="6"/>
        <v>0</v>
      </c>
      <c r="N51" s="60">
        <f>COUNTIFS('Solicitud de eventos'!$J:$J,N$1,'Solicitud de eventos'!$D:$D,$A51, 'Solicitud de eventos'!X:X,"&lt;&gt;DENEGADO")</f>
        <v>1</v>
      </c>
      <c r="O51" s="60">
        <f t="shared" si="7"/>
        <v>0.04761904762</v>
      </c>
      <c r="P51" s="61">
        <f t="shared" si="8"/>
        <v>0</v>
      </c>
      <c r="Q51" s="60">
        <f>COUNTIFS('Solicitud de eventos'!$J:$J,Q$1,'Solicitud de eventos'!$D:$D,$A51, 'Solicitud de eventos'!X:X,"&lt;&gt;DENEGADO")</f>
        <v>0</v>
      </c>
      <c r="R51" s="60">
        <f t="shared" si="9"/>
        <v>0</v>
      </c>
      <c r="S51" s="61">
        <f t="shared" si="10"/>
        <v>0</v>
      </c>
      <c r="T51" s="60">
        <f>COUNTIFS('Solicitud de eventos'!$J:$J,T$1,'Solicitud de eventos'!$D:$D,$A51, 'Solicitud de eventos'!X:X,"&lt;&gt;DENEGADO")</f>
        <v>0</v>
      </c>
      <c r="U51" s="60">
        <f t="shared" si="11"/>
        <v>0</v>
      </c>
      <c r="V51" s="61">
        <f t="shared" si="12"/>
        <v>0</v>
      </c>
      <c r="W51" s="60">
        <f>COUNTIFS('Solicitud de eventos'!$J:$J,W$1,'Solicitud de eventos'!$D:$D,$A51, 'Solicitud de eventos'!X:X,"&lt;&gt;DENEGADO")</f>
        <v>2</v>
      </c>
      <c r="X51" s="60">
        <f t="shared" si="13"/>
        <v>0.5</v>
      </c>
      <c r="Y51" s="61">
        <f t="shared" si="14"/>
        <v>4</v>
      </c>
      <c r="Z51" s="60">
        <f>COUNTIFS('Solicitud de eventos'!$J:$J,Z$1,'Solicitud de eventos'!$D:$D,$A51, 'Solicitud de eventos'!X:X,"&lt;&gt;DENEGADO")</f>
        <v>0</v>
      </c>
      <c r="AA51" s="60">
        <f t="shared" si="15"/>
        <v>0</v>
      </c>
      <c r="AB51" s="61">
        <f t="shared" si="16"/>
        <v>0</v>
      </c>
      <c r="AC51" s="60">
        <f>COUNTIFS('Solicitud de eventos'!$J:$J,AC$1,'Solicitud de eventos'!$D:$D,$A51, 'Solicitud de eventos'!X:X,"&lt;&gt;DENEGADO")</f>
        <v>0</v>
      </c>
      <c r="AD51" s="60">
        <f t="shared" si="17"/>
        <v>0</v>
      </c>
      <c r="AE51" s="61">
        <f t="shared" si="18"/>
        <v>0</v>
      </c>
      <c r="AF51" s="60">
        <f>COUNTIFS('Solicitud de eventos'!$Q:$Q,"&gt;0",'Solicitud de eventos'!$D:$D,$A51, 'Solicitud de eventos'!$X:$X,"&lt;&gt;DENEGADO")</f>
        <v>3</v>
      </c>
      <c r="AG51" s="60">
        <f>COUNTIFS('Solicitud de eventos'!$S:$S,"&gt;0",'Solicitud de eventos'!$D:$D,$A51, 'Solicitud de eventos'!$X:$X,"&lt;&gt;DENEGADO")</f>
        <v>1</v>
      </c>
      <c r="AH51" s="60">
        <f>COUNTIFS('Solicitud de eventos'!$U:$U,"&gt;0",'Solicitud de eventos'!$D:$D,$A51, 'Solicitud de eventos'!$X:$X,"&lt;&gt;DENEGADO")</f>
        <v>0</v>
      </c>
      <c r="AI51" s="62"/>
      <c r="AJ51" s="60">
        <f>COUNTIFS('Hoja 4'!F:F,"&lt;7",'Hoja 4'!C:C,$A51, 'Hoja 4'!E:E,"&lt;&gt;DENEGADO")</f>
        <v>5</v>
      </c>
      <c r="AK51" s="60">
        <f>COUNTIFS('Solicitud de eventos'!$D:$D,$A51, 'Solicitud de eventos'!$X:$X,"=DENEGADO")</f>
        <v>0</v>
      </c>
      <c r="AL51" s="60">
        <f t="shared" si="19"/>
        <v>4</v>
      </c>
      <c r="AM51" s="63" t="str">
        <f t="shared" si="20"/>
        <v>INACTIVO</v>
      </c>
    </row>
    <row r="52">
      <c r="A52" s="58" t="s">
        <v>348</v>
      </c>
      <c r="B52" s="59"/>
      <c r="C52" s="59"/>
      <c r="D52" s="60"/>
      <c r="E52" s="60">
        <f>COUNTIFS('Solicitud de eventos'!$J:$J,E$1,'Solicitud de eventos'!$D:$D,$A52, 'Solicitud de eventos'!X:X,"&lt;&gt;DENEGADO")</f>
        <v>19</v>
      </c>
      <c r="F52" s="60">
        <f t="shared" si="1"/>
        <v>0.2375</v>
      </c>
      <c r="G52" s="61">
        <f t="shared" si="2"/>
        <v>0</v>
      </c>
      <c r="H52" s="60">
        <f>COUNTIFS('Solicitud de eventos'!$J:$J,H$1,'Solicitud de eventos'!$D:$D,$A52, 'Solicitud de eventos'!X:X,"&lt;&gt;DENEGADO")</f>
        <v>24</v>
      </c>
      <c r="I52" s="60">
        <f t="shared" si="3"/>
        <v>0.48</v>
      </c>
      <c r="J52" s="61">
        <f t="shared" si="4"/>
        <v>4</v>
      </c>
      <c r="K52" s="60">
        <f>COUNTIFS('Solicitud de eventos'!$J:$J,K$1,'Solicitud de eventos'!$D:$D,$A52, 'Solicitud de eventos'!X:X,"&lt;&gt;DENEGADO")</f>
        <v>0</v>
      </c>
      <c r="L52" s="60">
        <f t="shared" si="5"/>
        <v>0</v>
      </c>
      <c r="M52" s="61">
        <f t="shared" si="6"/>
        <v>0</v>
      </c>
      <c r="N52" s="60">
        <f>COUNTIFS('Solicitud de eventos'!$J:$J,N$1,'Solicitud de eventos'!$D:$D,$A52, 'Solicitud de eventos'!X:X,"&lt;&gt;DENEGADO")</f>
        <v>2</v>
      </c>
      <c r="O52" s="60">
        <f t="shared" si="7"/>
        <v>0.09523809524</v>
      </c>
      <c r="P52" s="61">
        <f t="shared" si="8"/>
        <v>0</v>
      </c>
      <c r="Q52" s="60">
        <f>COUNTIFS('Solicitud de eventos'!$J:$J,Q$1,'Solicitud de eventos'!$D:$D,$A52, 'Solicitud de eventos'!X:X,"&lt;&gt;DENEGADO")</f>
        <v>1</v>
      </c>
      <c r="R52" s="60">
        <f t="shared" si="9"/>
        <v>0.01666666667</v>
      </c>
      <c r="S52" s="61">
        <f t="shared" si="10"/>
        <v>0</v>
      </c>
      <c r="T52" s="60">
        <f>COUNTIFS('Solicitud de eventos'!$J:$J,T$1,'Solicitud de eventos'!$D:$D,$A52, 'Solicitud de eventos'!X:X,"&lt;&gt;DENEGADO")</f>
        <v>0</v>
      </c>
      <c r="U52" s="60">
        <f t="shared" si="11"/>
        <v>0</v>
      </c>
      <c r="V52" s="61">
        <f t="shared" si="12"/>
        <v>0</v>
      </c>
      <c r="W52" s="60">
        <f>COUNTIFS('Solicitud de eventos'!$J:$J,W$1,'Solicitud de eventos'!$D:$D,$A52, 'Solicitud de eventos'!X:X,"&lt;&gt;DENEGADO")</f>
        <v>0</v>
      </c>
      <c r="X52" s="60">
        <f t="shared" si="13"/>
        <v>0</v>
      </c>
      <c r="Y52" s="61">
        <f t="shared" si="14"/>
        <v>0</v>
      </c>
      <c r="Z52" s="60">
        <f>COUNTIFS('Solicitud de eventos'!$J:$J,Z$1,'Solicitud de eventos'!$D:$D,$A52, 'Solicitud de eventos'!X:X,"&lt;&gt;DENEGADO")</f>
        <v>3</v>
      </c>
      <c r="AA52" s="60">
        <f t="shared" si="15"/>
        <v>1</v>
      </c>
      <c r="AB52" s="61">
        <f t="shared" si="16"/>
        <v>12</v>
      </c>
      <c r="AC52" s="60">
        <f>COUNTIFS('Solicitud de eventos'!$J:$J,AC$1,'Solicitud de eventos'!$D:$D,$A52, 'Solicitud de eventos'!X:X,"&lt;&gt;DENEGADO")</f>
        <v>3</v>
      </c>
      <c r="AD52" s="60">
        <f t="shared" si="17"/>
        <v>0.375</v>
      </c>
      <c r="AE52" s="61">
        <f t="shared" si="18"/>
        <v>4</v>
      </c>
      <c r="AF52" s="60">
        <f>COUNTIFS('Solicitud de eventos'!$Q:$Q,"&gt;0",'Solicitud de eventos'!$D:$D,$A52, 'Solicitud de eventos'!$X:$X,"&lt;&gt;DENEGADO")</f>
        <v>19</v>
      </c>
      <c r="AG52" s="60">
        <f>COUNTIFS('Solicitud de eventos'!$S:$S,"&gt;0",'Solicitud de eventos'!$D:$D,$A52, 'Solicitud de eventos'!$X:$X,"&lt;&gt;DENEGADO")</f>
        <v>8</v>
      </c>
      <c r="AH52" s="60">
        <f>COUNTIFS('Solicitud de eventos'!$U:$U,"&gt;0",'Solicitud de eventos'!$D:$D,$A52, 'Solicitud de eventos'!$X:$X,"&lt;&gt;DENEGADO")</f>
        <v>2</v>
      </c>
      <c r="AI52" s="62"/>
      <c r="AJ52" s="60">
        <f>COUNTIFS('Hoja 4'!F:F,"&lt;7",'Hoja 4'!C:C,$A52, 'Hoja 4'!E:E,"&lt;&gt;DENEGADO")</f>
        <v>8</v>
      </c>
      <c r="AK52" s="60">
        <f>COUNTIFS('Solicitud de eventos'!$D:$D,$A52, 'Solicitud de eventos'!$X:$X,"=DENEGADO")</f>
        <v>0</v>
      </c>
      <c r="AL52" s="60">
        <f t="shared" si="19"/>
        <v>20</v>
      </c>
      <c r="AM52" s="63" t="str">
        <f t="shared" si="20"/>
        <v>ROBLE MORADO</v>
      </c>
    </row>
    <row r="53">
      <c r="A53" s="58" t="s">
        <v>331</v>
      </c>
      <c r="B53" s="59"/>
      <c r="C53" s="59"/>
      <c r="D53" s="60"/>
      <c r="E53" s="60">
        <f>COUNTIFS('Solicitud de eventos'!$J:$J,E$1,'Solicitud de eventos'!$D:$D,$A53, 'Solicitud de eventos'!X:X,"&lt;&gt;DENEGADO")</f>
        <v>12</v>
      </c>
      <c r="F53" s="60">
        <f t="shared" si="1"/>
        <v>0.15</v>
      </c>
      <c r="G53" s="61">
        <f t="shared" si="2"/>
        <v>0</v>
      </c>
      <c r="H53" s="60">
        <f>COUNTIFS('Solicitud de eventos'!$J:$J,H$1,'Solicitud de eventos'!$D:$D,$A53, 'Solicitud de eventos'!X:X,"&lt;&gt;DENEGADO")</f>
        <v>19</v>
      </c>
      <c r="I53" s="60">
        <f t="shared" si="3"/>
        <v>0.38</v>
      </c>
      <c r="J53" s="61">
        <f t="shared" si="4"/>
        <v>4</v>
      </c>
      <c r="K53" s="60">
        <f>COUNTIFS('Solicitud de eventos'!$J:$J,K$1,'Solicitud de eventos'!$D:$D,$A53, 'Solicitud de eventos'!X:X,"&lt;&gt;DENEGADO")</f>
        <v>0</v>
      </c>
      <c r="L53" s="60">
        <f t="shared" si="5"/>
        <v>0</v>
      </c>
      <c r="M53" s="61">
        <f t="shared" si="6"/>
        <v>0</v>
      </c>
      <c r="N53" s="60">
        <f>COUNTIFS('Solicitud de eventos'!$J:$J,N$1,'Solicitud de eventos'!$D:$D,$A53, 'Solicitud de eventos'!X:X,"&lt;&gt;DENEGADO")</f>
        <v>0</v>
      </c>
      <c r="O53" s="60">
        <f t="shared" si="7"/>
        <v>0</v>
      </c>
      <c r="P53" s="61">
        <f t="shared" si="8"/>
        <v>0</v>
      </c>
      <c r="Q53" s="60">
        <f>COUNTIFS('Solicitud de eventos'!$J:$J,Q$1,'Solicitud de eventos'!$D:$D,$A53, 'Solicitud de eventos'!X:X,"&lt;&gt;DENEGADO")</f>
        <v>1</v>
      </c>
      <c r="R53" s="60">
        <f t="shared" si="9"/>
        <v>0.01666666667</v>
      </c>
      <c r="S53" s="61">
        <f t="shared" si="10"/>
        <v>0</v>
      </c>
      <c r="T53" s="60">
        <f>COUNTIFS('Solicitud de eventos'!$J:$J,T$1,'Solicitud de eventos'!$D:$D,$A53, 'Solicitud de eventos'!X:X,"&lt;&gt;DENEGADO")</f>
        <v>0</v>
      </c>
      <c r="U53" s="60">
        <f t="shared" si="11"/>
        <v>0</v>
      </c>
      <c r="V53" s="61">
        <f t="shared" si="12"/>
        <v>0</v>
      </c>
      <c r="W53" s="60">
        <f>COUNTIFS('Solicitud de eventos'!$J:$J,W$1,'Solicitud de eventos'!$D:$D,$A53, 'Solicitud de eventos'!X:X,"&lt;&gt;DENEGADO")</f>
        <v>0</v>
      </c>
      <c r="X53" s="60">
        <f t="shared" si="13"/>
        <v>0</v>
      </c>
      <c r="Y53" s="61">
        <f t="shared" si="14"/>
        <v>0</v>
      </c>
      <c r="Z53" s="60">
        <f>COUNTIFS('Solicitud de eventos'!$J:$J,Z$1,'Solicitud de eventos'!$D:$D,$A53, 'Solicitud de eventos'!X:X,"&lt;&gt;DENEGADO")</f>
        <v>0</v>
      </c>
      <c r="AA53" s="60">
        <f t="shared" si="15"/>
        <v>0</v>
      </c>
      <c r="AB53" s="61">
        <f t="shared" si="16"/>
        <v>0</v>
      </c>
      <c r="AC53" s="60">
        <f>COUNTIFS('Solicitud de eventos'!$J:$J,AC$1,'Solicitud de eventos'!$D:$D,$A53, 'Solicitud de eventos'!X:X,"&lt;&gt;DENEGADO")</f>
        <v>1</v>
      </c>
      <c r="AD53" s="60">
        <f t="shared" si="17"/>
        <v>0.125</v>
      </c>
      <c r="AE53" s="61">
        <f t="shared" si="18"/>
        <v>0</v>
      </c>
      <c r="AF53" s="60">
        <f>COUNTIFS('Solicitud de eventos'!$Q:$Q,"&gt;0",'Solicitud de eventos'!$D:$D,$A53, 'Solicitud de eventos'!$X:$X,"&lt;&gt;DENEGADO")</f>
        <v>4</v>
      </c>
      <c r="AG53" s="60">
        <f>COUNTIFS('Solicitud de eventos'!$S:$S,"&gt;0",'Solicitud de eventos'!$D:$D,$A53, 'Solicitud de eventos'!$X:$X,"&lt;&gt;DENEGADO")</f>
        <v>4</v>
      </c>
      <c r="AH53" s="60">
        <f>COUNTIFS('Solicitud de eventos'!$U:$U,"&gt;0",'Solicitud de eventos'!$D:$D,$A53, 'Solicitud de eventos'!$X:$X,"&lt;&gt;DENEGADO")</f>
        <v>1</v>
      </c>
      <c r="AI53" s="62"/>
      <c r="AJ53" s="60">
        <f>COUNTIFS('Hoja 4'!F:F,"&lt;7",'Hoja 4'!C:C,$A53, 'Hoja 4'!E:E,"&lt;&gt;DENEGADO")</f>
        <v>6</v>
      </c>
      <c r="AK53" s="60">
        <f>COUNTIFS('Solicitud de eventos'!$D:$D,$A53, 'Solicitud de eventos'!$X:$X,"=DENEGADO")</f>
        <v>0</v>
      </c>
      <c r="AL53" s="60">
        <f t="shared" si="19"/>
        <v>4</v>
      </c>
      <c r="AM53" s="63" t="str">
        <f t="shared" si="20"/>
        <v>INACTIVO</v>
      </c>
    </row>
    <row r="54">
      <c r="A54" s="58" t="s">
        <v>3917</v>
      </c>
      <c r="B54" s="59"/>
      <c r="C54" s="59"/>
      <c r="D54" s="60"/>
      <c r="E54" s="60">
        <f>COUNTIFS('Solicitud de eventos'!$J:$J,E$1,'Solicitud de eventos'!$D:$D,$A54, 'Solicitud de eventos'!X:X,"&lt;&gt;DENEGADO")</f>
        <v>3</v>
      </c>
      <c r="F54" s="60">
        <f t="shared" si="1"/>
        <v>0.0375</v>
      </c>
      <c r="G54" s="61">
        <f t="shared" si="2"/>
        <v>0</v>
      </c>
      <c r="H54" s="60">
        <f>COUNTIFS('Solicitud de eventos'!$J:$J,H$1,'Solicitud de eventos'!$D:$D,$A54, 'Solicitud de eventos'!X:X,"&lt;&gt;DENEGADO")</f>
        <v>0</v>
      </c>
      <c r="I54" s="60">
        <f t="shared" si="3"/>
        <v>0</v>
      </c>
      <c r="J54" s="61">
        <f t="shared" si="4"/>
        <v>0</v>
      </c>
      <c r="K54" s="60">
        <f>COUNTIFS('Solicitud de eventos'!$J:$J,K$1,'Solicitud de eventos'!$D:$D,$A54, 'Solicitud de eventos'!X:X,"&lt;&gt;DENEGADO")</f>
        <v>0</v>
      </c>
      <c r="L54" s="60">
        <f t="shared" si="5"/>
        <v>0</v>
      </c>
      <c r="M54" s="61">
        <f t="shared" si="6"/>
        <v>0</v>
      </c>
      <c r="N54" s="60">
        <f>COUNTIFS('Solicitud de eventos'!$J:$J,N$1,'Solicitud de eventos'!$D:$D,$A54, 'Solicitud de eventos'!X:X,"&lt;&gt;DENEGADO")</f>
        <v>0</v>
      </c>
      <c r="O54" s="60">
        <f t="shared" si="7"/>
        <v>0</v>
      </c>
      <c r="P54" s="61">
        <f t="shared" si="8"/>
        <v>0</v>
      </c>
      <c r="Q54" s="60">
        <f>COUNTIFS('Solicitud de eventos'!$J:$J,Q$1,'Solicitud de eventos'!$D:$D,$A54, 'Solicitud de eventos'!X:X,"&lt;&gt;DENEGADO")</f>
        <v>0</v>
      </c>
      <c r="R54" s="60">
        <f t="shared" si="9"/>
        <v>0</v>
      </c>
      <c r="S54" s="61">
        <f t="shared" si="10"/>
        <v>0</v>
      </c>
      <c r="T54" s="60">
        <f>COUNTIFS('Solicitud de eventos'!$J:$J,T$1,'Solicitud de eventos'!$D:$D,$A54, 'Solicitud de eventos'!X:X,"&lt;&gt;DENEGADO")</f>
        <v>0</v>
      </c>
      <c r="U54" s="60">
        <f t="shared" si="11"/>
        <v>0</v>
      </c>
      <c r="V54" s="61">
        <f t="shared" si="12"/>
        <v>0</v>
      </c>
      <c r="W54" s="60">
        <f>COUNTIFS('Solicitud de eventos'!$J:$J,W$1,'Solicitud de eventos'!$D:$D,$A54, 'Solicitud de eventos'!X:X,"&lt;&gt;DENEGADO")</f>
        <v>0</v>
      </c>
      <c r="X54" s="60">
        <f t="shared" si="13"/>
        <v>0</v>
      </c>
      <c r="Y54" s="61">
        <f t="shared" si="14"/>
        <v>0</v>
      </c>
      <c r="Z54" s="60">
        <f>COUNTIFS('Solicitud de eventos'!$J:$J,Z$1,'Solicitud de eventos'!$D:$D,$A54, 'Solicitud de eventos'!X:X,"&lt;&gt;DENEGADO")</f>
        <v>0</v>
      </c>
      <c r="AA54" s="60">
        <f t="shared" si="15"/>
        <v>0</v>
      </c>
      <c r="AB54" s="61">
        <f t="shared" si="16"/>
        <v>0</v>
      </c>
      <c r="AC54" s="60">
        <f>COUNTIFS('Solicitud de eventos'!$J:$J,AC$1,'Solicitud de eventos'!$D:$D,$A54, 'Solicitud de eventos'!X:X,"&lt;&gt;DENEGADO")</f>
        <v>0</v>
      </c>
      <c r="AD54" s="60">
        <f t="shared" si="17"/>
        <v>0</v>
      </c>
      <c r="AE54" s="61">
        <f t="shared" si="18"/>
        <v>0</v>
      </c>
      <c r="AF54" s="60">
        <f>COUNTIFS('Solicitud de eventos'!$Q:$Q,"&gt;0",'Solicitud de eventos'!$D:$D,$A54, 'Solicitud de eventos'!$X:$X,"&lt;&gt;DENEGADO")</f>
        <v>0</v>
      </c>
      <c r="AG54" s="60">
        <f>COUNTIFS('Solicitud de eventos'!$S:$S,"&gt;0",'Solicitud de eventos'!$D:$D,$A54, 'Solicitud de eventos'!$X:$X,"&lt;&gt;DENEGADO")</f>
        <v>0</v>
      </c>
      <c r="AH54" s="60">
        <f>COUNTIFS('Solicitud de eventos'!$U:$U,"&gt;0",'Solicitud de eventos'!$D:$D,$A54, 'Solicitud de eventos'!$X:$X,"&lt;&gt;DENEGADO")</f>
        <v>0</v>
      </c>
      <c r="AI54" s="62"/>
      <c r="AJ54" s="60">
        <f>COUNTIFS('Hoja 4'!F:F,"&lt;7",'Hoja 4'!C:C,$A54, 'Hoja 4'!E:E,"&lt;&gt;DENEGADO")</f>
        <v>2</v>
      </c>
      <c r="AK54" s="60">
        <f>COUNTIFS('Solicitud de eventos'!$D:$D,$A54, 'Solicitud de eventos'!$X:$X,"=DENEGADO")</f>
        <v>0</v>
      </c>
      <c r="AL54" s="60">
        <f t="shared" si="19"/>
        <v>0</v>
      </c>
      <c r="AM54" s="63" t="str">
        <f t="shared" si="20"/>
        <v>INACTIVO</v>
      </c>
    </row>
    <row r="55">
      <c r="A55" s="58" t="s">
        <v>5365</v>
      </c>
      <c r="B55" s="59"/>
      <c r="C55" s="59"/>
      <c r="D55" s="60"/>
      <c r="E55" s="60">
        <f>COUNTIFS('Solicitud de eventos'!$J:$J,E$1,'Solicitud de eventos'!$D:$D,$A55, 'Solicitud de eventos'!X:X,"&lt;&gt;DENEGADO")</f>
        <v>2</v>
      </c>
      <c r="F55" s="60">
        <f t="shared" si="1"/>
        <v>0.025</v>
      </c>
      <c r="G55" s="61">
        <f t="shared" si="2"/>
        <v>0</v>
      </c>
      <c r="H55" s="60">
        <f>COUNTIFS('Solicitud de eventos'!$J:$J,H$1,'Solicitud de eventos'!$D:$D,$A55, 'Solicitud de eventos'!X:X,"&lt;&gt;DENEGADO")</f>
        <v>0</v>
      </c>
      <c r="I55" s="60">
        <f t="shared" si="3"/>
        <v>0</v>
      </c>
      <c r="J55" s="61">
        <f t="shared" si="4"/>
        <v>0</v>
      </c>
      <c r="K55" s="60">
        <f>COUNTIFS('Solicitud de eventos'!$J:$J,K$1,'Solicitud de eventos'!$D:$D,$A55, 'Solicitud de eventos'!X:X,"&lt;&gt;DENEGADO")</f>
        <v>0</v>
      </c>
      <c r="L55" s="60">
        <f t="shared" si="5"/>
        <v>0</v>
      </c>
      <c r="M55" s="61">
        <f t="shared" si="6"/>
        <v>0</v>
      </c>
      <c r="N55" s="60">
        <f>COUNTIFS('Solicitud de eventos'!$J:$J,N$1,'Solicitud de eventos'!$D:$D,$A55, 'Solicitud de eventos'!X:X,"&lt;&gt;DENEGADO")</f>
        <v>0</v>
      </c>
      <c r="O55" s="60">
        <f t="shared" si="7"/>
        <v>0</v>
      </c>
      <c r="P55" s="61">
        <f t="shared" si="8"/>
        <v>0</v>
      </c>
      <c r="Q55" s="60">
        <f>COUNTIFS('Solicitud de eventos'!$J:$J,Q$1,'Solicitud de eventos'!$D:$D,$A55, 'Solicitud de eventos'!X:X,"&lt;&gt;DENEGADO")</f>
        <v>9</v>
      </c>
      <c r="R55" s="60">
        <f t="shared" si="9"/>
        <v>0.15</v>
      </c>
      <c r="S55" s="61">
        <f t="shared" si="10"/>
        <v>0</v>
      </c>
      <c r="T55" s="60">
        <f>COUNTIFS('Solicitud de eventos'!$J:$J,T$1,'Solicitud de eventos'!$D:$D,$A55, 'Solicitud de eventos'!X:X,"&lt;&gt;DENEGADO")</f>
        <v>0</v>
      </c>
      <c r="U55" s="60">
        <f t="shared" si="11"/>
        <v>0</v>
      </c>
      <c r="V55" s="61">
        <f t="shared" si="12"/>
        <v>0</v>
      </c>
      <c r="W55" s="60">
        <f>COUNTIFS('Solicitud de eventos'!$J:$J,W$1,'Solicitud de eventos'!$D:$D,$A55, 'Solicitud de eventos'!X:X,"&lt;&gt;DENEGADO")</f>
        <v>0</v>
      </c>
      <c r="X55" s="60">
        <f t="shared" si="13"/>
        <v>0</v>
      </c>
      <c r="Y55" s="61">
        <f t="shared" si="14"/>
        <v>0</v>
      </c>
      <c r="Z55" s="60">
        <f>COUNTIFS('Solicitud de eventos'!$J:$J,Z$1,'Solicitud de eventos'!$D:$D,$A55, 'Solicitud de eventos'!X:X,"&lt;&gt;DENEGADO")</f>
        <v>0</v>
      </c>
      <c r="AA55" s="60">
        <f t="shared" si="15"/>
        <v>0</v>
      </c>
      <c r="AB55" s="61">
        <f t="shared" si="16"/>
        <v>0</v>
      </c>
      <c r="AC55" s="60">
        <f>COUNTIFS('Solicitud de eventos'!$J:$J,AC$1,'Solicitud de eventos'!$D:$D,$A55, 'Solicitud de eventos'!X:X,"&lt;&gt;DENEGADO")</f>
        <v>0</v>
      </c>
      <c r="AD55" s="60">
        <f t="shared" si="17"/>
        <v>0</v>
      </c>
      <c r="AE55" s="61">
        <f t="shared" si="18"/>
        <v>0</v>
      </c>
      <c r="AF55" s="60">
        <f>COUNTIFS('Solicitud de eventos'!$Q:$Q,"&gt;0",'Solicitud de eventos'!$D:$D,$A55, 'Solicitud de eventos'!$X:$X,"&lt;&gt;DENEGADO")</f>
        <v>0</v>
      </c>
      <c r="AG55" s="60">
        <f>COUNTIFS('Solicitud de eventos'!$S:$S,"&gt;0",'Solicitud de eventos'!$D:$D,$A55, 'Solicitud de eventos'!$X:$X,"&lt;&gt;DENEGADO")</f>
        <v>0</v>
      </c>
      <c r="AH55" s="60">
        <f>COUNTIFS('Solicitud de eventos'!$U:$U,"&gt;0",'Solicitud de eventos'!$D:$D,$A55, 'Solicitud de eventos'!$X:$X,"&lt;&gt;DENEGADO")</f>
        <v>0</v>
      </c>
      <c r="AI55" s="62"/>
      <c r="AJ55" s="60">
        <f>COUNTIFS('Hoja 4'!F:F,"&lt;7",'Hoja 4'!C:C,$A55, 'Hoja 4'!E:E,"&lt;&gt;DENEGADO")</f>
        <v>4</v>
      </c>
      <c r="AK55" s="60">
        <f>COUNTIFS('Solicitud de eventos'!$D:$D,$A55, 'Solicitud de eventos'!$X:$X,"=DENEGADO")</f>
        <v>0</v>
      </c>
      <c r="AL55" s="60">
        <f t="shared" si="19"/>
        <v>0</v>
      </c>
      <c r="AM55" s="63" t="str">
        <f t="shared" si="20"/>
        <v>INACTIVO</v>
      </c>
    </row>
    <row r="56">
      <c r="A56" s="58" t="s">
        <v>4211</v>
      </c>
      <c r="B56" s="59"/>
      <c r="C56" s="59"/>
      <c r="D56" s="60"/>
      <c r="E56" s="60">
        <f>COUNTIFS('Solicitud de eventos'!$J:$J,E$1,'Solicitud de eventos'!$D:$D,$A56, 'Solicitud de eventos'!X:X,"&lt;&gt;DENEGADO")</f>
        <v>9</v>
      </c>
      <c r="F56" s="60">
        <f t="shared" si="1"/>
        <v>0.1125</v>
      </c>
      <c r="G56" s="61">
        <f t="shared" si="2"/>
        <v>0</v>
      </c>
      <c r="H56" s="60">
        <f>COUNTIFS('Solicitud de eventos'!$J:$J,H$1,'Solicitud de eventos'!$D:$D,$A56, 'Solicitud de eventos'!X:X,"&lt;&gt;DENEGADO")</f>
        <v>8</v>
      </c>
      <c r="I56" s="60">
        <f t="shared" si="3"/>
        <v>0.16</v>
      </c>
      <c r="J56" s="61">
        <f t="shared" si="4"/>
        <v>0</v>
      </c>
      <c r="K56" s="60">
        <f>COUNTIFS('Solicitud de eventos'!$J:$J,K$1,'Solicitud de eventos'!$D:$D,$A56, 'Solicitud de eventos'!X:X,"&lt;&gt;DENEGADO")</f>
        <v>2</v>
      </c>
      <c r="L56" s="60">
        <f t="shared" si="5"/>
        <v>0.05555555556</v>
      </c>
      <c r="M56" s="61">
        <f t="shared" si="6"/>
        <v>0</v>
      </c>
      <c r="N56" s="60">
        <f>COUNTIFS('Solicitud de eventos'!$J:$J,N$1,'Solicitud de eventos'!$D:$D,$A56, 'Solicitud de eventos'!X:X,"&lt;&gt;DENEGADO")</f>
        <v>0</v>
      </c>
      <c r="O56" s="60">
        <f t="shared" si="7"/>
        <v>0</v>
      </c>
      <c r="P56" s="61">
        <f t="shared" si="8"/>
        <v>0</v>
      </c>
      <c r="Q56" s="60">
        <f>COUNTIFS('Solicitud de eventos'!$J:$J,Q$1,'Solicitud de eventos'!$D:$D,$A56, 'Solicitud de eventos'!X:X,"&lt;&gt;DENEGADO")</f>
        <v>0</v>
      </c>
      <c r="R56" s="60">
        <f t="shared" si="9"/>
        <v>0</v>
      </c>
      <c r="S56" s="61">
        <f t="shared" si="10"/>
        <v>0</v>
      </c>
      <c r="T56" s="60">
        <f>COUNTIFS('Solicitud de eventos'!$J:$J,T$1,'Solicitud de eventos'!$D:$D,$A56, 'Solicitud de eventos'!X:X,"&lt;&gt;DENEGADO")</f>
        <v>0</v>
      </c>
      <c r="U56" s="60">
        <f t="shared" si="11"/>
        <v>0</v>
      </c>
      <c r="V56" s="61">
        <f t="shared" si="12"/>
        <v>0</v>
      </c>
      <c r="W56" s="60">
        <f>COUNTIFS('Solicitud de eventos'!$J:$J,W$1,'Solicitud de eventos'!$D:$D,$A56, 'Solicitud de eventos'!X:X,"&lt;&gt;DENEGADO")</f>
        <v>0</v>
      </c>
      <c r="X56" s="60">
        <f t="shared" si="13"/>
        <v>0</v>
      </c>
      <c r="Y56" s="61">
        <f t="shared" si="14"/>
        <v>0</v>
      </c>
      <c r="Z56" s="60">
        <f>COUNTIFS('Solicitud de eventos'!$J:$J,Z$1,'Solicitud de eventos'!$D:$D,$A56, 'Solicitud de eventos'!X:X,"&lt;&gt;DENEGADO")</f>
        <v>1</v>
      </c>
      <c r="AA56" s="60">
        <f t="shared" si="15"/>
        <v>0.3333333333</v>
      </c>
      <c r="AB56" s="61">
        <f t="shared" si="16"/>
        <v>4</v>
      </c>
      <c r="AC56" s="60">
        <f>COUNTIFS('Solicitud de eventos'!$J:$J,AC$1,'Solicitud de eventos'!$D:$D,$A56, 'Solicitud de eventos'!X:X,"&lt;&gt;DENEGADO")</f>
        <v>0</v>
      </c>
      <c r="AD56" s="60">
        <f t="shared" si="17"/>
        <v>0</v>
      </c>
      <c r="AE56" s="61">
        <f t="shared" si="18"/>
        <v>0</v>
      </c>
      <c r="AF56" s="60">
        <f>COUNTIFS('Solicitud de eventos'!$Q:$Q,"&gt;0",'Solicitud de eventos'!$D:$D,$A56, 'Solicitud de eventos'!$X:$X,"&lt;&gt;DENEGADO")</f>
        <v>2</v>
      </c>
      <c r="AG56" s="60">
        <f>COUNTIFS('Solicitud de eventos'!$S:$S,"&gt;0",'Solicitud de eventos'!$D:$D,$A56, 'Solicitud de eventos'!$X:$X,"&lt;&gt;DENEGADO")</f>
        <v>1</v>
      </c>
      <c r="AH56" s="60">
        <f>COUNTIFS('Solicitud de eventos'!$U:$U,"&gt;0",'Solicitud de eventos'!$D:$D,$A56, 'Solicitud de eventos'!$X:$X,"&lt;&gt;DENEGADO")</f>
        <v>0</v>
      </c>
      <c r="AI56" s="62"/>
      <c r="AJ56" s="60">
        <f>COUNTIFS('Hoja 4'!F:F,"&lt;7",'Hoja 4'!C:C,$A56, 'Hoja 4'!E:E,"&lt;&gt;DENEGADO")</f>
        <v>11</v>
      </c>
      <c r="AK56" s="60">
        <f>COUNTIFS('Solicitud de eventos'!$D:$D,$A56, 'Solicitud de eventos'!$X:$X,"=DENEGADO")</f>
        <v>0</v>
      </c>
      <c r="AL56" s="60">
        <f t="shared" si="19"/>
        <v>4</v>
      </c>
      <c r="AM56" s="63" t="str">
        <f t="shared" si="20"/>
        <v>INACTIVO</v>
      </c>
    </row>
    <row r="57">
      <c r="A57" s="58" t="s">
        <v>5989</v>
      </c>
      <c r="B57" s="59"/>
      <c r="C57" s="59"/>
      <c r="D57" s="60"/>
      <c r="E57" s="60">
        <f>COUNTIFS('Solicitud de eventos'!$J:$J,E$1,'Solicitud de eventos'!$D:$D,$A57, 'Solicitud de eventos'!X:X,"&lt;&gt;DENEGADO")</f>
        <v>0</v>
      </c>
      <c r="F57" s="60">
        <f t="shared" si="1"/>
        <v>0</v>
      </c>
      <c r="G57" s="61">
        <f t="shared" si="2"/>
        <v>0</v>
      </c>
      <c r="H57" s="60">
        <f>COUNTIFS('Solicitud de eventos'!$J:$J,H$1,'Solicitud de eventos'!$D:$D,$A57, 'Solicitud de eventos'!X:X,"&lt;&gt;DENEGADO")</f>
        <v>0</v>
      </c>
      <c r="I57" s="60">
        <f t="shared" si="3"/>
        <v>0</v>
      </c>
      <c r="J57" s="61">
        <f t="shared" si="4"/>
        <v>0</v>
      </c>
      <c r="K57" s="60">
        <f>COUNTIFS('Solicitud de eventos'!$J:$J,K$1,'Solicitud de eventos'!$D:$D,$A57, 'Solicitud de eventos'!X:X,"&lt;&gt;DENEGADO")</f>
        <v>0</v>
      </c>
      <c r="L57" s="60">
        <f t="shared" si="5"/>
        <v>0</v>
      </c>
      <c r="M57" s="61">
        <f t="shared" si="6"/>
        <v>0</v>
      </c>
      <c r="N57" s="60">
        <f>COUNTIFS('Solicitud de eventos'!$J:$J,N$1,'Solicitud de eventos'!$D:$D,$A57, 'Solicitud de eventos'!X:X,"&lt;&gt;DENEGADO")</f>
        <v>0</v>
      </c>
      <c r="O57" s="60">
        <f t="shared" si="7"/>
        <v>0</v>
      </c>
      <c r="P57" s="61">
        <f t="shared" si="8"/>
        <v>0</v>
      </c>
      <c r="Q57" s="60">
        <f>COUNTIFS('Solicitud de eventos'!$J:$J,Q$1,'Solicitud de eventos'!$D:$D,$A57, 'Solicitud de eventos'!X:X,"&lt;&gt;DENEGADO")</f>
        <v>0</v>
      </c>
      <c r="R57" s="60">
        <f t="shared" si="9"/>
        <v>0</v>
      </c>
      <c r="S57" s="61">
        <f t="shared" si="10"/>
        <v>0</v>
      </c>
      <c r="T57" s="60">
        <f>COUNTIFS('Solicitud de eventos'!$J:$J,T$1,'Solicitud de eventos'!$D:$D,$A57, 'Solicitud de eventos'!X:X,"&lt;&gt;DENEGADO")</f>
        <v>0</v>
      </c>
      <c r="U57" s="60">
        <f t="shared" si="11"/>
        <v>0</v>
      </c>
      <c r="V57" s="61">
        <f t="shared" si="12"/>
        <v>0</v>
      </c>
      <c r="W57" s="60">
        <f>COUNTIFS('Solicitud de eventos'!$J:$J,W$1,'Solicitud de eventos'!$D:$D,$A57, 'Solicitud de eventos'!X:X,"&lt;&gt;DENEGADO")</f>
        <v>1</v>
      </c>
      <c r="X57" s="60">
        <f t="shared" si="13"/>
        <v>0.25</v>
      </c>
      <c r="Y57" s="61">
        <f t="shared" si="14"/>
        <v>0</v>
      </c>
      <c r="Z57" s="60">
        <f>COUNTIFS('Solicitud de eventos'!$J:$J,Z$1,'Solicitud de eventos'!$D:$D,$A57, 'Solicitud de eventos'!X:X,"&lt;&gt;DENEGADO")</f>
        <v>0</v>
      </c>
      <c r="AA57" s="60">
        <f t="shared" si="15"/>
        <v>0</v>
      </c>
      <c r="AB57" s="61">
        <f t="shared" si="16"/>
        <v>0</v>
      </c>
      <c r="AC57" s="60">
        <f>COUNTIFS('Solicitud de eventos'!$J:$J,AC$1,'Solicitud de eventos'!$D:$D,$A57, 'Solicitud de eventos'!X:X,"&lt;&gt;DENEGADO")</f>
        <v>0</v>
      </c>
      <c r="AD57" s="60">
        <f t="shared" si="17"/>
        <v>0</v>
      </c>
      <c r="AE57" s="61">
        <f t="shared" si="18"/>
        <v>0</v>
      </c>
      <c r="AF57" s="60">
        <f>COUNTIFS('Solicitud de eventos'!$Q:$Q,"&gt;0",'Solicitud de eventos'!$D:$D,$A57, 'Solicitud de eventos'!$X:$X,"&lt;&gt;DENEGADO")</f>
        <v>0</v>
      </c>
      <c r="AG57" s="60">
        <f>COUNTIFS('Solicitud de eventos'!$S:$S,"&gt;0",'Solicitud de eventos'!$D:$D,$A57, 'Solicitud de eventos'!$X:$X,"&lt;&gt;DENEGADO")</f>
        <v>1</v>
      </c>
      <c r="AH57" s="60">
        <f>COUNTIFS('Solicitud de eventos'!$U:$U,"&gt;0",'Solicitud de eventos'!$D:$D,$A57, 'Solicitud de eventos'!$X:$X,"&lt;&gt;DENEGADO")</f>
        <v>0</v>
      </c>
      <c r="AI57" s="62"/>
      <c r="AJ57" s="60">
        <f>COUNTIFS('Hoja 4'!F:F,"&lt;7",'Hoja 4'!C:C,$A57, 'Hoja 4'!E:E,"&lt;&gt;DENEGADO")</f>
        <v>0</v>
      </c>
      <c r="AK57" s="60">
        <f>COUNTIFS('Solicitud de eventos'!$D:$D,$A57, 'Solicitud de eventos'!$X:$X,"=DENEGADO")</f>
        <v>0</v>
      </c>
      <c r="AL57" s="60">
        <f t="shared" si="19"/>
        <v>0</v>
      </c>
      <c r="AM57" s="63" t="str">
        <f t="shared" si="20"/>
        <v>INACTIVO</v>
      </c>
    </row>
    <row r="58">
      <c r="E58" s="79"/>
      <c r="AI58" s="80"/>
    </row>
    <row r="59">
      <c r="E59" s="79"/>
      <c r="AI59" s="80"/>
    </row>
    <row r="60">
      <c r="E60" s="79"/>
      <c r="AI60" s="80"/>
    </row>
    <row r="61">
      <c r="E61" s="79"/>
      <c r="AI61" s="80"/>
    </row>
    <row r="62">
      <c r="E62" s="79"/>
      <c r="AI62" s="80"/>
    </row>
    <row r="63">
      <c r="E63" s="79"/>
      <c r="AI63" s="80"/>
    </row>
    <row r="64">
      <c r="E64" s="79"/>
      <c r="AI64" s="80"/>
    </row>
    <row r="65">
      <c r="E65" s="79"/>
      <c r="AI65" s="80"/>
    </row>
    <row r="66">
      <c r="E66" s="79"/>
      <c r="AI66" s="80"/>
    </row>
    <row r="67">
      <c r="E67" s="79"/>
      <c r="AI67" s="80"/>
    </row>
    <row r="68">
      <c r="E68" s="79"/>
      <c r="AI68" s="80"/>
    </row>
    <row r="69">
      <c r="E69" s="79"/>
      <c r="AI69" s="80"/>
    </row>
    <row r="70">
      <c r="AI70" s="80"/>
    </row>
    <row r="71">
      <c r="AI71" s="80"/>
    </row>
    <row r="72">
      <c r="AI72" s="80"/>
    </row>
    <row r="73">
      <c r="AI73" s="80"/>
    </row>
    <row r="74">
      <c r="AI74" s="80"/>
    </row>
    <row r="75">
      <c r="AI75" s="80"/>
    </row>
    <row r="76">
      <c r="AI76" s="80"/>
    </row>
    <row r="77">
      <c r="AI77" s="80"/>
    </row>
    <row r="78">
      <c r="AI78" s="80"/>
    </row>
    <row r="79">
      <c r="AI79" s="80"/>
    </row>
    <row r="80">
      <c r="AI80" s="80"/>
    </row>
    <row r="81">
      <c r="AI81" s="80"/>
    </row>
    <row r="82">
      <c r="AI82" s="80"/>
    </row>
    <row r="83">
      <c r="AI83" s="80"/>
    </row>
    <row r="84">
      <c r="AI84" s="80"/>
    </row>
    <row r="85">
      <c r="AI85" s="80"/>
    </row>
    <row r="86">
      <c r="AI86" s="80"/>
    </row>
    <row r="87">
      <c r="AI87" s="80"/>
    </row>
    <row r="88">
      <c r="AI88" s="80"/>
    </row>
    <row r="89">
      <c r="AI89" s="80"/>
    </row>
    <row r="90">
      <c r="AI90" s="80"/>
    </row>
    <row r="91">
      <c r="AI91" s="80"/>
    </row>
    <row r="92">
      <c r="AI92" s="80"/>
    </row>
    <row r="93">
      <c r="AI93" s="80"/>
    </row>
    <row r="94">
      <c r="AI94" s="80"/>
    </row>
    <row r="95">
      <c r="AI95" s="80"/>
    </row>
    <row r="96">
      <c r="AI96" s="80"/>
    </row>
    <row r="97">
      <c r="AI97" s="80"/>
    </row>
    <row r="98">
      <c r="AI98" s="80"/>
    </row>
    <row r="99">
      <c r="AI99" s="80"/>
    </row>
    <row r="100">
      <c r="AI100" s="80"/>
    </row>
    <row r="101">
      <c r="AI101" s="80"/>
    </row>
    <row r="102">
      <c r="AI102" s="80"/>
    </row>
    <row r="103">
      <c r="AI103" s="80"/>
    </row>
    <row r="104">
      <c r="AI104" s="80"/>
    </row>
    <row r="105">
      <c r="AI105" s="80"/>
    </row>
    <row r="106">
      <c r="AI106" s="80"/>
    </row>
    <row r="107">
      <c r="AI107" s="80"/>
    </row>
    <row r="108">
      <c r="AI108" s="80"/>
    </row>
    <row r="109">
      <c r="AI109" s="80"/>
    </row>
    <row r="110">
      <c r="AI110" s="80"/>
    </row>
    <row r="111">
      <c r="AI111" s="80"/>
    </row>
    <row r="112">
      <c r="AI112" s="80"/>
    </row>
    <row r="113">
      <c r="AI113" s="80"/>
    </row>
    <row r="114">
      <c r="AI114" s="80"/>
    </row>
    <row r="115">
      <c r="AI115" s="80"/>
    </row>
    <row r="116">
      <c r="AI116" s="80"/>
    </row>
    <row r="117">
      <c r="AI117" s="80"/>
    </row>
    <row r="118">
      <c r="AI118" s="80"/>
    </row>
    <row r="119">
      <c r="AI119" s="80"/>
    </row>
    <row r="120">
      <c r="AI120" s="80"/>
    </row>
    <row r="121">
      <c r="AI121" s="80"/>
    </row>
    <row r="122">
      <c r="AI122" s="80"/>
    </row>
    <row r="123">
      <c r="AI123" s="80"/>
    </row>
    <row r="124">
      <c r="AI124" s="80"/>
    </row>
    <row r="125">
      <c r="AI125" s="80"/>
    </row>
    <row r="126">
      <c r="AI126" s="80"/>
    </row>
    <row r="127">
      <c r="AI127" s="80"/>
    </row>
    <row r="128">
      <c r="AI128" s="80"/>
    </row>
    <row r="129">
      <c r="AI129" s="80"/>
    </row>
    <row r="130">
      <c r="AI130" s="80"/>
    </row>
    <row r="131">
      <c r="AI131" s="80"/>
    </row>
    <row r="132">
      <c r="AI132" s="80"/>
    </row>
    <row r="133">
      <c r="AI133" s="80"/>
    </row>
    <row r="134">
      <c r="AI134" s="80"/>
    </row>
    <row r="135">
      <c r="AI135" s="80"/>
    </row>
    <row r="136">
      <c r="AI136" s="80"/>
    </row>
    <row r="137">
      <c r="AI137" s="80"/>
    </row>
    <row r="138">
      <c r="AI138" s="80"/>
    </row>
    <row r="139">
      <c r="AI139" s="80"/>
    </row>
    <row r="140">
      <c r="AI140" s="80"/>
    </row>
    <row r="141">
      <c r="AI141" s="80"/>
    </row>
    <row r="142">
      <c r="AI142" s="80"/>
    </row>
    <row r="143">
      <c r="AI143" s="80"/>
    </row>
    <row r="144">
      <c r="AI144" s="80"/>
    </row>
    <row r="145">
      <c r="AI145" s="80"/>
    </row>
    <row r="146">
      <c r="AI146" s="80"/>
    </row>
    <row r="147">
      <c r="AI147" s="80"/>
    </row>
    <row r="148">
      <c r="AI148" s="80"/>
    </row>
    <row r="149">
      <c r="AI149" s="80"/>
    </row>
    <row r="150">
      <c r="AI150" s="80"/>
    </row>
    <row r="151">
      <c r="AI151" s="80"/>
    </row>
    <row r="152">
      <c r="AI152" s="80"/>
    </row>
    <row r="153">
      <c r="AI153" s="80"/>
    </row>
    <row r="154">
      <c r="AI154" s="80"/>
    </row>
    <row r="155">
      <c r="AI155" s="80"/>
    </row>
    <row r="156">
      <c r="AI156" s="80"/>
    </row>
    <row r="157">
      <c r="AI157" s="80"/>
    </row>
    <row r="158">
      <c r="AI158" s="80"/>
    </row>
    <row r="159">
      <c r="AI159" s="80"/>
    </row>
    <row r="160">
      <c r="AI160" s="80"/>
    </row>
    <row r="161">
      <c r="AI161" s="80"/>
    </row>
    <row r="162">
      <c r="AI162" s="80"/>
    </row>
    <row r="163">
      <c r="AI163" s="80"/>
    </row>
    <row r="164">
      <c r="AI164" s="80"/>
    </row>
    <row r="165">
      <c r="AI165" s="80"/>
    </row>
    <row r="166">
      <c r="AI166" s="80"/>
    </row>
    <row r="167">
      <c r="AI167" s="80"/>
    </row>
    <row r="168">
      <c r="AI168" s="80"/>
    </row>
    <row r="169">
      <c r="AI169" s="80"/>
    </row>
    <row r="170">
      <c r="AI170" s="80"/>
    </row>
    <row r="171">
      <c r="AI171" s="80"/>
    </row>
    <row r="172">
      <c r="AI172" s="80"/>
    </row>
    <row r="173">
      <c r="AI173" s="80"/>
    </row>
    <row r="174">
      <c r="AI174" s="80"/>
    </row>
    <row r="175">
      <c r="AI175" s="80"/>
    </row>
    <row r="176">
      <c r="AI176" s="80"/>
    </row>
    <row r="177">
      <c r="AI177" s="80"/>
    </row>
    <row r="178">
      <c r="AI178" s="80"/>
    </row>
    <row r="179">
      <c r="AI179" s="80"/>
    </row>
    <row r="180">
      <c r="AI180" s="80"/>
    </row>
    <row r="181">
      <c r="AI181" s="80"/>
    </row>
    <row r="182">
      <c r="AI182" s="80"/>
    </row>
    <row r="183">
      <c r="AI183" s="80"/>
    </row>
    <row r="184">
      <c r="AI184" s="80"/>
    </row>
    <row r="185">
      <c r="AI185" s="80"/>
    </row>
    <row r="186">
      <c r="AI186" s="80"/>
    </row>
    <row r="187">
      <c r="AI187" s="80"/>
    </row>
    <row r="188">
      <c r="AI188" s="80"/>
    </row>
    <row r="189">
      <c r="AI189" s="80"/>
    </row>
    <row r="190">
      <c r="AI190" s="80"/>
    </row>
    <row r="191">
      <c r="AI191" s="80"/>
    </row>
    <row r="192">
      <c r="AI192" s="80"/>
    </row>
    <row r="193">
      <c r="AI193" s="80"/>
    </row>
    <row r="194">
      <c r="AI194" s="80"/>
    </row>
    <row r="195">
      <c r="AI195" s="80"/>
    </row>
    <row r="196">
      <c r="AI196" s="80"/>
    </row>
    <row r="197">
      <c r="AI197" s="80"/>
    </row>
    <row r="198">
      <c r="AI198" s="80"/>
    </row>
    <row r="199">
      <c r="AI199" s="80"/>
    </row>
    <row r="200">
      <c r="AI200" s="80"/>
    </row>
    <row r="201">
      <c r="AI201" s="80"/>
    </row>
    <row r="202">
      <c r="AI202" s="80"/>
    </row>
    <row r="203">
      <c r="AI203" s="80"/>
    </row>
    <row r="204">
      <c r="AI204" s="80"/>
    </row>
    <row r="205">
      <c r="AI205" s="80"/>
    </row>
    <row r="206">
      <c r="AI206" s="80"/>
    </row>
    <row r="207">
      <c r="AI207" s="80"/>
    </row>
    <row r="208">
      <c r="AI208" s="80"/>
    </row>
    <row r="209">
      <c r="AI209" s="80"/>
    </row>
    <row r="210">
      <c r="AI210" s="80"/>
    </row>
    <row r="211">
      <c r="AI211" s="80"/>
    </row>
    <row r="212">
      <c r="AI212" s="80"/>
    </row>
    <row r="213">
      <c r="AI213" s="80"/>
    </row>
    <row r="214">
      <c r="AI214" s="80"/>
    </row>
    <row r="215">
      <c r="AI215" s="80"/>
    </row>
    <row r="216">
      <c r="AI216" s="80"/>
    </row>
    <row r="217">
      <c r="AI217" s="80"/>
    </row>
    <row r="218">
      <c r="AI218" s="80"/>
    </row>
    <row r="219">
      <c r="AI219" s="80"/>
    </row>
    <row r="220">
      <c r="AI220" s="80"/>
    </row>
    <row r="221">
      <c r="AI221" s="80"/>
    </row>
    <row r="222">
      <c r="AI222" s="80"/>
    </row>
    <row r="223">
      <c r="AI223" s="80"/>
    </row>
    <row r="224">
      <c r="AI224" s="80"/>
    </row>
    <row r="225">
      <c r="AI225" s="80"/>
    </row>
    <row r="226">
      <c r="AI226" s="80"/>
    </row>
    <row r="227">
      <c r="AI227" s="80"/>
    </row>
    <row r="228">
      <c r="AI228" s="80"/>
    </row>
    <row r="229">
      <c r="AI229" s="80"/>
    </row>
    <row r="230">
      <c r="AI230" s="80"/>
    </row>
    <row r="231">
      <c r="AI231" s="80"/>
    </row>
    <row r="232">
      <c r="AI232" s="80"/>
    </row>
    <row r="233">
      <c r="AI233" s="80"/>
    </row>
    <row r="234">
      <c r="AI234" s="80"/>
    </row>
    <row r="235">
      <c r="AI235" s="80"/>
    </row>
    <row r="236">
      <c r="AI236" s="80"/>
    </row>
    <row r="237">
      <c r="AI237" s="80"/>
    </row>
    <row r="238">
      <c r="AI238" s="80"/>
    </row>
    <row r="239">
      <c r="AI239" s="80"/>
    </row>
    <row r="240">
      <c r="AI240" s="80"/>
    </row>
    <row r="241">
      <c r="AI241" s="80"/>
    </row>
    <row r="242">
      <c r="AI242" s="80"/>
    </row>
    <row r="243">
      <c r="AI243" s="80"/>
    </row>
    <row r="244">
      <c r="AI244" s="80"/>
    </row>
    <row r="245">
      <c r="AI245" s="80"/>
    </row>
    <row r="246">
      <c r="AI246" s="80"/>
    </row>
    <row r="247">
      <c r="AI247" s="80"/>
    </row>
    <row r="248">
      <c r="AI248" s="80"/>
    </row>
    <row r="249">
      <c r="AI249" s="80"/>
    </row>
    <row r="250">
      <c r="AI250" s="80"/>
    </row>
    <row r="251">
      <c r="AI251" s="80"/>
    </row>
    <row r="252">
      <c r="AI252" s="80"/>
    </row>
    <row r="253">
      <c r="AI253" s="80"/>
    </row>
    <row r="254">
      <c r="AI254" s="80"/>
    </row>
    <row r="255">
      <c r="AI255" s="80"/>
    </row>
    <row r="256">
      <c r="AI256" s="80"/>
    </row>
    <row r="257">
      <c r="AI257" s="80"/>
    </row>
    <row r="258">
      <c r="AI258" s="80"/>
    </row>
    <row r="259">
      <c r="AI259" s="80"/>
    </row>
    <row r="260">
      <c r="AI260" s="80"/>
    </row>
    <row r="261">
      <c r="AI261" s="80"/>
    </row>
    <row r="262">
      <c r="AI262" s="80"/>
    </row>
    <row r="263">
      <c r="AI263" s="80"/>
    </row>
    <row r="264">
      <c r="AI264" s="80"/>
    </row>
    <row r="265">
      <c r="AI265" s="80"/>
    </row>
    <row r="266">
      <c r="AI266" s="80"/>
    </row>
    <row r="267">
      <c r="AI267" s="80"/>
    </row>
    <row r="268">
      <c r="AI268" s="80"/>
    </row>
    <row r="269">
      <c r="AI269" s="80"/>
    </row>
    <row r="270">
      <c r="AI270" s="80"/>
    </row>
    <row r="271">
      <c r="AI271" s="80"/>
    </row>
    <row r="272">
      <c r="AI272" s="80"/>
    </row>
    <row r="273">
      <c r="AI273" s="80"/>
    </row>
    <row r="274">
      <c r="AI274" s="80"/>
    </row>
    <row r="275">
      <c r="AI275" s="80"/>
    </row>
    <row r="276">
      <c r="AI276" s="80"/>
    </row>
    <row r="277">
      <c r="AI277" s="80"/>
    </row>
    <row r="278">
      <c r="AI278" s="80"/>
    </row>
    <row r="279">
      <c r="AI279" s="80"/>
    </row>
    <row r="280">
      <c r="AI280" s="80"/>
    </row>
    <row r="281">
      <c r="AI281" s="80"/>
    </row>
    <row r="282">
      <c r="AI282" s="80"/>
    </row>
    <row r="283">
      <c r="AI283" s="80"/>
    </row>
    <row r="284">
      <c r="AI284" s="80"/>
    </row>
    <row r="285">
      <c r="AI285" s="80"/>
    </row>
    <row r="286">
      <c r="AI286" s="80"/>
    </row>
    <row r="287">
      <c r="AI287" s="80"/>
    </row>
    <row r="288">
      <c r="AI288" s="80"/>
    </row>
    <row r="289">
      <c r="AI289" s="80"/>
    </row>
    <row r="290">
      <c r="AI290" s="80"/>
    </row>
    <row r="291">
      <c r="AI291" s="80"/>
    </row>
    <row r="292">
      <c r="AI292" s="80"/>
    </row>
    <row r="293">
      <c r="AI293" s="80"/>
    </row>
    <row r="294">
      <c r="AI294" s="80"/>
    </row>
    <row r="295">
      <c r="AI295" s="80"/>
    </row>
    <row r="296">
      <c r="AI296" s="80"/>
    </row>
    <row r="297">
      <c r="AI297" s="80"/>
    </row>
    <row r="298">
      <c r="AI298" s="80"/>
    </row>
    <row r="299">
      <c r="AI299" s="80"/>
    </row>
    <row r="300">
      <c r="AI300" s="80"/>
    </row>
    <row r="301">
      <c r="AI301" s="80"/>
    </row>
    <row r="302">
      <c r="AI302" s="80"/>
    </row>
    <row r="303">
      <c r="AI303" s="80"/>
    </row>
    <row r="304">
      <c r="AI304" s="80"/>
    </row>
    <row r="305">
      <c r="AI305" s="80"/>
    </row>
    <row r="306">
      <c r="AI306" s="80"/>
    </row>
    <row r="307">
      <c r="AI307" s="80"/>
    </row>
    <row r="308">
      <c r="AI308" s="80"/>
    </row>
    <row r="309">
      <c r="AI309" s="80"/>
    </row>
    <row r="310">
      <c r="AI310" s="80"/>
    </row>
    <row r="311">
      <c r="AI311" s="80"/>
    </row>
    <row r="312">
      <c r="AI312" s="80"/>
    </row>
    <row r="313">
      <c r="AI313" s="80"/>
    </row>
    <row r="314">
      <c r="AI314" s="80"/>
    </row>
    <row r="315">
      <c r="AI315" s="80"/>
    </row>
    <row r="316">
      <c r="AI316" s="80"/>
    </row>
    <row r="317">
      <c r="AI317" s="80"/>
    </row>
    <row r="318">
      <c r="AI318" s="80"/>
    </row>
    <row r="319">
      <c r="AI319" s="80"/>
    </row>
    <row r="320">
      <c r="AI320" s="80"/>
    </row>
    <row r="321">
      <c r="AI321" s="80"/>
    </row>
    <row r="322">
      <c r="AI322" s="80"/>
    </row>
    <row r="323">
      <c r="AI323" s="80"/>
    </row>
    <row r="324">
      <c r="AI324" s="80"/>
    </row>
    <row r="325">
      <c r="AI325" s="80"/>
    </row>
    <row r="326">
      <c r="AI326" s="80"/>
    </row>
    <row r="327">
      <c r="AI327" s="80"/>
    </row>
    <row r="328">
      <c r="AI328" s="80"/>
    </row>
    <row r="329">
      <c r="AI329" s="80"/>
    </row>
    <row r="330">
      <c r="AI330" s="80"/>
    </row>
    <row r="331">
      <c r="AI331" s="80"/>
    </row>
    <row r="332">
      <c r="AI332" s="80"/>
    </row>
    <row r="333">
      <c r="AI333" s="80"/>
    </row>
    <row r="334">
      <c r="AI334" s="80"/>
    </row>
    <row r="335">
      <c r="AI335" s="80"/>
    </row>
    <row r="336">
      <c r="AI336" s="80"/>
    </row>
    <row r="337">
      <c r="AI337" s="80"/>
    </row>
    <row r="338">
      <c r="AI338" s="80"/>
    </row>
    <row r="339">
      <c r="AI339" s="80"/>
    </row>
    <row r="340">
      <c r="AI340" s="80"/>
    </row>
    <row r="341">
      <c r="AI341" s="80"/>
    </row>
    <row r="342">
      <c r="AI342" s="80"/>
    </row>
    <row r="343">
      <c r="AI343" s="80"/>
    </row>
    <row r="344">
      <c r="AI344" s="80"/>
    </row>
    <row r="345">
      <c r="AI345" s="80"/>
    </row>
    <row r="346">
      <c r="AI346" s="80"/>
    </row>
    <row r="347">
      <c r="AI347" s="80"/>
    </row>
    <row r="348">
      <c r="AI348" s="80"/>
    </row>
    <row r="349">
      <c r="AI349" s="80"/>
    </row>
    <row r="350">
      <c r="AI350" s="80"/>
    </row>
    <row r="351">
      <c r="AI351" s="80"/>
    </row>
    <row r="352">
      <c r="AI352" s="80"/>
    </row>
    <row r="353">
      <c r="AI353" s="80"/>
    </row>
    <row r="354">
      <c r="AI354" s="80"/>
    </row>
    <row r="355">
      <c r="AI355" s="80"/>
    </row>
    <row r="356">
      <c r="AI356" s="80"/>
    </row>
    <row r="357">
      <c r="AI357" s="80"/>
    </row>
    <row r="358">
      <c r="AI358" s="80"/>
    </row>
    <row r="359">
      <c r="AI359" s="80"/>
    </row>
    <row r="360">
      <c r="AI360" s="80"/>
    </row>
    <row r="361">
      <c r="AI361" s="80"/>
    </row>
    <row r="362">
      <c r="AI362" s="80"/>
    </row>
    <row r="363">
      <c r="AI363" s="80"/>
    </row>
    <row r="364">
      <c r="AI364" s="80"/>
    </row>
    <row r="365">
      <c r="AI365" s="80"/>
    </row>
    <row r="366">
      <c r="AI366" s="80"/>
    </row>
    <row r="367">
      <c r="AI367" s="80"/>
    </row>
    <row r="368">
      <c r="AI368" s="80"/>
    </row>
    <row r="369">
      <c r="AI369" s="80"/>
    </row>
    <row r="370">
      <c r="AI370" s="80"/>
    </row>
    <row r="371">
      <c r="AI371" s="80"/>
    </row>
    <row r="372">
      <c r="AI372" s="80"/>
    </row>
    <row r="373">
      <c r="AI373" s="80"/>
    </row>
    <row r="374">
      <c r="AI374" s="80"/>
    </row>
    <row r="375">
      <c r="AI375" s="80"/>
    </row>
    <row r="376">
      <c r="AI376" s="80"/>
    </row>
    <row r="377">
      <c r="AI377" s="80"/>
    </row>
    <row r="378">
      <c r="AI378" s="80"/>
    </row>
    <row r="379">
      <c r="AI379" s="80"/>
    </row>
    <row r="380">
      <c r="AI380" s="80"/>
    </row>
    <row r="381">
      <c r="AI381" s="80"/>
    </row>
    <row r="382">
      <c r="AI382" s="80"/>
    </row>
    <row r="383">
      <c r="AI383" s="80"/>
    </row>
    <row r="384">
      <c r="AI384" s="80"/>
    </row>
    <row r="385">
      <c r="AI385" s="80"/>
    </row>
    <row r="386">
      <c r="AI386" s="80"/>
    </row>
    <row r="387">
      <c r="AI387" s="80"/>
    </row>
    <row r="388">
      <c r="AI388" s="80"/>
    </row>
    <row r="389">
      <c r="AI389" s="80"/>
    </row>
    <row r="390">
      <c r="AI390" s="80"/>
    </row>
    <row r="391">
      <c r="AI391" s="80"/>
    </row>
    <row r="392">
      <c r="AI392" s="80"/>
    </row>
    <row r="393">
      <c r="AI393" s="80"/>
    </row>
    <row r="394">
      <c r="AI394" s="80"/>
    </row>
    <row r="395">
      <c r="AI395" s="80"/>
    </row>
    <row r="396">
      <c r="AI396" s="80"/>
    </row>
    <row r="397">
      <c r="AI397" s="80"/>
    </row>
    <row r="398">
      <c r="AI398" s="80"/>
    </row>
    <row r="399">
      <c r="AI399" s="80"/>
    </row>
    <row r="400">
      <c r="AI400" s="80"/>
    </row>
    <row r="401">
      <c r="AI401" s="80"/>
    </row>
    <row r="402">
      <c r="AI402" s="80"/>
    </row>
    <row r="403">
      <c r="AI403" s="80"/>
    </row>
    <row r="404">
      <c r="AI404" s="80"/>
    </row>
    <row r="405">
      <c r="AI405" s="80"/>
    </row>
    <row r="406">
      <c r="AI406" s="80"/>
    </row>
    <row r="407">
      <c r="AI407" s="80"/>
    </row>
    <row r="408">
      <c r="AI408" s="80"/>
    </row>
    <row r="409">
      <c r="AI409" s="80"/>
    </row>
    <row r="410">
      <c r="AI410" s="80"/>
    </row>
    <row r="411">
      <c r="AI411" s="80"/>
    </row>
    <row r="412">
      <c r="AI412" s="80"/>
    </row>
    <row r="413">
      <c r="AI413" s="80"/>
    </row>
    <row r="414">
      <c r="AI414" s="80"/>
    </row>
    <row r="415">
      <c r="AI415" s="80"/>
    </row>
    <row r="416">
      <c r="AI416" s="80"/>
    </row>
    <row r="417">
      <c r="AI417" s="80"/>
    </row>
    <row r="418">
      <c r="AI418" s="80"/>
    </row>
    <row r="419">
      <c r="AI419" s="80"/>
    </row>
    <row r="420">
      <c r="AI420" s="80"/>
    </row>
    <row r="421">
      <c r="AI421" s="80"/>
    </row>
    <row r="422">
      <c r="AI422" s="80"/>
    </row>
    <row r="423">
      <c r="AI423" s="80"/>
    </row>
    <row r="424">
      <c r="AI424" s="80"/>
    </row>
    <row r="425">
      <c r="AI425" s="80"/>
    </row>
    <row r="426">
      <c r="AI426" s="80"/>
    </row>
    <row r="427">
      <c r="AI427" s="80"/>
    </row>
    <row r="428">
      <c r="AI428" s="80"/>
    </row>
    <row r="429">
      <c r="AI429" s="80"/>
    </row>
    <row r="430">
      <c r="AI430" s="80"/>
    </row>
    <row r="431">
      <c r="AI431" s="80"/>
    </row>
    <row r="432">
      <c r="AI432" s="80"/>
    </row>
    <row r="433">
      <c r="AI433" s="80"/>
    </row>
    <row r="434">
      <c r="AI434" s="80"/>
    </row>
    <row r="435">
      <c r="AI435" s="80"/>
    </row>
    <row r="436">
      <c r="AI436" s="80"/>
    </row>
    <row r="437">
      <c r="AI437" s="80"/>
    </row>
    <row r="438">
      <c r="AI438" s="80"/>
    </row>
    <row r="439">
      <c r="AI439" s="80"/>
    </row>
    <row r="440">
      <c r="AI440" s="80"/>
    </row>
    <row r="441">
      <c r="AI441" s="80"/>
    </row>
    <row r="442">
      <c r="AI442" s="80"/>
    </row>
    <row r="443">
      <c r="AI443" s="80"/>
    </row>
    <row r="444">
      <c r="AI444" s="80"/>
    </row>
    <row r="445">
      <c r="AI445" s="80"/>
    </row>
    <row r="446">
      <c r="AI446" s="80"/>
    </row>
    <row r="447">
      <c r="AI447" s="80"/>
    </row>
    <row r="448">
      <c r="AI448" s="80"/>
    </row>
    <row r="449">
      <c r="AI449" s="80"/>
    </row>
    <row r="450">
      <c r="AI450" s="80"/>
    </row>
    <row r="451">
      <c r="AI451" s="80"/>
    </row>
    <row r="452">
      <c r="AI452" s="80"/>
    </row>
    <row r="453">
      <c r="AI453" s="80"/>
    </row>
    <row r="454">
      <c r="AI454" s="80"/>
    </row>
    <row r="455">
      <c r="AI455" s="80"/>
    </row>
    <row r="456">
      <c r="AI456" s="80"/>
    </row>
    <row r="457">
      <c r="AI457" s="80"/>
    </row>
    <row r="458">
      <c r="AI458" s="80"/>
    </row>
    <row r="459">
      <c r="AI459" s="80"/>
    </row>
    <row r="460">
      <c r="AI460" s="80"/>
    </row>
    <row r="461">
      <c r="AI461" s="80"/>
    </row>
    <row r="462">
      <c r="AI462" s="80"/>
    </row>
    <row r="463">
      <c r="AI463" s="80"/>
    </row>
    <row r="464">
      <c r="AI464" s="80"/>
    </row>
    <row r="465">
      <c r="AI465" s="80"/>
    </row>
    <row r="466">
      <c r="AI466" s="80"/>
    </row>
    <row r="467">
      <c r="AI467" s="80"/>
    </row>
    <row r="468">
      <c r="AI468" s="80"/>
    </row>
    <row r="469">
      <c r="AI469" s="80"/>
    </row>
    <row r="470">
      <c r="AI470" s="80"/>
    </row>
    <row r="471">
      <c r="AI471" s="80"/>
    </row>
    <row r="472">
      <c r="AI472" s="80"/>
    </row>
    <row r="473">
      <c r="AI473" s="80"/>
    </row>
    <row r="474">
      <c r="AI474" s="80"/>
    </row>
    <row r="475">
      <c r="AI475" s="80"/>
    </row>
    <row r="476">
      <c r="AI476" s="80"/>
    </row>
    <row r="477">
      <c r="AI477" s="80"/>
    </row>
    <row r="478">
      <c r="AI478" s="80"/>
    </row>
    <row r="479">
      <c r="AI479" s="80"/>
    </row>
    <row r="480">
      <c r="AI480" s="80"/>
    </row>
    <row r="481">
      <c r="AI481" s="80"/>
    </row>
    <row r="482">
      <c r="AI482" s="80"/>
    </row>
    <row r="483">
      <c r="AI483" s="80"/>
    </row>
    <row r="484">
      <c r="AI484" s="80"/>
    </row>
    <row r="485">
      <c r="AI485" s="80"/>
    </row>
    <row r="486">
      <c r="AI486" s="80"/>
    </row>
    <row r="487">
      <c r="AI487" s="80"/>
    </row>
    <row r="488">
      <c r="AI488" s="80"/>
    </row>
    <row r="489">
      <c r="AI489" s="80"/>
    </row>
    <row r="490">
      <c r="AI490" s="80"/>
    </row>
    <row r="491">
      <c r="AI491" s="80"/>
    </row>
    <row r="492">
      <c r="AI492" s="80"/>
    </row>
    <row r="493">
      <c r="AI493" s="80"/>
    </row>
    <row r="494">
      <c r="AI494" s="80"/>
    </row>
    <row r="495">
      <c r="AI495" s="80"/>
    </row>
    <row r="496">
      <c r="AI496" s="80"/>
    </row>
    <row r="497">
      <c r="AI497" s="80"/>
    </row>
    <row r="498">
      <c r="AI498" s="80"/>
    </row>
    <row r="499">
      <c r="AI499" s="80"/>
    </row>
    <row r="500">
      <c r="AI500" s="80"/>
    </row>
    <row r="501">
      <c r="AI501" s="80"/>
    </row>
    <row r="502">
      <c r="AI502" s="80"/>
    </row>
    <row r="503">
      <c r="AI503" s="80"/>
    </row>
    <row r="504">
      <c r="AI504" s="80"/>
    </row>
    <row r="505">
      <c r="AI505" s="80"/>
    </row>
    <row r="506">
      <c r="AI506" s="80"/>
    </row>
    <row r="507">
      <c r="AI507" s="80"/>
    </row>
    <row r="508">
      <c r="AI508" s="80"/>
    </row>
    <row r="509">
      <c r="AI509" s="80"/>
    </row>
    <row r="510">
      <c r="AI510" s="80"/>
    </row>
    <row r="511">
      <c r="AI511" s="80"/>
    </row>
    <row r="512">
      <c r="AI512" s="80"/>
    </row>
    <row r="513">
      <c r="AI513" s="80"/>
    </row>
    <row r="514">
      <c r="AI514" s="80"/>
    </row>
    <row r="515">
      <c r="AI515" s="80"/>
    </row>
    <row r="516">
      <c r="AI516" s="80"/>
    </row>
    <row r="517">
      <c r="AI517" s="80"/>
    </row>
    <row r="518">
      <c r="AI518" s="80"/>
    </row>
    <row r="519">
      <c r="AI519" s="80"/>
    </row>
    <row r="520">
      <c r="AI520" s="80"/>
    </row>
    <row r="521">
      <c r="AI521" s="80"/>
    </row>
    <row r="522">
      <c r="AI522" s="80"/>
    </row>
    <row r="523">
      <c r="AI523" s="80"/>
    </row>
    <row r="524">
      <c r="AI524" s="80"/>
    </row>
    <row r="525">
      <c r="AI525" s="80"/>
    </row>
    <row r="526">
      <c r="AI526" s="80"/>
    </row>
    <row r="527">
      <c r="AI527" s="80"/>
    </row>
    <row r="528">
      <c r="AI528" s="80"/>
    </row>
    <row r="529">
      <c r="AI529" s="80"/>
    </row>
    <row r="530">
      <c r="AI530" s="80"/>
    </row>
    <row r="531">
      <c r="AI531" s="80"/>
    </row>
    <row r="532">
      <c r="AI532" s="80"/>
    </row>
    <row r="533">
      <c r="AI533" s="80"/>
    </row>
    <row r="534">
      <c r="AI534" s="80"/>
    </row>
    <row r="535">
      <c r="AI535" s="80"/>
    </row>
    <row r="536">
      <c r="AI536" s="80"/>
    </row>
    <row r="537">
      <c r="AI537" s="80"/>
    </row>
    <row r="538">
      <c r="AI538" s="80"/>
    </row>
    <row r="539">
      <c r="AI539" s="80"/>
    </row>
    <row r="540">
      <c r="AI540" s="80"/>
    </row>
    <row r="541">
      <c r="AI541" s="80"/>
    </row>
    <row r="542">
      <c r="AI542" s="80"/>
    </row>
    <row r="543">
      <c r="AI543" s="80"/>
    </row>
    <row r="544">
      <c r="AI544" s="80"/>
    </row>
    <row r="545">
      <c r="AI545" s="80"/>
    </row>
    <row r="546">
      <c r="AI546" s="80"/>
    </row>
    <row r="547">
      <c r="AI547" s="80"/>
    </row>
    <row r="548">
      <c r="AI548" s="80"/>
    </row>
    <row r="549">
      <c r="AI549" s="80"/>
    </row>
    <row r="550">
      <c r="AI550" s="80"/>
    </row>
    <row r="551">
      <c r="AI551" s="80"/>
    </row>
    <row r="552">
      <c r="AI552" s="80"/>
    </row>
    <row r="553">
      <c r="AI553" s="80"/>
    </row>
    <row r="554">
      <c r="AI554" s="80"/>
    </row>
    <row r="555">
      <c r="AI555" s="80"/>
    </row>
    <row r="556">
      <c r="AI556" s="80"/>
    </row>
    <row r="557">
      <c r="AI557" s="80"/>
    </row>
    <row r="558">
      <c r="AI558" s="80"/>
    </row>
    <row r="559">
      <c r="AI559" s="80"/>
    </row>
    <row r="560">
      <c r="AI560" s="80"/>
    </row>
    <row r="561">
      <c r="AI561" s="80"/>
    </row>
    <row r="562">
      <c r="AI562" s="80"/>
    </row>
    <row r="563">
      <c r="AI563" s="80"/>
    </row>
    <row r="564">
      <c r="AI564" s="80"/>
    </row>
    <row r="565">
      <c r="AI565" s="80"/>
    </row>
    <row r="566">
      <c r="AI566" s="80"/>
    </row>
    <row r="567">
      <c r="AI567" s="80"/>
    </row>
    <row r="568">
      <c r="AI568" s="80"/>
    </row>
    <row r="569">
      <c r="AI569" s="80"/>
    </row>
    <row r="570">
      <c r="AI570" s="80"/>
    </row>
    <row r="571">
      <c r="AI571" s="80"/>
    </row>
    <row r="572">
      <c r="AI572" s="80"/>
    </row>
    <row r="573">
      <c r="AI573" s="80"/>
    </row>
    <row r="574">
      <c r="AI574" s="80"/>
    </row>
    <row r="575">
      <c r="AI575" s="80"/>
    </row>
    <row r="576">
      <c r="AI576" s="80"/>
    </row>
    <row r="577">
      <c r="AI577" s="80"/>
    </row>
    <row r="578">
      <c r="AI578" s="80"/>
    </row>
    <row r="579">
      <c r="AI579" s="80"/>
    </row>
    <row r="580">
      <c r="AI580" s="80"/>
    </row>
    <row r="581">
      <c r="AI581" s="80"/>
    </row>
    <row r="582">
      <c r="AI582" s="80"/>
    </row>
    <row r="583">
      <c r="AI583" s="80"/>
    </row>
    <row r="584">
      <c r="AI584" s="80"/>
    </row>
    <row r="585">
      <c r="AI585" s="80"/>
    </row>
    <row r="586">
      <c r="AI586" s="80"/>
    </row>
    <row r="587">
      <c r="AI587" s="80"/>
    </row>
    <row r="588">
      <c r="AI588" s="80"/>
    </row>
    <row r="589">
      <c r="AI589" s="80"/>
    </row>
    <row r="590">
      <c r="AI590" s="80"/>
    </row>
    <row r="591">
      <c r="AI591" s="80"/>
    </row>
    <row r="592">
      <c r="AI592" s="80"/>
    </row>
    <row r="593">
      <c r="AI593" s="80"/>
    </row>
    <row r="594">
      <c r="AI594" s="80"/>
    </row>
    <row r="595">
      <c r="AI595" s="80"/>
    </row>
    <row r="596">
      <c r="AI596" s="80"/>
    </row>
    <row r="597">
      <c r="AI597" s="80"/>
    </row>
    <row r="598">
      <c r="AI598" s="80"/>
    </row>
    <row r="599">
      <c r="AI599" s="80"/>
    </row>
    <row r="600">
      <c r="AI600" s="80"/>
    </row>
    <row r="601">
      <c r="AI601" s="80"/>
    </row>
    <row r="602">
      <c r="AI602" s="80"/>
    </row>
    <row r="603">
      <c r="AI603" s="80"/>
    </row>
    <row r="604">
      <c r="AI604" s="80"/>
    </row>
    <row r="605">
      <c r="AI605" s="80"/>
    </row>
    <row r="606">
      <c r="AI606" s="80"/>
    </row>
    <row r="607">
      <c r="AI607" s="80"/>
    </row>
    <row r="608">
      <c r="AI608" s="80"/>
    </row>
    <row r="609">
      <c r="AI609" s="80"/>
    </row>
    <row r="610">
      <c r="AI610" s="80"/>
    </row>
    <row r="611">
      <c r="AI611" s="80"/>
    </row>
    <row r="612">
      <c r="AI612" s="80"/>
    </row>
    <row r="613">
      <c r="AI613" s="80"/>
    </row>
    <row r="614">
      <c r="AI614" s="80"/>
    </row>
    <row r="615">
      <c r="AI615" s="80"/>
    </row>
    <row r="616">
      <c r="AI616" s="80"/>
    </row>
    <row r="617">
      <c r="AI617" s="80"/>
    </row>
    <row r="618">
      <c r="AI618" s="80"/>
    </row>
    <row r="619">
      <c r="AI619" s="80"/>
    </row>
    <row r="620">
      <c r="AI620" s="80"/>
    </row>
    <row r="621">
      <c r="AI621" s="80"/>
    </row>
    <row r="622">
      <c r="AI622" s="80"/>
    </row>
    <row r="623">
      <c r="AI623" s="80"/>
    </row>
    <row r="624">
      <c r="AI624" s="80"/>
    </row>
    <row r="625">
      <c r="AI625" s="80"/>
    </row>
    <row r="626">
      <c r="AI626" s="80"/>
    </row>
    <row r="627">
      <c r="AI627" s="80"/>
    </row>
    <row r="628">
      <c r="AI628" s="80"/>
    </row>
    <row r="629">
      <c r="AI629" s="80"/>
    </row>
    <row r="630">
      <c r="AI630" s="80"/>
    </row>
    <row r="631">
      <c r="AI631" s="80"/>
    </row>
    <row r="632">
      <c r="AI632" s="80"/>
    </row>
    <row r="633">
      <c r="AI633" s="80"/>
    </row>
    <row r="634">
      <c r="AI634" s="80"/>
    </row>
    <row r="635">
      <c r="AI635" s="80"/>
    </row>
    <row r="636">
      <c r="AI636" s="80"/>
    </row>
    <row r="637">
      <c r="AI637" s="80"/>
    </row>
    <row r="638">
      <c r="AI638" s="80"/>
    </row>
    <row r="639">
      <c r="AI639" s="80"/>
    </row>
    <row r="640">
      <c r="AI640" s="80"/>
    </row>
    <row r="641">
      <c r="AI641" s="80"/>
    </row>
    <row r="642">
      <c r="AI642" s="80"/>
    </row>
    <row r="643">
      <c r="AI643" s="80"/>
    </row>
    <row r="644">
      <c r="AI644" s="80"/>
    </row>
    <row r="645">
      <c r="AI645" s="80"/>
    </row>
    <row r="646">
      <c r="AI646" s="80"/>
    </row>
    <row r="647">
      <c r="AI647" s="80"/>
    </row>
    <row r="648">
      <c r="AI648" s="80"/>
    </row>
    <row r="649">
      <c r="AI649" s="80"/>
    </row>
    <row r="650">
      <c r="AI650" s="80"/>
    </row>
    <row r="651">
      <c r="AI651" s="80"/>
    </row>
    <row r="652">
      <c r="AI652" s="80"/>
    </row>
    <row r="653">
      <c r="AI653" s="80"/>
    </row>
    <row r="654">
      <c r="AI654" s="80"/>
    </row>
    <row r="655">
      <c r="AI655" s="80"/>
    </row>
    <row r="656">
      <c r="AI656" s="80"/>
    </row>
    <row r="657">
      <c r="AI657" s="80"/>
    </row>
    <row r="658">
      <c r="AI658" s="80"/>
    </row>
    <row r="659">
      <c r="AI659" s="80"/>
    </row>
    <row r="660">
      <c r="AI660" s="80"/>
    </row>
    <row r="661">
      <c r="AI661" s="80"/>
    </row>
    <row r="662">
      <c r="AI662" s="80"/>
    </row>
    <row r="663">
      <c r="AI663" s="80"/>
    </row>
    <row r="664">
      <c r="AI664" s="80"/>
    </row>
    <row r="665">
      <c r="AI665" s="80"/>
    </row>
    <row r="666">
      <c r="AI666" s="80"/>
    </row>
    <row r="667">
      <c r="AI667" s="80"/>
    </row>
    <row r="668">
      <c r="AI668" s="80"/>
    </row>
    <row r="669">
      <c r="AI669" s="80"/>
    </row>
    <row r="670">
      <c r="AI670" s="80"/>
    </row>
    <row r="671">
      <c r="AI671" s="80"/>
    </row>
    <row r="672">
      <c r="AI672" s="80"/>
    </row>
    <row r="673">
      <c r="AI673" s="80"/>
    </row>
    <row r="674">
      <c r="AI674" s="80"/>
    </row>
    <row r="675">
      <c r="AI675" s="80"/>
    </row>
    <row r="676">
      <c r="AI676" s="80"/>
    </row>
    <row r="677">
      <c r="AI677" s="80"/>
    </row>
    <row r="678">
      <c r="AI678" s="80"/>
    </row>
    <row r="679">
      <c r="AI679" s="80"/>
    </row>
    <row r="680">
      <c r="AI680" s="80"/>
    </row>
    <row r="681">
      <c r="AI681" s="80"/>
    </row>
    <row r="682">
      <c r="AI682" s="80"/>
    </row>
    <row r="683">
      <c r="AI683" s="80"/>
    </row>
    <row r="684">
      <c r="AI684" s="80"/>
    </row>
    <row r="685">
      <c r="AI685" s="80"/>
    </row>
    <row r="686">
      <c r="AI686" s="80"/>
    </row>
    <row r="687">
      <c r="AI687" s="80"/>
    </row>
    <row r="688">
      <c r="AI688" s="80"/>
    </row>
    <row r="689">
      <c r="AI689" s="80"/>
    </row>
    <row r="690">
      <c r="AI690" s="80"/>
    </row>
    <row r="691">
      <c r="AI691" s="80"/>
    </row>
    <row r="692">
      <c r="AI692" s="80"/>
    </row>
    <row r="693">
      <c r="AI693" s="80"/>
    </row>
    <row r="694">
      <c r="AI694" s="80"/>
    </row>
    <row r="695">
      <c r="AI695" s="80"/>
    </row>
    <row r="696">
      <c r="AI696" s="80"/>
    </row>
    <row r="697">
      <c r="AI697" s="80"/>
    </row>
    <row r="698">
      <c r="AI698" s="80"/>
    </row>
    <row r="699">
      <c r="AI699" s="80"/>
    </row>
    <row r="700">
      <c r="AI700" s="80"/>
    </row>
    <row r="701">
      <c r="AI701" s="80"/>
    </row>
    <row r="702">
      <c r="AI702" s="80"/>
    </row>
    <row r="703">
      <c r="AI703" s="80"/>
    </row>
    <row r="704">
      <c r="AI704" s="80"/>
    </row>
    <row r="705">
      <c r="AI705" s="80"/>
    </row>
    <row r="706">
      <c r="AI706" s="80"/>
    </row>
    <row r="707">
      <c r="AI707" s="80"/>
    </row>
    <row r="708">
      <c r="AI708" s="80"/>
    </row>
    <row r="709">
      <c r="AI709" s="80"/>
    </row>
    <row r="710">
      <c r="AI710" s="80"/>
    </row>
    <row r="711">
      <c r="AI711" s="80"/>
    </row>
    <row r="712">
      <c r="AI712" s="80"/>
    </row>
    <row r="713">
      <c r="AI713" s="80"/>
    </row>
    <row r="714">
      <c r="AI714" s="80"/>
    </row>
    <row r="715">
      <c r="AI715" s="80"/>
    </row>
    <row r="716">
      <c r="AI716" s="80"/>
    </row>
    <row r="717">
      <c r="AI717" s="80"/>
    </row>
    <row r="718">
      <c r="AI718" s="80"/>
    </row>
    <row r="719">
      <c r="AI719" s="80"/>
    </row>
    <row r="720">
      <c r="AI720" s="80"/>
    </row>
    <row r="721">
      <c r="AI721" s="80"/>
    </row>
    <row r="722">
      <c r="AI722" s="80"/>
    </row>
    <row r="723">
      <c r="AI723" s="80"/>
    </row>
    <row r="724">
      <c r="AI724" s="80"/>
    </row>
    <row r="725">
      <c r="AI725" s="80"/>
    </row>
    <row r="726">
      <c r="AI726" s="80"/>
    </row>
    <row r="727">
      <c r="AI727" s="80"/>
    </row>
    <row r="728">
      <c r="AI728" s="80"/>
    </row>
    <row r="729">
      <c r="AI729" s="80"/>
    </row>
    <row r="730">
      <c r="AI730" s="80"/>
    </row>
    <row r="731">
      <c r="AI731" s="80"/>
    </row>
    <row r="732">
      <c r="AI732" s="80"/>
    </row>
    <row r="733">
      <c r="AI733" s="80"/>
    </row>
    <row r="734">
      <c r="AI734" s="80"/>
    </row>
    <row r="735">
      <c r="AI735" s="80"/>
    </row>
    <row r="736">
      <c r="AI736" s="80"/>
    </row>
    <row r="737">
      <c r="AI737" s="80"/>
    </row>
    <row r="738">
      <c r="AI738" s="80"/>
    </row>
    <row r="739">
      <c r="AI739" s="80"/>
    </row>
    <row r="740">
      <c r="AI740" s="80"/>
    </row>
    <row r="741">
      <c r="AI741" s="80"/>
    </row>
    <row r="742">
      <c r="AI742" s="80"/>
    </row>
    <row r="743">
      <c r="AI743" s="80"/>
    </row>
    <row r="744">
      <c r="AI744" s="80"/>
    </row>
    <row r="745">
      <c r="AI745" s="80"/>
    </row>
    <row r="746">
      <c r="AI746" s="80"/>
    </row>
    <row r="747">
      <c r="AI747" s="80"/>
    </row>
    <row r="748">
      <c r="AI748" s="80"/>
    </row>
    <row r="749">
      <c r="AI749" s="80"/>
    </row>
    <row r="750">
      <c r="AI750" s="80"/>
    </row>
    <row r="751">
      <c r="AI751" s="80"/>
    </row>
    <row r="752">
      <c r="AI752" s="80"/>
    </row>
    <row r="753">
      <c r="AI753" s="80"/>
    </row>
    <row r="754">
      <c r="AI754" s="80"/>
    </row>
    <row r="755">
      <c r="AI755" s="80"/>
    </row>
    <row r="756">
      <c r="AI756" s="80"/>
    </row>
    <row r="757">
      <c r="AI757" s="80"/>
    </row>
    <row r="758">
      <c r="AI758" s="80"/>
    </row>
    <row r="759">
      <c r="AI759" s="80"/>
    </row>
    <row r="760">
      <c r="AI760" s="80"/>
    </row>
    <row r="761">
      <c r="AI761" s="80"/>
    </row>
    <row r="762">
      <c r="AI762" s="80"/>
    </row>
    <row r="763">
      <c r="AI763" s="80"/>
    </row>
    <row r="764">
      <c r="AI764" s="80"/>
    </row>
    <row r="765">
      <c r="AI765" s="80"/>
    </row>
    <row r="766">
      <c r="AI766" s="80"/>
    </row>
    <row r="767">
      <c r="AI767" s="80"/>
    </row>
    <row r="768">
      <c r="AI768" s="80"/>
    </row>
    <row r="769">
      <c r="AI769" s="80"/>
    </row>
    <row r="770">
      <c r="AI770" s="80"/>
    </row>
    <row r="771">
      <c r="AI771" s="80"/>
    </row>
    <row r="772">
      <c r="AI772" s="80"/>
    </row>
    <row r="773">
      <c r="AI773" s="80"/>
    </row>
    <row r="774">
      <c r="AI774" s="80"/>
    </row>
    <row r="775">
      <c r="AI775" s="80"/>
    </row>
    <row r="776">
      <c r="AI776" s="80"/>
    </row>
    <row r="777">
      <c r="AI777" s="80"/>
    </row>
    <row r="778">
      <c r="AI778" s="80"/>
    </row>
    <row r="779">
      <c r="AI779" s="80"/>
    </row>
    <row r="780">
      <c r="AI780" s="80"/>
    </row>
    <row r="781">
      <c r="AI781" s="80"/>
    </row>
    <row r="782">
      <c r="AI782" s="80"/>
    </row>
    <row r="783">
      <c r="AI783" s="80"/>
    </row>
    <row r="784">
      <c r="AI784" s="80"/>
    </row>
    <row r="785">
      <c r="AI785" s="80"/>
    </row>
    <row r="786">
      <c r="AI786" s="80"/>
    </row>
    <row r="787">
      <c r="AI787" s="80"/>
    </row>
    <row r="788">
      <c r="AI788" s="80"/>
    </row>
    <row r="789">
      <c r="AI789" s="80"/>
    </row>
    <row r="790">
      <c r="AI790" s="80"/>
    </row>
    <row r="791">
      <c r="AI791" s="80"/>
    </row>
    <row r="792">
      <c r="AI792" s="80"/>
    </row>
    <row r="793">
      <c r="AI793" s="80"/>
    </row>
    <row r="794">
      <c r="AI794" s="80"/>
    </row>
    <row r="795">
      <c r="AI795" s="80"/>
    </row>
    <row r="796">
      <c r="AI796" s="80"/>
    </row>
    <row r="797">
      <c r="AI797" s="80"/>
    </row>
    <row r="798">
      <c r="AI798" s="80"/>
    </row>
    <row r="799">
      <c r="AI799" s="80"/>
    </row>
    <row r="800">
      <c r="AI800" s="80"/>
    </row>
    <row r="801">
      <c r="AI801" s="80"/>
    </row>
    <row r="802">
      <c r="AI802" s="80"/>
    </row>
    <row r="803">
      <c r="AI803" s="80"/>
    </row>
    <row r="804">
      <c r="AI804" s="80"/>
    </row>
    <row r="805">
      <c r="AI805" s="80"/>
    </row>
    <row r="806">
      <c r="AI806" s="80"/>
    </row>
    <row r="807">
      <c r="AI807" s="80"/>
    </row>
    <row r="808">
      <c r="AI808" s="80"/>
    </row>
    <row r="809">
      <c r="AI809" s="80"/>
    </row>
    <row r="810">
      <c r="AI810" s="80"/>
    </row>
    <row r="811">
      <c r="AI811" s="80"/>
    </row>
    <row r="812">
      <c r="AI812" s="80"/>
    </row>
    <row r="813">
      <c r="AI813" s="80"/>
    </row>
    <row r="814">
      <c r="AI814" s="80"/>
    </row>
    <row r="815">
      <c r="AI815" s="80"/>
    </row>
    <row r="816">
      <c r="AI816" s="80"/>
    </row>
    <row r="817">
      <c r="AI817" s="80"/>
    </row>
    <row r="818">
      <c r="AI818" s="80"/>
    </row>
    <row r="819">
      <c r="AI819" s="80"/>
    </row>
    <row r="820">
      <c r="AI820" s="80"/>
    </row>
    <row r="821">
      <c r="AI821" s="80"/>
    </row>
    <row r="822">
      <c r="AI822" s="80"/>
    </row>
    <row r="823">
      <c r="AI823" s="80"/>
    </row>
    <row r="824">
      <c r="AI824" s="80"/>
    </row>
    <row r="825">
      <c r="AI825" s="80"/>
    </row>
    <row r="826">
      <c r="AI826" s="80"/>
    </row>
    <row r="827">
      <c r="AI827" s="80"/>
    </row>
    <row r="828">
      <c r="AI828" s="80"/>
    </row>
    <row r="829">
      <c r="AI829" s="80"/>
    </row>
    <row r="830">
      <c r="AI830" s="80"/>
    </row>
    <row r="831">
      <c r="AI831" s="80"/>
    </row>
    <row r="832">
      <c r="AI832" s="80"/>
    </row>
    <row r="833">
      <c r="AI833" s="80"/>
    </row>
    <row r="834">
      <c r="AI834" s="80"/>
    </row>
    <row r="835">
      <c r="AI835" s="80"/>
    </row>
    <row r="836">
      <c r="AI836" s="80"/>
    </row>
    <row r="837">
      <c r="AI837" s="80"/>
    </row>
    <row r="838">
      <c r="AI838" s="80"/>
    </row>
    <row r="839">
      <c r="AI839" s="80"/>
    </row>
    <row r="840">
      <c r="AI840" s="80"/>
    </row>
    <row r="841">
      <c r="AI841" s="80"/>
    </row>
    <row r="842">
      <c r="AI842" s="80"/>
    </row>
    <row r="843">
      <c r="AI843" s="80"/>
    </row>
    <row r="844">
      <c r="AI844" s="80"/>
    </row>
    <row r="845">
      <c r="AI845" s="80"/>
    </row>
    <row r="846">
      <c r="AI846" s="80"/>
    </row>
    <row r="847">
      <c r="AI847" s="80"/>
    </row>
    <row r="848">
      <c r="AI848" s="80"/>
    </row>
    <row r="849">
      <c r="AI849" s="80"/>
    </row>
    <row r="850">
      <c r="AI850" s="80"/>
    </row>
    <row r="851">
      <c r="AI851" s="80"/>
    </row>
    <row r="852">
      <c r="AI852" s="80"/>
    </row>
    <row r="853">
      <c r="AI853" s="80"/>
    </row>
    <row r="854">
      <c r="AI854" s="80"/>
    </row>
    <row r="855">
      <c r="AI855" s="80"/>
    </row>
    <row r="856">
      <c r="AI856" s="80"/>
    </row>
    <row r="857">
      <c r="AI857" s="80"/>
    </row>
    <row r="858">
      <c r="AI858" s="80"/>
    </row>
    <row r="859">
      <c r="AI859" s="80"/>
    </row>
    <row r="860">
      <c r="AI860" s="80"/>
    </row>
    <row r="861">
      <c r="AI861" s="80"/>
    </row>
    <row r="862">
      <c r="AI862" s="80"/>
    </row>
    <row r="863">
      <c r="AI863" s="80"/>
    </row>
    <row r="864">
      <c r="AI864" s="80"/>
    </row>
    <row r="865">
      <c r="AI865" s="80"/>
    </row>
    <row r="866">
      <c r="AI866" s="80"/>
    </row>
    <row r="867">
      <c r="AI867" s="80"/>
    </row>
    <row r="868">
      <c r="AI868" s="80"/>
    </row>
    <row r="869">
      <c r="AI869" s="80"/>
    </row>
    <row r="870">
      <c r="AI870" s="80"/>
    </row>
    <row r="871">
      <c r="AI871" s="80"/>
    </row>
    <row r="872">
      <c r="AI872" s="80"/>
    </row>
    <row r="873">
      <c r="AI873" s="80"/>
    </row>
    <row r="874">
      <c r="AI874" s="80"/>
    </row>
    <row r="875">
      <c r="AI875" s="80"/>
    </row>
    <row r="876">
      <c r="AI876" s="80"/>
    </row>
    <row r="877">
      <c r="AI877" s="80"/>
    </row>
    <row r="878">
      <c r="AI878" s="80"/>
    </row>
    <row r="879">
      <c r="AI879" s="80"/>
    </row>
    <row r="880">
      <c r="AI880" s="80"/>
    </row>
    <row r="881">
      <c r="AI881" s="80"/>
    </row>
    <row r="882">
      <c r="AI882" s="80"/>
    </row>
    <row r="883">
      <c r="AI883" s="80"/>
    </row>
    <row r="884">
      <c r="AI884" s="80"/>
    </row>
    <row r="885">
      <c r="AI885" s="80"/>
    </row>
    <row r="886">
      <c r="AI886" s="80"/>
    </row>
    <row r="887">
      <c r="AI887" s="80"/>
    </row>
    <row r="888">
      <c r="AI888" s="80"/>
    </row>
    <row r="889">
      <c r="AI889" s="80"/>
    </row>
    <row r="890">
      <c r="AI890" s="80"/>
    </row>
    <row r="891">
      <c r="AI891" s="80"/>
    </row>
    <row r="892">
      <c r="AI892" s="80"/>
    </row>
    <row r="893">
      <c r="AI893" s="80"/>
    </row>
    <row r="894">
      <c r="AI894" s="80"/>
    </row>
    <row r="895">
      <c r="AI895" s="80"/>
    </row>
    <row r="896">
      <c r="AI896" s="80"/>
    </row>
    <row r="897">
      <c r="AI897" s="80"/>
    </row>
    <row r="898">
      <c r="AI898" s="80"/>
    </row>
    <row r="899">
      <c r="AI899" s="80"/>
    </row>
    <row r="900">
      <c r="AI900" s="80"/>
    </row>
    <row r="901">
      <c r="AI901" s="80"/>
    </row>
    <row r="902">
      <c r="AI902" s="80"/>
    </row>
    <row r="903">
      <c r="AI903" s="80"/>
    </row>
    <row r="904">
      <c r="AI904" s="80"/>
    </row>
    <row r="905">
      <c r="AI905" s="80"/>
    </row>
    <row r="906">
      <c r="AI906" s="80"/>
    </row>
    <row r="907">
      <c r="AI907" s="80"/>
    </row>
    <row r="908">
      <c r="AI908" s="80"/>
    </row>
    <row r="909">
      <c r="AI909" s="80"/>
    </row>
    <row r="910">
      <c r="AI910" s="80"/>
    </row>
    <row r="911">
      <c r="AI911" s="80"/>
    </row>
    <row r="912">
      <c r="AI912" s="80"/>
    </row>
    <row r="913">
      <c r="AI913" s="80"/>
    </row>
    <row r="914">
      <c r="AI914" s="80"/>
    </row>
    <row r="915">
      <c r="AI915" s="80"/>
    </row>
    <row r="916">
      <c r="AI916" s="80"/>
    </row>
    <row r="917">
      <c r="AI917" s="80"/>
    </row>
    <row r="918">
      <c r="AI918" s="80"/>
    </row>
    <row r="919">
      <c r="AI919" s="80"/>
    </row>
    <row r="920">
      <c r="AI920" s="80"/>
    </row>
    <row r="921">
      <c r="AI921" s="80"/>
    </row>
    <row r="922">
      <c r="AI922" s="80"/>
    </row>
    <row r="923">
      <c r="AI923" s="80"/>
    </row>
    <row r="924">
      <c r="AI924" s="80"/>
    </row>
    <row r="925">
      <c r="AI925" s="80"/>
    </row>
    <row r="926">
      <c r="AI926" s="80"/>
    </row>
    <row r="927">
      <c r="AI927" s="80"/>
    </row>
    <row r="928">
      <c r="AI928" s="80"/>
    </row>
    <row r="929">
      <c r="AI929" s="80"/>
    </row>
    <row r="930">
      <c r="AI930" s="80"/>
    </row>
    <row r="931">
      <c r="AI931" s="80"/>
    </row>
    <row r="932">
      <c r="AI932" s="80"/>
    </row>
    <row r="933">
      <c r="AI933" s="80"/>
    </row>
    <row r="934">
      <c r="AI934" s="80"/>
    </row>
    <row r="935">
      <c r="AI935" s="80"/>
    </row>
    <row r="936">
      <c r="AI936" s="80"/>
    </row>
    <row r="937">
      <c r="AI937" s="80"/>
    </row>
    <row r="938">
      <c r="AI938" s="80"/>
    </row>
    <row r="939">
      <c r="AI939" s="80"/>
    </row>
    <row r="940">
      <c r="AI940" s="80"/>
    </row>
    <row r="941">
      <c r="AI941" s="80"/>
    </row>
    <row r="942">
      <c r="AI942" s="80"/>
    </row>
    <row r="943">
      <c r="AI943" s="80"/>
    </row>
    <row r="944">
      <c r="AI944" s="80"/>
    </row>
    <row r="945">
      <c r="AI945" s="80"/>
    </row>
    <row r="946">
      <c r="AI946" s="80"/>
    </row>
    <row r="947">
      <c r="AI947" s="80"/>
    </row>
    <row r="948">
      <c r="AI948" s="80"/>
    </row>
    <row r="949">
      <c r="AI949" s="80"/>
    </row>
    <row r="950">
      <c r="AI950" s="80"/>
    </row>
    <row r="951">
      <c r="AI951" s="80"/>
    </row>
    <row r="952">
      <c r="AI952" s="80"/>
    </row>
    <row r="953">
      <c r="AI953" s="80"/>
    </row>
    <row r="954">
      <c r="AI954" s="80"/>
    </row>
    <row r="955">
      <c r="AI955" s="80"/>
    </row>
    <row r="956">
      <c r="AI956" s="80"/>
    </row>
    <row r="957">
      <c r="AI957" s="80"/>
    </row>
    <row r="958">
      <c r="AI958" s="80"/>
    </row>
    <row r="959">
      <c r="AI959" s="80"/>
    </row>
    <row r="960">
      <c r="AI960" s="80"/>
    </row>
    <row r="961">
      <c r="AI961" s="80"/>
    </row>
    <row r="962">
      <c r="AI962" s="80"/>
    </row>
    <row r="963">
      <c r="AI963" s="80"/>
    </row>
    <row r="964">
      <c r="AI964" s="80"/>
    </row>
    <row r="965">
      <c r="AI965" s="80"/>
    </row>
    <row r="966">
      <c r="AI966" s="80"/>
    </row>
    <row r="967">
      <c r="AI967" s="80"/>
    </row>
    <row r="968">
      <c r="AI968" s="80"/>
    </row>
    <row r="969">
      <c r="AI969" s="80"/>
    </row>
    <row r="970">
      <c r="AI970" s="80"/>
    </row>
    <row r="971">
      <c r="AI971" s="80"/>
    </row>
    <row r="972">
      <c r="AI972" s="80"/>
    </row>
    <row r="973">
      <c r="AI973" s="80"/>
    </row>
    <row r="974">
      <c r="AI974" s="80"/>
    </row>
    <row r="975">
      <c r="AI975" s="80"/>
    </row>
    <row r="976">
      <c r="AI976" s="80"/>
    </row>
    <row r="977">
      <c r="AI977" s="80"/>
    </row>
    <row r="978">
      <c r="AI978" s="80"/>
    </row>
    <row r="979">
      <c r="AI979" s="80"/>
    </row>
    <row r="980">
      <c r="AI980" s="80"/>
    </row>
    <row r="981">
      <c r="AI981" s="80"/>
    </row>
    <row r="982">
      <c r="AI982" s="80"/>
    </row>
    <row r="983">
      <c r="AI983" s="80"/>
    </row>
    <row r="984">
      <c r="AI984" s="80"/>
    </row>
    <row r="985">
      <c r="AI985" s="80"/>
    </row>
    <row r="986">
      <c r="AI986" s="80"/>
    </row>
    <row r="987">
      <c r="AI987" s="80"/>
    </row>
    <row r="988">
      <c r="AI988" s="80"/>
    </row>
    <row r="989">
      <c r="AI989" s="80"/>
    </row>
    <row r="990">
      <c r="AI990" s="80"/>
    </row>
    <row r="991">
      <c r="AI991" s="80"/>
    </row>
    <row r="992">
      <c r="AI992" s="80"/>
    </row>
    <row r="993">
      <c r="AI993" s="80"/>
    </row>
    <row r="994">
      <c r="AI994" s="80"/>
    </row>
    <row r="995">
      <c r="AI995" s="80"/>
    </row>
    <row r="996">
      <c r="AI996" s="80"/>
    </row>
    <row r="997">
      <c r="AI997" s="80"/>
    </row>
    <row r="998">
      <c r="AI998" s="80"/>
    </row>
    <row r="999">
      <c r="AI999" s="80"/>
    </row>
    <row r="1000">
      <c r="AI1000" s="80"/>
    </row>
    <row r="1001">
      <c r="AI1001" s="80"/>
    </row>
    <row r="1002">
      <c r="AI1002" s="80"/>
    </row>
    <row r="1003">
      <c r="AI1003" s="80"/>
    </row>
    <row r="1004">
      <c r="AI1004" s="80"/>
    </row>
    <row r="1005">
      <c r="AI1005" s="80"/>
    </row>
    <row r="1006">
      <c r="AI1006" s="80"/>
    </row>
    <row r="1007">
      <c r="AI1007" s="80"/>
    </row>
    <row r="1008">
      <c r="AI1008" s="80"/>
    </row>
    <row r="1009">
      <c r="AI1009" s="80"/>
    </row>
    <row r="1010">
      <c r="AI1010" s="80"/>
    </row>
    <row r="1011">
      <c r="AI1011" s="80"/>
    </row>
    <row r="1012">
      <c r="AI1012" s="80"/>
    </row>
    <row r="1013">
      <c r="AI1013" s="80"/>
    </row>
    <row r="1014">
      <c r="AI1014" s="80"/>
    </row>
    <row r="1015">
      <c r="AI1015" s="80"/>
    </row>
    <row r="1016">
      <c r="AI1016" s="80"/>
    </row>
    <row r="1017">
      <c r="AI1017" s="80"/>
    </row>
    <row r="1018">
      <c r="AI1018" s="80"/>
    </row>
    <row r="1019">
      <c r="AI1019" s="80"/>
    </row>
    <row r="1020">
      <c r="AI1020" s="80"/>
    </row>
    <row r="1021">
      <c r="AI1021" s="80"/>
    </row>
    <row r="1022">
      <c r="AI1022" s="80"/>
    </row>
    <row r="1023">
      <c r="AI1023" s="80"/>
    </row>
    <row r="1024">
      <c r="AI1024" s="80"/>
    </row>
    <row r="1025">
      <c r="AI1025" s="80"/>
    </row>
    <row r="1026">
      <c r="AI1026" s="80"/>
    </row>
    <row r="1027">
      <c r="AI1027" s="80"/>
    </row>
    <row r="1028">
      <c r="AI1028" s="80"/>
    </row>
    <row r="1029">
      <c r="AI1029" s="80"/>
    </row>
    <row r="1030">
      <c r="AI1030" s="80"/>
    </row>
    <row r="1031">
      <c r="AI1031" s="80"/>
    </row>
    <row r="1032">
      <c r="AI1032" s="80"/>
    </row>
    <row r="1033">
      <c r="AI1033" s="80"/>
    </row>
    <row r="1034">
      <c r="AI1034" s="80"/>
    </row>
    <row r="1035">
      <c r="AI1035" s="80"/>
    </row>
    <row r="1036">
      <c r="AI1036" s="80"/>
    </row>
    <row r="1037">
      <c r="AI1037" s="80"/>
    </row>
    <row r="1038">
      <c r="AI1038" s="80"/>
    </row>
    <row r="1039">
      <c r="AI1039" s="80"/>
    </row>
    <row r="1040">
      <c r="AI1040" s="80"/>
    </row>
    <row r="1041">
      <c r="AI1041" s="80"/>
    </row>
    <row r="1042">
      <c r="AI1042" s="80"/>
    </row>
    <row r="1043">
      <c r="AI1043" s="80"/>
    </row>
    <row r="1044">
      <c r="AI1044" s="80"/>
    </row>
    <row r="1045">
      <c r="AI1045" s="80"/>
    </row>
    <row r="1046">
      <c r="AI1046" s="80"/>
    </row>
    <row r="1047">
      <c r="AI1047" s="80"/>
    </row>
    <row r="1048">
      <c r="AI1048" s="80"/>
    </row>
    <row r="1049">
      <c r="AI1049" s="80"/>
    </row>
    <row r="1050">
      <c r="AI1050" s="80"/>
    </row>
    <row r="1051">
      <c r="AI1051" s="80"/>
    </row>
    <row r="1052">
      <c r="AI1052" s="80"/>
    </row>
    <row r="1053">
      <c r="AI1053" s="80"/>
    </row>
    <row r="1054">
      <c r="AI1054" s="80"/>
    </row>
    <row r="1055">
      <c r="AI1055" s="80"/>
    </row>
    <row r="1056">
      <c r="AI1056" s="80"/>
    </row>
    <row r="1057">
      <c r="AI1057" s="80"/>
    </row>
    <row r="1058">
      <c r="AI1058" s="80"/>
    </row>
    <row r="1059">
      <c r="AI1059" s="80"/>
    </row>
    <row r="1060">
      <c r="AI1060" s="80"/>
    </row>
    <row r="1061">
      <c r="AI1061" s="80"/>
    </row>
    <row r="1062">
      <c r="AI1062" s="80"/>
    </row>
    <row r="1063">
      <c r="AI1063" s="80"/>
    </row>
    <row r="1064">
      <c r="AI1064" s="80"/>
    </row>
    <row r="1065">
      <c r="AI1065" s="80"/>
    </row>
    <row r="1066">
      <c r="AI1066" s="80"/>
    </row>
    <row r="1067">
      <c r="AI1067" s="80"/>
    </row>
    <row r="1068">
      <c r="AI1068" s="80"/>
    </row>
    <row r="1069">
      <c r="AI1069" s="80"/>
    </row>
    <row r="1070">
      <c r="AI1070" s="80"/>
    </row>
    <row r="1071">
      <c r="AI1071" s="80"/>
    </row>
    <row r="1072">
      <c r="AI1072" s="80"/>
    </row>
    <row r="1073">
      <c r="AI1073" s="80"/>
    </row>
    <row r="1074">
      <c r="AI1074" s="80"/>
    </row>
    <row r="1075">
      <c r="AI1075" s="80"/>
    </row>
    <row r="1076">
      <c r="AI1076" s="80"/>
    </row>
    <row r="1077">
      <c r="AI1077" s="80"/>
    </row>
    <row r="1078">
      <c r="AI1078" s="80"/>
    </row>
    <row r="1079">
      <c r="AI1079" s="80"/>
    </row>
    <row r="1080">
      <c r="AI1080" s="80"/>
    </row>
    <row r="1081">
      <c r="AI1081" s="80"/>
    </row>
    <row r="1082">
      <c r="AI1082" s="80"/>
    </row>
    <row r="1083">
      <c r="AI1083" s="80"/>
    </row>
    <row r="1084">
      <c r="AI1084" s="80"/>
    </row>
    <row r="1085">
      <c r="AI1085" s="80"/>
    </row>
    <row r="1086">
      <c r="AI1086" s="80"/>
    </row>
    <row r="1087">
      <c r="AI1087" s="80"/>
    </row>
    <row r="1088">
      <c r="AI1088" s="80"/>
    </row>
    <row r="1089">
      <c r="AI1089" s="80"/>
    </row>
    <row r="1090">
      <c r="AI1090" s="80"/>
    </row>
    <row r="1091">
      <c r="AI1091" s="80"/>
    </row>
    <row r="1092">
      <c r="AI1092" s="80"/>
    </row>
    <row r="1093">
      <c r="AI1093" s="80"/>
    </row>
    <row r="1094">
      <c r="AI1094" s="80"/>
    </row>
    <row r="1095">
      <c r="AI1095" s="80"/>
    </row>
    <row r="1096">
      <c r="AI1096" s="80"/>
    </row>
    <row r="1097">
      <c r="AI1097" s="80"/>
    </row>
    <row r="1098">
      <c r="AI1098" s="80"/>
    </row>
    <row r="1099">
      <c r="AI1099" s="80"/>
    </row>
    <row r="1100">
      <c r="AI1100" s="80"/>
    </row>
    <row r="1101">
      <c r="AI1101" s="80"/>
    </row>
    <row r="1102">
      <c r="AI1102" s="80"/>
    </row>
    <row r="1103">
      <c r="AI1103" s="80"/>
    </row>
    <row r="1104">
      <c r="AI1104" s="80"/>
    </row>
    <row r="1105">
      <c r="AI1105" s="80"/>
    </row>
    <row r="1106">
      <c r="AI1106" s="80"/>
    </row>
    <row r="1107">
      <c r="AI1107" s="80"/>
    </row>
    <row r="1108">
      <c r="AI1108" s="80"/>
    </row>
    <row r="1109">
      <c r="AI1109" s="80"/>
    </row>
    <row r="1110">
      <c r="AI1110" s="80"/>
    </row>
    <row r="1111">
      <c r="AI1111" s="80"/>
    </row>
    <row r="1112">
      <c r="AI1112" s="80"/>
    </row>
    <row r="1113">
      <c r="AI1113" s="80"/>
    </row>
    <row r="1114">
      <c r="AI1114" s="80"/>
    </row>
    <row r="1115">
      <c r="AI1115" s="80"/>
    </row>
    <row r="1116">
      <c r="AI1116" s="80"/>
    </row>
    <row r="1117">
      <c r="AI1117" s="80"/>
    </row>
    <row r="1118">
      <c r="AI1118" s="80"/>
    </row>
    <row r="1119">
      <c r="AI1119" s="80"/>
    </row>
    <row r="1120">
      <c r="AI1120" s="80"/>
    </row>
    <row r="1121">
      <c r="AI1121" s="80"/>
    </row>
    <row r="1122">
      <c r="AI1122" s="80"/>
    </row>
    <row r="1123">
      <c r="AI1123" s="80"/>
    </row>
    <row r="1124">
      <c r="AI1124" s="80"/>
    </row>
    <row r="1125">
      <c r="AI1125" s="80"/>
    </row>
    <row r="1126">
      <c r="AI1126" s="80"/>
    </row>
    <row r="1127">
      <c r="AI1127" s="80"/>
    </row>
    <row r="1128">
      <c r="AI1128" s="80"/>
    </row>
    <row r="1129">
      <c r="AI1129" s="80"/>
    </row>
    <row r="1130">
      <c r="AI1130" s="80"/>
    </row>
    <row r="1131">
      <c r="AI1131" s="80"/>
    </row>
    <row r="1132">
      <c r="AI1132" s="80"/>
    </row>
    <row r="1133">
      <c r="AI1133" s="80"/>
    </row>
    <row r="1134">
      <c r="AI1134" s="80"/>
    </row>
    <row r="1135">
      <c r="AI1135" s="80"/>
    </row>
    <row r="1136">
      <c r="AI1136" s="80"/>
    </row>
    <row r="1137">
      <c r="AI1137" s="80"/>
    </row>
    <row r="1138">
      <c r="AI1138" s="80"/>
    </row>
    <row r="1139">
      <c r="AI1139" s="80"/>
    </row>
    <row r="1140">
      <c r="AI1140" s="80"/>
    </row>
    <row r="1141">
      <c r="AI1141" s="80"/>
    </row>
    <row r="1142">
      <c r="AI1142" s="80"/>
    </row>
    <row r="1143">
      <c r="AI1143" s="80"/>
    </row>
    <row r="1144">
      <c r="AI1144" s="80"/>
    </row>
    <row r="1145">
      <c r="AI1145" s="80"/>
    </row>
    <row r="1146">
      <c r="AI1146" s="80"/>
    </row>
    <row r="1147">
      <c r="AI1147" s="80"/>
    </row>
    <row r="1148">
      <c r="AI1148" s="80"/>
    </row>
    <row r="1149">
      <c r="AI1149" s="80"/>
    </row>
    <row r="1150">
      <c r="AI1150" s="80"/>
    </row>
    <row r="1151">
      <c r="AI1151" s="80"/>
    </row>
    <row r="1152">
      <c r="AI1152" s="80"/>
    </row>
    <row r="1153">
      <c r="AI1153" s="80"/>
    </row>
    <row r="1154">
      <c r="AI1154" s="80"/>
    </row>
    <row r="1155">
      <c r="AI1155" s="80"/>
    </row>
    <row r="1156">
      <c r="AI1156" s="80"/>
    </row>
    <row r="1157">
      <c r="AI1157" s="80"/>
    </row>
    <row r="1158">
      <c r="AI1158" s="80"/>
    </row>
    <row r="1159">
      <c r="AI1159" s="80"/>
    </row>
    <row r="1160">
      <c r="AI1160" s="80"/>
    </row>
    <row r="1161">
      <c r="AI1161" s="80"/>
    </row>
    <row r="1162">
      <c r="AI1162" s="80"/>
    </row>
    <row r="1163">
      <c r="AI1163" s="80"/>
    </row>
    <row r="1164">
      <c r="AI1164" s="80"/>
    </row>
    <row r="1165">
      <c r="AI1165" s="80"/>
    </row>
    <row r="1166">
      <c r="AI1166" s="80"/>
    </row>
    <row r="1167">
      <c r="AI1167" s="80"/>
    </row>
    <row r="1168">
      <c r="AI1168" s="80"/>
    </row>
    <row r="1169">
      <c r="AI1169" s="80"/>
    </row>
    <row r="1170">
      <c r="AI1170" s="80"/>
    </row>
    <row r="1171">
      <c r="AI1171" s="80"/>
    </row>
    <row r="1172">
      <c r="AI1172" s="80"/>
    </row>
    <row r="1173">
      <c r="AI1173" s="80"/>
    </row>
    <row r="1174">
      <c r="AI1174" s="80"/>
    </row>
    <row r="1175">
      <c r="AI1175" s="80"/>
    </row>
    <row r="1176">
      <c r="AI1176" s="80"/>
    </row>
    <row r="1177">
      <c r="AI1177" s="80"/>
    </row>
    <row r="1178">
      <c r="AI1178" s="80"/>
    </row>
    <row r="1179">
      <c r="AI1179" s="80"/>
    </row>
    <row r="1180">
      <c r="AI1180" s="80"/>
    </row>
    <row r="1181">
      <c r="AI1181" s="80"/>
    </row>
    <row r="1182">
      <c r="AI1182" s="80"/>
    </row>
    <row r="1183">
      <c r="AI1183" s="80"/>
    </row>
    <row r="1184">
      <c r="AI1184" s="80"/>
    </row>
    <row r="1185">
      <c r="AI1185" s="80"/>
    </row>
    <row r="1186">
      <c r="AI1186" s="80"/>
    </row>
    <row r="1187">
      <c r="AI1187" s="80"/>
    </row>
    <row r="1188">
      <c r="AI1188" s="80"/>
    </row>
    <row r="1189">
      <c r="AI1189" s="80"/>
    </row>
    <row r="1190">
      <c r="AI1190" s="80"/>
    </row>
    <row r="1191">
      <c r="AI1191" s="80"/>
    </row>
    <row r="1192">
      <c r="AI1192" s="80"/>
    </row>
    <row r="1193">
      <c r="AI1193" s="80"/>
    </row>
    <row r="1194">
      <c r="AI1194" s="80"/>
    </row>
    <row r="1195">
      <c r="AI1195" s="80"/>
    </row>
    <row r="1196">
      <c r="AI1196" s="80"/>
    </row>
    <row r="1197">
      <c r="AI1197" s="80"/>
    </row>
    <row r="1198">
      <c r="AI1198" s="80"/>
    </row>
    <row r="1199">
      <c r="AI1199" s="80"/>
    </row>
    <row r="1200">
      <c r="AI1200" s="80"/>
    </row>
    <row r="1201">
      <c r="AI1201" s="80"/>
    </row>
    <row r="1202">
      <c r="AI1202" s="80"/>
    </row>
    <row r="1203">
      <c r="AI1203" s="80"/>
    </row>
    <row r="1204">
      <c r="AI1204" s="80"/>
    </row>
    <row r="1205">
      <c r="AI1205" s="80"/>
    </row>
    <row r="1206">
      <c r="AI1206" s="80"/>
    </row>
    <row r="1207">
      <c r="AI1207" s="80"/>
    </row>
    <row r="1208">
      <c r="AI1208" s="80"/>
    </row>
    <row r="1209">
      <c r="AI1209" s="80"/>
    </row>
    <row r="1210">
      <c r="AI1210" s="80"/>
    </row>
    <row r="1211">
      <c r="AI1211" s="80"/>
    </row>
    <row r="1212">
      <c r="AI1212" s="80"/>
    </row>
    <row r="1213">
      <c r="AI1213" s="80"/>
    </row>
    <row r="1214">
      <c r="AI1214" s="80"/>
    </row>
    <row r="1215">
      <c r="AI1215" s="80"/>
    </row>
    <row r="1216">
      <c r="AI1216" s="80"/>
    </row>
    <row r="1217">
      <c r="AI1217" s="80"/>
    </row>
    <row r="1218">
      <c r="AI1218" s="80"/>
    </row>
    <row r="1219">
      <c r="AI1219" s="80"/>
    </row>
    <row r="1220">
      <c r="AI1220" s="80"/>
    </row>
    <row r="1221">
      <c r="AI1221" s="80"/>
    </row>
    <row r="1222">
      <c r="AI1222" s="80"/>
    </row>
    <row r="1223">
      <c r="AI1223" s="80"/>
    </row>
    <row r="1224">
      <c r="AI1224" s="80"/>
    </row>
    <row r="1225">
      <c r="AI1225" s="80"/>
    </row>
    <row r="1226">
      <c r="AI1226" s="80"/>
    </row>
    <row r="1227">
      <c r="AI1227" s="80"/>
    </row>
    <row r="1228">
      <c r="AI1228" s="80"/>
    </row>
    <row r="1229">
      <c r="AI1229" s="80"/>
    </row>
    <row r="1230">
      <c r="AI1230" s="80"/>
    </row>
    <row r="1231">
      <c r="AI1231" s="80"/>
    </row>
    <row r="1232">
      <c r="AI1232" s="80"/>
    </row>
    <row r="1233">
      <c r="AI1233" s="80"/>
    </row>
    <row r="1234">
      <c r="AI1234" s="80"/>
    </row>
    <row r="1235">
      <c r="AI1235" s="80"/>
    </row>
    <row r="1236">
      <c r="AI1236" s="80"/>
    </row>
    <row r="1237">
      <c r="AI1237" s="80"/>
    </row>
    <row r="1238">
      <c r="AI1238" s="80"/>
    </row>
    <row r="1239">
      <c r="AI1239" s="80"/>
    </row>
    <row r="1240">
      <c r="AI1240" s="80"/>
    </row>
    <row r="1241">
      <c r="AI1241" s="80"/>
    </row>
    <row r="1242">
      <c r="AI1242" s="80"/>
    </row>
    <row r="1243">
      <c r="AI1243" s="80"/>
    </row>
    <row r="1244">
      <c r="AI1244" s="80"/>
    </row>
    <row r="1245">
      <c r="AI1245" s="80"/>
    </row>
    <row r="1246">
      <c r="AI1246" s="80"/>
    </row>
    <row r="1247">
      <c r="AI1247" s="80"/>
    </row>
    <row r="1248">
      <c r="AI1248" s="80"/>
    </row>
    <row r="1249">
      <c r="AI1249" s="80"/>
    </row>
    <row r="1250">
      <c r="AI1250" s="80"/>
    </row>
    <row r="1251">
      <c r="AI1251" s="80"/>
    </row>
    <row r="1252">
      <c r="AI1252" s="80"/>
    </row>
    <row r="1253">
      <c r="AI1253" s="80"/>
    </row>
    <row r="1254">
      <c r="AI1254" s="80"/>
    </row>
    <row r="1255">
      <c r="AI1255" s="80"/>
    </row>
    <row r="1256">
      <c r="AI1256" s="80"/>
    </row>
    <row r="1257">
      <c r="AI1257" s="80"/>
    </row>
    <row r="1258">
      <c r="AI1258" s="80"/>
    </row>
    <row r="1259">
      <c r="AI1259" s="80"/>
    </row>
    <row r="1260">
      <c r="AI1260" s="80"/>
    </row>
    <row r="1261">
      <c r="AI1261" s="80"/>
    </row>
    <row r="1262">
      <c r="AI1262" s="80"/>
    </row>
    <row r="1263">
      <c r="AI1263" s="80"/>
    </row>
    <row r="1264">
      <c r="AI1264" s="80"/>
    </row>
    <row r="1265">
      <c r="AI1265" s="80"/>
    </row>
    <row r="1266">
      <c r="AI1266" s="80"/>
    </row>
    <row r="1267">
      <c r="AI1267" s="80"/>
    </row>
    <row r="1268">
      <c r="AI1268" s="80"/>
    </row>
    <row r="1269">
      <c r="AI1269" s="80"/>
    </row>
    <row r="1270">
      <c r="AI1270" s="80"/>
    </row>
    <row r="1271">
      <c r="AI1271" s="80"/>
    </row>
    <row r="1272">
      <c r="AI1272" s="80"/>
    </row>
    <row r="1273">
      <c r="AI1273" s="80"/>
    </row>
    <row r="1274">
      <c r="AI1274" s="80"/>
    </row>
    <row r="1275">
      <c r="AI1275" s="80"/>
    </row>
    <row r="1276">
      <c r="AI1276" s="80"/>
    </row>
    <row r="1277">
      <c r="AI1277" s="80"/>
    </row>
    <row r="1278">
      <c r="AI1278" s="80"/>
    </row>
    <row r="1279">
      <c r="AI1279" s="80"/>
    </row>
    <row r="1280">
      <c r="AI1280" s="80"/>
    </row>
    <row r="1281">
      <c r="AI1281" s="80"/>
    </row>
    <row r="1282">
      <c r="AI1282" s="80"/>
    </row>
    <row r="1283">
      <c r="AI1283" s="80"/>
    </row>
    <row r="1284">
      <c r="AI1284" s="80"/>
    </row>
    <row r="1285">
      <c r="AI1285" s="80"/>
    </row>
    <row r="1286">
      <c r="AI1286" s="80"/>
    </row>
    <row r="1287">
      <c r="AI1287" s="80"/>
    </row>
    <row r="1288">
      <c r="AI1288" s="80"/>
    </row>
    <row r="1289">
      <c r="AI1289" s="80"/>
    </row>
    <row r="1290">
      <c r="AI1290" s="80"/>
    </row>
    <row r="1291">
      <c r="AI1291" s="80"/>
    </row>
    <row r="1292">
      <c r="AI1292" s="80"/>
    </row>
    <row r="1293">
      <c r="AI1293" s="80"/>
    </row>
    <row r="1294">
      <c r="AI1294" s="80"/>
    </row>
    <row r="1295">
      <c r="AI1295" s="80"/>
    </row>
    <row r="1296">
      <c r="AI1296" s="80"/>
    </row>
    <row r="1297">
      <c r="AI1297" s="80"/>
    </row>
    <row r="1298">
      <c r="AI1298" s="80"/>
    </row>
    <row r="1299">
      <c r="AI1299" s="80"/>
    </row>
    <row r="1300">
      <c r="AI1300" s="80"/>
    </row>
    <row r="1301">
      <c r="AI1301" s="80"/>
    </row>
    <row r="1302">
      <c r="AI1302" s="80"/>
    </row>
    <row r="1303">
      <c r="AI1303" s="80"/>
    </row>
    <row r="1304">
      <c r="AI1304" s="80"/>
    </row>
    <row r="1305">
      <c r="AI1305" s="80"/>
    </row>
    <row r="1306">
      <c r="AI1306" s="80"/>
    </row>
    <row r="1307">
      <c r="AI1307" s="80"/>
    </row>
    <row r="1308">
      <c r="AI1308" s="80"/>
    </row>
    <row r="1309">
      <c r="AI1309" s="80"/>
    </row>
    <row r="1310">
      <c r="AI1310" s="80"/>
    </row>
    <row r="1311">
      <c r="AI1311" s="80"/>
    </row>
    <row r="1312">
      <c r="AI1312" s="80"/>
    </row>
    <row r="1313">
      <c r="AI1313" s="80"/>
    </row>
    <row r="1314">
      <c r="AI1314" s="80"/>
    </row>
    <row r="1315">
      <c r="AI1315" s="80"/>
    </row>
    <row r="1316">
      <c r="AI1316" s="80"/>
    </row>
    <row r="1317">
      <c r="AI1317" s="80"/>
    </row>
    <row r="1318">
      <c r="AI1318" s="80"/>
    </row>
    <row r="1319">
      <c r="AI1319" s="80"/>
    </row>
    <row r="1320">
      <c r="AI1320" s="80"/>
    </row>
    <row r="1321">
      <c r="AI1321" s="80"/>
    </row>
    <row r="1322">
      <c r="AI1322" s="80"/>
    </row>
    <row r="1323">
      <c r="AI1323" s="80"/>
    </row>
    <row r="1324">
      <c r="AI1324" s="80"/>
    </row>
    <row r="1325">
      <c r="AI1325" s="80"/>
    </row>
    <row r="1326">
      <c r="AI1326" s="80"/>
    </row>
    <row r="1327">
      <c r="AI1327" s="80"/>
    </row>
    <row r="1328">
      <c r="AI1328" s="80"/>
    </row>
    <row r="1329">
      <c r="AI1329" s="80"/>
    </row>
    <row r="1330">
      <c r="AI1330" s="80"/>
    </row>
    <row r="1331">
      <c r="AI1331" s="80"/>
    </row>
    <row r="1332">
      <c r="AI1332" s="80"/>
    </row>
    <row r="1333">
      <c r="AI1333" s="80"/>
    </row>
    <row r="1334">
      <c r="AI1334" s="80"/>
    </row>
    <row r="1335">
      <c r="AI1335" s="80"/>
    </row>
    <row r="1336">
      <c r="AI1336" s="80"/>
    </row>
    <row r="1337">
      <c r="AI1337" s="80"/>
    </row>
    <row r="1338">
      <c r="AI1338" s="80"/>
    </row>
    <row r="1339">
      <c r="AI1339" s="80"/>
    </row>
    <row r="1340">
      <c r="AI1340" s="80"/>
    </row>
    <row r="1341">
      <c r="AI1341" s="80"/>
    </row>
    <row r="1342">
      <c r="AI1342" s="80"/>
    </row>
    <row r="1343">
      <c r="AI1343" s="80"/>
    </row>
    <row r="1344">
      <c r="AI1344" s="80"/>
    </row>
    <row r="1345">
      <c r="AI1345" s="80"/>
    </row>
    <row r="1346">
      <c r="AI1346" s="80"/>
    </row>
    <row r="1347">
      <c r="AI1347" s="80"/>
    </row>
    <row r="1348">
      <c r="AI1348" s="80"/>
    </row>
    <row r="1349">
      <c r="AI1349" s="80"/>
    </row>
    <row r="1350">
      <c r="AI1350" s="80"/>
    </row>
    <row r="1351">
      <c r="AI1351" s="80"/>
    </row>
    <row r="1352">
      <c r="AI1352" s="80"/>
    </row>
    <row r="1353">
      <c r="AI1353" s="80"/>
    </row>
    <row r="1354">
      <c r="AI1354" s="80"/>
    </row>
    <row r="1355">
      <c r="AI1355" s="80"/>
    </row>
    <row r="1356">
      <c r="AI1356" s="80"/>
    </row>
    <row r="1357">
      <c r="AI1357" s="80"/>
    </row>
    <row r="1358">
      <c r="AI1358" s="80"/>
    </row>
    <row r="1359">
      <c r="AI1359" s="80"/>
    </row>
    <row r="1360">
      <c r="AI1360" s="80"/>
    </row>
    <row r="1361">
      <c r="AI1361" s="80"/>
    </row>
    <row r="1362">
      <c r="AI1362" s="80"/>
    </row>
    <row r="1363">
      <c r="AI1363" s="80"/>
    </row>
    <row r="1364">
      <c r="AI1364" s="80"/>
    </row>
    <row r="1365">
      <c r="AI1365" s="80"/>
    </row>
    <row r="1366">
      <c r="AI1366" s="80"/>
    </row>
    <row r="1367">
      <c r="AI1367" s="80"/>
    </row>
    <row r="1368">
      <c r="AI1368" s="80"/>
    </row>
    <row r="1369">
      <c r="AI1369" s="80"/>
    </row>
    <row r="1370">
      <c r="AI1370" s="80"/>
    </row>
    <row r="1371">
      <c r="AI1371" s="80"/>
    </row>
    <row r="1372">
      <c r="AI1372" s="80"/>
    </row>
    <row r="1373">
      <c r="AI1373" s="80"/>
    </row>
    <row r="1374">
      <c r="AI1374" s="80"/>
    </row>
    <row r="1375">
      <c r="AI1375" s="80"/>
    </row>
    <row r="1376">
      <c r="AI1376" s="80"/>
    </row>
    <row r="1377">
      <c r="AI1377" s="80"/>
    </row>
    <row r="1378">
      <c r="AI1378" s="80"/>
    </row>
    <row r="1379">
      <c r="AI1379" s="80"/>
    </row>
    <row r="1380">
      <c r="AI1380" s="80"/>
    </row>
    <row r="1381">
      <c r="AI1381" s="80"/>
    </row>
    <row r="1382">
      <c r="AI1382" s="80"/>
    </row>
    <row r="1383">
      <c r="AI1383" s="80"/>
    </row>
    <row r="1384">
      <c r="AI1384" s="80"/>
    </row>
    <row r="1385">
      <c r="AI1385" s="80"/>
    </row>
    <row r="1386">
      <c r="AI1386" s="80"/>
    </row>
    <row r="1387">
      <c r="AI1387" s="80"/>
    </row>
    <row r="1388">
      <c r="AI1388" s="80"/>
    </row>
    <row r="1389">
      <c r="AI1389" s="80"/>
    </row>
    <row r="1390">
      <c r="AI1390" s="80"/>
    </row>
    <row r="1391">
      <c r="AI1391" s="80"/>
    </row>
    <row r="1392">
      <c r="AI1392" s="80"/>
    </row>
    <row r="1393">
      <c r="AI1393" s="80"/>
    </row>
    <row r="1394">
      <c r="AI1394" s="80"/>
    </row>
    <row r="1395">
      <c r="AI1395" s="80"/>
    </row>
    <row r="1396">
      <c r="AI1396" s="80"/>
    </row>
    <row r="1397">
      <c r="AI1397" s="80"/>
    </row>
    <row r="1398">
      <c r="AI1398" s="80"/>
    </row>
    <row r="1399">
      <c r="AI1399" s="80"/>
    </row>
    <row r="1400">
      <c r="AI1400" s="80"/>
    </row>
    <row r="1401">
      <c r="AI1401" s="80"/>
    </row>
    <row r="1402">
      <c r="AI1402" s="80"/>
    </row>
    <row r="1403">
      <c r="AI1403" s="80"/>
    </row>
    <row r="1404">
      <c r="AI1404" s="80"/>
    </row>
    <row r="1405">
      <c r="AI1405" s="80"/>
    </row>
    <row r="1406">
      <c r="AI1406" s="80"/>
    </row>
    <row r="1407">
      <c r="AI1407" s="80"/>
    </row>
    <row r="1408">
      <c r="AI1408" s="80"/>
    </row>
    <row r="1409">
      <c r="AI1409" s="80"/>
    </row>
    <row r="1410">
      <c r="AI1410" s="80"/>
    </row>
    <row r="1411">
      <c r="AI1411" s="80"/>
    </row>
    <row r="1412">
      <c r="AI1412" s="80"/>
    </row>
    <row r="1413">
      <c r="AI1413" s="80"/>
    </row>
    <row r="1414">
      <c r="AI1414" s="80"/>
    </row>
    <row r="1415">
      <c r="AI1415" s="80"/>
    </row>
    <row r="1416">
      <c r="AI1416" s="80"/>
    </row>
    <row r="1417">
      <c r="AI1417" s="80"/>
    </row>
    <row r="1418">
      <c r="AI1418" s="80"/>
    </row>
    <row r="1419">
      <c r="AI1419" s="80"/>
    </row>
    <row r="1420">
      <c r="AI1420" s="80"/>
    </row>
    <row r="1421">
      <c r="AI1421" s="80"/>
    </row>
    <row r="1422">
      <c r="AI1422" s="80"/>
    </row>
    <row r="1423">
      <c r="AI1423" s="80"/>
    </row>
    <row r="1424">
      <c r="AI1424" s="80"/>
    </row>
    <row r="1425">
      <c r="AI1425" s="80"/>
    </row>
    <row r="1426">
      <c r="AI1426" s="80"/>
    </row>
    <row r="1427">
      <c r="AI1427" s="80"/>
    </row>
    <row r="1428">
      <c r="AI1428" s="80"/>
    </row>
    <row r="1429">
      <c r="AI1429" s="80"/>
    </row>
    <row r="1430">
      <c r="AI1430" s="80"/>
    </row>
    <row r="1431">
      <c r="AI1431" s="80"/>
    </row>
    <row r="1432">
      <c r="AI1432" s="80"/>
    </row>
    <row r="1433">
      <c r="AI1433" s="80"/>
    </row>
    <row r="1434">
      <c r="AI1434" s="80"/>
    </row>
    <row r="1435">
      <c r="AI1435" s="80"/>
    </row>
    <row r="1436">
      <c r="AI1436" s="80"/>
    </row>
    <row r="1437">
      <c r="AI1437" s="80"/>
    </row>
    <row r="1438">
      <c r="AI1438" s="80"/>
    </row>
    <row r="1439">
      <c r="AI1439" s="80"/>
    </row>
    <row r="1440">
      <c r="AI1440" s="80"/>
    </row>
    <row r="1441">
      <c r="AI1441" s="80"/>
    </row>
    <row r="1442">
      <c r="AI1442" s="80"/>
    </row>
    <row r="1443">
      <c r="AI1443" s="80"/>
    </row>
    <row r="1444">
      <c r="AI1444" s="80"/>
    </row>
    <row r="1445">
      <c r="AI1445" s="80"/>
    </row>
    <row r="1446">
      <c r="AI1446" s="80"/>
    </row>
    <row r="1447">
      <c r="AI1447" s="80"/>
    </row>
    <row r="1448">
      <c r="AI1448" s="80"/>
    </row>
    <row r="1449">
      <c r="AI1449" s="80"/>
    </row>
    <row r="1450">
      <c r="AI1450" s="80"/>
    </row>
    <row r="1451">
      <c r="AI1451" s="80"/>
    </row>
    <row r="1452">
      <c r="AI1452" s="80"/>
    </row>
    <row r="1453">
      <c r="AI1453" s="80"/>
    </row>
    <row r="1454">
      <c r="AI1454" s="80"/>
    </row>
    <row r="1455">
      <c r="AI1455" s="80"/>
    </row>
    <row r="1456">
      <c r="AI1456" s="80"/>
    </row>
    <row r="1457">
      <c r="AI1457" s="80"/>
    </row>
    <row r="1458">
      <c r="AI1458" s="80"/>
    </row>
    <row r="1459">
      <c r="AI1459" s="80"/>
    </row>
    <row r="1460">
      <c r="AI1460" s="80"/>
    </row>
    <row r="1461">
      <c r="AI1461" s="80"/>
    </row>
    <row r="1462">
      <c r="AI1462" s="80"/>
    </row>
    <row r="1463">
      <c r="AI1463" s="80"/>
    </row>
    <row r="1464">
      <c r="AI1464" s="80"/>
    </row>
    <row r="1465">
      <c r="AI1465" s="80"/>
    </row>
    <row r="1466">
      <c r="AI1466" s="80"/>
    </row>
    <row r="1467">
      <c r="AI1467" s="80"/>
    </row>
    <row r="1468">
      <c r="AI1468" s="80"/>
    </row>
    <row r="1469">
      <c r="AI1469" s="80"/>
    </row>
    <row r="1470">
      <c r="AI1470" s="80"/>
    </row>
    <row r="1471">
      <c r="AI1471" s="80"/>
    </row>
    <row r="1472">
      <c r="AI1472" s="80"/>
    </row>
    <row r="1473">
      <c r="AI1473" s="80"/>
    </row>
    <row r="1474">
      <c r="AI1474" s="80"/>
    </row>
    <row r="1475">
      <c r="AI1475" s="80"/>
    </row>
    <row r="1476">
      <c r="AI1476" s="80"/>
    </row>
    <row r="1477">
      <c r="AI1477" s="80"/>
    </row>
    <row r="1478">
      <c r="AI1478" s="80"/>
    </row>
    <row r="1479">
      <c r="AI1479" s="80"/>
    </row>
    <row r="1480">
      <c r="AI1480" s="80"/>
    </row>
    <row r="1481">
      <c r="AI1481" s="80"/>
    </row>
    <row r="1482">
      <c r="AI1482" s="80"/>
    </row>
    <row r="1483">
      <c r="AI1483" s="80"/>
    </row>
    <row r="1484">
      <c r="AI1484" s="80"/>
    </row>
    <row r="1485">
      <c r="AI1485" s="80"/>
    </row>
    <row r="1486">
      <c r="AI1486" s="80"/>
    </row>
    <row r="1487">
      <c r="AI1487" s="80"/>
    </row>
    <row r="1488">
      <c r="AI1488" s="80"/>
    </row>
    <row r="1489">
      <c r="AI1489" s="80"/>
    </row>
    <row r="1490">
      <c r="AI1490" s="80"/>
    </row>
    <row r="1491">
      <c r="AI1491" s="80"/>
    </row>
    <row r="1492">
      <c r="AI1492" s="80"/>
    </row>
    <row r="1493">
      <c r="AI1493" s="80"/>
    </row>
    <row r="1494">
      <c r="AI1494" s="80"/>
    </row>
    <row r="1495">
      <c r="AI1495" s="80"/>
    </row>
    <row r="1496">
      <c r="AI1496" s="80"/>
    </row>
    <row r="1497">
      <c r="AI1497" s="80"/>
    </row>
    <row r="1498">
      <c r="AI1498" s="80"/>
    </row>
    <row r="1499">
      <c r="AI1499" s="80"/>
    </row>
    <row r="1500">
      <c r="AI1500" s="80"/>
    </row>
    <row r="1501">
      <c r="AI1501" s="80"/>
    </row>
    <row r="1502">
      <c r="AI1502" s="80"/>
    </row>
    <row r="1503">
      <c r="AI1503" s="80"/>
    </row>
    <row r="1504">
      <c r="AI1504" s="80"/>
    </row>
    <row r="1505">
      <c r="AI1505" s="80"/>
    </row>
    <row r="1506">
      <c r="AI1506" s="80"/>
    </row>
    <row r="1507">
      <c r="AI1507" s="80"/>
    </row>
    <row r="1508">
      <c r="AI1508" s="80"/>
    </row>
    <row r="1509">
      <c r="AI1509" s="80"/>
    </row>
    <row r="1510">
      <c r="AI1510" s="80"/>
    </row>
    <row r="1511">
      <c r="AI1511" s="80"/>
    </row>
    <row r="1512">
      <c r="AI1512" s="80"/>
    </row>
    <row r="1513">
      <c r="AI1513" s="80"/>
    </row>
    <row r="1514">
      <c r="AI1514" s="80"/>
    </row>
    <row r="1515">
      <c r="AI1515" s="80"/>
    </row>
    <row r="1516">
      <c r="AI1516" s="80"/>
    </row>
    <row r="1517">
      <c r="AI1517" s="80"/>
    </row>
    <row r="1518">
      <c r="AI1518" s="80"/>
    </row>
    <row r="1519">
      <c r="AI1519" s="80"/>
    </row>
    <row r="1520">
      <c r="AI1520" s="80"/>
    </row>
    <row r="1521">
      <c r="AI1521" s="80"/>
    </row>
    <row r="1522">
      <c r="AI1522" s="80"/>
    </row>
    <row r="1523">
      <c r="AI1523" s="80"/>
    </row>
    <row r="1524">
      <c r="AI1524" s="80"/>
    </row>
    <row r="1525">
      <c r="AI1525" s="80"/>
    </row>
    <row r="1526">
      <c r="AI1526" s="80"/>
    </row>
    <row r="1527">
      <c r="AI1527" s="80"/>
    </row>
    <row r="1528">
      <c r="AI1528" s="80"/>
    </row>
    <row r="1529">
      <c r="AI1529" s="80"/>
    </row>
    <row r="1530">
      <c r="AI1530" s="80"/>
    </row>
    <row r="1531">
      <c r="AI1531" s="80"/>
    </row>
    <row r="1532">
      <c r="AI1532" s="80"/>
    </row>
    <row r="1533">
      <c r="AI1533" s="80"/>
    </row>
    <row r="1534">
      <c r="AI1534" s="80"/>
    </row>
    <row r="1535">
      <c r="AI1535" s="80"/>
    </row>
    <row r="1536">
      <c r="AI1536" s="80"/>
    </row>
    <row r="1537">
      <c r="AI1537" s="80"/>
    </row>
    <row r="1538">
      <c r="AI1538" s="80"/>
    </row>
    <row r="1539">
      <c r="AI1539" s="80"/>
    </row>
    <row r="1540">
      <c r="AI1540" s="80"/>
    </row>
    <row r="1541">
      <c r="AI1541" s="80"/>
    </row>
    <row r="1542">
      <c r="AI1542" s="80"/>
    </row>
    <row r="1543">
      <c r="AI1543" s="80"/>
    </row>
    <row r="1544">
      <c r="AI1544" s="80"/>
    </row>
    <row r="1545">
      <c r="AI1545" s="80"/>
    </row>
    <row r="1546">
      <c r="AI1546" s="80"/>
    </row>
    <row r="1547">
      <c r="AI1547" s="80"/>
    </row>
    <row r="1548">
      <c r="AI1548" s="80"/>
    </row>
    <row r="1549">
      <c r="AI1549" s="80"/>
    </row>
    <row r="1550">
      <c r="AI1550" s="80"/>
    </row>
    <row r="1551">
      <c r="AI1551" s="80"/>
    </row>
    <row r="1552">
      <c r="AI1552" s="80"/>
    </row>
    <row r="1553">
      <c r="AI1553" s="80"/>
    </row>
    <row r="1554">
      <c r="AI1554" s="80"/>
    </row>
    <row r="1555">
      <c r="AI1555" s="80"/>
    </row>
    <row r="1556">
      <c r="AI1556" s="80"/>
    </row>
    <row r="1557">
      <c r="AI1557" s="80"/>
    </row>
    <row r="1558">
      <c r="AI1558" s="80"/>
    </row>
    <row r="1559">
      <c r="AI1559" s="80"/>
    </row>
    <row r="1560">
      <c r="AI1560" s="80"/>
    </row>
    <row r="1561">
      <c r="AI1561" s="80"/>
    </row>
    <row r="1562">
      <c r="AI1562" s="80"/>
    </row>
    <row r="1563">
      <c r="AI1563" s="80"/>
    </row>
    <row r="1564">
      <c r="AI1564" s="80"/>
    </row>
    <row r="1565">
      <c r="AI1565" s="80"/>
    </row>
    <row r="1566">
      <c r="AI1566" s="80"/>
    </row>
    <row r="1567">
      <c r="AI1567" s="80"/>
    </row>
    <row r="1568">
      <c r="AI1568" s="80"/>
    </row>
    <row r="1569">
      <c r="AI1569" s="80"/>
    </row>
    <row r="1570">
      <c r="AI1570" s="80"/>
    </row>
    <row r="1571">
      <c r="AI1571" s="80"/>
    </row>
    <row r="1572">
      <c r="AI1572" s="80"/>
    </row>
    <row r="1573">
      <c r="AI1573" s="80"/>
    </row>
    <row r="1574">
      <c r="AI1574" s="80"/>
    </row>
    <row r="1575">
      <c r="AI1575" s="80"/>
    </row>
    <row r="1576">
      <c r="AI1576" s="80"/>
    </row>
    <row r="1577">
      <c r="AI1577" s="80"/>
    </row>
    <row r="1578">
      <c r="AI1578" s="80"/>
    </row>
    <row r="1579">
      <c r="AI1579" s="80"/>
    </row>
    <row r="1580">
      <c r="AI1580" s="80"/>
    </row>
    <row r="1581">
      <c r="AI1581" s="80"/>
    </row>
    <row r="1582">
      <c r="AI1582" s="80"/>
    </row>
    <row r="1583">
      <c r="AI1583" s="80"/>
    </row>
    <row r="1584">
      <c r="AI1584" s="80"/>
    </row>
    <row r="1585">
      <c r="AI1585" s="80"/>
    </row>
    <row r="1586">
      <c r="AI1586" s="80"/>
    </row>
    <row r="1587">
      <c r="AI1587" s="80"/>
    </row>
    <row r="1588">
      <c r="AI1588" s="80"/>
    </row>
    <row r="1589">
      <c r="AI1589" s="80"/>
    </row>
    <row r="1590">
      <c r="AI1590" s="80"/>
    </row>
    <row r="1591">
      <c r="AI1591" s="80"/>
    </row>
    <row r="1592">
      <c r="AI1592" s="80"/>
    </row>
    <row r="1593">
      <c r="AI1593" s="80"/>
    </row>
    <row r="1594">
      <c r="AI1594" s="80"/>
    </row>
    <row r="1595">
      <c r="AI1595" s="80"/>
    </row>
    <row r="1596">
      <c r="AI1596" s="80"/>
    </row>
    <row r="1597">
      <c r="AI1597" s="80"/>
    </row>
    <row r="1598">
      <c r="AI1598" s="80"/>
    </row>
    <row r="1599">
      <c r="AI1599" s="80"/>
    </row>
    <row r="1600">
      <c r="AI1600" s="80"/>
    </row>
    <row r="1601">
      <c r="AI1601" s="80"/>
    </row>
    <row r="1602">
      <c r="AI1602" s="80"/>
    </row>
    <row r="1603">
      <c r="AI1603" s="80"/>
    </row>
    <row r="1604">
      <c r="AI1604" s="80"/>
    </row>
    <row r="1605">
      <c r="AI1605" s="80"/>
    </row>
    <row r="1606">
      <c r="AI1606" s="80"/>
    </row>
    <row r="1607">
      <c r="AI1607" s="80"/>
    </row>
    <row r="1608">
      <c r="AI1608" s="80"/>
    </row>
    <row r="1609">
      <c r="AI1609" s="80"/>
    </row>
    <row r="1610">
      <c r="AI1610" s="80"/>
    </row>
    <row r="1611">
      <c r="AI1611" s="80"/>
    </row>
    <row r="1612">
      <c r="AI1612" s="80"/>
    </row>
    <row r="1613">
      <c r="AI1613" s="80"/>
    </row>
    <row r="1614">
      <c r="AI1614" s="80"/>
    </row>
    <row r="1615">
      <c r="AI1615" s="80"/>
    </row>
    <row r="1616">
      <c r="AI1616" s="80"/>
    </row>
    <row r="1617">
      <c r="AI1617" s="80"/>
    </row>
    <row r="1618">
      <c r="AI1618" s="80"/>
    </row>
    <row r="1619">
      <c r="AI1619" s="80"/>
    </row>
    <row r="1620">
      <c r="AI1620" s="80"/>
    </row>
    <row r="1621">
      <c r="AI1621" s="80"/>
    </row>
    <row r="1622">
      <c r="AI1622" s="80"/>
    </row>
    <row r="1623">
      <c r="AI1623" s="80"/>
    </row>
    <row r="1624">
      <c r="AI1624" s="80"/>
    </row>
    <row r="1625">
      <c r="AI1625" s="80"/>
    </row>
    <row r="1626">
      <c r="AI1626" s="80"/>
    </row>
    <row r="1627">
      <c r="AI1627" s="80"/>
    </row>
    <row r="1628">
      <c r="AI1628" s="80"/>
    </row>
    <row r="1629">
      <c r="AI1629" s="80"/>
    </row>
    <row r="1630">
      <c r="AI1630" s="80"/>
    </row>
    <row r="1631">
      <c r="AI1631" s="80"/>
    </row>
    <row r="1632">
      <c r="AI1632" s="80"/>
    </row>
    <row r="1633">
      <c r="AI1633" s="80"/>
    </row>
    <row r="1634">
      <c r="AI1634" s="80"/>
    </row>
    <row r="1635">
      <c r="AI1635" s="80"/>
    </row>
    <row r="1636">
      <c r="AI1636" s="80"/>
    </row>
    <row r="1637">
      <c r="AI1637" s="80"/>
    </row>
    <row r="1638">
      <c r="AI1638" s="80"/>
    </row>
    <row r="1639">
      <c r="AI1639" s="80"/>
    </row>
    <row r="1640">
      <c r="AI1640" s="80"/>
    </row>
    <row r="1641">
      <c r="AI1641" s="80"/>
    </row>
    <row r="1642">
      <c r="AI1642" s="80"/>
    </row>
    <row r="1643">
      <c r="AI1643" s="80"/>
    </row>
    <row r="1644">
      <c r="AI1644" s="80"/>
    </row>
    <row r="1645">
      <c r="AI1645" s="80"/>
    </row>
    <row r="1646">
      <c r="AI1646" s="80"/>
    </row>
    <row r="1647">
      <c r="AI1647" s="80"/>
    </row>
    <row r="1648">
      <c r="AI1648" s="80"/>
    </row>
    <row r="1649">
      <c r="AI1649" s="80"/>
    </row>
    <row r="1650">
      <c r="AI1650" s="80"/>
    </row>
    <row r="1651">
      <c r="AI1651" s="80"/>
    </row>
    <row r="1652">
      <c r="AI1652" s="80"/>
    </row>
    <row r="1653">
      <c r="AI1653" s="80"/>
    </row>
    <row r="1654">
      <c r="AI1654" s="80"/>
    </row>
    <row r="1655">
      <c r="AI1655" s="80"/>
    </row>
    <row r="1656">
      <c r="AI1656" s="80"/>
    </row>
    <row r="1657">
      <c r="AI1657" s="80"/>
    </row>
    <row r="1658">
      <c r="AI1658" s="80"/>
    </row>
    <row r="1659">
      <c r="AI1659" s="80"/>
    </row>
    <row r="1660">
      <c r="AI1660" s="80"/>
    </row>
    <row r="1661">
      <c r="AI1661" s="80"/>
    </row>
    <row r="1662">
      <c r="AI1662" s="80"/>
    </row>
    <row r="1663">
      <c r="AI1663" s="80"/>
    </row>
    <row r="1664">
      <c r="AI1664" s="80"/>
    </row>
    <row r="1665">
      <c r="AI1665" s="80"/>
    </row>
    <row r="1666">
      <c r="AI1666" s="80"/>
    </row>
    <row r="1667">
      <c r="AI1667" s="80"/>
    </row>
    <row r="1668">
      <c r="AI1668" s="80"/>
    </row>
    <row r="1669">
      <c r="AI1669" s="80"/>
    </row>
    <row r="1670">
      <c r="AI1670" s="80"/>
    </row>
    <row r="1671">
      <c r="AI1671" s="80"/>
    </row>
    <row r="1672">
      <c r="AI1672" s="80"/>
    </row>
    <row r="1673">
      <c r="AI1673" s="80"/>
    </row>
    <row r="1674">
      <c r="AI1674" s="80"/>
    </row>
    <row r="1675">
      <c r="AI1675" s="80"/>
    </row>
    <row r="1676">
      <c r="AI1676" s="80"/>
    </row>
    <row r="1677">
      <c r="AI1677" s="80"/>
    </row>
    <row r="1678">
      <c r="AI1678" s="80"/>
    </row>
    <row r="1679">
      <c r="AI1679" s="80"/>
    </row>
    <row r="1680">
      <c r="AI1680" s="80"/>
    </row>
    <row r="1681">
      <c r="AI1681" s="80"/>
    </row>
    <row r="1682">
      <c r="AI1682" s="80"/>
    </row>
    <row r="1683">
      <c r="AI1683" s="80"/>
    </row>
    <row r="1684">
      <c r="AI1684" s="80"/>
    </row>
    <row r="1685">
      <c r="AI1685" s="80"/>
    </row>
    <row r="1686">
      <c r="AI1686" s="80"/>
    </row>
    <row r="1687">
      <c r="AI1687" s="80"/>
    </row>
    <row r="1688">
      <c r="AI1688" s="80"/>
    </row>
    <row r="1689">
      <c r="AI1689" s="80"/>
    </row>
    <row r="1690">
      <c r="AI1690" s="80"/>
    </row>
    <row r="1691">
      <c r="AI1691" s="80"/>
    </row>
    <row r="1692">
      <c r="AI1692" s="80"/>
    </row>
    <row r="1693">
      <c r="AI1693" s="80"/>
    </row>
    <row r="1694">
      <c r="AI1694" s="80"/>
    </row>
    <row r="1695">
      <c r="AI1695" s="80"/>
    </row>
    <row r="1696">
      <c r="AI1696" s="80"/>
    </row>
    <row r="1697">
      <c r="AI1697" s="80"/>
    </row>
    <row r="1698">
      <c r="AI1698" s="80"/>
    </row>
    <row r="1699">
      <c r="AI1699" s="80"/>
    </row>
    <row r="1700">
      <c r="AI1700" s="80"/>
    </row>
    <row r="1701">
      <c r="AI1701" s="80"/>
    </row>
    <row r="1702">
      <c r="AI1702" s="80"/>
    </row>
    <row r="1703">
      <c r="AI1703" s="80"/>
    </row>
    <row r="1704">
      <c r="AI1704" s="80"/>
    </row>
    <row r="1705">
      <c r="AI1705" s="80"/>
    </row>
    <row r="1706">
      <c r="AI1706" s="80"/>
    </row>
    <row r="1707">
      <c r="AI1707" s="80"/>
    </row>
    <row r="1708">
      <c r="AI1708" s="80"/>
    </row>
    <row r="1709">
      <c r="AI1709" s="80"/>
    </row>
    <row r="1710">
      <c r="AI1710" s="80"/>
    </row>
    <row r="1711">
      <c r="AI1711" s="80"/>
    </row>
    <row r="1712">
      <c r="AI1712" s="80"/>
    </row>
    <row r="1713">
      <c r="AI1713" s="80"/>
    </row>
    <row r="1714">
      <c r="AI1714" s="80"/>
    </row>
    <row r="1715">
      <c r="AI1715" s="80"/>
    </row>
    <row r="1716">
      <c r="AI1716" s="80"/>
    </row>
    <row r="1717">
      <c r="AI1717" s="80"/>
    </row>
    <row r="1718">
      <c r="AI1718" s="80"/>
    </row>
    <row r="1719">
      <c r="AI1719" s="80"/>
    </row>
    <row r="1720">
      <c r="AI1720" s="80"/>
    </row>
    <row r="1721">
      <c r="AI1721" s="80"/>
    </row>
    <row r="1722">
      <c r="AI1722" s="80"/>
    </row>
    <row r="1723">
      <c r="AI1723" s="80"/>
    </row>
    <row r="1724">
      <c r="AI1724" s="80"/>
    </row>
    <row r="1725">
      <c r="AI1725" s="80"/>
    </row>
    <row r="1726">
      <c r="AI1726" s="80"/>
    </row>
    <row r="1727">
      <c r="AI1727" s="80"/>
    </row>
    <row r="1728">
      <c r="AI1728" s="80"/>
    </row>
    <row r="1729">
      <c r="AI1729" s="80"/>
    </row>
    <row r="1730">
      <c r="AI1730" s="80"/>
    </row>
    <row r="1731">
      <c r="AI1731" s="80"/>
    </row>
    <row r="1732">
      <c r="AI1732" s="80"/>
    </row>
    <row r="1733">
      <c r="AI1733" s="80"/>
    </row>
    <row r="1734">
      <c r="AI1734" s="80"/>
    </row>
    <row r="1735">
      <c r="AI1735" s="80"/>
    </row>
    <row r="1736">
      <c r="AI1736" s="80"/>
    </row>
    <row r="1737">
      <c r="AI1737" s="80"/>
    </row>
    <row r="1738">
      <c r="AI1738" s="80"/>
    </row>
    <row r="1739">
      <c r="AI1739" s="80"/>
    </row>
    <row r="1740">
      <c r="AI1740" s="80"/>
    </row>
    <row r="1741">
      <c r="AI1741" s="80"/>
    </row>
    <row r="1742">
      <c r="AI1742" s="80"/>
    </row>
    <row r="1743">
      <c r="AI1743" s="80"/>
    </row>
    <row r="1744">
      <c r="AI1744" s="80"/>
    </row>
    <row r="1745">
      <c r="AI1745" s="80"/>
    </row>
    <row r="1746">
      <c r="AI1746" s="80"/>
    </row>
    <row r="1747">
      <c r="AI1747" s="80"/>
    </row>
    <row r="1748">
      <c r="AI1748" s="80"/>
    </row>
    <row r="1749">
      <c r="AI1749" s="80"/>
    </row>
    <row r="1750">
      <c r="AI1750" s="80"/>
    </row>
    <row r="1751">
      <c r="AI1751" s="80"/>
    </row>
    <row r="1752">
      <c r="AI1752" s="80"/>
    </row>
    <row r="1753">
      <c r="AI1753" s="80"/>
    </row>
    <row r="1754">
      <c r="AI1754" s="80"/>
    </row>
    <row r="1755">
      <c r="AI1755" s="80"/>
    </row>
    <row r="1756">
      <c r="AI1756" s="80"/>
    </row>
    <row r="1757">
      <c r="AI1757" s="80"/>
    </row>
    <row r="1758">
      <c r="AI1758" s="80"/>
    </row>
    <row r="1759">
      <c r="AI1759" s="80"/>
    </row>
    <row r="1760">
      <c r="AI1760" s="80"/>
    </row>
    <row r="1761">
      <c r="AI1761" s="80"/>
    </row>
    <row r="1762">
      <c r="AI1762" s="80"/>
    </row>
    <row r="1763">
      <c r="AI1763" s="80"/>
    </row>
    <row r="1764">
      <c r="AI1764" s="80"/>
    </row>
    <row r="1765">
      <c r="AI1765" s="80"/>
    </row>
    <row r="1766">
      <c r="AI1766" s="80"/>
    </row>
    <row r="1767">
      <c r="AI1767" s="80"/>
    </row>
    <row r="1768">
      <c r="AI1768" s="80"/>
    </row>
    <row r="1769">
      <c r="AI1769" s="80"/>
    </row>
    <row r="1770">
      <c r="AI1770" s="80"/>
    </row>
    <row r="1771">
      <c r="AI1771" s="80"/>
    </row>
    <row r="1772">
      <c r="AI1772" s="80"/>
    </row>
    <row r="1773">
      <c r="AI1773" s="80"/>
    </row>
    <row r="1774">
      <c r="AI1774" s="80"/>
    </row>
    <row r="1775">
      <c r="AI1775" s="80"/>
    </row>
    <row r="1776">
      <c r="AI1776" s="80"/>
    </row>
    <row r="1777">
      <c r="AI1777" s="80"/>
    </row>
    <row r="1778">
      <c r="AI1778" s="80"/>
    </row>
    <row r="1779">
      <c r="AI1779" s="80"/>
    </row>
    <row r="1780">
      <c r="AI1780" s="80"/>
    </row>
    <row r="1781">
      <c r="AI1781" s="80"/>
    </row>
    <row r="1782">
      <c r="AI1782" s="80"/>
    </row>
    <row r="1783">
      <c r="AI1783" s="80"/>
    </row>
    <row r="1784">
      <c r="AI1784" s="80"/>
    </row>
    <row r="1785">
      <c r="AI1785" s="80"/>
    </row>
    <row r="1786">
      <c r="AI1786" s="80"/>
    </row>
    <row r="1787">
      <c r="AI1787" s="80"/>
    </row>
    <row r="1788">
      <c r="AI1788" s="80"/>
    </row>
    <row r="1789">
      <c r="AI1789" s="80"/>
    </row>
    <row r="1790">
      <c r="AI1790" s="80"/>
    </row>
    <row r="1791">
      <c r="AI1791" s="80"/>
    </row>
    <row r="1792">
      <c r="AI1792" s="80"/>
    </row>
    <row r="1793">
      <c r="AI1793" s="80"/>
    </row>
    <row r="1794">
      <c r="AI1794" s="80"/>
    </row>
    <row r="1795">
      <c r="AI1795" s="80"/>
    </row>
    <row r="1796">
      <c r="AI1796" s="80"/>
    </row>
    <row r="1797">
      <c r="AI1797" s="80"/>
    </row>
    <row r="1798">
      <c r="AI1798" s="80"/>
    </row>
    <row r="1799">
      <c r="AI1799" s="80"/>
    </row>
    <row r="1800">
      <c r="AI1800" s="80"/>
    </row>
    <row r="1801">
      <c r="AI1801" s="80"/>
    </row>
    <row r="1802">
      <c r="AI1802" s="80"/>
    </row>
    <row r="1803">
      <c r="AI1803" s="80"/>
    </row>
    <row r="1804">
      <c r="AI1804" s="80"/>
    </row>
    <row r="1805">
      <c r="AI1805" s="80"/>
    </row>
    <row r="1806">
      <c r="AI1806" s="80"/>
    </row>
    <row r="1807">
      <c r="AI1807" s="80"/>
    </row>
    <row r="1808">
      <c r="AI1808" s="80"/>
    </row>
    <row r="1809">
      <c r="AI1809" s="80"/>
    </row>
    <row r="1810">
      <c r="AI1810" s="80"/>
    </row>
    <row r="1811">
      <c r="AI1811" s="80"/>
    </row>
    <row r="1812">
      <c r="AI1812" s="80"/>
    </row>
    <row r="1813">
      <c r="AI1813" s="80"/>
    </row>
    <row r="1814">
      <c r="AI1814" s="80"/>
    </row>
    <row r="1815">
      <c r="AI1815" s="80"/>
    </row>
    <row r="1816">
      <c r="AI1816" s="80"/>
    </row>
    <row r="1817">
      <c r="AI1817" s="80"/>
    </row>
    <row r="1818">
      <c r="AI1818" s="80"/>
    </row>
    <row r="1819">
      <c r="AI1819" s="80"/>
    </row>
    <row r="1820">
      <c r="AI1820" s="80"/>
    </row>
    <row r="1821">
      <c r="AI1821" s="80"/>
    </row>
    <row r="1822">
      <c r="AI1822" s="80"/>
    </row>
    <row r="1823">
      <c r="AI1823" s="80"/>
    </row>
    <row r="1824">
      <c r="AI1824" s="80"/>
    </row>
    <row r="1825">
      <c r="AI1825" s="80"/>
    </row>
    <row r="1826">
      <c r="AI1826" s="80"/>
    </row>
    <row r="1827">
      <c r="AI1827" s="80"/>
    </row>
    <row r="1828">
      <c r="AI1828" s="80"/>
    </row>
    <row r="1829">
      <c r="AI1829" s="80"/>
    </row>
    <row r="1830">
      <c r="AI1830" s="80"/>
    </row>
    <row r="1831">
      <c r="AI1831" s="80"/>
    </row>
    <row r="1832">
      <c r="AI1832" s="80"/>
    </row>
    <row r="1833">
      <c r="AI1833" s="80"/>
    </row>
    <row r="1834">
      <c r="AI1834" s="80"/>
    </row>
    <row r="1835">
      <c r="AI1835" s="80"/>
    </row>
    <row r="1836">
      <c r="AI1836" s="80"/>
    </row>
    <row r="1837">
      <c r="AI1837" s="80"/>
    </row>
    <row r="1838">
      <c r="AI1838" s="80"/>
    </row>
    <row r="1839">
      <c r="AI1839" s="80"/>
    </row>
    <row r="1840">
      <c r="AI1840" s="80"/>
    </row>
    <row r="1841">
      <c r="AI1841" s="80"/>
    </row>
    <row r="1842">
      <c r="AI1842" s="80"/>
    </row>
    <row r="1843">
      <c r="AI1843" s="80"/>
    </row>
    <row r="1844">
      <c r="AI1844" s="80"/>
    </row>
    <row r="1845">
      <c r="AI1845" s="80"/>
    </row>
    <row r="1846">
      <c r="AI1846" s="80"/>
    </row>
    <row r="1847">
      <c r="AI1847" s="80"/>
    </row>
    <row r="1848">
      <c r="AI1848" s="80"/>
    </row>
    <row r="1849">
      <c r="AI1849" s="80"/>
    </row>
    <row r="1850">
      <c r="AI1850" s="80"/>
    </row>
    <row r="1851">
      <c r="AI1851" s="80"/>
    </row>
    <row r="1852">
      <c r="AI1852" s="80"/>
    </row>
    <row r="1853">
      <c r="AI1853" s="80"/>
    </row>
    <row r="1854">
      <c r="AI1854" s="80"/>
    </row>
    <row r="1855">
      <c r="AI1855" s="80"/>
    </row>
    <row r="1856">
      <c r="AI1856" s="80"/>
    </row>
    <row r="1857">
      <c r="AI1857" s="80"/>
    </row>
    <row r="1858">
      <c r="AI1858" s="80"/>
    </row>
    <row r="1859">
      <c r="AI1859" s="80"/>
    </row>
    <row r="1860">
      <c r="AI1860" s="80"/>
    </row>
    <row r="1861">
      <c r="AI1861" s="80"/>
    </row>
    <row r="1862">
      <c r="AI1862" s="80"/>
    </row>
    <row r="1863">
      <c r="AI1863" s="80"/>
    </row>
    <row r="1864">
      <c r="AI1864" s="80"/>
    </row>
    <row r="1865">
      <c r="AI1865" s="80"/>
    </row>
    <row r="1866">
      <c r="AI1866" s="80"/>
    </row>
    <row r="1867">
      <c r="AI1867" s="80"/>
    </row>
    <row r="1868">
      <c r="AI1868" s="80"/>
    </row>
    <row r="1869">
      <c r="AI1869" s="80"/>
    </row>
    <row r="1870">
      <c r="AI1870" s="80"/>
    </row>
    <row r="1871">
      <c r="AI1871" s="80"/>
    </row>
    <row r="1872">
      <c r="AI1872" s="80"/>
    </row>
    <row r="1873">
      <c r="AI1873" s="80"/>
    </row>
    <row r="1874">
      <c r="AI1874" s="80"/>
    </row>
    <row r="1875">
      <c r="AI1875" s="80"/>
    </row>
    <row r="1876">
      <c r="AI1876" s="80"/>
    </row>
    <row r="1877">
      <c r="AI1877" s="80"/>
    </row>
    <row r="1878">
      <c r="AI1878" s="80"/>
    </row>
    <row r="1879">
      <c r="AI1879" s="80"/>
    </row>
    <row r="1880">
      <c r="AI1880" s="80"/>
    </row>
    <row r="1881">
      <c r="AI1881" s="80"/>
    </row>
    <row r="1882">
      <c r="AI1882" s="80"/>
    </row>
    <row r="1883">
      <c r="AI1883" s="80"/>
    </row>
    <row r="1884">
      <c r="AI1884" s="80"/>
    </row>
    <row r="1885">
      <c r="AI1885" s="80"/>
    </row>
    <row r="1886">
      <c r="AI1886" s="80"/>
    </row>
    <row r="1887">
      <c r="AI1887" s="80"/>
    </row>
    <row r="1888">
      <c r="AI1888" s="80"/>
    </row>
    <row r="1889">
      <c r="AI1889" s="80"/>
    </row>
    <row r="1890">
      <c r="AI1890" s="80"/>
    </row>
    <row r="1891">
      <c r="AI1891" s="80"/>
    </row>
    <row r="1892">
      <c r="AI1892" s="80"/>
    </row>
    <row r="1893">
      <c r="AI1893" s="80"/>
    </row>
    <row r="1894">
      <c r="AI1894" s="80"/>
    </row>
    <row r="1895">
      <c r="AI1895" s="80"/>
    </row>
    <row r="1896">
      <c r="AI1896" s="80"/>
    </row>
    <row r="1897">
      <c r="AI1897" s="80"/>
    </row>
    <row r="1898">
      <c r="AI1898" s="80"/>
    </row>
    <row r="1899">
      <c r="AI1899" s="80"/>
    </row>
    <row r="1900">
      <c r="AI1900" s="80"/>
    </row>
    <row r="1901">
      <c r="AI1901" s="80"/>
    </row>
    <row r="1902">
      <c r="AI1902" s="80"/>
    </row>
    <row r="1903">
      <c r="AI1903" s="80"/>
    </row>
    <row r="1904">
      <c r="AI1904" s="80"/>
    </row>
    <row r="1905">
      <c r="AI1905" s="80"/>
    </row>
    <row r="1906">
      <c r="AI1906" s="80"/>
    </row>
    <row r="1907">
      <c r="AI1907" s="80"/>
    </row>
    <row r="1908">
      <c r="AI1908" s="80"/>
    </row>
    <row r="1909">
      <c r="AI1909" s="80"/>
    </row>
    <row r="1910">
      <c r="AI1910" s="80"/>
    </row>
    <row r="1911">
      <c r="AI1911" s="80"/>
    </row>
    <row r="1912">
      <c r="AI1912" s="80"/>
    </row>
    <row r="1913">
      <c r="AI1913" s="80"/>
    </row>
    <row r="1914">
      <c r="AI1914" s="80"/>
    </row>
    <row r="1915">
      <c r="AI1915" s="80"/>
    </row>
    <row r="1916">
      <c r="AI1916" s="80"/>
    </row>
    <row r="1917">
      <c r="AI1917" s="80"/>
    </row>
    <row r="1918">
      <c r="AI1918" s="80"/>
    </row>
    <row r="1919">
      <c r="AI1919" s="80"/>
    </row>
    <row r="1920">
      <c r="AI1920" s="80"/>
    </row>
    <row r="1921">
      <c r="AI1921" s="80"/>
    </row>
    <row r="1922">
      <c r="AI1922" s="80"/>
    </row>
    <row r="1923">
      <c r="AI1923" s="80"/>
    </row>
    <row r="1924">
      <c r="AI1924" s="80"/>
    </row>
    <row r="1925">
      <c r="AI1925" s="80"/>
    </row>
    <row r="1926">
      <c r="AI1926" s="80"/>
    </row>
    <row r="1927">
      <c r="AI1927" s="80"/>
    </row>
    <row r="1928">
      <c r="AI1928" s="80"/>
    </row>
    <row r="1929">
      <c r="AI1929" s="80"/>
    </row>
    <row r="1930">
      <c r="AI1930" s="80"/>
    </row>
    <row r="1931">
      <c r="AI1931" s="80"/>
    </row>
    <row r="1932">
      <c r="AI1932" s="80"/>
    </row>
    <row r="1933">
      <c r="AI1933" s="80"/>
    </row>
    <row r="1934">
      <c r="AI1934" s="80"/>
    </row>
    <row r="1935">
      <c r="AI1935" s="80"/>
    </row>
    <row r="1936">
      <c r="AI1936" s="80"/>
    </row>
    <row r="1937">
      <c r="AI1937" s="80"/>
    </row>
    <row r="1938">
      <c r="AI1938" s="80"/>
    </row>
    <row r="1939">
      <c r="AI1939" s="80"/>
    </row>
    <row r="1940">
      <c r="AI1940" s="80"/>
    </row>
    <row r="1941">
      <c r="AI1941" s="80"/>
    </row>
    <row r="1942">
      <c r="AI1942" s="80"/>
    </row>
    <row r="1943">
      <c r="AI1943" s="80"/>
    </row>
    <row r="1944">
      <c r="AI1944" s="80"/>
    </row>
    <row r="1945">
      <c r="AI1945" s="80"/>
    </row>
    <row r="1946">
      <c r="AI1946" s="80"/>
    </row>
    <row r="1947">
      <c r="AI1947" s="80"/>
    </row>
    <row r="1948">
      <c r="AI1948" s="80"/>
    </row>
    <row r="1949">
      <c r="AI1949" s="80"/>
    </row>
    <row r="1950">
      <c r="AI1950" s="80"/>
    </row>
    <row r="1951">
      <c r="AI1951" s="80"/>
    </row>
    <row r="1952">
      <c r="AI1952" s="80"/>
    </row>
    <row r="1953">
      <c r="AI1953" s="80"/>
    </row>
    <row r="1954">
      <c r="AI1954" s="80"/>
    </row>
    <row r="1955">
      <c r="AI1955" s="80"/>
    </row>
    <row r="1956">
      <c r="AI1956" s="80"/>
    </row>
    <row r="1957">
      <c r="AI1957" s="80"/>
    </row>
    <row r="1958">
      <c r="AI1958" s="80"/>
    </row>
    <row r="1959">
      <c r="AI1959" s="80"/>
    </row>
    <row r="1960">
      <c r="AI1960" s="80"/>
    </row>
    <row r="1961">
      <c r="AI1961" s="80"/>
    </row>
    <row r="1962">
      <c r="AI1962" s="80"/>
    </row>
    <row r="1963">
      <c r="AI1963" s="80"/>
    </row>
    <row r="1964">
      <c r="AI1964" s="80"/>
    </row>
    <row r="1965">
      <c r="AI1965" s="80"/>
    </row>
    <row r="1966">
      <c r="AI1966" s="80"/>
    </row>
    <row r="1967">
      <c r="AI1967" s="80"/>
    </row>
    <row r="1968">
      <c r="AI1968" s="80"/>
    </row>
    <row r="1969">
      <c r="AI1969" s="80"/>
    </row>
    <row r="1970">
      <c r="AI1970" s="80"/>
    </row>
    <row r="1971">
      <c r="AI1971" s="80"/>
    </row>
    <row r="1972">
      <c r="AI1972" s="80"/>
    </row>
    <row r="1973">
      <c r="AI1973" s="80"/>
    </row>
    <row r="1974">
      <c r="AI1974" s="80"/>
    </row>
    <row r="1975">
      <c r="AI1975" s="80"/>
    </row>
    <row r="1976">
      <c r="AI1976" s="80"/>
    </row>
    <row r="1977">
      <c r="AI1977" s="80"/>
    </row>
    <row r="1978">
      <c r="AI1978" s="80"/>
    </row>
    <row r="1979">
      <c r="AI1979" s="80"/>
    </row>
    <row r="1980">
      <c r="AI1980" s="80"/>
    </row>
    <row r="1981">
      <c r="AI1981" s="80"/>
    </row>
    <row r="1982">
      <c r="AI1982" s="80"/>
    </row>
    <row r="1983">
      <c r="AI1983" s="80"/>
    </row>
    <row r="1984">
      <c r="AI1984" s="80"/>
    </row>
    <row r="1985">
      <c r="AI1985" s="80"/>
    </row>
    <row r="1986">
      <c r="AI1986" s="80"/>
    </row>
    <row r="1987">
      <c r="AI1987" s="80"/>
    </row>
    <row r="1988">
      <c r="AI1988" s="80"/>
    </row>
    <row r="1989">
      <c r="AI1989" s="80"/>
    </row>
    <row r="1990">
      <c r="AI1990" s="80"/>
    </row>
    <row r="1991">
      <c r="AI1991" s="80"/>
    </row>
    <row r="1992">
      <c r="AI1992" s="80"/>
    </row>
    <row r="1993">
      <c r="AI1993" s="80"/>
    </row>
    <row r="1994">
      <c r="AI1994" s="80"/>
    </row>
    <row r="1995">
      <c r="AI1995" s="80"/>
    </row>
    <row r="1996">
      <c r="AI1996" s="80"/>
    </row>
    <row r="1997">
      <c r="AI1997" s="80"/>
    </row>
    <row r="1998">
      <c r="AI1998" s="80"/>
    </row>
    <row r="1999">
      <c r="AI1999" s="80"/>
    </row>
    <row r="2000">
      <c r="AI2000" s="80"/>
    </row>
    <row r="2001">
      <c r="AI2001" s="80"/>
    </row>
    <row r="2002">
      <c r="AI2002" s="80"/>
    </row>
    <row r="2003">
      <c r="AI2003" s="80"/>
    </row>
    <row r="2004">
      <c r="AI2004" s="80"/>
    </row>
    <row r="2005">
      <c r="AI2005" s="80"/>
    </row>
    <row r="2006">
      <c r="AI2006" s="80"/>
    </row>
    <row r="2007">
      <c r="AI2007" s="80"/>
    </row>
    <row r="2008">
      <c r="AI2008" s="80"/>
    </row>
    <row r="2009">
      <c r="AI2009" s="80"/>
    </row>
    <row r="2010">
      <c r="AI2010" s="80"/>
    </row>
    <row r="2011">
      <c r="AI2011" s="80"/>
    </row>
    <row r="2012">
      <c r="AI2012" s="80"/>
    </row>
    <row r="2013">
      <c r="AI2013" s="80"/>
    </row>
    <row r="2014">
      <c r="AI2014" s="80"/>
    </row>
    <row r="2015">
      <c r="AI2015" s="80"/>
    </row>
    <row r="2016">
      <c r="AI2016" s="80"/>
    </row>
    <row r="2017">
      <c r="AI2017" s="80"/>
    </row>
    <row r="2018">
      <c r="AI2018" s="80"/>
    </row>
    <row r="2019">
      <c r="AI2019" s="80"/>
    </row>
    <row r="2020">
      <c r="AI2020" s="80"/>
    </row>
    <row r="2021">
      <c r="AI2021" s="80"/>
    </row>
    <row r="2022">
      <c r="AI2022" s="80"/>
    </row>
    <row r="2023">
      <c r="AI2023" s="80"/>
    </row>
    <row r="2024">
      <c r="AI2024" s="80"/>
    </row>
    <row r="2025">
      <c r="AI2025" s="80"/>
    </row>
    <row r="2026">
      <c r="AI2026" s="80"/>
    </row>
    <row r="2027">
      <c r="AI2027" s="80"/>
    </row>
    <row r="2028">
      <c r="AI2028" s="80"/>
    </row>
    <row r="2029">
      <c r="AI2029" s="80"/>
    </row>
    <row r="2030">
      <c r="AI2030" s="80"/>
    </row>
    <row r="2031">
      <c r="AI2031" s="80"/>
    </row>
    <row r="2032">
      <c r="AI2032" s="80"/>
    </row>
    <row r="2033">
      <c r="AI2033" s="80"/>
    </row>
    <row r="2034">
      <c r="AI2034" s="80"/>
    </row>
    <row r="2035">
      <c r="AI2035" s="80"/>
    </row>
    <row r="2036">
      <c r="AI2036" s="80"/>
    </row>
    <row r="2037">
      <c r="AI2037" s="80"/>
    </row>
    <row r="2038">
      <c r="AI2038" s="80"/>
    </row>
    <row r="2039">
      <c r="AI2039" s="80"/>
    </row>
    <row r="2040">
      <c r="AI2040" s="80"/>
    </row>
    <row r="2041">
      <c r="AI2041" s="80"/>
    </row>
    <row r="2042">
      <c r="AI2042" s="80"/>
    </row>
    <row r="2043">
      <c r="AI2043" s="80"/>
    </row>
    <row r="2044">
      <c r="AI2044" s="80"/>
    </row>
    <row r="2045">
      <c r="AI2045" s="80"/>
    </row>
    <row r="2046">
      <c r="AI2046" s="80"/>
    </row>
    <row r="2047">
      <c r="AI2047" s="80"/>
    </row>
    <row r="2048">
      <c r="AI2048" s="80"/>
    </row>
    <row r="2049">
      <c r="AI2049" s="80"/>
    </row>
    <row r="2050">
      <c r="AI2050" s="80"/>
    </row>
    <row r="2051">
      <c r="AI2051" s="80"/>
    </row>
    <row r="2052">
      <c r="AI2052" s="80"/>
    </row>
    <row r="2053">
      <c r="AI2053" s="80"/>
    </row>
    <row r="2054">
      <c r="AI2054" s="80"/>
    </row>
    <row r="2055">
      <c r="AI2055" s="80"/>
    </row>
    <row r="2056">
      <c r="AI2056" s="80"/>
    </row>
    <row r="2057">
      <c r="AI2057" s="80"/>
    </row>
    <row r="2058">
      <c r="AI2058" s="80"/>
    </row>
    <row r="2059">
      <c r="AI2059" s="80"/>
    </row>
    <row r="2060">
      <c r="AI2060" s="80"/>
    </row>
    <row r="2061">
      <c r="AI2061" s="80"/>
    </row>
    <row r="2062">
      <c r="AI2062" s="80"/>
    </row>
    <row r="2063">
      <c r="AI2063" s="80"/>
    </row>
    <row r="2064">
      <c r="AI2064" s="80"/>
    </row>
    <row r="2065">
      <c r="AI2065" s="80"/>
    </row>
    <row r="2066">
      <c r="AI2066" s="80"/>
    </row>
    <row r="2067">
      <c r="AI2067" s="80"/>
    </row>
    <row r="2068">
      <c r="AI2068" s="80"/>
    </row>
    <row r="2069">
      <c r="AI2069" s="80"/>
    </row>
    <row r="2070">
      <c r="AI2070" s="80"/>
    </row>
    <row r="2071">
      <c r="AI2071" s="80"/>
    </row>
    <row r="2072">
      <c r="AI2072" s="80"/>
    </row>
    <row r="2073">
      <c r="AI2073" s="80"/>
    </row>
    <row r="2074">
      <c r="AI2074" s="80"/>
    </row>
    <row r="2075">
      <c r="AI2075" s="80"/>
    </row>
    <row r="2076">
      <c r="AI2076" s="80"/>
    </row>
    <row r="2077">
      <c r="AI2077" s="80"/>
    </row>
    <row r="2078">
      <c r="AI2078" s="80"/>
    </row>
    <row r="2079">
      <c r="AI2079" s="80"/>
    </row>
    <row r="2080">
      <c r="AI2080" s="80"/>
    </row>
    <row r="2081">
      <c r="AI2081" s="80"/>
    </row>
    <row r="2082">
      <c r="AI2082" s="80"/>
    </row>
    <row r="2083">
      <c r="AI2083" s="80"/>
    </row>
    <row r="2084">
      <c r="AI2084" s="80"/>
    </row>
    <row r="2085">
      <c r="AI2085" s="80"/>
    </row>
    <row r="2086">
      <c r="AI2086" s="80"/>
    </row>
    <row r="2087">
      <c r="AI2087" s="80"/>
    </row>
    <row r="2088">
      <c r="AI2088" s="80"/>
    </row>
    <row r="2089">
      <c r="AI2089" s="80"/>
    </row>
    <row r="2090">
      <c r="AI2090" s="80"/>
    </row>
    <row r="2091">
      <c r="AI2091" s="80"/>
    </row>
    <row r="2092">
      <c r="AI2092" s="80"/>
    </row>
    <row r="2093">
      <c r="AI2093" s="80"/>
    </row>
    <row r="2094">
      <c r="AI2094" s="80"/>
    </row>
    <row r="2095">
      <c r="AI2095" s="80"/>
    </row>
    <row r="2096">
      <c r="AI2096" s="80"/>
    </row>
    <row r="2097">
      <c r="AI2097" s="80"/>
    </row>
    <row r="2098">
      <c r="AI2098" s="80"/>
    </row>
    <row r="2099">
      <c r="AI2099" s="80"/>
    </row>
    <row r="2100">
      <c r="AI2100" s="80"/>
    </row>
    <row r="2101">
      <c r="AI2101" s="80"/>
    </row>
    <row r="2102">
      <c r="AI2102" s="80"/>
    </row>
    <row r="2103">
      <c r="AI2103" s="80"/>
    </row>
    <row r="2104">
      <c r="AI2104" s="80"/>
    </row>
    <row r="2105">
      <c r="AI2105" s="80"/>
    </row>
    <row r="2106">
      <c r="AI2106" s="80"/>
    </row>
    <row r="2107">
      <c r="AI2107" s="80"/>
    </row>
    <row r="2108">
      <c r="AI2108" s="80"/>
    </row>
    <row r="2109">
      <c r="AI2109" s="80"/>
    </row>
    <row r="2110">
      <c r="AI2110" s="80"/>
    </row>
    <row r="2111">
      <c r="AI2111" s="80"/>
    </row>
    <row r="2112">
      <c r="AI2112" s="80"/>
    </row>
    <row r="2113">
      <c r="AI2113" s="80"/>
    </row>
    <row r="2114">
      <c r="AI2114" s="80"/>
    </row>
    <row r="2115">
      <c r="AI2115" s="80"/>
    </row>
    <row r="2116">
      <c r="AI2116" s="80"/>
    </row>
    <row r="2117">
      <c r="AI2117" s="80"/>
    </row>
    <row r="2118">
      <c r="AI2118" s="80"/>
    </row>
    <row r="2119">
      <c r="AI2119" s="80"/>
    </row>
    <row r="2120">
      <c r="AI2120" s="80"/>
    </row>
    <row r="2121">
      <c r="AI2121" s="80"/>
    </row>
    <row r="2122">
      <c r="AI2122" s="80"/>
    </row>
    <row r="2123">
      <c r="AI2123" s="80"/>
    </row>
    <row r="2124">
      <c r="AI2124" s="80"/>
    </row>
    <row r="2125">
      <c r="AI2125" s="80"/>
    </row>
    <row r="2126">
      <c r="AI2126" s="80"/>
    </row>
    <row r="2127">
      <c r="AI2127" s="80"/>
    </row>
    <row r="2128">
      <c r="AI2128" s="80"/>
    </row>
    <row r="2129">
      <c r="AI2129" s="80"/>
    </row>
    <row r="2130">
      <c r="AI2130" s="80"/>
    </row>
    <row r="2131">
      <c r="AI2131" s="80"/>
    </row>
    <row r="2132">
      <c r="AI2132" s="80"/>
    </row>
    <row r="2133">
      <c r="AI2133" s="80"/>
    </row>
    <row r="2134">
      <c r="AI2134" s="80"/>
    </row>
    <row r="2135">
      <c r="AI2135" s="80"/>
    </row>
    <row r="2136">
      <c r="AI2136" s="80"/>
    </row>
    <row r="2137">
      <c r="AI2137" s="80"/>
    </row>
    <row r="2138">
      <c r="AI2138" s="80"/>
    </row>
    <row r="2139">
      <c r="AI2139" s="80"/>
    </row>
    <row r="2140">
      <c r="AI2140" s="80"/>
    </row>
    <row r="2141">
      <c r="AI2141" s="80"/>
    </row>
    <row r="2142">
      <c r="AI2142" s="80"/>
    </row>
    <row r="2143">
      <c r="AI2143" s="80"/>
    </row>
    <row r="2144">
      <c r="AI2144" s="80"/>
    </row>
    <row r="2145">
      <c r="AI2145" s="80"/>
    </row>
    <row r="2146">
      <c r="AI2146" s="80"/>
    </row>
    <row r="2147">
      <c r="AI2147" s="80"/>
    </row>
    <row r="2148">
      <c r="AI2148" s="80"/>
    </row>
    <row r="2149">
      <c r="AI2149" s="80"/>
    </row>
    <row r="2150">
      <c r="AI2150" s="80"/>
    </row>
    <row r="2151">
      <c r="AI2151" s="80"/>
    </row>
    <row r="2152">
      <c r="AI2152" s="80"/>
    </row>
    <row r="2153">
      <c r="AI2153" s="80"/>
    </row>
    <row r="2154">
      <c r="AI2154" s="80"/>
    </row>
    <row r="2155">
      <c r="AI2155" s="80"/>
    </row>
    <row r="2156">
      <c r="AI2156" s="80"/>
    </row>
    <row r="2157">
      <c r="AI2157" s="80"/>
    </row>
    <row r="2158">
      <c r="AI2158" s="80"/>
    </row>
    <row r="2159">
      <c r="AI2159" s="80"/>
    </row>
    <row r="2160">
      <c r="AI2160" s="80"/>
    </row>
    <row r="2161">
      <c r="AI2161" s="80"/>
    </row>
    <row r="2162">
      <c r="AI2162" s="80"/>
    </row>
    <row r="2163">
      <c r="AI2163" s="80"/>
    </row>
    <row r="2164">
      <c r="AI2164" s="80"/>
    </row>
    <row r="2165">
      <c r="AI2165" s="80"/>
    </row>
    <row r="2166">
      <c r="AI2166" s="80"/>
    </row>
    <row r="2167">
      <c r="AI2167" s="80"/>
    </row>
    <row r="2168">
      <c r="AI2168" s="80"/>
    </row>
    <row r="2169">
      <c r="AI2169" s="80"/>
    </row>
    <row r="2170">
      <c r="AI2170" s="80"/>
    </row>
    <row r="2171">
      <c r="AI2171" s="80"/>
    </row>
    <row r="2172">
      <c r="AI2172" s="80"/>
    </row>
    <row r="2173">
      <c r="AI2173" s="80"/>
    </row>
    <row r="2174">
      <c r="AI2174" s="80"/>
    </row>
    <row r="2175">
      <c r="AI2175" s="80"/>
    </row>
    <row r="2176">
      <c r="AI2176" s="80"/>
    </row>
    <row r="2177">
      <c r="AI2177" s="80"/>
    </row>
    <row r="2178">
      <c r="AI2178" s="80"/>
    </row>
    <row r="2179">
      <c r="AI2179" s="80"/>
    </row>
    <row r="2180">
      <c r="AI2180" s="80"/>
    </row>
    <row r="2181">
      <c r="AI2181" s="80"/>
    </row>
    <row r="2182">
      <c r="AI2182" s="80"/>
    </row>
    <row r="2183">
      <c r="AI2183" s="80"/>
    </row>
    <row r="2184">
      <c r="AI2184" s="80"/>
    </row>
    <row r="2185">
      <c r="AI2185" s="80"/>
    </row>
    <row r="2186">
      <c r="AI2186" s="80"/>
    </row>
    <row r="2187">
      <c r="AI2187" s="80"/>
    </row>
    <row r="2188">
      <c r="AI2188" s="80"/>
    </row>
    <row r="2189">
      <c r="AI2189" s="80"/>
    </row>
    <row r="2190">
      <c r="AI2190" s="80"/>
    </row>
    <row r="2191">
      <c r="AI2191" s="80"/>
    </row>
    <row r="2192">
      <c r="AI2192" s="80"/>
    </row>
    <row r="2193">
      <c r="AI2193" s="80"/>
    </row>
    <row r="2194">
      <c r="AI2194" s="80"/>
    </row>
    <row r="2195">
      <c r="AI2195" s="80"/>
    </row>
    <row r="2196">
      <c r="AI2196" s="80"/>
    </row>
    <row r="2197">
      <c r="AI2197" s="80"/>
    </row>
    <row r="2198">
      <c r="AI2198" s="80"/>
    </row>
    <row r="2199">
      <c r="AI2199" s="80"/>
    </row>
    <row r="2200">
      <c r="AI2200" s="80"/>
    </row>
    <row r="2201">
      <c r="AI2201" s="80"/>
    </row>
    <row r="2202">
      <c r="AI2202" s="80"/>
    </row>
    <row r="2203">
      <c r="AI2203" s="80"/>
    </row>
    <row r="2204">
      <c r="AI2204" s="80"/>
    </row>
    <row r="2205">
      <c r="AI2205" s="80"/>
    </row>
    <row r="2206">
      <c r="AI2206" s="80"/>
    </row>
    <row r="2207">
      <c r="AI2207" s="80"/>
    </row>
    <row r="2208">
      <c r="AI2208" s="80"/>
    </row>
    <row r="2209">
      <c r="AI2209" s="80"/>
    </row>
    <row r="2210">
      <c r="AI2210" s="80"/>
    </row>
    <row r="2211">
      <c r="AI2211" s="80"/>
    </row>
    <row r="2212">
      <c r="AI2212" s="80"/>
    </row>
    <row r="2213">
      <c r="AI2213" s="80"/>
    </row>
    <row r="2214">
      <c r="AI2214" s="80"/>
    </row>
    <row r="2215">
      <c r="AI2215" s="80"/>
    </row>
    <row r="2216">
      <c r="AI2216" s="80"/>
    </row>
    <row r="2217">
      <c r="AI2217" s="80"/>
    </row>
    <row r="2218">
      <c r="AI2218" s="80"/>
    </row>
    <row r="2219">
      <c r="AI2219" s="80"/>
    </row>
    <row r="2220">
      <c r="AI2220" s="80"/>
    </row>
    <row r="2221">
      <c r="AI2221" s="80"/>
    </row>
    <row r="2222">
      <c r="AI2222" s="80"/>
    </row>
    <row r="2223">
      <c r="AI2223" s="80"/>
    </row>
    <row r="2224">
      <c r="AI2224" s="80"/>
    </row>
    <row r="2225">
      <c r="AI2225" s="80"/>
    </row>
    <row r="2226">
      <c r="AI2226" s="80"/>
    </row>
    <row r="2227">
      <c r="AI2227" s="80"/>
    </row>
    <row r="2228">
      <c r="AI2228" s="80"/>
    </row>
    <row r="2229">
      <c r="AI2229" s="80"/>
    </row>
    <row r="2230">
      <c r="AI2230" s="80"/>
    </row>
    <row r="2231">
      <c r="AI2231" s="80"/>
    </row>
    <row r="2232">
      <c r="AI2232" s="80"/>
    </row>
    <row r="2233">
      <c r="AI2233" s="80"/>
    </row>
    <row r="2234">
      <c r="AI2234" s="80"/>
    </row>
    <row r="2235">
      <c r="AI2235" s="80"/>
    </row>
    <row r="2236">
      <c r="AI2236" s="80"/>
    </row>
    <row r="2237">
      <c r="AI2237" s="80"/>
    </row>
    <row r="2238">
      <c r="AI2238" s="80"/>
    </row>
    <row r="2239">
      <c r="AI2239" s="80"/>
    </row>
    <row r="2240">
      <c r="AI2240" s="80"/>
    </row>
    <row r="2241">
      <c r="AI2241" s="80"/>
    </row>
    <row r="2242">
      <c r="AI2242" s="80"/>
    </row>
    <row r="2243">
      <c r="AI2243" s="80"/>
    </row>
    <row r="2244">
      <c r="AI2244" s="80"/>
    </row>
    <row r="2245">
      <c r="AI2245" s="80"/>
    </row>
    <row r="2246">
      <c r="AI2246" s="80"/>
    </row>
    <row r="2247">
      <c r="AI2247" s="80"/>
    </row>
    <row r="2248">
      <c r="AI2248" s="80"/>
    </row>
    <row r="2249">
      <c r="AI2249" s="80"/>
    </row>
    <row r="2250">
      <c r="AI2250" s="80"/>
    </row>
    <row r="2251">
      <c r="AI2251" s="80"/>
    </row>
    <row r="2252">
      <c r="AI2252" s="80"/>
    </row>
    <row r="2253">
      <c r="AI2253" s="80"/>
    </row>
    <row r="2254">
      <c r="AI2254" s="80"/>
    </row>
    <row r="2255">
      <c r="AI2255" s="80"/>
    </row>
    <row r="2256">
      <c r="AI2256" s="80"/>
    </row>
    <row r="2257">
      <c r="AI2257" s="80"/>
    </row>
    <row r="2258">
      <c r="AI2258" s="80"/>
    </row>
    <row r="2259">
      <c r="AI2259" s="80"/>
    </row>
    <row r="2260">
      <c r="AI2260" s="80"/>
    </row>
    <row r="2261">
      <c r="AI2261" s="80"/>
    </row>
    <row r="2262">
      <c r="AI2262" s="80"/>
    </row>
    <row r="2263">
      <c r="AI2263" s="80"/>
    </row>
    <row r="2264">
      <c r="AI2264" s="80"/>
    </row>
    <row r="2265">
      <c r="AI2265" s="80"/>
    </row>
    <row r="2266">
      <c r="AI2266" s="80"/>
    </row>
    <row r="2267">
      <c r="AI2267" s="80"/>
    </row>
    <row r="2268">
      <c r="AI2268" s="80"/>
    </row>
    <row r="2269">
      <c r="AI2269" s="80"/>
    </row>
    <row r="2270">
      <c r="AI2270" s="80"/>
    </row>
    <row r="2271">
      <c r="AI2271" s="80"/>
    </row>
    <row r="2272">
      <c r="AI2272" s="80"/>
    </row>
    <row r="2273">
      <c r="AI2273" s="80"/>
    </row>
    <row r="2274">
      <c r="AI2274" s="80"/>
    </row>
    <row r="2275">
      <c r="AI2275" s="80"/>
    </row>
    <row r="2276">
      <c r="AI2276" s="80"/>
    </row>
    <row r="2277">
      <c r="AI2277" s="80"/>
    </row>
    <row r="2278">
      <c r="AI2278" s="80"/>
    </row>
    <row r="2279">
      <c r="AI2279" s="80"/>
    </row>
    <row r="2280">
      <c r="AI2280" s="80"/>
    </row>
    <row r="2281">
      <c r="AI2281" s="80"/>
    </row>
    <row r="2282">
      <c r="AI2282" s="80"/>
    </row>
    <row r="2283">
      <c r="AI2283" s="80"/>
    </row>
    <row r="2284">
      <c r="AI2284" s="80"/>
    </row>
    <row r="2285">
      <c r="AI2285" s="80"/>
    </row>
    <row r="2286">
      <c r="AI2286" s="80"/>
    </row>
    <row r="2287">
      <c r="AI2287" s="80"/>
    </row>
    <row r="2288">
      <c r="AI2288" s="80"/>
    </row>
    <row r="2289">
      <c r="AI2289" s="80"/>
    </row>
    <row r="2290">
      <c r="AI2290" s="80"/>
    </row>
    <row r="2291">
      <c r="AI2291" s="80"/>
    </row>
    <row r="2292">
      <c r="AI2292" s="80"/>
    </row>
    <row r="2293">
      <c r="AI2293" s="80"/>
    </row>
    <row r="2294">
      <c r="AI2294" s="80"/>
    </row>
    <row r="2295">
      <c r="AI2295" s="80"/>
    </row>
    <row r="2296">
      <c r="AI2296" s="80"/>
    </row>
    <row r="2297">
      <c r="AI2297" s="80"/>
    </row>
    <row r="2298">
      <c r="AI2298" s="80"/>
    </row>
    <row r="2299">
      <c r="AI2299" s="80"/>
    </row>
    <row r="2300">
      <c r="AI2300" s="80"/>
    </row>
    <row r="2301">
      <c r="AI2301" s="80"/>
    </row>
    <row r="2302">
      <c r="AI2302" s="80"/>
    </row>
    <row r="2303">
      <c r="AI2303" s="80"/>
    </row>
    <row r="2304">
      <c r="AI2304" s="80"/>
    </row>
    <row r="2305">
      <c r="AI2305" s="80"/>
    </row>
    <row r="2306">
      <c r="AI2306" s="80"/>
    </row>
    <row r="2307">
      <c r="AI2307" s="80"/>
    </row>
    <row r="2308">
      <c r="AI2308" s="80"/>
    </row>
    <row r="2309">
      <c r="AI2309" s="80"/>
    </row>
    <row r="2310">
      <c r="AI2310" s="80"/>
    </row>
    <row r="2311">
      <c r="AI2311" s="80"/>
    </row>
    <row r="2312">
      <c r="AI2312" s="80"/>
    </row>
    <row r="2313">
      <c r="AI2313" s="80"/>
    </row>
    <row r="2314">
      <c r="AI2314" s="80"/>
    </row>
    <row r="2315">
      <c r="AI2315" s="80"/>
    </row>
    <row r="2316">
      <c r="AI2316" s="80"/>
    </row>
    <row r="2317">
      <c r="AI2317" s="80"/>
    </row>
    <row r="2318">
      <c r="AI2318" s="80"/>
    </row>
    <row r="2319">
      <c r="AI2319" s="80"/>
    </row>
    <row r="2320">
      <c r="AI2320" s="80"/>
    </row>
    <row r="2321">
      <c r="AI2321" s="80"/>
    </row>
    <row r="2322">
      <c r="AI2322" s="80"/>
    </row>
    <row r="2323">
      <c r="AI2323" s="80"/>
    </row>
    <row r="2324">
      <c r="AI2324" s="80"/>
    </row>
    <row r="2325">
      <c r="AI2325" s="80"/>
    </row>
    <row r="2326">
      <c r="AI2326" s="80"/>
    </row>
    <row r="2327">
      <c r="AI2327" s="80"/>
    </row>
    <row r="2328">
      <c r="AI2328" s="80"/>
    </row>
    <row r="2329">
      <c r="AI2329" s="80"/>
    </row>
    <row r="2330">
      <c r="AI2330" s="80"/>
    </row>
    <row r="2331">
      <c r="AI2331" s="80"/>
    </row>
    <row r="2332">
      <c r="AI2332" s="80"/>
    </row>
    <row r="2333">
      <c r="AI2333" s="80"/>
    </row>
    <row r="2334">
      <c r="AI2334" s="80"/>
    </row>
    <row r="2335">
      <c r="AI2335" s="80"/>
    </row>
    <row r="2336">
      <c r="AI2336" s="80"/>
    </row>
    <row r="2337">
      <c r="AI2337" s="80"/>
    </row>
    <row r="2338">
      <c r="AI2338" s="80"/>
    </row>
    <row r="2339">
      <c r="AI2339" s="80"/>
    </row>
    <row r="2340">
      <c r="AI2340" s="80"/>
    </row>
    <row r="2341">
      <c r="AI2341" s="80"/>
    </row>
    <row r="2342">
      <c r="AI2342" s="80"/>
    </row>
    <row r="2343">
      <c r="AI2343" s="80"/>
    </row>
    <row r="2344">
      <c r="AI2344" s="80"/>
    </row>
    <row r="2345">
      <c r="AI2345" s="80"/>
    </row>
    <row r="2346">
      <c r="AI2346" s="80"/>
    </row>
    <row r="2347">
      <c r="AI2347" s="80"/>
    </row>
    <row r="2348">
      <c r="AI2348" s="80"/>
    </row>
    <row r="2349">
      <c r="AI2349" s="80"/>
    </row>
    <row r="2350">
      <c r="AI2350" s="80"/>
    </row>
    <row r="2351">
      <c r="AI2351" s="80"/>
    </row>
    <row r="2352">
      <c r="AI2352" s="80"/>
    </row>
    <row r="2353">
      <c r="AI2353" s="80"/>
    </row>
    <row r="2354">
      <c r="AI2354" s="80"/>
    </row>
    <row r="2355">
      <c r="AI2355" s="80"/>
    </row>
    <row r="2356">
      <c r="AI2356" s="80"/>
    </row>
    <row r="2357">
      <c r="AI2357" s="80"/>
    </row>
    <row r="2358">
      <c r="AI2358" s="80"/>
    </row>
    <row r="2359">
      <c r="AI2359" s="80"/>
    </row>
    <row r="2360">
      <c r="AI2360" s="80"/>
    </row>
    <row r="2361">
      <c r="AI2361" s="80"/>
    </row>
    <row r="2362">
      <c r="AI2362" s="80"/>
    </row>
    <row r="2363">
      <c r="AI2363" s="80"/>
    </row>
    <row r="2364">
      <c r="AI2364" s="80"/>
    </row>
    <row r="2365">
      <c r="AI2365" s="80"/>
    </row>
    <row r="2366">
      <c r="AI2366" s="80"/>
    </row>
    <row r="2367">
      <c r="AI2367" s="80"/>
    </row>
    <row r="2368">
      <c r="AI2368" s="80"/>
    </row>
    <row r="2369">
      <c r="AI2369" s="80"/>
    </row>
    <row r="2370">
      <c r="AI2370" s="80"/>
    </row>
    <row r="2371">
      <c r="AI2371" s="80"/>
    </row>
    <row r="2372">
      <c r="AI2372" s="80"/>
    </row>
    <row r="2373">
      <c r="AI2373" s="80"/>
    </row>
    <row r="2374">
      <c r="AI2374" s="80"/>
    </row>
    <row r="2375">
      <c r="AI2375" s="80"/>
    </row>
    <row r="2376">
      <c r="AI2376" s="80"/>
    </row>
    <row r="2377">
      <c r="AI2377" s="80"/>
    </row>
    <row r="2378">
      <c r="AI2378" s="80"/>
    </row>
    <row r="2379">
      <c r="AI2379" s="80"/>
    </row>
    <row r="2380">
      <c r="AI2380" s="80"/>
    </row>
    <row r="2381">
      <c r="AI2381" s="80"/>
    </row>
    <row r="2382">
      <c r="AI2382" s="80"/>
    </row>
    <row r="2383">
      <c r="AI2383" s="80"/>
    </row>
    <row r="2384">
      <c r="AI2384" s="80"/>
    </row>
    <row r="2385">
      <c r="AI2385" s="80"/>
    </row>
    <row r="2386">
      <c r="AI2386" s="80"/>
    </row>
    <row r="2387">
      <c r="AI2387" s="80"/>
    </row>
    <row r="2388">
      <c r="AI2388" s="80"/>
    </row>
    <row r="2389">
      <c r="AI2389" s="80"/>
    </row>
    <row r="2390">
      <c r="AI2390" s="80"/>
    </row>
    <row r="2391">
      <c r="AI2391" s="80"/>
    </row>
    <row r="2392">
      <c r="AI2392" s="80"/>
    </row>
    <row r="2393">
      <c r="AI2393" s="80"/>
    </row>
    <row r="2394">
      <c r="AI2394" s="80"/>
    </row>
    <row r="2395">
      <c r="AI2395" s="80"/>
    </row>
    <row r="2396">
      <c r="AI2396" s="80"/>
    </row>
    <row r="2397">
      <c r="AI2397" s="80"/>
    </row>
    <row r="2398">
      <c r="AI2398" s="80"/>
    </row>
    <row r="2399">
      <c r="AI2399" s="80"/>
    </row>
    <row r="2400">
      <c r="AI2400" s="80"/>
    </row>
    <row r="2401">
      <c r="AI2401" s="80"/>
    </row>
    <row r="2402">
      <c r="AI2402" s="80"/>
    </row>
    <row r="2403">
      <c r="AI2403" s="80"/>
    </row>
    <row r="2404">
      <c r="AI2404" s="80"/>
    </row>
    <row r="2405">
      <c r="AI2405" s="80"/>
    </row>
    <row r="2406">
      <c r="AI2406" s="80"/>
    </row>
    <row r="2407">
      <c r="AI2407" s="80"/>
    </row>
    <row r="2408">
      <c r="AI2408" s="80"/>
    </row>
    <row r="2409">
      <c r="AI2409" s="80"/>
    </row>
    <row r="2410">
      <c r="AI2410" s="80"/>
    </row>
    <row r="2411">
      <c r="AI2411" s="80"/>
    </row>
    <row r="2412">
      <c r="AI2412" s="80"/>
    </row>
    <row r="2413">
      <c r="AI2413" s="80"/>
    </row>
    <row r="2414">
      <c r="AI2414" s="80"/>
    </row>
    <row r="2415">
      <c r="AI2415" s="80"/>
    </row>
    <row r="2416">
      <c r="AI2416" s="80"/>
    </row>
    <row r="2417">
      <c r="AI2417" s="80"/>
    </row>
    <row r="2418">
      <c r="AI2418" s="80"/>
    </row>
    <row r="2419">
      <c r="AI2419" s="80"/>
    </row>
    <row r="2420">
      <c r="AI2420" s="80"/>
    </row>
    <row r="2421">
      <c r="AI2421" s="80"/>
    </row>
    <row r="2422">
      <c r="AI2422" s="80"/>
    </row>
    <row r="2423">
      <c r="AI2423" s="80"/>
    </row>
    <row r="2424">
      <c r="AI2424" s="80"/>
    </row>
    <row r="2425">
      <c r="AI2425" s="80"/>
    </row>
    <row r="2426">
      <c r="AI2426" s="80"/>
    </row>
    <row r="2427">
      <c r="AI2427" s="80"/>
    </row>
    <row r="2428">
      <c r="AI2428" s="80"/>
    </row>
    <row r="2429">
      <c r="AI2429" s="80"/>
    </row>
    <row r="2430">
      <c r="AI2430" s="80"/>
    </row>
    <row r="2431">
      <c r="AI2431" s="80"/>
    </row>
    <row r="2432">
      <c r="AI2432" s="80"/>
    </row>
    <row r="2433">
      <c r="AI2433" s="80"/>
    </row>
    <row r="2434">
      <c r="AI2434" s="80"/>
    </row>
    <row r="2435">
      <c r="AI2435" s="80"/>
    </row>
    <row r="2436">
      <c r="AI2436" s="80"/>
    </row>
    <row r="2437">
      <c r="AI2437" s="80"/>
    </row>
    <row r="2438">
      <c r="AI2438" s="80"/>
    </row>
    <row r="2439">
      <c r="AI2439" s="80"/>
    </row>
    <row r="2440">
      <c r="AI2440" s="80"/>
    </row>
    <row r="2441">
      <c r="AI2441" s="80"/>
    </row>
    <row r="2442">
      <c r="AI2442" s="80"/>
    </row>
    <row r="2443">
      <c r="AI2443" s="80"/>
    </row>
    <row r="2444">
      <c r="AI2444" s="80"/>
    </row>
    <row r="2445">
      <c r="AI2445" s="80"/>
    </row>
    <row r="2446">
      <c r="AI2446" s="80"/>
    </row>
    <row r="2447">
      <c r="AI2447" s="80"/>
    </row>
    <row r="2448">
      <c r="AI2448" s="80"/>
    </row>
    <row r="2449">
      <c r="AI2449" s="80"/>
    </row>
    <row r="2450">
      <c r="AI2450" s="80"/>
    </row>
    <row r="2451">
      <c r="AI2451" s="80"/>
    </row>
    <row r="2452">
      <c r="AI2452" s="80"/>
    </row>
    <row r="2453">
      <c r="AI2453" s="80"/>
    </row>
    <row r="2454">
      <c r="AI2454" s="80"/>
    </row>
    <row r="2455">
      <c r="AI2455" s="80"/>
    </row>
    <row r="2456">
      <c r="AI2456" s="80"/>
    </row>
    <row r="2457">
      <c r="AI2457" s="80"/>
    </row>
    <row r="2458">
      <c r="AI2458" s="80"/>
    </row>
    <row r="2459">
      <c r="AI2459" s="80"/>
    </row>
    <row r="2460">
      <c r="AI2460" s="80"/>
    </row>
    <row r="2461">
      <c r="AI2461" s="80"/>
    </row>
    <row r="2462">
      <c r="AI2462" s="80"/>
    </row>
    <row r="2463">
      <c r="AI2463" s="80"/>
    </row>
    <row r="2464">
      <c r="AI2464" s="80"/>
    </row>
    <row r="2465">
      <c r="AI2465" s="80"/>
    </row>
    <row r="2466">
      <c r="AI2466" s="80"/>
    </row>
    <row r="2467">
      <c r="AI2467" s="80"/>
    </row>
    <row r="2468">
      <c r="AI2468" s="80"/>
    </row>
    <row r="2469">
      <c r="AI2469" s="80"/>
    </row>
    <row r="2470">
      <c r="AI2470" s="80"/>
    </row>
    <row r="2471">
      <c r="AI2471" s="80"/>
    </row>
    <row r="2472">
      <c r="AI2472" s="80"/>
    </row>
    <row r="2473">
      <c r="AI2473" s="80"/>
    </row>
    <row r="2474">
      <c r="AI2474" s="80"/>
    </row>
    <row r="2475">
      <c r="AI2475" s="80"/>
    </row>
    <row r="2476">
      <c r="AI2476" s="80"/>
    </row>
    <row r="2477">
      <c r="AI2477" s="80"/>
    </row>
    <row r="2478">
      <c r="AI2478" s="80"/>
    </row>
    <row r="2479">
      <c r="AI2479" s="80"/>
    </row>
    <row r="2480">
      <c r="AI2480" s="80"/>
    </row>
    <row r="2481">
      <c r="AI2481" s="80"/>
    </row>
    <row r="2482">
      <c r="AI2482" s="80"/>
    </row>
    <row r="2483">
      <c r="AI2483" s="80"/>
    </row>
    <row r="2484">
      <c r="AI2484" s="80"/>
    </row>
    <row r="2485">
      <c r="AI2485" s="80"/>
    </row>
    <row r="2486">
      <c r="AI2486" s="80"/>
    </row>
    <row r="2487">
      <c r="AI2487" s="80"/>
    </row>
    <row r="2488">
      <c r="AI2488" s="80"/>
    </row>
    <row r="2489">
      <c r="AI2489" s="80"/>
    </row>
    <row r="2490">
      <c r="AI2490" s="80"/>
    </row>
    <row r="2491">
      <c r="AI2491" s="80"/>
    </row>
    <row r="2492">
      <c r="AI2492" s="80"/>
    </row>
    <row r="2493">
      <c r="AI2493" s="80"/>
    </row>
    <row r="2494">
      <c r="AI2494" s="80"/>
    </row>
    <row r="2495">
      <c r="AI2495" s="80"/>
    </row>
    <row r="2496">
      <c r="AI2496" s="80"/>
    </row>
    <row r="2497">
      <c r="AI2497" s="80"/>
    </row>
    <row r="2498">
      <c r="AI2498" s="80"/>
    </row>
    <row r="2499">
      <c r="AI2499" s="80"/>
    </row>
    <row r="2500">
      <c r="AI2500" s="80"/>
    </row>
    <row r="2501">
      <c r="AI2501" s="80"/>
    </row>
    <row r="2502">
      <c r="AI2502" s="80"/>
    </row>
    <row r="2503">
      <c r="AI2503" s="80"/>
    </row>
    <row r="2504">
      <c r="AI2504" s="80"/>
    </row>
    <row r="2505">
      <c r="AI2505" s="80"/>
    </row>
    <row r="2506">
      <c r="AI2506" s="80"/>
    </row>
    <row r="2507">
      <c r="AI2507" s="80"/>
    </row>
    <row r="2508">
      <c r="AI2508" s="80"/>
    </row>
    <row r="2509">
      <c r="AI2509" s="80"/>
    </row>
    <row r="2510">
      <c r="AI2510" s="80"/>
    </row>
    <row r="2511">
      <c r="AI2511" s="80"/>
    </row>
    <row r="2512">
      <c r="AI2512" s="80"/>
    </row>
    <row r="2513">
      <c r="AI2513" s="80"/>
    </row>
    <row r="2514">
      <c r="AI2514" s="80"/>
    </row>
    <row r="2515">
      <c r="AI2515" s="80"/>
    </row>
    <row r="2516">
      <c r="AI2516" s="80"/>
    </row>
    <row r="2517">
      <c r="AI2517" s="80"/>
    </row>
    <row r="2518">
      <c r="AI2518" s="80"/>
    </row>
    <row r="2519">
      <c r="AI2519" s="80"/>
    </row>
    <row r="2520">
      <c r="AI2520" s="80"/>
    </row>
    <row r="2521">
      <c r="AI2521" s="80"/>
    </row>
    <row r="2522">
      <c r="AI2522" s="80"/>
    </row>
    <row r="2523">
      <c r="AI2523" s="80"/>
    </row>
    <row r="2524">
      <c r="AI2524" s="80"/>
    </row>
    <row r="2525">
      <c r="AI2525" s="80"/>
    </row>
    <row r="2526">
      <c r="AI2526" s="80"/>
    </row>
    <row r="2527">
      <c r="AI2527" s="80"/>
    </row>
    <row r="2528">
      <c r="AI2528" s="80"/>
    </row>
    <row r="2529">
      <c r="AI2529" s="80"/>
    </row>
    <row r="2530">
      <c r="AI2530" s="80"/>
    </row>
    <row r="2531">
      <c r="AI2531" s="80"/>
    </row>
    <row r="2532">
      <c r="AI2532" s="80"/>
    </row>
    <row r="2533">
      <c r="AI2533" s="80"/>
    </row>
    <row r="2534">
      <c r="AI2534" s="80"/>
    </row>
    <row r="2535">
      <c r="AI2535" s="80"/>
    </row>
    <row r="2536">
      <c r="AI2536" s="80"/>
    </row>
    <row r="2537">
      <c r="AI2537" s="80"/>
    </row>
    <row r="2538">
      <c r="AI2538" s="80"/>
    </row>
    <row r="2539">
      <c r="AI2539" s="80"/>
    </row>
    <row r="2540">
      <c r="AI2540" s="80"/>
    </row>
    <row r="2541">
      <c r="AI2541" s="80"/>
    </row>
    <row r="2542">
      <c r="AI2542" s="80"/>
    </row>
    <row r="2543">
      <c r="AI2543" s="80"/>
    </row>
    <row r="2544">
      <c r="AI2544" s="80"/>
    </row>
    <row r="2545">
      <c r="AI2545" s="80"/>
    </row>
    <row r="2546">
      <c r="AI2546" s="80"/>
    </row>
    <row r="2547">
      <c r="AI2547" s="80"/>
    </row>
    <row r="2548">
      <c r="AI2548" s="80"/>
    </row>
    <row r="2549">
      <c r="AI2549" s="80"/>
    </row>
    <row r="2550">
      <c r="AI2550" s="80"/>
    </row>
    <row r="2551">
      <c r="AI2551" s="80"/>
    </row>
    <row r="2552">
      <c r="AI2552" s="80"/>
    </row>
    <row r="2553">
      <c r="AI2553" s="80"/>
    </row>
    <row r="2554">
      <c r="AI2554" s="80"/>
    </row>
    <row r="2555">
      <c r="AI2555" s="80"/>
    </row>
    <row r="2556">
      <c r="AI2556" s="80"/>
    </row>
    <row r="2557">
      <c r="AI2557" s="80"/>
    </row>
    <row r="2558">
      <c r="AI2558" s="80"/>
    </row>
    <row r="2559">
      <c r="AI2559" s="80"/>
    </row>
    <row r="2560">
      <c r="AI2560" s="80"/>
    </row>
    <row r="2561">
      <c r="AI2561" s="80"/>
    </row>
    <row r="2562">
      <c r="AI2562" s="80"/>
    </row>
    <row r="2563">
      <c r="AI2563" s="80"/>
    </row>
    <row r="2564">
      <c r="AI2564" s="80"/>
    </row>
    <row r="2565">
      <c r="AI2565" s="80"/>
    </row>
    <row r="2566">
      <c r="AI2566" s="80"/>
    </row>
    <row r="2567">
      <c r="AI2567" s="80"/>
    </row>
    <row r="2568">
      <c r="AI2568" s="80"/>
    </row>
    <row r="2569">
      <c r="AI2569" s="80"/>
    </row>
    <row r="2570">
      <c r="AI2570" s="80"/>
    </row>
    <row r="2571">
      <c r="AI2571" s="80"/>
    </row>
    <row r="2572">
      <c r="AI2572" s="80"/>
    </row>
    <row r="2573">
      <c r="AI2573" s="80"/>
    </row>
    <row r="2574">
      <c r="AI2574" s="80"/>
    </row>
    <row r="2575">
      <c r="AI2575" s="80"/>
    </row>
    <row r="2576">
      <c r="AI2576" s="80"/>
    </row>
    <row r="2577">
      <c r="AI2577" s="80"/>
    </row>
    <row r="2578">
      <c r="AI2578" s="80"/>
    </row>
    <row r="2579">
      <c r="AI2579" s="80"/>
    </row>
    <row r="2580">
      <c r="AI2580" s="80"/>
    </row>
    <row r="2581">
      <c r="AI2581" s="80"/>
    </row>
    <row r="2582">
      <c r="AI2582" s="80"/>
    </row>
    <row r="2583">
      <c r="AI2583" s="80"/>
    </row>
    <row r="2584">
      <c r="AI2584" s="80"/>
    </row>
    <row r="2585">
      <c r="AI2585" s="80"/>
    </row>
    <row r="2586">
      <c r="AI2586" s="80"/>
    </row>
    <row r="2587">
      <c r="AI2587" s="80"/>
    </row>
    <row r="2588">
      <c r="AI2588" s="80"/>
    </row>
    <row r="2589">
      <c r="AI2589" s="80"/>
    </row>
    <row r="2590">
      <c r="AI2590" s="80"/>
    </row>
    <row r="2591">
      <c r="AI2591" s="80"/>
    </row>
    <row r="2592">
      <c r="AI2592" s="80"/>
    </row>
    <row r="2593">
      <c r="AI2593" s="80"/>
    </row>
    <row r="2594">
      <c r="AI2594" s="80"/>
    </row>
    <row r="2595">
      <c r="AI2595" s="80"/>
    </row>
    <row r="2596">
      <c r="AI2596" s="80"/>
    </row>
    <row r="2597">
      <c r="AI2597" s="80"/>
    </row>
    <row r="2598">
      <c r="AI2598" s="80"/>
    </row>
    <row r="2599">
      <c r="AI2599" s="80"/>
    </row>
    <row r="2600">
      <c r="AI2600" s="80"/>
    </row>
    <row r="2601">
      <c r="AI2601" s="80"/>
    </row>
    <row r="2602">
      <c r="AI2602" s="80"/>
    </row>
    <row r="2603">
      <c r="AI2603" s="80"/>
    </row>
    <row r="2604">
      <c r="AI2604" s="80"/>
    </row>
    <row r="2605">
      <c r="AI2605" s="80"/>
    </row>
    <row r="2606">
      <c r="AI2606" s="80"/>
    </row>
    <row r="2607">
      <c r="AI2607" s="80"/>
    </row>
    <row r="2608">
      <c r="AI2608" s="80"/>
    </row>
    <row r="2609">
      <c r="AI2609" s="80"/>
    </row>
    <row r="2610">
      <c r="AI2610" s="80"/>
    </row>
    <row r="2611">
      <c r="AI2611" s="80"/>
    </row>
    <row r="2612">
      <c r="AI2612" s="80"/>
    </row>
    <row r="2613">
      <c r="AI2613" s="80"/>
    </row>
    <row r="2614">
      <c r="AI2614" s="80"/>
    </row>
    <row r="2615">
      <c r="AI2615" s="80"/>
    </row>
    <row r="2616">
      <c r="AI2616" s="80"/>
    </row>
    <row r="2617">
      <c r="AI2617" s="80"/>
    </row>
    <row r="2618">
      <c r="AI2618" s="80"/>
    </row>
    <row r="2619">
      <c r="AI2619" s="80"/>
    </row>
    <row r="2620">
      <c r="AI2620" s="80"/>
    </row>
    <row r="2621">
      <c r="AI2621" s="80"/>
    </row>
    <row r="2622">
      <c r="AI2622" s="80"/>
    </row>
    <row r="2623">
      <c r="AI2623" s="80"/>
    </row>
    <row r="2624">
      <c r="AI2624" s="80"/>
    </row>
    <row r="2625">
      <c r="AI2625" s="80"/>
    </row>
    <row r="2626">
      <c r="AI2626" s="80"/>
    </row>
    <row r="2627">
      <c r="AI2627" s="80"/>
    </row>
    <row r="2628">
      <c r="AI2628" s="80"/>
    </row>
    <row r="2629">
      <c r="AI2629" s="80"/>
    </row>
    <row r="2630">
      <c r="AI2630" s="80"/>
    </row>
    <row r="2631">
      <c r="AI2631" s="80"/>
    </row>
    <row r="2632">
      <c r="AI2632" s="80"/>
    </row>
    <row r="2633">
      <c r="AI2633" s="80"/>
    </row>
    <row r="2634">
      <c r="AI2634" s="80"/>
    </row>
    <row r="2635">
      <c r="AI2635" s="80"/>
    </row>
    <row r="2636">
      <c r="AI2636" s="80"/>
    </row>
    <row r="2637">
      <c r="AI2637" s="80"/>
    </row>
    <row r="2638">
      <c r="AI2638" s="80"/>
    </row>
    <row r="2639">
      <c r="AI2639" s="80"/>
    </row>
    <row r="2640">
      <c r="AI2640" s="80"/>
    </row>
    <row r="2641">
      <c r="AI2641" s="80"/>
    </row>
    <row r="2642">
      <c r="AI2642" s="80"/>
    </row>
    <row r="2643">
      <c r="AI2643" s="80"/>
    </row>
    <row r="2644">
      <c r="AI2644" s="80"/>
    </row>
    <row r="2645">
      <c r="AI2645" s="80"/>
    </row>
    <row r="2646">
      <c r="AI2646" s="80"/>
    </row>
    <row r="2647">
      <c r="AI2647" s="80"/>
    </row>
    <row r="2648">
      <c r="AI2648" s="80"/>
    </row>
    <row r="2649">
      <c r="AI2649" s="80"/>
    </row>
    <row r="2650">
      <c r="AI2650" s="80"/>
    </row>
    <row r="2651">
      <c r="AI2651" s="80"/>
    </row>
    <row r="2652">
      <c r="AI2652" s="80"/>
    </row>
    <row r="2653">
      <c r="AI2653" s="80"/>
    </row>
    <row r="2654">
      <c r="AI2654" s="80"/>
    </row>
    <row r="2655">
      <c r="AI2655" s="80"/>
    </row>
    <row r="2656">
      <c r="AI2656" s="80"/>
    </row>
    <row r="2657">
      <c r="AI2657" s="80"/>
    </row>
    <row r="2658">
      <c r="AI2658" s="80"/>
    </row>
    <row r="2659">
      <c r="AI2659" s="80"/>
    </row>
    <row r="2660">
      <c r="AI2660" s="80"/>
    </row>
    <row r="2661">
      <c r="AI2661" s="80"/>
    </row>
    <row r="2662">
      <c r="AI2662" s="80"/>
    </row>
    <row r="2663">
      <c r="AI2663" s="80"/>
    </row>
    <row r="2664">
      <c r="AI2664" s="80"/>
    </row>
    <row r="2665">
      <c r="AI2665" s="80"/>
    </row>
    <row r="2666">
      <c r="AI2666" s="80"/>
    </row>
    <row r="2667">
      <c r="AI2667" s="80"/>
    </row>
    <row r="2668">
      <c r="AI2668" s="80"/>
    </row>
    <row r="2669">
      <c r="AI2669" s="80"/>
    </row>
    <row r="2670">
      <c r="AI2670" s="80"/>
    </row>
    <row r="2671">
      <c r="AI2671" s="80"/>
    </row>
    <row r="2672">
      <c r="AI2672" s="80"/>
    </row>
    <row r="2673">
      <c r="AI2673" s="80"/>
    </row>
    <row r="2674">
      <c r="AI2674" s="80"/>
    </row>
    <row r="2675">
      <c r="AI2675" s="80"/>
    </row>
    <row r="2676">
      <c r="AI2676" s="80"/>
    </row>
    <row r="2677">
      <c r="AI2677" s="80"/>
    </row>
    <row r="2678">
      <c r="AI2678" s="80"/>
    </row>
    <row r="2679">
      <c r="AI2679" s="80"/>
    </row>
    <row r="2680">
      <c r="AI2680" s="80"/>
    </row>
    <row r="2681">
      <c r="AI2681" s="80"/>
    </row>
    <row r="2682">
      <c r="AI2682" s="80"/>
    </row>
    <row r="2683">
      <c r="AI2683" s="80"/>
    </row>
    <row r="2684">
      <c r="AI2684" s="80"/>
    </row>
    <row r="2685">
      <c r="AI2685" s="80"/>
    </row>
    <row r="2686">
      <c r="AI2686" s="80"/>
    </row>
    <row r="2687">
      <c r="AI2687" s="80"/>
    </row>
    <row r="2688">
      <c r="AI2688" s="80"/>
    </row>
    <row r="2689">
      <c r="AI2689" s="80"/>
    </row>
    <row r="2690">
      <c r="AI2690" s="80"/>
    </row>
    <row r="2691">
      <c r="AI2691" s="80"/>
    </row>
    <row r="2692">
      <c r="AI2692" s="80"/>
    </row>
    <row r="2693">
      <c r="AI2693" s="80"/>
    </row>
    <row r="2694">
      <c r="AI2694" s="80"/>
    </row>
    <row r="2695">
      <c r="AI2695" s="80"/>
    </row>
    <row r="2696">
      <c r="AI2696" s="80"/>
    </row>
    <row r="2697">
      <c r="AI2697" s="80"/>
    </row>
    <row r="2698">
      <c r="AI2698" s="80"/>
    </row>
    <row r="2699">
      <c r="AI2699" s="80"/>
    </row>
    <row r="2700">
      <c r="AI2700" s="80"/>
    </row>
    <row r="2701">
      <c r="AI2701" s="80"/>
    </row>
    <row r="2702">
      <c r="AI2702" s="80"/>
    </row>
    <row r="2703">
      <c r="AI2703" s="80"/>
    </row>
    <row r="2704">
      <c r="AI2704" s="80"/>
    </row>
    <row r="2705">
      <c r="AI2705" s="80"/>
    </row>
    <row r="2706">
      <c r="AI2706" s="80"/>
    </row>
    <row r="2707">
      <c r="AI2707" s="80"/>
    </row>
    <row r="2708">
      <c r="AI2708" s="80"/>
    </row>
    <row r="2709">
      <c r="AI2709" s="80"/>
    </row>
    <row r="2710">
      <c r="AI2710" s="80"/>
    </row>
    <row r="2711">
      <c r="AI2711" s="80"/>
    </row>
    <row r="2712">
      <c r="AI2712" s="80"/>
    </row>
    <row r="2713">
      <c r="AI2713" s="80"/>
    </row>
    <row r="2714">
      <c r="AI2714" s="80"/>
    </row>
    <row r="2715">
      <c r="AI2715" s="80"/>
    </row>
    <row r="2716">
      <c r="AI2716" s="80"/>
    </row>
    <row r="2717">
      <c r="AI2717" s="80"/>
    </row>
    <row r="2718">
      <c r="AI2718" s="80"/>
    </row>
    <row r="2719">
      <c r="AI2719" s="80"/>
    </row>
    <row r="2720">
      <c r="AI2720" s="80"/>
    </row>
    <row r="2721">
      <c r="AI2721" s="80"/>
    </row>
    <row r="2722">
      <c r="AI2722" s="80"/>
    </row>
    <row r="2723">
      <c r="AI2723" s="80"/>
    </row>
    <row r="2724">
      <c r="AI2724" s="80"/>
    </row>
    <row r="2725">
      <c r="AI2725" s="80"/>
    </row>
    <row r="2726">
      <c r="AI2726" s="80"/>
    </row>
    <row r="2727">
      <c r="AI2727" s="80"/>
    </row>
    <row r="2728">
      <c r="AI2728" s="80"/>
    </row>
    <row r="2729">
      <c r="AI2729" s="80"/>
    </row>
    <row r="2730">
      <c r="AI2730" s="80"/>
    </row>
    <row r="2731">
      <c r="AI2731" s="80"/>
    </row>
    <row r="2732">
      <c r="AI2732" s="80"/>
    </row>
    <row r="2733">
      <c r="AI2733" s="80"/>
    </row>
    <row r="2734">
      <c r="AI2734" s="80"/>
    </row>
    <row r="2735">
      <c r="AI2735" s="80"/>
    </row>
    <row r="2736">
      <c r="AI2736" s="80"/>
    </row>
    <row r="2737">
      <c r="AI2737" s="80"/>
    </row>
    <row r="2738">
      <c r="AI2738" s="80"/>
    </row>
    <row r="2739">
      <c r="AI2739" s="80"/>
    </row>
    <row r="2740">
      <c r="AI2740" s="80"/>
    </row>
    <row r="2741">
      <c r="AI2741" s="80"/>
    </row>
    <row r="2742">
      <c r="AI2742" s="80"/>
    </row>
    <row r="2743">
      <c r="AI2743" s="80"/>
    </row>
    <row r="2744">
      <c r="AI2744" s="80"/>
    </row>
    <row r="2745">
      <c r="AI2745" s="80"/>
    </row>
    <row r="2746">
      <c r="AI2746" s="80"/>
    </row>
    <row r="2747">
      <c r="AI2747" s="80"/>
    </row>
    <row r="2748">
      <c r="AI2748" s="80"/>
    </row>
    <row r="2749">
      <c r="AI2749" s="80"/>
    </row>
    <row r="2750">
      <c r="AI2750" s="80"/>
    </row>
    <row r="2751">
      <c r="AI2751" s="80"/>
    </row>
    <row r="2752">
      <c r="AI2752" s="80"/>
    </row>
    <row r="2753">
      <c r="AI2753" s="80"/>
    </row>
    <row r="2754">
      <c r="AI2754" s="80"/>
    </row>
    <row r="2755">
      <c r="AI2755" s="80"/>
    </row>
    <row r="2756">
      <c r="AI2756" s="80"/>
    </row>
    <row r="2757">
      <c r="AI2757" s="80"/>
    </row>
    <row r="2758">
      <c r="AI2758" s="80"/>
    </row>
    <row r="2759">
      <c r="AI2759" s="80"/>
    </row>
    <row r="2760">
      <c r="AI2760" s="80"/>
    </row>
    <row r="2761">
      <c r="AI2761" s="80"/>
    </row>
    <row r="2762">
      <c r="AI2762" s="80"/>
    </row>
    <row r="2763">
      <c r="AI2763" s="80"/>
    </row>
    <row r="2764">
      <c r="AI2764" s="80"/>
    </row>
    <row r="2765">
      <c r="AI2765" s="80"/>
    </row>
    <row r="2766">
      <c r="AI2766" s="80"/>
    </row>
    <row r="2767">
      <c r="AI2767" s="80"/>
    </row>
    <row r="2768">
      <c r="AI2768" s="80"/>
    </row>
    <row r="2769">
      <c r="AI2769" s="80"/>
    </row>
    <row r="2770">
      <c r="AI2770" s="80"/>
    </row>
    <row r="2771">
      <c r="AI2771" s="80"/>
    </row>
    <row r="2772">
      <c r="AI2772" s="80"/>
    </row>
    <row r="2773">
      <c r="AI2773" s="80"/>
    </row>
    <row r="2774">
      <c r="AI2774" s="80"/>
    </row>
    <row r="2775">
      <c r="AI2775" s="80"/>
    </row>
    <row r="2776">
      <c r="AI2776" s="80"/>
    </row>
    <row r="2777">
      <c r="AI2777" s="80"/>
    </row>
    <row r="2778">
      <c r="AI2778" s="80"/>
    </row>
    <row r="2779">
      <c r="AI2779" s="80"/>
    </row>
    <row r="2780">
      <c r="AI2780" s="80"/>
    </row>
    <row r="2781">
      <c r="AI2781" s="80"/>
    </row>
    <row r="2782">
      <c r="AI2782" s="80"/>
    </row>
    <row r="2783">
      <c r="AI2783" s="80"/>
    </row>
    <row r="2784">
      <c r="AI2784" s="80"/>
    </row>
    <row r="2785">
      <c r="AI2785" s="80"/>
    </row>
    <row r="2786">
      <c r="AI2786" s="80"/>
    </row>
    <row r="2787">
      <c r="AI2787" s="80"/>
    </row>
    <row r="2788">
      <c r="AI2788" s="80"/>
    </row>
    <row r="2789">
      <c r="AI2789" s="80"/>
    </row>
    <row r="2790">
      <c r="AI2790" s="80"/>
    </row>
    <row r="2791">
      <c r="AI2791" s="80"/>
    </row>
    <row r="2792">
      <c r="AI2792" s="80"/>
    </row>
    <row r="2793">
      <c r="AI2793" s="80"/>
    </row>
    <row r="2794">
      <c r="AI2794" s="80"/>
    </row>
    <row r="2795">
      <c r="AI2795" s="80"/>
    </row>
    <row r="2796">
      <c r="AI2796" s="80"/>
    </row>
    <row r="2797">
      <c r="AI2797" s="80"/>
    </row>
    <row r="2798">
      <c r="AI2798" s="80"/>
    </row>
    <row r="2799">
      <c r="AI2799" s="80"/>
    </row>
    <row r="2800">
      <c r="AI2800" s="80"/>
    </row>
    <row r="2801">
      <c r="AI2801" s="80"/>
    </row>
    <row r="2802">
      <c r="AI2802" s="80"/>
    </row>
    <row r="2803">
      <c r="AI2803" s="80"/>
    </row>
    <row r="2804">
      <c r="AI2804" s="80"/>
    </row>
    <row r="2805">
      <c r="AI2805" s="80"/>
    </row>
    <row r="2806">
      <c r="AI2806" s="80"/>
    </row>
    <row r="2807">
      <c r="AI2807" s="80"/>
    </row>
    <row r="2808">
      <c r="AI2808" s="80"/>
    </row>
    <row r="2809">
      <c r="AI2809" s="80"/>
    </row>
    <row r="2810">
      <c r="AI2810" s="80"/>
    </row>
    <row r="2811">
      <c r="AI2811" s="80"/>
    </row>
    <row r="2812">
      <c r="AI2812" s="80"/>
    </row>
    <row r="2813">
      <c r="AI2813" s="80"/>
    </row>
    <row r="2814">
      <c r="AI2814" s="80"/>
    </row>
    <row r="2815">
      <c r="AI2815" s="80"/>
    </row>
    <row r="2816">
      <c r="AI2816" s="80"/>
    </row>
    <row r="2817">
      <c r="AI2817" s="80"/>
    </row>
    <row r="2818">
      <c r="AI2818" s="80"/>
    </row>
    <row r="2819">
      <c r="AI2819" s="80"/>
    </row>
    <row r="2820">
      <c r="AI2820" s="80"/>
    </row>
    <row r="2821">
      <c r="AI2821" s="80"/>
    </row>
    <row r="2822">
      <c r="AI2822" s="80"/>
    </row>
    <row r="2823">
      <c r="AI2823" s="80"/>
    </row>
    <row r="2824">
      <c r="AI2824" s="80"/>
    </row>
    <row r="2825">
      <c r="AI2825" s="80"/>
    </row>
    <row r="2826">
      <c r="AI2826" s="80"/>
    </row>
    <row r="2827">
      <c r="AI2827" s="80"/>
    </row>
    <row r="2828">
      <c r="AI2828" s="80"/>
    </row>
    <row r="2829">
      <c r="AI2829" s="80"/>
    </row>
    <row r="2830">
      <c r="AI2830" s="80"/>
    </row>
    <row r="2831">
      <c r="AI2831" s="80"/>
    </row>
    <row r="2832">
      <c r="AI2832" s="80"/>
    </row>
    <row r="2833">
      <c r="AI2833" s="80"/>
    </row>
    <row r="2834">
      <c r="AI2834" s="80"/>
    </row>
    <row r="2835">
      <c r="AI2835" s="80"/>
    </row>
    <row r="2836">
      <c r="AI2836" s="80"/>
    </row>
    <row r="2837">
      <c r="AI2837" s="80"/>
    </row>
    <row r="2838">
      <c r="AI2838" s="80"/>
    </row>
    <row r="2839">
      <c r="AI2839" s="80"/>
    </row>
    <row r="2840">
      <c r="AI2840" s="80"/>
    </row>
    <row r="2841">
      <c r="AI2841" s="80"/>
    </row>
    <row r="2842">
      <c r="AI2842" s="80"/>
    </row>
    <row r="2843">
      <c r="AI2843" s="80"/>
    </row>
    <row r="2844">
      <c r="AI2844" s="80"/>
    </row>
    <row r="2845">
      <c r="AI2845" s="80"/>
    </row>
    <row r="2846">
      <c r="AI2846" s="80"/>
    </row>
    <row r="2847">
      <c r="AI2847" s="80"/>
    </row>
    <row r="2848">
      <c r="AI2848" s="80"/>
    </row>
    <row r="2849">
      <c r="AI2849" s="80"/>
    </row>
    <row r="2850">
      <c r="AI2850" s="80"/>
    </row>
    <row r="2851">
      <c r="AI2851" s="80"/>
    </row>
    <row r="2852">
      <c r="AI2852" s="80"/>
    </row>
    <row r="2853">
      <c r="AI2853" s="80"/>
    </row>
    <row r="2854">
      <c r="AI2854" s="80"/>
    </row>
    <row r="2855">
      <c r="AI2855" s="80"/>
    </row>
    <row r="2856">
      <c r="AI2856" s="80"/>
    </row>
    <row r="2857">
      <c r="AI2857" s="80"/>
    </row>
    <row r="2858">
      <c r="AI2858" s="80"/>
    </row>
    <row r="2859">
      <c r="AI2859" s="80"/>
    </row>
    <row r="2860">
      <c r="AI2860" s="80"/>
    </row>
    <row r="2861">
      <c r="AI2861" s="80"/>
    </row>
    <row r="2862">
      <c r="AI2862" s="80"/>
    </row>
    <row r="2863">
      <c r="AI2863" s="80"/>
    </row>
    <row r="2864">
      <c r="AI2864" s="80"/>
    </row>
    <row r="2865">
      <c r="AI2865" s="80"/>
    </row>
    <row r="2866">
      <c r="AI2866" s="80"/>
    </row>
    <row r="2867">
      <c r="AI2867" s="80"/>
    </row>
    <row r="2868">
      <c r="AI2868" s="80"/>
    </row>
    <row r="2869">
      <c r="AI2869" s="80"/>
    </row>
    <row r="2870">
      <c r="AI2870" s="80"/>
    </row>
    <row r="2871">
      <c r="AI2871" s="80"/>
    </row>
    <row r="2872">
      <c r="AI2872" s="80"/>
    </row>
    <row r="2873">
      <c r="AI2873" s="80"/>
    </row>
    <row r="2874">
      <c r="AI2874" s="80"/>
    </row>
    <row r="2875">
      <c r="AI2875" s="80"/>
    </row>
    <row r="2876">
      <c r="AI2876" s="80"/>
    </row>
    <row r="2877">
      <c r="AI2877" s="80"/>
    </row>
    <row r="2878">
      <c r="AI2878" s="80"/>
    </row>
    <row r="2879">
      <c r="AI2879" s="80"/>
    </row>
    <row r="2880">
      <c r="AI2880" s="80"/>
    </row>
    <row r="2881">
      <c r="AI2881" s="80"/>
    </row>
    <row r="2882">
      <c r="AI2882" s="80"/>
    </row>
    <row r="2883">
      <c r="AI2883" s="80"/>
    </row>
    <row r="2884">
      <c r="AI2884" s="80"/>
    </row>
    <row r="2885">
      <c r="AI2885" s="80"/>
    </row>
    <row r="2886">
      <c r="AI2886" s="80"/>
    </row>
    <row r="2887">
      <c r="AI2887" s="80"/>
    </row>
    <row r="2888">
      <c r="AI2888" s="80"/>
    </row>
    <row r="2889">
      <c r="AI2889" s="80"/>
    </row>
    <row r="2890">
      <c r="AI2890" s="80"/>
    </row>
    <row r="2891">
      <c r="AI2891" s="80"/>
    </row>
    <row r="2892">
      <c r="AI2892" s="80"/>
    </row>
    <row r="2893">
      <c r="AI2893" s="80"/>
    </row>
    <row r="2894">
      <c r="AI2894" s="80"/>
    </row>
    <row r="2895">
      <c r="AI2895" s="80"/>
    </row>
    <row r="2896">
      <c r="AI2896" s="80"/>
    </row>
    <row r="2897">
      <c r="AI2897" s="80"/>
    </row>
    <row r="2898">
      <c r="AI2898" s="80"/>
    </row>
    <row r="2899">
      <c r="AI2899" s="80"/>
    </row>
    <row r="2900">
      <c r="AI2900" s="80"/>
    </row>
    <row r="2901">
      <c r="AI2901" s="80"/>
    </row>
    <row r="2902">
      <c r="AI2902" s="80"/>
    </row>
    <row r="2903">
      <c r="AI2903" s="80"/>
    </row>
    <row r="2904">
      <c r="AI2904" s="80"/>
    </row>
    <row r="2905">
      <c r="AI2905" s="80"/>
    </row>
    <row r="2906">
      <c r="AI2906" s="80"/>
    </row>
    <row r="2907">
      <c r="AI2907" s="80"/>
    </row>
    <row r="2908">
      <c r="AI2908" s="80"/>
    </row>
    <row r="2909">
      <c r="AI2909" s="80"/>
    </row>
    <row r="2910">
      <c r="AI2910" s="80"/>
    </row>
    <row r="2911">
      <c r="AI2911" s="80"/>
    </row>
    <row r="2912">
      <c r="AI2912" s="80"/>
    </row>
    <row r="2913">
      <c r="AI2913" s="80"/>
    </row>
    <row r="2914">
      <c r="AI2914" s="80"/>
    </row>
    <row r="2915">
      <c r="AI2915" s="80"/>
    </row>
    <row r="2916">
      <c r="AI2916" s="80"/>
    </row>
    <row r="2917">
      <c r="AI2917" s="80"/>
    </row>
    <row r="2918">
      <c r="AI2918" s="80"/>
    </row>
    <row r="2919">
      <c r="AI2919" s="80"/>
    </row>
    <row r="2920">
      <c r="AI2920" s="80"/>
    </row>
    <row r="2921">
      <c r="AI2921" s="80"/>
    </row>
    <row r="2922">
      <c r="AI2922" s="80"/>
    </row>
    <row r="2923">
      <c r="AI2923" s="80"/>
    </row>
    <row r="2924">
      <c r="AI2924" s="80"/>
    </row>
    <row r="2925">
      <c r="AI2925" s="80"/>
    </row>
    <row r="2926">
      <c r="AI2926" s="80"/>
    </row>
    <row r="2927">
      <c r="AI2927" s="80"/>
    </row>
    <row r="2928">
      <c r="AI2928" s="80"/>
    </row>
    <row r="2929">
      <c r="AI2929" s="80"/>
    </row>
    <row r="2930">
      <c r="AI2930" s="80"/>
    </row>
    <row r="2931">
      <c r="AI2931" s="80"/>
    </row>
    <row r="2932">
      <c r="AI2932" s="80"/>
    </row>
    <row r="2933">
      <c r="AI2933" s="80"/>
    </row>
    <row r="2934">
      <c r="AI2934" s="80"/>
    </row>
    <row r="2935">
      <c r="AI2935" s="80"/>
    </row>
    <row r="2936">
      <c r="AI2936" s="80"/>
    </row>
    <row r="2937">
      <c r="AI2937" s="80"/>
    </row>
    <row r="2938">
      <c r="AI2938" s="80"/>
    </row>
    <row r="2939">
      <c r="AI2939" s="80"/>
    </row>
    <row r="2940">
      <c r="AI2940" s="80"/>
    </row>
    <row r="2941">
      <c r="AI2941" s="80"/>
    </row>
    <row r="2942">
      <c r="AI2942" s="80"/>
    </row>
    <row r="2943">
      <c r="AI2943" s="80"/>
    </row>
    <row r="2944">
      <c r="AI2944" s="80"/>
    </row>
    <row r="2945">
      <c r="AI2945" s="80"/>
    </row>
    <row r="2946">
      <c r="AI2946" s="80"/>
    </row>
    <row r="2947">
      <c r="AI2947" s="80"/>
    </row>
    <row r="2948">
      <c r="AI2948" s="80"/>
    </row>
    <row r="2949">
      <c r="AI2949" s="80"/>
    </row>
    <row r="2950">
      <c r="AI2950" s="80"/>
    </row>
    <row r="2951">
      <c r="AI2951" s="80"/>
    </row>
    <row r="2952">
      <c r="AI2952" s="80"/>
    </row>
    <row r="2953">
      <c r="AI2953" s="80"/>
    </row>
    <row r="2954">
      <c r="AI2954" s="80"/>
    </row>
    <row r="2955">
      <c r="AI2955" s="80"/>
    </row>
    <row r="2956">
      <c r="AI2956" s="80"/>
    </row>
    <row r="2957">
      <c r="AI2957" s="80"/>
    </row>
    <row r="2958">
      <c r="AI2958" s="80"/>
    </row>
    <row r="2959">
      <c r="AI2959" s="80"/>
    </row>
    <row r="2960">
      <c r="AI2960" s="80"/>
    </row>
    <row r="2961">
      <c r="AI2961" s="80"/>
    </row>
    <row r="2962">
      <c r="AI2962" s="80"/>
    </row>
    <row r="2963">
      <c r="AI2963" s="80"/>
    </row>
    <row r="2964">
      <c r="AI2964" s="80"/>
    </row>
    <row r="2965">
      <c r="AI2965" s="80"/>
    </row>
    <row r="2966">
      <c r="AI2966" s="80"/>
    </row>
    <row r="2967">
      <c r="AI2967" s="80"/>
    </row>
    <row r="2968">
      <c r="AI2968" s="80"/>
    </row>
    <row r="2969">
      <c r="AI2969" s="80"/>
    </row>
    <row r="2970">
      <c r="AI2970" s="80"/>
    </row>
    <row r="2971">
      <c r="AI2971" s="80"/>
    </row>
    <row r="2972">
      <c r="AI2972" s="80"/>
    </row>
    <row r="2973">
      <c r="AI2973" s="80"/>
    </row>
    <row r="2974">
      <c r="AI2974" s="80"/>
    </row>
    <row r="2975">
      <c r="AI2975" s="80"/>
    </row>
    <row r="2976">
      <c r="AI2976" s="80"/>
    </row>
    <row r="2977">
      <c r="AI2977" s="80"/>
    </row>
    <row r="2978">
      <c r="AI2978" s="80"/>
    </row>
    <row r="2979">
      <c r="AI2979" s="80"/>
    </row>
    <row r="2980">
      <c r="AI2980" s="80"/>
    </row>
    <row r="2981">
      <c r="AI2981" s="80"/>
    </row>
    <row r="2982">
      <c r="AI2982" s="80"/>
    </row>
    <row r="2983">
      <c r="AI2983" s="80"/>
    </row>
    <row r="2984">
      <c r="AI2984" s="80"/>
    </row>
    <row r="2985">
      <c r="AI2985" s="80"/>
    </row>
    <row r="2986">
      <c r="AI2986" s="80"/>
    </row>
    <row r="2987">
      <c r="AI2987" s="80"/>
    </row>
    <row r="2988">
      <c r="AI2988" s="80"/>
    </row>
    <row r="2989">
      <c r="AI2989" s="80"/>
    </row>
    <row r="2990">
      <c r="AI2990" s="80"/>
    </row>
    <row r="2991">
      <c r="AI2991" s="80"/>
    </row>
    <row r="2992">
      <c r="AI2992" s="80"/>
    </row>
    <row r="2993">
      <c r="AI2993" s="80"/>
    </row>
    <row r="2994">
      <c r="AI2994" s="80"/>
    </row>
    <row r="2995">
      <c r="AI2995" s="80"/>
    </row>
    <row r="2996">
      <c r="AI2996" s="80"/>
    </row>
    <row r="2997">
      <c r="AI2997" s="80"/>
    </row>
    <row r="2998">
      <c r="AI2998" s="80"/>
    </row>
    <row r="2999">
      <c r="AI2999" s="80"/>
    </row>
    <row r="3000">
      <c r="AI3000" s="80"/>
    </row>
    <row r="3001">
      <c r="AI3001" s="80"/>
    </row>
    <row r="3002">
      <c r="AI3002" s="80"/>
    </row>
    <row r="3003">
      <c r="AI3003" s="80"/>
    </row>
    <row r="3004">
      <c r="AI3004" s="80"/>
    </row>
    <row r="3005">
      <c r="AI3005" s="80"/>
    </row>
    <row r="3006">
      <c r="AI3006" s="80"/>
    </row>
    <row r="3007">
      <c r="AI3007" s="80"/>
    </row>
    <row r="3008">
      <c r="AI3008" s="80"/>
    </row>
    <row r="3009">
      <c r="AI3009" s="80"/>
    </row>
    <row r="3010">
      <c r="AI3010" s="80"/>
    </row>
    <row r="3011">
      <c r="AI3011" s="80"/>
    </row>
    <row r="3012">
      <c r="AI3012" s="80"/>
    </row>
    <row r="3013">
      <c r="AI3013" s="80"/>
    </row>
    <row r="3014">
      <c r="AI3014" s="80"/>
    </row>
    <row r="3015">
      <c r="AI3015" s="80"/>
    </row>
    <row r="3016">
      <c r="AI3016" s="80"/>
    </row>
    <row r="3017">
      <c r="AI3017" s="80"/>
    </row>
    <row r="3018">
      <c r="AI3018" s="80"/>
    </row>
    <row r="3019">
      <c r="AI3019" s="80"/>
    </row>
    <row r="3020">
      <c r="AI3020" s="80"/>
    </row>
    <row r="3021">
      <c r="AI3021" s="80"/>
    </row>
    <row r="3022">
      <c r="AI3022" s="80"/>
    </row>
    <row r="3023">
      <c r="AI3023" s="80"/>
    </row>
    <row r="3024">
      <c r="AI3024" s="80"/>
    </row>
    <row r="3025">
      <c r="AI3025" s="80"/>
    </row>
    <row r="3026">
      <c r="AI3026" s="80"/>
    </row>
    <row r="3027">
      <c r="AI3027" s="80"/>
    </row>
    <row r="3028">
      <c r="AI3028" s="80"/>
    </row>
    <row r="3029">
      <c r="AI3029" s="80"/>
    </row>
    <row r="3030">
      <c r="AI3030" s="80"/>
    </row>
    <row r="3031">
      <c r="AI3031" s="80"/>
    </row>
    <row r="3032">
      <c r="AI3032" s="80"/>
    </row>
    <row r="3033">
      <c r="AI3033" s="80"/>
    </row>
    <row r="3034">
      <c r="AI3034" s="80"/>
    </row>
    <row r="3035">
      <c r="AI3035" s="80"/>
    </row>
    <row r="3036">
      <c r="AI3036" s="80"/>
    </row>
    <row r="3037">
      <c r="AI3037" s="80"/>
    </row>
    <row r="3038">
      <c r="AI3038" s="80"/>
    </row>
    <row r="3039">
      <c r="AI3039" s="80"/>
    </row>
    <row r="3040">
      <c r="AI3040" s="80"/>
    </row>
    <row r="3041">
      <c r="AI3041" s="80"/>
    </row>
    <row r="3042">
      <c r="AI3042" s="80"/>
    </row>
    <row r="3043">
      <c r="AI3043" s="80"/>
    </row>
    <row r="3044">
      <c r="AI3044" s="80"/>
    </row>
    <row r="3045">
      <c r="AI3045" s="80"/>
    </row>
    <row r="3046">
      <c r="AI3046" s="80"/>
    </row>
    <row r="3047">
      <c r="AI3047" s="80"/>
    </row>
    <row r="3048">
      <c r="AI3048" s="80"/>
    </row>
    <row r="3049">
      <c r="AI3049" s="80"/>
    </row>
    <row r="3050">
      <c r="AI3050" s="80"/>
    </row>
    <row r="3051">
      <c r="AI3051" s="80"/>
    </row>
    <row r="3052">
      <c r="AI3052" s="80"/>
    </row>
    <row r="3053">
      <c r="AI3053" s="80"/>
    </row>
    <row r="3054">
      <c r="AI3054" s="80"/>
    </row>
    <row r="3055">
      <c r="AI3055" s="80"/>
    </row>
    <row r="3056">
      <c r="AI3056" s="80"/>
    </row>
    <row r="3057">
      <c r="AI3057" s="80"/>
    </row>
    <row r="3058">
      <c r="AI3058" s="80"/>
    </row>
    <row r="3059">
      <c r="AI3059" s="80"/>
    </row>
    <row r="3060">
      <c r="AI3060" s="80"/>
    </row>
    <row r="3061">
      <c r="AI3061" s="80"/>
    </row>
    <row r="3062">
      <c r="AI3062" s="80"/>
    </row>
    <row r="3063">
      <c r="AI3063" s="80"/>
    </row>
    <row r="3064">
      <c r="AI3064" s="80"/>
    </row>
    <row r="3065">
      <c r="AI3065" s="80"/>
    </row>
    <row r="3066">
      <c r="AI3066" s="80"/>
    </row>
    <row r="3067">
      <c r="AI3067" s="80"/>
    </row>
    <row r="3068">
      <c r="AI3068" s="80"/>
    </row>
    <row r="3069">
      <c r="AI3069" s="80"/>
    </row>
    <row r="3070">
      <c r="AI3070" s="80"/>
    </row>
    <row r="3071">
      <c r="AI3071" s="80"/>
    </row>
    <row r="3072">
      <c r="AI3072" s="80"/>
    </row>
    <row r="3073">
      <c r="AI3073" s="80"/>
    </row>
    <row r="3074">
      <c r="AI3074" s="80"/>
    </row>
    <row r="3075">
      <c r="AI3075" s="80"/>
    </row>
    <row r="3076">
      <c r="AI3076" s="80"/>
    </row>
    <row r="3077">
      <c r="AI3077" s="80"/>
    </row>
    <row r="3078">
      <c r="AI3078" s="80"/>
    </row>
    <row r="3079">
      <c r="AI3079" s="80"/>
    </row>
    <row r="3080">
      <c r="AI3080" s="80"/>
    </row>
    <row r="3081">
      <c r="AI3081" s="80"/>
    </row>
    <row r="3082">
      <c r="AI3082" s="80"/>
    </row>
    <row r="3083">
      <c r="AI3083" s="80"/>
    </row>
    <row r="3084">
      <c r="AI3084" s="80"/>
    </row>
    <row r="3085">
      <c r="AI3085" s="80"/>
    </row>
    <row r="3086">
      <c r="AI3086" s="80"/>
    </row>
    <row r="3087">
      <c r="AI3087" s="80"/>
    </row>
    <row r="3088">
      <c r="AI3088" s="80"/>
    </row>
    <row r="3089">
      <c r="AI3089" s="80"/>
    </row>
    <row r="3090">
      <c r="AI3090" s="80"/>
    </row>
    <row r="3091">
      <c r="AI3091" s="80"/>
    </row>
    <row r="3092">
      <c r="AI3092" s="80"/>
    </row>
    <row r="3093">
      <c r="AI3093" s="80"/>
    </row>
    <row r="3094">
      <c r="AI3094" s="80"/>
    </row>
    <row r="3095">
      <c r="AI3095" s="80"/>
    </row>
    <row r="3096">
      <c r="AI3096" s="80"/>
    </row>
    <row r="3097">
      <c r="AI3097" s="80"/>
    </row>
    <row r="3098">
      <c r="AI3098" s="80"/>
    </row>
    <row r="3099">
      <c r="AI3099" s="80"/>
    </row>
    <row r="3100">
      <c r="AI3100" s="80"/>
    </row>
    <row r="3101">
      <c r="AI3101" s="80"/>
    </row>
    <row r="3102">
      <c r="AI3102" s="80"/>
    </row>
    <row r="3103">
      <c r="AI3103" s="80"/>
    </row>
    <row r="3104">
      <c r="AI3104" s="80"/>
    </row>
    <row r="3105">
      <c r="AI3105" s="80"/>
    </row>
    <row r="3106">
      <c r="AI3106" s="80"/>
    </row>
    <row r="3107">
      <c r="AI3107" s="80"/>
    </row>
    <row r="3108">
      <c r="AI3108" s="80"/>
    </row>
    <row r="3109">
      <c r="AI3109" s="80"/>
    </row>
    <row r="3110">
      <c r="AI3110" s="80"/>
    </row>
    <row r="3111">
      <c r="AI3111" s="80"/>
    </row>
    <row r="3112">
      <c r="AI3112" s="80"/>
    </row>
    <row r="3113">
      <c r="AI3113" s="80"/>
    </row>
    <row r="3114">
      <c r="AI3114" s="80"/>
    </row>
    <row r="3115">
      <c r="AI3115" s="80"/>
    </row>
    <row r="3116">
      <c r="AI3116" s="80"/>
    </row>
    <row r="3117">
      <c r="AI3117" s="80"/>
    </row>
    <row r="3118">
      <c r="AI3118" s="80"/>
    </row>
    <row r="3119">
      <c r="AI3119" s="80"/>
    </row>
    <row r="3120">
      <c r="AI3120" s="80"/>
    </row>
    <row r="3121">
      <c r="AI3121" s="80"/>
    </row>
    <row r="3122">
      <c r="AI3122" s="80"/>
    </row>
    <row r="3123">
      <c r="AI3123" s="80"/>
    </row>
    <row r="3124">
      <c r="AI3124" s="80"/>
    </row>
    <row r="3125">
      <c r="AI3125" s="80"/>
    </row>
    <row r="3126">
      <c r="AI3126" s="80"/>
    </row>
    <row r="3127">
      <c r="AI3127" s="80"/>
    </row>
    <row r="3128">
      <c r="AI3128" s="80"/>
    </row>
    <row r="3129">
      <c r="AI3129" s="80"/>
    </row>
    <row r="3130">
      <c r="AI3130" s="80"/>
    </row>
    <row r="3131">
      <c r="AI3131" s="80"/>
    </row>
    <row r="3132">
      <c r="AI3132" s="80"/>
    </row>
    <row r="3133">
      <c r="AI3133" s="80"/>
    </row>
    <row r="3134">
      <c r="AI3134" s="80"/>
    </row>
    <row r="3135">
      <c r="AI3135" s="80"/>
    </row>
    <row r="3136">
      <c r="AI3136" s="80"/>
    </row>
    <row r="3137">
      <c r="AI3137" s="80"/>
    </row>
    <row r="3138">
      <c r="AI3138" s="80"/>
    </row>
    <row r="3139">
      <c r="AI3139" s="80"/>
    </row>
    <row r="3140">
      <c r="AI3140" s="80"/>
    </row>
    <row r="3141">
      <c r="AI3141" s="80"/>
    </row>
    <row r="3142">
      <c r="AI3142" s="80"/>
    </row>
    <row r="3143">
      <c r="AI3143" s="80"/>
    </row>
    <row r="3144">
      <c r="AI3144" s="80"/>
    </row>
    <row r="3145">
      <c r="AI3145" s="80"/>
    </row>
    <row r="3146">
      <c r="AI3146" s="80"/>
    </row>
    <row r="3147">
      <c r="AI3147" s="80"/>
    </row>
    <row r="3148">
      <c r="AI3148" s="80"/>
    </row>
    <row r="3149">
      <c r="AI3149" s="80"/>
    </row>
    <row r="3150">
      <c r="AI3150" s="80"/>
    </row>
    <row r="3151">
      <c r="AI3151" s="80"/>
    </row>
    <row r="3152">
      <c r="AI3152" s="80"/>
    </row>
    <row r="3153">
      <c r="AI3153" s="80"/>
    </row>
    <row r="3154">
      <c r="AI3154" s="80"/>
    </row>
    <row r="3155">
      <c r="AI3155" s="80"/>
    </row>
    <row r="3156">
      <c r="AI3156" s="80"/>
    </row>
    <row r="3157">
      <c r="AI3157" s="80"/>
    </row>
    <row r="3158">
      <c r="AI3158" s="80"/>
    </row>
    <row r="3159">
      <c r="AI3159" s="80"/>
    </row>
    <row r="3160">
      <c r="AI3160" s="80"/>
    </row>
    <row r="3161">
      <c r="AI3161" s="80"/>
    </row>
    <row r="3162">
      <c r="AI3162" s="80"/>
    </row>
    <row r="3163">
      <c r="AI3163" s="80"/>
    </row>
    <row r="3164">
      <c r="AI3164" s="80"/>
    </row>
    <row r="3165">
      <c r="AI3165" s="80"/>
    </row>
    <row r="3166">
      <c r="AI3166" s="80"/>
    </row>
    <row r="3167">
      <c r="AI3167" s="80"/>
    </row>
    <row r="3168">
      <c r="AI3168" s="80"/>
    </row>
    <row r="3169">
      <c r="AI3169" s="80"/>
    </row>
    <row r="3170">
      <c r="AI3170" s="80"/>
    </row>
    <row r="3171">
      <c r="AI3171" s="80"/>
    </row>
    <row r="3172">
      <c r="AI3172" s="80"/>
    </row>
    <row r="3173">
      <c r="AI3173" s="80"/>
    </row>
    <row r="3174">
      <c r="AI3174" s="80"/>
    </row>
    <row r="3175">
      <c r="AI3175" s="80"/>
    </row>
    <row r="3176">
      <c r="AI3176" s="80"/>
    </row>
    <row r="3177">
      <c r="AI3177" s="80"/>
    </row>
    <row r="3178">
      <c r="AI3178" s="80"/>
    </row>
    <row r="3179">
      <c r="AI3179" s="80"/>
    </row>
    <row r="3180">
      <c r="AI3180" s="80"/>
    </row>
    <row r="3181">
      <c r="AI3181" s="80"/>
    </row>
    <row r="3182">
      <c r="AI3182" s="80"/>
    </row>
    <row r="3183">
      <c r="AI3183" s="80"/>
    </row>
    <row r="3184">
      <c r="AI3184" s="80"/>
    </row>
    <row r="3185">
      <c r="AI3185" s="80"/>
    </row>
    <row r="3186">
      <c r="AI3186" s="80"/>
    </row>
    <row r="3187">
      <c r="AI3187" s="80"/>
    </row>
    <row r="3188">
      <c r="AI3188" s="80"/>
    </row>
    <row r="3189">
      <c r="AI3189" s="80"/>
    </row>
    <row r="3190">
      <c r="AI3190" s="80"/>
    </row>
    <row r="3191">
      <c r="AI3191" s="80"/>
    </row>
    <row r="3192">
      <c r="AI3192" s="80"/>
    </row>
    <row r="3193">
      <c r="AI3193" s="80"/>
    </row>
    <row r="3194">
      <c r="AI3194" s="80"/>
    </row>
    <row r="3195">
      <c r="AI3195" s="80"/>
    </row>
    <row r="3196">
      <c r="AI3196" s="80"/>
    </row>
    <row r="3197">
      <c r="AI3197" s="80"/>
    </row>
    <row r="3198">
      <c r="AI3198" s="80"/>
    </row>
    <row r="3199">
      <c r="AI3199" s="80"/>
    </row>
    <row r="3200">
      <c r="AI3200" s="80"/>
    </row>
    <row r="3201">
      <c r="AI3201" s="80"/>
    </row>
    <row r="3202">
      <c r="AI3202" s="80"/>
    </row>
    <row r="3203">
      <c r="AI3203" s="80"/>
    </row>
    <row r="3204">
      <c r="AI3204" s="80"/>
    </row>
    <row r="3205">
      <c r="AI3205" s="80"/>
    </row>
    <row r="3206">
      <c r="AI3206" s="80"/>
    </row>
    <row r="3207">
      <c r="AI3207" s="80"/>
    </row>
    <row r="3208">
      <c r="AI3208" s="80"/>
    </row>
    <row r="3209">
      <c r="AI3209" s="80"/>
    </row>
    <row r="3210">
      <c r="AI3210" s="80"/>
    </row>
    <row r="3211">
      <c r="AI3211" s="80"/>
    </row>
    <row r="3212">
      <c r="AI3212" s="80"/>
    </row>
    <row r="3213">
      <c r="AI3213" s="80"/>
    </row>
    <row r="3214">
      <c r="AI3214" s="80"/>
    </row>
    <row r="3215">
      <c r="AI3215" s="80"/>
    </row>
    <row r="3216">
      <c r="AI3216" s="80"/>
    </row>
    <row r="3217">
      <c r="AI3217" s="80"/>
    </row>
    <row r="3218">
      <c r="AI3218" s="80"/>
    </row>
    <row r="3219">
      <c r="AI3219" s="80"/>
    </row>
    <row r="3220">
      <c r="AI3220" s="80"/>
    </row>
    <row r="3221">
      <c r="AI3221" s="80"/>
    </row>
    <row r="3222">
      <c r="AI3222" s="80"/>
    </row>
    <row r="3223">
      <c r="AI3223" s="80"/>
    </row>
    <row r="3224">
      <c r="AI3224" s="80"/>
    </row>
    <row r="3225">
      <c r="AI3225" s="80"/>
    </row>
    <row r="3226">
      <c r="AI3226" s="80"/>
    </row>
    <row r="3227">
      <c r="AI3227" s="80"/>
    </row>
    <row r="3228">
      <c r="AI3228" s="80"/>
    </row>
    <row r="3229">
      <c r="AI3229" s="80"/>
    </row>
    <row r="3230">
      <c r="AI3230" s="80"/>
    </row>
    <row r="3231">
      <c r="AI3231" s="80"/>
    </row>
    <row r="3232">
      <c r="AI3232" s="80"/>
    </row>
    <row r="3233">
      <c r="AI3233" s="80"/>
    </row>
    <row r="3234">
      <c r="AI3234" s="80"/>
    </row>
    <row r="3235">
      <c r="AI3235" s="80"/>
    </row>
    <row r="3236">
      <c r="AI3236" s="80"/>
    </row>
    <row r="3237">
      <c r="AI3237" s="80"/>
    </row>
    <row r="3238">
      <c r="AI3238" s="80"/>
    </row>
    <row r="3239">
      <c r="AI3239" s="80"/>
    </row>
    <row r="3240">
      <c r="AI3240" s="80"/>
    </row>
    <row r="3241">
      <c r="AI3241" s="80"/>
    </row>
    <row r="3242">
      <c r="AI3242" s="80"/>
    </row>
    <row r="3243">
      <c r="AI3243" s="80"/>
    </row>
    <row r="3244">
      <c r="AI3244" s="80"/>
    </row>
    <row r="3245">
      <c r="AI3245" s="80"/>
    </row>
    <row r="3246">
      <c r="AI3246" s="80"/>
    </row>
    <row r="3247">
      <c r="AI3247" s="80"/>
    </row>
    <row r="3248">
      <c r="AI3248" s="80"/>
    </row>
    <row r="3249">
      <c r="AI3249" s="80"/>
    </row>
    <row r="3250">
      <c r="AI3250" s="80"/>
    </row>
    <row r="3251">
      <c r="AI3251" s="80"/>
    </row>
    <row r="3252">
      <c r="AI3252" s="80"/>
    </row>
    <row r="3253">
      <c r="AI3253" s="80"/>
    </row>
    <row r="3254">
      <c r="AI3254" s="80"/>
    </row>
    <row r="3255">
      <c r="AI3255" s="80"/>
    </row>
    <row r="3256">
      <c r="AI3256" s="80"/>
    </row>
    <row r="3257">
      <c r="AI3257" s="80"/>
    </row>
    <row r="3258">
      <c r="AI3258" s="80"/>
    </row>
    <row r="3259">
      <c r="AI3259" s="80"/>
    </row>
    <row r="3260">
      <c r="AI3260" s="80"/>
    </row>
    <row r="3261">
      <c r="AI3261" s="80"/>
    </row>
    <row r="3262">
      <c r="AI3262" s="80"/>
    </row>
    <row r="3263">
      <c r="AI3263" s="80"/>
    </row>
    <row r="3264">
      <c r="AI3264" s="80"/>
    </row>
    <row r="3265">
      <c r="AI3265" s="80"/>
    </row>
    <row r="3266">
      <c r="AI3266" s="80"/>
    </row>
    <row r="3267">
      <c r="AI3267" s="80"/>
    </row>
    <row r="3268">
      <c r="AI3268" s="80"/>
    </row>
    <row r="3269">
      <c r="AI3269" s="80"/>
    </row>
    <row r="3270">
      <c r="AI3270" s="80"/>
    </row>
    <row r="3271">
      <c r="AI3271" s="80"/>
    </row>
    <row r="3272">
      <c r="AI3272" s="80"/>
    </row>
    <row r="3273">
      <c r="AI3273" s="80"/>
    </row>
    <row r="3274">
      <c r="AI3274" s="80"/>
    </row>
    <row r="3275">
      <c r="AI3275" s="80"/>
    </row>
    <row r="3276">
      <c r="AI3276" s="80"/>
    </row>
    <row r="3277">
      <c r="AI3277" s="80"/>
    </row>
    <row r="3278">
      <c r="AI3278" s="80"/>
    </row>
    <row r="3279">
      <c r="AI3279" s="80"/>
    </row>
    <row r="3280">
      <c r="AI3280" s="80"/>
    </row>
    <row r="3281">
      <c r="AI3281" s="80"/>
    </row>
    <row r="3282">
      <c r="AI3282" s="80"/>
    </row>
    <row r="3283">
      <c r="AI3283" s="80"/>
    </row>
    <row r="3284">
      <c r="AI3284" s="80"/>
    </row>
    <row r="3285">
      <c r="AI3285" s="80"/>
    </row>
    <row r="3286">
      <c r="AI3286" s="80"/>
    </row>
    <row r="3287">
      <c r="AI3287" s="80"/>
    </row>
    <row r="3288">
      <c r="AI3288" s="80"/>
    </row>
    <row r="3289">
      <c r="AI3289" s="80"/>
    </row>
    <row r="3290">
      <c r="AI3290" s="80"/>
    </row>
    <row r="3291">
      <c r="AI3291" s="80"/>
    </row>
    <row r="3292">
      <c r="AI3292" s="80"/>
    </row>
    <row r="3293">
      <c r="AI3293" s="80"/>
    </row>
    <row r="3294">
      <c r="AI3294" s="80"/>
    </row>
    <row r="3295">
      <c r="AI3295" s="80"/>
    </row>
    <row r="3296">
      <c r="AI3296" s="80"/>
    </row>
    <row r="3297">
      <c r="AI3297" s="80"/>
    </row>
    <row r="3298">
      <c r="AI3298" s="80"/>
    </row>
    <row r="3299">
      <c r="AI3299" s="80"/>
    </row>
    <row r="3300">
      <c r="AI3300" s="80"/>
    </row>
    <row r="3301">
      <c r="AI3301" s="80"/>
    </row>
    <row r="3302">
      <c r="AI3302" s="80"/>
    </row>
    <row r="3303">
      <c r="AI3303" s="80"/>
    </row>
    <row r="3304">
      <c r="AI3304" s="80"/>
    </row>
    <row r="3305">
      <c r="AI3305" s="80"/>
    </row>
    <row r="3306">
      <c r="AI3306" s="80"/>
    </row>
    <row r="3307">
      <c r="AI3307" s="80"/>
    </row>
    <row r="3308">
      <c r="AI3308" s="80"/>
    </row>
    <row r="3309">
      <c r="AI3309" s="80"/>
    </row>
    <row r="3310">
      <c r="AI3310" s="80"/>
    </row>
    <row r="3311">
      <c r="AI3311" s="80"/>
    </row>
    <row r="3312">
      <c r="AI3312" s="80"/>
    </row>
    <row r="3313">
      <c r="AI3313" s="80"/>
    </row>
    <row r="3314">
      <c r="AI3314" s="80"/>
    </row>
    <row r="3315">
      <c r="AI3315" s="80"/>
    </row>
    <row r="3316">
      <c r="AI3316" s="80"/>
    </row>
    <row r="3317">
      <c r="AI3317" s="80"/>
    </row>
    <row r="3318">
      <c r="AI3318" s="80"/>
    </row>
    <row r="3319">
      <c r="AI3319" s="80"/>
    </row>
    <row r="3320">
      <c r="AI3320" s="80"/>
    </row>
    <row r="3321">
      <c r="AI3321" s="80"/>
    </row>
    <row r="3322">
      <c r="AI3322" s="80"/>
    </row>
    <row r="3323">
      <c r="AI3323" s="80"/>
    </row>
    <row r="3324">
      <c r="AI3324" s="80"/>
    </row>
    <row r="3325">
      <c r="AI3325" s="80"/>
    </row>
    <row r="3326">
      <c r="AI3326" s="80"/>
    </row>
    <row r="3327">
      <c r="AI3327" s="80"/>
    </row>
    <row r="3328">
      <c r="AI3328" s="80"/>
    </row>
    <row r="3329">
      <c r="AI3329" s="80"/>
    </row>
    <row r="3330">
      <c r="AI3330" s="80"/>
    </row>
    <row r="3331">
      <c r="AI3331" s="80"/>
    </row>
    <row r="3332">
      <c r="AI3332" s="80"/>
    </row>
    <row r="3333">
      <c r="AI3333" s="80"/>
    </row>
    <row r="3334">
      <c r="AI3334" s="80"/>
    </row>
    <row r="3335">
      <c r="AI3335" s="80"/>
    </row>
    <row r="3336">
      <c r="AI3336" s="80"/>
    </row>
    <row r="3337">
      <c r="AI3337" s="80"/>
    </row>
    <row r="3338">
      <c r="AI3338" s="80"/>
    </row>
    <row r="3339">
      <c r="AI3339" s="80"/>
    </row>
    <row r="3340">
      <c r="AI3340" s="80"/>
    </row>
    <row r="3341">
      <c r="AI3341" s="80"/>
    </row>
    <row r="3342">
      <c r="AI3342" s="80"/>
    </row>
    <row r="3343">
      <c r="AI3343" s="80"/>
    </row>
    <row r="3344">
      <c r="AI3344" s="80"/>
    </row>
    <row r="3345">
      <c r="AI3345" s="80"/>
    </row>
    <row r="3346">
      <c r="AI3346" s="80"/>
    </row>
    <row r="3347">
      <c r="AI3347" s="80"/>
    </row>
    <row r="3348">
      <c r="AI3348" s="80"/>
    </row>
    <row r="3349">
      <c r="AI3349" s="80"/>
    </row>
    <row r="3350">
      <c r="AI3350" s="80"/>
    </row>
    <row r="3351">
      <c r="AI3351" s="80"/>
    </row>
    <row r="3352">
      <c r="AI3352" s="80"/>
    </row>
    <row r="3353">
      <c r="AI3353" s="80"/>
    </row>
    <row r="3354">
      <c r="AI3354" s="80"/>
    </row>
    <row r="3355">
      <c r="AI3355" s="80"/>
    </row>
    <row r="3356">
      <c r="AI3356" s="80"/>
    </row>
    <row r="3357">
      <c r="AI3357" s="80"/>
    </row>
    <row r="3358">
      <c r="AI3358" s="80"/>
    </row>
    <row r="3359">
      <c r="AI3359" s="80"/>
    </row>
    <row r="3360">
      <c r="AI3360" s="80"/>
    </row>
    <row r="3361">
      <c r="AI3361" s="80"/>
    </row>
    <row r="3362">
      <c r="AI3362" s="80"/>
    </row>
    <row r="3363">
      <c r="AI3363" s="80"/>
    </row>
    <row r="3364">
      <c r="AI3364" s="80"/>
    </row>
    <row r="3365">
      <c r="AI3365" s="80"/>
    </row>
    <row r="3366">
      <c r="AI3366" s="80"/>
    </row>
    <row r="3367">
      <c r="AI3367" s="80"/>
    </row>
    <row r="3368">
      <c r="AI3368" s="80"/>
    </row>
    <row r="3369">
      <c r="AI3369" s="80"/>
    </row>
    <row r="3370">
      <c r="AI3370" s="80"/>
    </row>
    <row r="3371">
      <c r="AI3371" s="80"/>
    </row>
    <row r="3372">
      <c r="AI3372" s="80"/>
    </row>
    <row r="3373">
      <c r="AI3373" s="80"/>
    </row>
    <row r="3374">
      <c r="AI3374" s="80"/>
    </row>
    <row r="3375">
      <c r="AI3375" s="80"/>
    </row>
    <row r="3376">
      <c r="AI3376" s="80"/>
    </row>
    <row r="3377">
      <c r="AI3377" s="80"/>
    </row>
    <row r="3378">
      <c r="AI3378" s="80"/>
    </row>
    <row r="3379">
      <c r="AI3379" s="80"/>
    </row>
    <row r="3380">
      <c r="AI3380" s="80"/>
    </row>
    <row r="3381">
      <c r="AI3381" s="80"/>
    </row>
    <row r="3382">
      <c r="AI3382" s="80"/>
    </row>
    <row r="3383">
      <c r="AI3383" s="80"/>
    </row>
    <row r="3384">
      <c r="AI3384" s="80"/>
    </row>
    <row r="3385">
      <c r="AI3385" s="80"/>
    </row>
    <row r="3386">
      <c r="AI3386" s="80"/>
    </row>
    <row r="3387">
      <c r="AI3387" s="80"/>
    </row>
    <row r="3388">
      <c r="AI3388" s="80"/>
    </row>
    <row r="3389">
      <c r="AI3389" s="80"/>
    </row>
    <row r="3390">
      <c r="AI3390" s="80"/>
    </row>
    <row r="3391">
      <c r="AI3391" s="80"/>
    </row>
    <row r="3392">
      <c r="AI3392" s="80"/>
    </row>
    <row r="3393">
      <c r="AI3393" s="80"/>
    </row>
    <row r="3394">
      <c r="AI3394" s="80"/>
    </row>
    <row r="3395">
      <c r="AI3395" s="80"/>
    </row>
    <row r="3396">
      <c r="AI3396" s="80"/>
    </row>
    <row r="3397">
      <c r="AI3397" s="80"/>
    </row>
    <row r="3398">
      <c r="AI3398" s="80"/>
    </row>
    <row r="3399">
      <c r="AI3399" s="80"/>
    </row>
    <row r="3400">
      <c r="AI3400" s="80"/>
    </row>
    <row r="3401">
      <c r="AI3401" s="80"/>
    </row>
    <row r="3402">
      <c r="AI3402" s="80"/>
    </row>
    <row r="3403">
      <c r="AI3403" s="80"/>
    </row>
    <row r="3404">
      <c r="AI3404" s="80"/>
    </row>
    <row r="3405">
      <c r="AI3405" s="80"/>
    </row>
    <row r="3406">
      <c r="AI3406" s="80"/>
    </row>
    <row r="3407">
      <c r="AI3407" s="80"/>
    </row>
    <row r="3408">
      <c r="AI3408" s="80"/>
    </row>
    <row r="3409">
      <c r="AI3409" s="80"/>
    </row>
    <row r="3410">
      <c r="AI3410" s="80"/>
    </row>
    <row r="3411">
      <c r="AI3411" s="80"/>
    </row>
    <row r="3412">
      <c r="AI3412" s="80"/>
    </row>
    <row r="3413">
      <c r="AI3413" s="80"/>
    </row>
    <row r="3414">
      <c r="AI3414" s="80"/>
    </row>
    <row r="3415">
      <c r="AI3415" s="80"/>
    </row>
    <row r="3416">
      <c r="AI3416" s="80"/>
    </row>
    <row r="3417">
      <c r="AI3417" s="80"/>
    </row>
    <row r="3418">
      <c r="AI3418" s="80"/>
    </row>
    <row r="3419">
      <c r="AI3419" s="80"/>
    </row>
    <row r="3420">
      <c r="AI3420" s="80"/>
    </row>
    <row r="3421">
      <c r="AI3421" s="80"/>
    </row>
    <row r="3422">
      <c r="AI3422" s="80"/>
    </row>
    <row r="3423">
      <c r="AI3423" s="80"/>
    </row>
    <row r="3424">
      <c r="AI3424" s="80"/>
    </row>
    <row r="3425">
      <c r="AI3425" s="80"/>
    </row>
    <row r="3426">
      <c r="AI3426" s="80"/>
    </row>
    <row r="3427">
      <c r="AI3427" s="80"/>
    </row>
    <row r="3428">
      <c r="AI3428" s="80"/>
    </row>
    <row r="3429">
      <c r="AI3429" s="80"/>
    </row>
    <row r="3430">
      <c r="AI3430" s="80"/>
    </row>
    <row r="3431">
      <c r="AI3431" s="80"/>
    </row>
    <row r="3432">
      <c r="AI3432" s="80"/>
    </row>
    <row r="3433">
      <c r="AI3433" s="80"/>
    </row>
    <row r="3434">
      <c r="AI3434" s="80"/>
    </row>
    <row r="3435">
      <c r="AI3435" s="80"/>
    </row>
    <row r="3436">
      <c r="AI3436" s="80"/>
    </row>
    <row r="3437">
      <c r="AI3437" s="80"/>
    </row>
    <row r="3438">
      <c r="AI3438" s="80"/>
    </row>
    <row r="3439">
      <c r="AI3439" s="80"/>
    </row>
    <row r="3440">
      <c r="AI3440" s="80"/>
    </row>
    <row r="3441">
      <c r="AI3441" s="80"/>
    </row>
    <row r="3442">
      <c r="AI3442" s="80"/>
    </row>
    <row r="3443">
      <c r="AI3443" s="80"/>
    </row>
    <row r="3444">
      <c r="AI3444" s="80"/>
    </row>
    <row r="3445">
      <c r="AI3445" s="80"/>
    </row>
    <row r="3446">
      <c r="AI3446" s="80"/>
    </row>
    <row r="3447">
      <c r="AI3447" s="80"/>
    </row>
    <row r="3448">
      <c r="AI3448" s="80"/>
    </row>
    <row r="3449">
      <c r="AI3449" s="80"/>
    </row>
    <row r="3450">
      <c r="AI3450" s="80"/>
    </row>
    <row r="3451">
      <c r="AI3451" s="80"/>
    </row>
    <row r="3452">
      <c r="AI3452" s="80"/>
    </row>
    <row r="3453">
      <c r="AI3453" s="80"/>
    </row>
    <row r="3454">
      <c r="AI3454" s="80"/>
    </row>
    <row r="3455">
      <c r="AI3455" s="80"/>
    </row>
    <row r="3456">
      <c r="AI3456" s="80"/>
    </row>
    <row r="3457">
      <c r="AI3457" s="80"/>
    </row>
    <row r="3458">
      <c r="AI3458" s="80"/>
    </row>
    <row r="3459">
      <c r="AI3459" s="80"/>
    </row>
    <row r="3460">
      <c r="AI3460" s="80"/>
    </row>
    <row r="3461">
      <c r="AI3461" s="80"/>
    </row>
    <row r="3462">
      <c r="AI3462" s="80"/>
    </row>
    <row r="3463">
      <c r="AI3463" s="80"/>
    </row>
    <row r="3464">
      <c r="AI3464" s="80"/>
    </row>
    <row r="3465">
      <c r="AI3465" s="80"/>
    </row>
    <row r="3466">
      <c r="AI3466" s="80"/>
    </row>
    <row r="3467">
      <c r="AI3467" s="80"/>
    </row>
    <row r="3468">
      <c r="AI3468" s="80"/>
    </row>
    <row r="3469">
      <c r="AI3469" s="80"/>
    </row>
    <row r="3470">
      <c r="AI3470" s="80"/>
    </row>
    <row r="3471">
      <c r="AI3471" s="80"/>
    </row>
    <row r="3472">
      <c r="AI3472" s="80"/>
    </row>
    <row r="3473">
      <c r="AI3473" s="80"/>
    </row>
    <row r="3474">
      <c r="AI3474" s="80"/>
    </row>
    <row r="3475">
      <c r="AI3475" s="80"/>
    </row>
    <row r="3476">
      <c r="AI3476" s="80"/>
    </row>
    <row r="3477">
      <c r="AI3477" s="80"/>
    </row>
    <row r="3478">
      <c r="AI3478" s="80"/>
    </row>
    <row r="3479">
      <c r="AI3479" s="80"/>
    </row>
    <row r="3480">
      <c r="AI3480" s="80"/>
    </row>
    <row r="3481">
      <c r="AI3481" s="80"/>
    </row>
    <row r="3482">
      <c r="AI3482" s="80"/>
    </row>
    <row r="3483">
      <c r="AI3483" s="80"/>
    </row>
    <row r="3484">
      <c r="AI3484" s="80"/>
    </row>
    <row r="3485">
      <c r="AI3485" s="80"/>
    </row>
    <row r="3486">
      <c r="AI3486" s="80"/>
    </row>
    <row r="3487">
      <c r="AI3487" s="80"/>
    </row>
    <row r="3488">
      <c r="AI3488" s="80"/>
    </row>
    <row r="3489">
      <c r="AI3489" s="80"/>
    </row>
    <row r="3490">
      <c r="AI3490" s="80"/>
    </row>
    <row r="3491">
      <c r="AI3491" s="80"/>
    </row>
    <row r="3492">
      <c r="AI3492" s="80"/>
    </row>
    <row r="3493">
      <c r="AI3493" s="80"/>
    </row>
    <row r="3494">
      <c r="AI3494" s="80"/>
    </row>
    <row r="3495">
      <c r="AI3495" s="80"/>
    </row>
    <row r="3496">
      <c r="AI3496" s="80"/>
    </row>
    <row r="3497">
      <c r="AI3497" s="80"/>
    </row>
    <row r="3498">
      <c r="AI3498" s="80"/>
    </row>
    <row r="3499">
      <c r="AI3499" s="80"/>
    </row>
    <row r="3500">
      <c r="AI3500" s="80"/>
    </row>
    <row r="3501">
      <c r="AI3501" s="80"/>
    </row>
    <row r="3502">
      <c r="AI3502" s="80"/>
    </row>
    <row r="3503">
      <c r="AI3503" s="80"/>
    </row>
    <row r="3504">
      <c r="AI3504" s="80"/>
    </row>
    <row r="3505">
      <c r="AI3505" s="80"/>
    </row>
    <row r="3506">
      <c r="AI3506" s="80"/>
    </row>
    <row r="3507">
      <c r="AI3507" s="80"/>
    </row>
    <row r="3508">
      <c r="AI3508" s="80"/>
    </row>
    <row r="3509">
      <c r="AI3509" s="80"/>
    </row>
    <row r="3510">
      <c r="AI3510" s="80"/>
    </row>
    <row r="3511">
      <c r="AI3511" s="80"/>
    </row>
    <row r="3512">
      <c r="AI3512" s="80"/>
    </row>
    <row r="3513">
      <c r="AI3513" s="80"/>
    </row>
    <row r="3514">
      <c r="AI3514" s="80"/>
    </row>
    <row r="3515">
      <c r="AI3515" s="80"/>
    </row>
    <row r="3516">
      <c r="AI3516" s="80"/>
    </row>
    <row r="3517">
      <c r="AI3517" s="80"/>
    </row>
    <row r="3518">
      <c r="AI3518" s="80"/>
    </row>
    <row r="3519">
      <c r="AI3519" s="80"/>
    </row>
    <row r="3520">
      <c r="AI3520" s="80"/>
    </row>
    <row r="3521">
      <c r="AI3521" s="80"/>
    </row>
    <row r="3522">
      <c r="AI3522" s="80"/>
    </row>
    <row r="3523">
      <c r="AI3523" s="80"/>
    </row>
    <row r="3524">
      <c r="AI3524" s="80"/>
    </row>
    <row r="3525">
      <c r="AI3525" s="80"/>
    </row>
    <row r="3526">
      <c r="AI3526" s="80"/>
    </row>
    <row r="3527">
      <c r="AI3527" s="80"/>
    </row>
    <row r="3528">
      <c r="AI3528" s="80"/>
    </row>
    <row r="3529">
      <c r="AI3529" s="80"/>
    </row>
    <row r="3530">
      <c r="AI3530" s="80"/>
    </row>
    <row r="3531">
      <c r="AI3531" s="80"/>
    </row>
    <row r="3532">
      <c r="AI3532" s="80"/>
    </row>
    <row r="3533">
      <c r="AI3533" s="80"/>
    </row>
    <row r="3534">
      <c r="AI3534" s="80"/>
    </row>
    <row r="3535">
      <c r="AI3535" s="80"/>
    </row>
    <row r="3536">
      <c r="AI3536" s="80"/>
    </row>
    <row r="3537">
      <c r="AI3537" s="80"/>
    </row>
    <row r="3538">
      <c r="AI3538" s="80"/>
    </row>
    <row r="3539">
      <c r="AI3539" s="80"/>
    </row>
    <row r="3540">
      <c r="AI3540" s="80"/>
    </row>
    <row r="3541">
      <c r="AI3541" s="80"/>
    </row>
    <row r="3542">
      <c r="AI3542" s="80"/>
    </row>
    <row r="3543">
      <c r="AI3543" s="80"/>
    </row>
    <row r="3544">
      <c r="AI3544" s="80"/>
    </row>
    <row r="3545">
      <c r="AI3545" s="80"/>
    </row>
    <row r="3546">
      <c r="AI3546" s="80"/>
    </row>
    <row r="3547">
      <c r="AI3547" s="80"/>
    </row>
    <row r="3548">
      <c r="AI3548" s="80"/>
    </row>
    <row r="3549">
      <c r="AI3549" s="80"/>
    </row>
    <row r="3550">
      <c r="AI3550" s="80"/>
    </row>
    <row r="3551">
      <c r="AI3551" s="80"/>
    </row>
    <row r="3552">
      <c r="AI3552" s="80"/>
    </row>
    <row r="3553">
      <c r="AI3553" s="80"/>
    </row>
    <row r="3554">
      <c r="AI3554" s="80"/>
    </row>
    <row r="3555">
      <c r="AI3555" s="80"/>
    </row>
    <row r="3556">
      <c r="AI3556" s="80"/>
    </row>
    <row r="3557">
      <c r="AI3557" s="80"/>
    </row>
    <row r="3558">
      <c r="AI3558" s="80"/>
    </row>
    <row r="3559">
      <c r="AI3559" s="80"/>
    </row>
    <row r="3560">
      <c r="AI3560" s="80"/>
    </row>
    <row r="3561">
      <c r="AI3561" s="80"/>
    </row>
    <row r="3562">
      <c r="AI3562" s="80"/>
    </row>
    <row r="3563">
      <c r="AI3563" s="80"/>
    </row>
    <row r="3564">
      <c r="AI3564" s="80"/>
    </row>
    <row r="3565">
      <c r="AI3565" s="80"/>
    </row>
    <row r="3566">
      <c r="AI3566" s="80"/>
    </row>
    <row r="3567">
      <c r="AI3567" s="80"/>
    </row>
    <row r="3568">
      <c r="AI3568" s="80"/>
    </row>
    <row r="3569">
      <c r="AI3569" s="80"/>
    </row>
    <row r="3570">
      <c r="AI3570" s="80"/>
    </row>
    <row r="3571">
      <c r="AI3571" s="80"/>
    </row>
    <row r="3572">
      <c r="AI3572" s="80"/>
    </row>
    <row r="3573">
      <c r="AI3573" s="80"/>
    </row>
    <row r="3574">
      <c r="AI3574" s="80"/>
    </row>
    <row r="3575">
      <c r="AI3575" s="80"/>
    </row>
    <row r="3576">
      <c r="AI3576" s="80"/>
    </row>
    <row r="3577">
      <c r="AI3577" s="80"/>
    </row>
    <row r="3578">
      <c r="AI3578" s="80"/>
    </row>
    <row r="3579">
      <c r="AI3579" s="80"/>
    </row>
    <row r="3580">
      <c r="AI3580" s="80"/>
    </row>
    <row r="3581">
      <c r="AI3581" s="80"/>
    </row>
    <row r="3582">
      <c r="AI3582" s="80"/>
    </row>
    <row r="3583">
      <c r="AI3583" s="80"/>
    </row>
    <row r="3584">
      <c r="AI3584" s="80"/>
    </row>
    <row r="3585">
      <c r="AI3585" s="80"/>
    </row>
    <row r="3586">
      <c r="AI3586" s="80"/>
    </row>
    <row r="3587">
      <c r="AI3587" s="80"/>
    </row>
    <row r="3588">
      <c r="AI3588" s="80"/>
    </row>
    <row r="3589">
      <c r="AI3589" s="80"/>
    </row>
    <row r="3590">
      <c r="AI3590" s="80"/>
    </row>
    <row r="3591">
      <c r="AI3591" s="80"/>
    </row>
    <row r="3592">
      <c r="AI3592" s="80"/>
    </row>
    <row r="3593">
      <c r="AI3593" s="80"/>
    </row>
    <row r="3594">
      <c r="AI3594" s="80"/>
    </row>
    <row r="3595">
      <c r="AI3595" s="80"/>
    </row>
    <row r="3596">
      <c r="AI3596" s="80"/>
    </row>
    <row r="3597">
      <c r="AI3597" s="80"/>
    </row>
    <row r="3598">
      <c r="AI3598" s="80"/>
    </row>
    <row r="3599">
      <c r="AI3599" s="80"/>
    </row>
    <row r="3600">
      <c r="AI3600" s="80"/>
    </row>
    <row r="3601">
      <c r="AI3601" s="80"/>
    </row>
    <row r="3602">
      <c r="AI3602" s="80"/>
    </row>
    <row r="3603">
      <c r="AI3603" s="80"/>
    </row>
    <row r="3604">
      <c r="AI3604" s="80"/>
    </row>
    <row r="3605">
      <c r="AI3605" s="80"/>
    </row>
    <row r="3606">
      <c r="AI3606" s="80"/>
    </row>
    <row r="3607">
      <c r="AI3607" s="80"/>
    </row>
    <row r="3608">
      <c r="AI3608" s="80"/>
    </row>
    <row r="3609">
      <c r="AI3609" s="80"/>
    </row>
    <row r="3610">
      <c r="AI3610" s="80"/>
    </row>
    <row r="3611">
      <c r="AI3611" s="80"/>
    </row>
    <row r="3612">
      <c r="AI3612" s="80"/>
    </row>
    <row r="3613">
      <c r="AI3613" s="80"/>
    </row>
    <row r="3614">
      <c r="AI3614" s="80"/>
    </row>
    <row r="3615">
      <c r="AI3615" s="80"/>
    </row>
    <row r="3616">
      <c r="AI3616" s="80"/>
    </row>
    <row r="3617">
      <c r="AI3617" s="80"/>
    </row>
    <row r="3618">
      <c r="AI3618" s="80"/>
    </row>
    <row r="3619">
      <c r="AI3619" s="80"/>
    </row>
    <row r="3620">
      <c r="AI3620" s="80"/>
    </row>
    <row r="3621">
      <c r="AI3621" s="80"/>
    </row>
    <row r="3622">
      <c r="AI3622" s="80"/>
    </row>
    <row r="3623">
      <c r="AI3623" s="80"/>
    </row>
    <row r="3624">
      <c r="AI3624" s="80"/>
    </row>
    <row r="3625">
      <c r="AI3625" s="80"/>
    </row>
    <row r="3626">
      <c r="AI3626" s="80"/>
    </row>
    <row r="3627">
      <c r="AI3627" s="80"/>
    </row>
    <row r="3628">
      <c r="AI3628" s="80"/>
    </row>
    <row r="3629">
      <c r="AI3629" s="80"/>
    </row>
    <row r="3630">
      <c r="AI3630" s="80"/>
    </row>
    <row r="3631">
      <c r="AI3631" s="80"/>
    </row>
    <row r="3632">
      <c r="AI3632" s="80"/>
    </row>
    <row r="3633">
      <c r="AI3633" s="80"/>
    </row>
    <row r="3634">
      <c r="AI3634" s="80"/>
    </row>
    <row r="3635">
      <c r="AI3635" s="80"/>
    </row>
    <row r="3636">
      <c r="AI3636" s="80"/>
    </row>
    <row r="3637">
      <c r="AI3637" s="80"/>
    </row>
    <row r="3638">
      <c r="AI3638" s="80"/>
    </row>
    <row r="3639">
      <c r="AI3639" s="80"/>
    </row>
    <row r="3640">
      <c r="AI3640" s="80"/>
    </row>
    <row r="3641">
      <c r="AI3641" s="80"/>
    </row>
    <row r="3642">
      <c r="AI3642" s="80"/>
    </row>
    <row r="3643">
      <c r="AI3643" s="80"/>
    </row>
    <row r="3644">
      <c r="AI3644" s="80"/>
    </row>
    <row r="3645">
      <c r="AI3645" s="80"/>
    </row>
    <row r="3646">
      <c r="AI3646" s="80"/>
    </row>
    <row r="3647">
      <c r="AI3647" s="80"/>
    </row>
    <row r="3648">
      <c r="AI3648" s="80"/>
    </row>
    <row r="3649">
      <c r="AI3649" s="80"/>
    </row>
    <row r="3650">
      <c r="AI3650" s="80"/>
    </row>
    <row r="3651">
      <c r="AI3651" s="80"/>
    </row>
    <row r="3652">
      <c r="AI3652" s="80"/>
    </row>
    <row r="3653">
      <c r="AI3653" s="80"/>
    </row>
    <row r="3654">
      <c r="AI3654" s="80"/>
    </row>
    <row r="3655">
      <c r="AI3655" s="80"/>
    </row>
    <row r="3656">
      <c r="AI3656" s="80"/>
    </row>
    <row r="3657">
      <c r="AI3657" s="80"/>
    </row>
    <row r="3658">
      <c r="AI3658" s="80"/>
    </row>
    <row r="3659">
      <c r="AI3659" s="80"/>
    </row>
    <row r="3660">
      <c r="AI3660" s="80"/>
    </row>
    <row r="3661">
      <c r="AI3661" s="80"/>
    </row>
    <row r="3662">
      <c r="AI3662" s="80"/>
    </row>
    <row r="3663">
      <c r="AI3663" s="80"/>
    </row>
    <row r="3664">
      <c r="AI3664" s="80"/>
    </row>
    <row r="3665">
      <c r="AI3665" s="80"/>
    </row>
    <row r="3666">
      <c r="AI3666" s="80"/>
    </row>
    <row r="3667">
      <c r="AI3667" s="80"/>
    </row>
    <row r="3668">
      <c r="AI3668" s="80"/>
    </row>
    <row r="3669">
      <c r="AI3669" s="80"/>
    </row>
    <row r="3670">
      <c r="AI3670" s="80"/>
    </row>
    <row r="3671">
      <c r="AI3671" s="80"/>
    </row>
    <row r="3672">
      <c r="AI3672" s="80"/>
    </row>
    <row r="3673">
      <c r="AI3673" s="80"/>
    </row>
    <row r="3674">
      <c r="AI3674" s="80"/>
    </row>
    <row r="3675">
      <c r="AI3675" s="80"/>
    </row>
    <row r="3676">
      <c r="AI3676" s="80"/>
    </row>
    <row r="3677">
      <c r="AI3677" s="80"/>
    </row>
    <row r="3678">
      <c r="AI3678" s="80"/>
    </row>
    <row r="3679">
      <c r="AI3679" s="80"/>
    </row>
    <row r="3680">
      <c r="AI3680" s="80"/>
    </row>
    <row r="3681">
      <c r="AI3681" s="80"/>
    </row>
    <row r="3682">
      <c r="AI3682" s="80"/>
    </row>
    <row r="3683">
      <c r="AI3683" s="80"/>
    </row>
    <row r="3684">
      <c r="AI3684" s="80"/>
    </row>
    <row r="3685">
      <c r="AI3685" s="80"/>
    </row>
    <row r="3686">
      <c r="AI3686" s="80"/>
    </row>
    <row r="3687">
      <c r="AI3687" s="80"/>
    </row>
    <row r="3688">
      <c r="AI3688" s="80"/>
    </row>
    <row r="3689">
      <c r="AI3689" s="80"/>
    </row>
    <row r="3690">
      <c r="AI3690" s="80"/>
    </row>
    <row r="3691">
      <c r="AI3691" s="80"/>
    </row>
    <row r="3692">
      <c r="AI3692" s="80"/>
    </row>
    <row r="3693">
      <c r="AI3693" s="80"/>
    </row>
    <row r="3694">
      <c r="AI3694" s="80"/>
    </row>
    <row r="3695">
      <c r="AI3695" s="80"/>
    </row>
    <row r="3696">
      <c r="AI3696" s="80"/>
    </row>
    <row r="3697">
      <c r="AI3697" s="80"/>
    </row>
    <row r="3698">
      <c r="AI3698" s="80"/>
    </row>
    <row r="3699">
      <c r="AI3699" s="80"/>
    </row>
    <row r="3700">
      <c r="AI3700" s="80"/>
    </row>
    <row r="3701">
      <c r="AI3701" s="80"/>
    </row>
    <row r="3702">
      <c r="AI3702" s="80"/>
    </row>
    <row r="3703">
      <c r="AI3703" s="80"/>
    </row>
    <row r="3704">
      <c r="AI3704" s="80"/>
    </row>
    <row r="3705">
      <c r="AI3705" s="80"/>
    </row>
    <row r="3706">
      <c r="AI3706" s="80"/>
    </row>
    <row r="3707">
      <c r="AI3707" s="80"/>
    </row>
    <row r="3708">
      <c r="AI3708" s="80"/>
    </row>
    <row r="3709">
      <c r="AI3709" s="80"/>
    </row>
    <row r="3710">
      <c r="AI3710" s="80"/>
    </row>
    <row r="3711">
      <c r="AI3711" s="80"/>
    </row>
    <row r="3712">
      <c r="AI3712" s="80"/>
    </row>
    <row r="3713">
      <c r="AI3713" s="80"/>
    </row>
    <row r="3714">
      <c r="AI3714" s="80"/>
    </row>
    <row r="3715">
      <c r="AI3715" s="80"/>
    </row>
    <row r="3716">
      <c r="AI3716" s="80"/>
    </row>
    <row r="3717">
      <c r="AI3717" s="80"/>
    </row>
    <row r="3718">
      <c r="AI3718" s="80"/>
    </row>
    <row r="3719">
      <c r="AI3719" s="80"/>
    </row>
    <row r="3720">
      <c r="AI3720" s="80"/>
    </row>
    <row r="3721">
      <c r="AI3721" s="80"/>
    </row>
    <row r="3722">
      <c r="AI3722" s="80"/>
    </row>
    <row r="3723">
      <c r="AI3723" s="80"/>
    </row>
    <row r="3724">
      <c r="AI3724" s="80"/>
    </row>
    <row r="3725">
      <c r="AI3725" s="80"/>
    </row>
    <row r="3726">
      <c r="AI3726" s="80"/>
    </row>
    <row r="3727">
      <c r="AI3727" s="80"/>
    </row>
    <row r="3728">
      <c r="AI3728" s="80"/>
    </row>
    <row r="3729">
      <c r="AI3729" s="80"/>
    </row>
    <row r="3730">
      <c r="AI3730" s="80"/>
    </row>
    <row r="3731">
      <c r="AI3731" s="80"/>
    </row>
    <row r="3732">
      <c r="AI3732" s="80"/>
    </row>
    <row r="3733">
      <c r="AI3733" s="80"/>
    </row>
    <row r="3734">
      <c r="AI3734" s="80"/>
    </row>
    <row r="3735">
      <c r="AI3735" s="80"/>
    </row>
    <row r="3736">
      <c r="AI3736" s="80"/>
    </row>
    <row r="3737">
      <c r="AI3737" s="80"/>
    </row>
    <row r="3738">
      <c r="AI3738" s="80"/>
    </row>
    <row r="3739">
      <c r="AI3739" s="80"/>
    </row>
    <row r="3740">
      <c r="AI3740" s="80"/>
    </row>
    <row r="3741">
      <c r="AI3741" s="80"/>
    </row>
    <row r="3742">
      <c r="AI3742" s="80"/>
    </row>
    <row r="3743">
      <c r="AI3743" s="80"/>
    </row>
    <row r="3744">
      <c r="AI3744" s="80"/>
    </row>
    <row r="3745">
      <c r="AI3745" s="80"/>
    </row>
    <row r="3746">
      <c r="AI3746" s="80"/>
    </row>
    <row r="3747">
      <c r="AI3747" s="80"/>
    </row>
    <row r="3748">
      <c r="AI3748" s="80"/>
    </row>
    <row r="3749">
      <c r="AI3749" s="80"/>
    </row>
    <row r="3750">
      <c r="AI3750" s="80"/>
    </row>
    <row r="3751">
      <c r="AI3751" s="80"/>
    </row>
    <row r="3752">
      <c r="AI3752" s="80"/>
    </row>
    <row r="3753">
      <c r="AI3753" s="80"/>
    </row>
    <row r="3754">
      <c r="AI3754" s="80"/>
    </row>
    <row r="3755">
      <c r="AI3755" s="80"/>
    </row>
    <row r="3756">
      <c r="AI3756" s="80"/>
    </row>
    <row r="3757">
      <c r="AI3757" s="80"/>
    </row>
    <row r="3758">
      <c r="AI3758" s="80"/>
    </row>
    <row r="3759">
      <c r="AI3759" s="80"/>
    </row>
    <row r="3760">
      <c r="AI3760" s="80"/>
    </row>
    <row r="3761">
      <c r="AI3761" s="80"/>
    </row>
    <row r="3762">
      <c r="AI3762" s="80"/>
    </row>
    <row r="3763">
      <c r="AI3763" s="80"/>
    </row>
    <row r="3764">
      <c r="AI3764" s="80"/>
    </row>
    <row r="3765">
      <c r="AI3765" s="80"/>
    </row>
    <row r="3766">
      <c r="AI3766" s="80"/>
    </row>
    <row r="3767">
      <c r="AI3767" s="80"/>
    </row>
    <row r="3768">
      <c r="AI3768" s="80"/>
    </row>
    <row r="3769">
      <c r="AI3769" s="80"/>
    </row>
    <row r="3770">
      <c r="AI3770" s="80"/>
    </row>
    <row r="3771">
      <c r="AI3771" s="80"/>
    </row>
    <row r="3772">
      <c r="AI3772" s="80"/>
    </row>
    <row r="3773">
      <c r="AI3773" s="80"/>
    </row>
    <row r="3774">
      <c r="AI3774" s="80"/>
    </row>
    <row r="3775">
      <c r="AI3775" s="80"/>
    </row>
    <row r="3776">
      <c r="AI3776" s="80"/>
    </row>
    <row r="3777">
      <c r="AI3777" s="80"/>
    </row>
    <row r="3778">
      <c r="AI3778" s="80"/>
    </row>
    <row r="3779">
      <c r="AI3779" s="80"/>
    </row>
    <row r="3780">
      <c r="AI3780" s="80"/>
    </row>
    <row r="3781">
      <c r="AI3781" s="80"/>
    </row>
    <row r="3782">
      <c r="AI3782" s="80"/>
    </row>
    <row r="3783">
      <c r="AI3783" s="80"/>
    </row>
    <row r="3784">
      <c r="AI3784" s="80"/>
    </row>
    <row r="3785">
      <c r="AI3785" s="80"/>
    </row>
    <row r="3786">
      <c r="AI3786" s="80"/>
    </row>
    <row r="3787">
      <c r="AI3787" s="80"/>
    </row>
    <row r="3788">
      <c r="AI3788" s="80"/>
    </row>
    <row r="3789">
      <c r="AI3789" s="80"/>
    </row>
    <row r="3790">
      <c r="AI3790" s="80"/>
    </row>
    <row r="3791">
      <c r="AI3791" s="80"/>
    </row>
    <row r="3792">
      <c r="AI3792" s="80"/>
    </row>
    <row r="3793">
      <c r="AI3793" s="80"/>
    </row>
    <row r="3794">
      <c r="AI3794" s="80"/>
    </row>
    <row r="3795">
      <c r="AI3795" s="80"/>
    </row>
    <row r="3796">
      <c r="AI3796" s="80"/>
    </row>
    <row r="3797">
      <c r="AI3797" s="80"/>
    </row>
    <row r="3798">
      <c r="AI3798" s="80"/>
    </row>
    <row r="3799">
      <c r="AI3799" s="80"/>
    </row>
    <row r="3800">
      <c r="AI3800" s="80"/>
    </row>
    <row r="3801">
      <c r="AI3801" s="80"/>
    </row>
    <row r="3802">
      <c r="AI3802" s="80"/>
    </row>
    <row r="3803">
      <c r="AI3803" s="80"/>
    </row>
    <row r="3804">
      <c r="AI3804" s="80"/>
    </row>
    <row r="3805">
      <c r="AI3805" s="80"/>
    </row>
    <row r="3806">
      <c r="AI3806" s="80"/>
    </row>
    <row r="3807">
      <c r="AI3807" s="80"/>
    </row>
    <row r="3808">
      <c r="AI3808" s="80"/>
    </row>
    <row r="3809">
      <c r="AI3809" s="80"/>
    </row>
    <row r="3810">
      <c r="AI3810" s="80"/>
    </row>
    <row r="3811">
      <c r="AI3811" s="80"/>
    </row>
    <row r="3812">
      <c r="AI3812" s="80"/>
    </row>
    <row r="3813">
      <c r="AI3813" s="80"/>
    </row>
    <row r="3814">
      <c r="AI3814" s="80"/>
    </row>
    <row r="3815">
      <c r="AI3815" s="80"/>
    </row>
    <row r="3816">
      <c r="AI3816" s="80"/>
    </row>
    <row r="3817">
      <c r="AI3817" s="80"/>
    </row>
    <row r="3818">
      <c r="AI3818" s="80"/>
    </row>
    <row r="3819">
      <c r="AI3819" s="80"/>
    </row>
    <row r="3820">
      <c r="AI3820" s="80"/>
    </row>
    <row r="3821">
      <c r="AI3821" s="80"/>
    </row>
    <row r="3822">
      <c r="AI3822" s="80"/>
    </row>
    <row r="3823">
      <c r="AI3823" s="80"/>
    </row>
    <row r="3824">
      <c r="AI3824" s="80"/>
    </row>
    <row r="3825">
      <c r="AI3825" s="80"/>
    </row>
    <row r="3826">
      <c r="AI3826" s="80"/>
    </row>
    <row r="3827">
      <c r="AI3827" s="80"/>
    </row>
    <row r="3828">
      <c r="AI3828" s="80"/>
    </row>
    <row r="3829">
      <c r="AI3829" s="80"/>
    </row>
    <row r="3830">
      <c r="AI3830" s="80"/>
    </row>
    <row r="3831">
      <c r="AI3831" s="80"/>
    </row>
    <row r="3832">
      <c r="AI3832" s="80"/>
    </row>
    <row r="3833">
      <c r="AI3833" s="80"/>
    </row>
    <row r="3834">
      <c r="AI3834" s="80"/>
    </row>
    <row r="3835">
      <c r="AI3835" s="80"/>
    </row>
    <row r="3836">
      <c r="AI3836" s="80"/>
    </row>
    <row r="3837">
      <c r="AI3837" s="80"/>
    </row>
    <row r="3838">
      <c r="AI3838" s="80"/>
    </row>
    <row r="3839">
      <c r="AI3839" s="80"/>
    </row>
    <row r="3840">
      <c r="AI3840" s="80"/>
    </row>
    <row r="3841">
      <c r="AI3841" s="80"/>
    </row>
    <row r="3842">
      <c r="AI3842" s="80"/>
    </row>
    <row r="3843">
      <c r="AI3843" s="80"/>
    </row>
    <row r="3844">
      <c r="AI3844" s="80"/>
    </row>
    <row r="3845">
      <c r="AI3845" s="80"/>
    </row>
    <row r="3846">
      <c r="AI3846" s="80"/>
    </row>
    <row r="3847">
      <c r="AI3847" s="80"/>
    </row>
    <row r="3848">
      <c r="AI3848" s="80"/>
    </row>
    <row r="3849">
      <c r="AI3849" s="80"/>
    </row>
    <row r="3850">
      <c r="AI3850" s="80"/>
    </row>
    <row r="3851">
      <c r="AI3851" s="80"/>
    </row>
    <row r="3852">
      <c r="AI3852" s="80"/>
    </row>
    <row r="3853">
      <c r="AI3853" s="80"/>
    </row>
    <row r="3854">
      <c r="AI3854" s="80"/>
    </row>
    <row r="3855">
      <c r="AI3855" s="80"/>
    </row>
    <row r="3856">
      <c r="AI3856" s="80"/>
    </row>
    <row r="3857">
      <c r="AI3857" s="80"/>
    </row>
    <row r="3858">
      <c r="AI3858" s="80"/>
    </row>
    <row r="3859">
      <c r="AI3859" s="80"/>
    </row>
    <row r="3860">
      <c r="AI3860" s="80"/>
    </row>
    <row r="3861">
      <c r="AI3861" s="80"/>
    </row>
    <row r="3862">
      <c r="AI3862" s="80"/>
    </row>
    <row r="3863">
      <c r="AI3863" s="80"/>
    </row>
    <row r="3864">
      <c r="AI3864" s="80"/>
    </row>
    <row r="3865">
      <c r="AI3865" s="80"/>
    </row>
    <row r="3866">
      <c r="AI3866" s="80"/>
    </row>
    <row r="3867">
      <c r="AI3867" s="80"/>
    </row>
    <row r="3868">
      <c r="AI3868" s="80"/>
    </row>
    <row r="3869">
      <c r="AI3869" s="80"/>
    </row>
    <row r="3870">
      <c r="AI3870" s="80"/>
    </row>
    <row r="3871">
      <c r="AI3871" s="80"/>
    </row>
    <row r="3872">
      <c r="AI3872" s="80"/>
    </row>
    <row r="3873">
      <c r="AI3873" s="80"/>
    </row>
    <row r="3874">
      <c r="AI3874" s="80"/>
    </row>
    <row r="3875">
      <c r="AI3875" s="80"/>
    </row>
    <row r="3876">
      <c r="AI3876" s="80"/>
    </row>
    <row r="3877">
      <c r="AI3877" s="80"/>
    </row>
    <row r="3878">
      <c r="AI3878" s="80"/>
    </row>
    <row r="3879">
      <c r="AI3879" s="80"/>
    </row>
    <row r="3880">
      <c r="AI3880" s="80"/>
    </row>
    <row r="3881">
      <c r="AI3881" s="80"/>
    </row>
    <row r="3882">
      <c r="AI3882" s="80"/>
    </row>
    <row r="3883">
      <c r="AI3883" s="80"/>
    </row>
    <row r="3884">
      <c r="AI3884" s="80"/>
    </row>
    <row r="3885">
      <c r="AI3885" s="80"/>
    </row>
    <row r="3886">
      <c r="AI3886" s="80"/>
    </row>
    <row r="3887">
      <c r="AI3887" s="80"/>
    </row>
    <row r="3888">
      <c r="AI3888" s="80"/>
    </row>
    <row r="3889">
      <c r="AI3889" s="80"/>
    </row>
    <row r="3890">
      <c r="AI3890" s="80"/>
    </row>
    <row r="3891">
      <c r="AI3891" s="80"/>
    </row>
    <row r="3892">
      <c r="AI3892" s="80"/>
    </row>
    <row r="3893">
      <c r="AI3893" s="80"/>
    </row>
    <row r="3894">
      <c r="AI3894" s="80"/>
    </row>
    <row r="3895">
      <c r="AI3895" s="80"/>
    </row>
    <row r="3896">
      <c r="AI3896" s="80"/>
    </row>
    <row r="3897">
      <c r="AI3897" s="80"/>
    </row>
    <row r="3898">
      <c r="AI3898" s="80"/>
    </row>
    <row r="3899">
      <c r="AI3899" s="80"/>
    </row>
    <row r="3900">
      <c r="AI3900" s="80"/>
    </row>
    <row r="3901">
      <c r="AI3901" s="80"/>
    </row>
    <row r="3902">
      <c r="AI3902" s="80"/>
    </row>
    <row r="3903">
      <c r="AI3903" s="80"/>
    </row>
    <row r="3904">
      <c r="AI3904" s="80"/>
    </row>
    <row r="3905">
      <c r="AI3905" s="80"/>
    </row>
    <row r="3906">
      <c r="AI3906" s="80"/>
    </row>
    <row r="3907">
      <c r="AI3907" s="80"/>
    </row>
    <row r="3908">
      <c r="AI3908" s="80"/>
    </row>
    <row r="3909">
      <c r="AI3909" s="80"/>
    </row>
    <row r="3910">
      <c r="AI3910" s="80"/>
    </row>
    <row r="3911">
      <c r="AI3911" s="80"/>
    </row>
    <row r="3912">
      <c r="AI3912" s="80"/>
    </row>
    <row r="3913">
      <c r="AI3913" s="80"/>
    </row>
    <row r="3914">
      <c r="AI3914" s="80"/>
    </row>
    <row r="3915">
      <c r="AI3915" s="80"/>
    </row>
    <row r="3916">
      <c r="AI3916" s="80"/>
    </row>
    <row r="3917">
      <c r="AI3917" s="80"/>
    </row>
    <row r="3918">
      <c r="AI3918" s="80"/>
    </row>
    <row r="3919">
      <c r="AI3919" s="80"/>
    </row>
    <row r="3920">
      <c r="AI3920" s="80"/>
    </row>
    <row r="3921">
      <c r="AI3921" s="80"/>
    </row>
    <row r="3922">
      <c r="AI3922" s="80"/>
    </row>
    <row r="3923">
      <c r="AI3923" s="80"/>
    </row>
    <row r="3924">
      <c r="AI3924" s="80"/>
    </row>
    <row r="3925">
      <c r="AI3925" s="80"/>
    </row>
    <row r="3926">
      <c r="AI3926" s="80"/>
    </row>
    <row r="3927">
      <c r="AI3927" s="80"/>
    </row>
    <row r="3928">
      <c r="AI3928" s="80"/>
    </row>
    <row r="3929">
      <c r="AI3929" s="80"/>
    </row>
    <row r="3930">
      <c r="AI3930" s="80"/>
    </row>
    <row r="3931">
      <c r="AI3931" s="80"/>
    </row>
    <row r="3932">
      <c r="AI3932" s="80"/>
    </row>
    <row r="3933">
      <c r="AI3933" s="80"/>
    </row>
    <row r="3934">
      <c r="AI3934" s="80"/>
    </row>
    <row r="3935">
      <c r="AI3935" s="80"/>
    </row>
    <row r="3936">
      <c r="AI3936" s="80"/>
    </row>
    <row r="3937">
      <c r="AI3937" s="80"/>
    </row>
    <row r="3938">
      <c r="AI3938" s="80"/>
    </row>
    <row r="3939">
      <c r="AI3939" s="80"/>
    </row>
    <row r="3940">
      <c r="AI3940" s="80"/>
    </row>
    <row r="3941">
      <c r="AI3941" s="80"/>
    </row>
    <row r="3942">
      <c r="AI3942" s="80"/>
    </row>
    <row r="3943">
      <c r="AI3943" s="80"/>
    </row>
    <row r="3944">
      <c r="AI3944" s="80"/>
    </row>
    <row r="3945">
      <c r="AI3945" s="80"/>
    </row>
    <row r="3946">
      <c r="AI3946" s="80"/>
    </row>
    <row r="3947">
      <c r="AI3947" s="80"/>
    </row>
    <row r="3948">
      <c r="AI3948" s="80"/>
    </row>
    <row r="3949">
      <c r="AI3949" s="80"/>
    </row>
    <row r="3950">
      <c r="AI3950" s="80"/>
    </row>
    <row r="3951">
      <c r="AI3951" s="80"/>
    </row>
    <row r="3952">
      <c r="AI3952" s="80"/>
    </row>
    <row r="3953">
      <c r="AI3953" s="80"/>
    </row>
    <row r="3954">
      <c r="AI3954" s="80"/>
    </row>
    <row r="3955">
      <c r="AI3955" s="80"/>
    </row>
    <row r="3956">
      <c r="AI3956" s="80"/>
    </row>
    <row r="3957">
      <c r="AI3957" s="80"/>
    </row>
    <row r="3958">
      <c r="AI3958" s="80"/>
    </row>
    <row r="3959">
      <c r="AI3959" s="80"/>
    </row>
    <row r="3960">
      <c r="AI3960" s="80"/>
    </row>
    <row r="3961">
      <c r="AI3961" s="80"/>
    </row>
    <row r="3962">
      <c r="AI3962" s="80"/>
    </row>
    <row r="3963">
      <c r="AI3963" s="80"/>
    </row>
    <row r="3964">
      <c r="AI3964" s="80"/>
    </row>
    <row r="3965">
      <c r="AI3965" s="80"/>
    </row>
    <row r="3966">
      <c r="AI3966" s="80"/>
    </row>
    <row r="3967">
      <c r="AI3967" s="80"/>
    </row>
    <row r="3968">
      <c r="AI3968" s="80"/>
    </row>
    <row r="3969">
      <c r="AI3969" s="80"/>
    </row>
    <row r="3970">
      <c r="AI3970" s="80"/>
    </row>
    <row r="3971">
      <c r="AI3971" s="80"/>
    </row>
    <row r="3972">
      <c r="AI3972" s="80"/>
    </row>
    <row r="3973">
      <c r="AI3973" s="80"/>
    </row>
    <row r="3974">
      <c r="AI3974" s="80"/>
    </row>
    <row r="3975">
      <c r="AI3975" s="80"/>
    </row>
    <row r="3976">
      <c r="AI3976" s="80"/>
    </row>
    <row r="3977">
      <c r="AI3977" s="80"/>
    </row>
    <row r="3978">
      <c r="AI3978" s="80"/>
    </row>
    <row r="3979">
      <c r="AI3979" s="80"/>
    </row>
    <row r="3980">
      <c r="AI3980" s="80"/>
    </row>
    <row r="3981">
      <c r="AI3981" s="80"/>
    </row>
    <row r="3982">
      <c r="AI3982" s="80"/>
    </row>
    <row r="3983">
      <c r="AI3983" s="80"/>
    </row>
    <row r="3984">
      <c r="AI3984" s="80"/>
    </row>
    <row r="3985">
      <c r="AI3985" s="80"/>
    </row>
    <row r="3986">
      <c r="AI3986" s="80"/>
    </row>
    <row r="3987">
      <c r="AI3987" s="80"/>
    </row>
    <row r="3988">
      <c r="AI3988" s="80"/>
    </row>
    <row r="3989">
      <c r="AI3989" s="80"/>
    </row>
    <row r="3990">
      <c r="AI3990" s="80"/>
    </row>
    <row r="3991">
      <c r="AI3991" s="80"/>
    </row>
    <row r="3992">
      <c r="AI3992" s="80"/>
    </row>
    <row r="3993">
      <c r="AI3993" s="80"/>
    </row>
    <row r="3994">
      <c r="AI3994" s="80"/>
    </row>
    <row r="3995">
      <c r="AI3995" s="80"/>
    </row>
    <row r="3996">
      <c r="AI3996" s="80"/>
    </row>
    <row r="3997">
      <c r="AI3997" s="80"/>
    </row>
    <row r="3998">
      <c r="AI3998" s="80"/>
    </row>
    <row r="3999">
      <c r="AI3999" s="80"/>
    </row>
    <row r="4000">
      <c r="AI4000" s="80"/>
    </row>
    <row r="4001">
      <c r="AI4001" s="80"/>
    </row>
    <row r="4002">
      <c r="AI4002" s="80"/>
    </row>
    <row r="4003">
      <c r="AI4003" s="80"/>
    </row>
    <row r="4004">
      <c r="AI4004" s="80"/>
    </row>
    <row r="4005">
      <c r="AI4005" s="80"/>
    </row>
    <row r="4006">
      <c r="AI4006" s="80"/>
    </row>
    <row r="4007">
      <c r="AI4007" s="80"/>
    </row>
    <row r="4008">
      <c r="AI4008" s="80"/>
    </row>
    <row r="4009">
      <c r="AI4009" s="80"/>
    </row>
    <row r="4010">
      <c r="AI4010" s="80"/>
    </row>
    <row r="4011">
      <c r="AI4011" s="80"/>
    </row>
    <row r="4012">
      <c r="AI4012" s="80"/>
    </row>
    <row r="4013">
      <c r="AI4013" s="80"/>
    </row>
    <row r="4014">
      <c r="AI4014" s="80"/>
    </row>
    <row r="4015">
      <c r="AI4015" s="80"/>
    </row>
    <row r="4016">
      <c r="AI4016" s="80"/>
    </row>
    <row r="4017">
      <c r="AI4017" s="80"/>
    </row>
    <row r="4018">
      <c r="AI4018" s="80"/>
    </row>
    <row r="4019">
      <c r="AI4019" s="80"/>
    </row>
    <row r="4020">
      <c r="AI4020" s="80"/>
    </row>
    <row r="4021">
      <c r="AI4021" s="80"/>
    </row>
    <row r="4022">
      <c r="AI4022" s="80"/>
    </row>
    <row r="4023">
      <c r="AI4023" s="80"/>
    </row>
    <row r="4024">
      <c r="AI4024" s="80"/>
    </row>
    <row r="4025">
      <c r="AI4025" s="80"/>
    </row>
    <row r="4026">
      <c r="AI4026" s="80"/>
    </row>
    <row r="4027">
      <c r="AI4027" s="80"/>
    </row>
    <row r="4028">
      <c r="AI4028" s="80"/>
    </row>
    <row r="4029">
      <c r="AI4029" s="80"/>
    </row>
    <row r="4030">
      <c r="AI4030" s="80"/>
    </row>
    <row r="4031">
      <c r="AI4031" s="80"/>
    </row>
    <row r="4032">
      <c r="AI4032" s="80"/>
    </row>
    <row r="4033">
      <c r="AI4033" s="80"/>
    </row>
    <row r="4034">
      <c r="AI4034" s="80"/>
    </row>
    <row r="4035">
      <c r="AI4035" s="80"/>
    </row>
    <row r="4036">
      <c r="AI4036" s="80"/>
    </row>
    <row r="4037">
      <c r="AI4037" s="80"/>
    </row>
    <row r="4038">
      <c r="AI4038" s="80"/>
    </row>
    <row r="4039">
      <c r="AI4039" s="80"/>
    </row>
    <row r="4040">
      <c r="AI4040" s="80"/>
    </row>
    <row r="4041">
      <c r="AI4041" s="80"/>
    </row>
    <row r="4042">
      <c r="AI4042" s="80"/>
    </row>
    <row r="4043">
      <c r="AI4043" s="80"/>
    </row>
    <row r="4044">
      <c r="AI4044" s="80"/>
    </row>
    <row r="4045">
      <c r="AI4045" s="80"/>
    </row>
    <row r="4046">
      <c r="AI4046" s="80"/>
    </row>
    <row r="4047">
      <c r="AI4047" s="80"/>
    </row>
    <row r="4048">
      <c r="AI4048" s="80"/>
    </row>
    <row r="4049">
      <c r="AI4049" s="80"/>
    </row>
    <row r="4050">
      <c r="AI4050" s="80"/>
    </row>
    <row r="4051">
      <c r="AI4051" s="80"/>
    </row>
    <row r="4052">
      <c r="AI4052" s="80"/>
    </row>
    <row r="4053">
      <c r="AI4053" s="80"/>
    </row>
    <row r="4054">
      <c r="AI4054" s="80"/>
    </row>
    <row r="4055">
      <c r="AI4055" s="80"/>
    </row>
    <row r="4056">
      <c r="AI4056" s="80"/>
    </row>
    <row r="4057">
      <c r="AI4057" s="80"/>
    </row>
    <row r="4058">
      <c r="AI4058" s="80"/>
    </row>
    <row r="4059">
      <c r="AI4059" s="80"/>
    </row>
    <row r="4060">
      <c r="AI4060" s="80"/>
    </row>
    <row r="4061">
      <c r="AI4061" s="80"/>
    </row>
    <row r="4062">
      <c r="AI4062" s="80"/>
    </row>
    <row r="4063">
      <c r="AI4063" s="80"/>
    </row>
    <row r="4064">
      <c r="AI4064" s="80"/>
    </row>
    <row r="4065">
      <c r="AI4065" s="80"/>
    </row>
    <row r="4066">
      <c r="AI4066" s="80"/>
    </row>
    <row r="4067">
      <c r="AI4067" s="80"/>
    </row>
    <row r="4068">
      <c r="AI4068" s="80"/>
    </row>
    <row r="4069">
      <c r="AI4069" s="80"/>
    </row>
    <row r="4070">
      <c r="AI4070" s="80"/>
    </row>
    <row r="4071">
      <c r="AI4071" s="80"/>
    </row>
    <row r="4072">
      <c r="AI4072" s="80"/>
    </row>
    <row r="4073">
      <c r="AI4073" s="80"/>
    </row>
    <row r="4074">
      <c r="AI4074" s="80"/>
    </row>
    <row r="4075">
      <c r="AI4075" s="80"/>
    </row>
    <row r="4076">
      <c r="AI4076" s="80"/>
    </row>
    <row r="4077">
      <c r="AI4077" s="80"/>
    </row>
    <row r="4078">
      <c r="AI4078" s="80"/>
    </row>
    <row r="4079">
      <c r="AI4079" s="80"/>
    </row>
    <row r="4080">
      <c r="AI4080" s="80"/>
    </row>
    <row r="4081">
      <c r="AI4081" s="80"/>
    </row>
    <row r="4082">
      <c r="AI4082" s="80"/>
    </row>
    <row r="4083">
      <c r="AI4083" s="80"/>
    </row>
    <row r="4084">
      <c r="AI4084" s="80"/>
    </row>
    <row r="4085">
      <c r="AI4085" s="80"/>
    </row>
    <row r="4086">
      <c r="AI4086" s="80"/>
    </row>
    <row r="4087">
      <c r="AI4087" s="80"/>
    </row>
    <row r="4088">
      <c r="AI4088" s="80"/>
    </row>
    <row r="4089">
      <c r="AI4089" s="80"/>
    </row>
    <row r="4090">
      <c r="AI4090" s="80"/>
    </row>
    <row r="4091">
      <c r="AI4091" s="80"/>
    </row>
    <row r="4092">
      <c r="AI4092" s="80"/>
    </row>
    <row r="4093">
      <c r="AI4093" s="80"/>
    </row>
    <row r="4094">
      <c r="AI4094" s="80"/>
    </row>
    <row r="4095">
      <c r="AI4095" s="80"/>
    </row>
    <row r="4096">
      <c r="AI4096" s="80"/>
    </row>
    <row r="4097">
      <c r="AI4097" s="80"/>
    </row>
    <row r="4098">
      <c r="AI4098" s="80"/>
    </row>
    <row r="4099">
      <c r="AI4099" s="80"/>
    </row>
    <row r="4100">
      <c r="AI4100" s="80"/>
    </row>
    <row r="4101">
      <c r="AI4101" s="80"/>
    </row>
    <row r="4102">
      <c r="AI4102" s="80"/>
    </row>
    <row r="4103">
      <c r="AI4103" s="80"/>
    </row>
    <row r="4104">
      <c r="AI4104" s="80"/>
    </row>
    <row r="4105">
      <c r="AI4105" s="80"/>
    </row>
    <row r="4106">
      <c r="AI4106" s="80"/>
    </row>
    <row r="4107">
      <c r="AI4107" s="80"/>
    </row>
    <row r="4108">
      <c r="AI4108" s="80"/>
    </row>
    <row r="4109">
      <c r="AI4109" s="80"/>
    </row>
    <row r="4110">
      <c r="AI4110" s="80"/>
    </row>
    <row r="4111">
      <c r="AI4111" s="80"/>
    </row>
    <row r="4112">
      <c r="AI4112" s="80"/>
    </row>
    <row r="4113">
      <c r="AI4113" s="80"/>
    </row>
    <row r="4114">
      <c r="AI4114" s="80"/>
    </row>
    <row r="4115">
      <c r="AI4115" s="80"/>
    </row>
    <row r="4116">
      <c r="AI4116" s="80"/>
    </row>
    <row r="4117">
      <c r="AI4117" s="80"/>
    </row>
    <row r="4118">
      <c r="AI4118" s="80"/>
    </row>
    <row r="4119">
      <c r="AI4119" s="80"/>
    </row>
    <row r="4120">
      <c r="AI4120" s="80"/>
    </row>
    <row r="4121">
      <c r="AI4121" s="80"/>
    </row>
    <row r="4122">
      <c r="AI4122" s="80"/>
    </row>
    <row r="4123">
      <c r="AI4123" s="80"/>
    </row>
    <row r="4124">
      <c r="AI4124" s="80"/>
    </row>
    <row r="4125">
      <c r="AI4125" s="80"/>
    </row>
    <row r="4126">
      <c r="AI4126" s="80"/>
    </row>
    <row r="4127">
      <c r="AI4127" s="80"/>
    </row>
    <row r="4128">
      <c r="AI4128" s="80"/>
    </row>
    <row r="4129">
      <c r="AI4129" s="80"/>
    </row>
    <row r="4130">
      <c r="AI4130" s="80"/>
    </row>
    <row r="4131">
      <c r="AI4131" s="80"/>
    </row>
    <row r="4132">
      <c r="AI4132" s="80"/>
    </row>
    <row r="4133">
      <c r="AI4133" s="80"/>
    </row>
    <row r="4134">
      <c r="AI4134" s="80"/>
    </row>
    <row r="4135">
      <c r="AI4135" s="80"/>
    </row>
    <row r="4136">
      <c r="AI4136" s="80"/>
    </row>
    <row r="4137">
      <c r="AI4137" s="80"/>
    </row>
    <row r="4138">
      <c r="AI4138" s="80"/>
    </row>
    <row r="4139">
      <c r="AI4139" s="80"/>
    </row>
    <row r="4140">
      <c r="AI4140" s="80"/>
    </row>
    <row r="4141">
      <c r="AI4141" s="80"/>
    </row>
    <row r="4142">
      <c r="AI4142" s="80"/>
    </row>
    <row r="4143">
      <c r="AI4143" s="80"/>
    </row>
    <row r="4144">
      <c r="AI4144" s="80"/>
    </row>
    <row r="4145">
      <c r="AI4145" s="80"/>
    </row>
    <row r="4146">
      <c r="AI4146" s="80"/>
    </row>
    <row r="4147">
      <c r="AI4147" s="80"/>
    </row>
    <row r="4148">
      <c r="AI4148" s="80"/>
    </row>
    <row r="4149">
      <c r="AI4149" s="80"/>
    </row>
    <row r="4150">
      <c r="AI4150" s="80"/>
    </row>
    <row r="4151">
      <c r="AI4151" s="80"/>
    </row>
    <row r="4152">
      <c r="AI4152" s="80"/>
    </row>
    <row r="4153">
      <c r="AI4153" s="80"/>
    </row>
    <row r="4154">
      <c r="AI4154" s="80"/>
    </row>
    <row r="4155">
      <c r="AI4155" s="80"/>
    </row>
    <row r="4156">
      <c r="AI4156" s="80"/>
    </row>
    <row r="4157">
      <c r="AI4157" s="80"/>
    </row>
    <row r="4158">
      <c r="AI4158" s="80"/>
    </row>
    <row r="4159">
      <c r="AI4159" s="80"/>
    </row>
    <row r="4160">
      <c r="AI4160" s="80"/>
    </row>
    <row r="4161">
      <c r="AI4161" s="80"/>
    </row>
    <row r="4162">
      <c r="AI4162" s="80"/>
    </row>
    <row r="4163">
      <c r="AI4163" s="80"/>
    </row>
    <row r="4164">
      <c r="AI4164" s="80"/>
    </row>
    <row r="4165">
      <c r="AI4165" s="80"/>
    </row>
    <row r="4166">
      <c r="AI4166" s="80"/>
    </row>
    <row r="4167">
      <c r="AI4167" s="80"/>
    </row>
    <row r="4168">
      <c r="AI4168" s="80"/>
    </row>
    <row r="4169">
      <c r="AI4169" s="80"/>
    </row>
    <row r="4170">
      <c r="AI4170" s="80"/>
    </row>
    <row r="4171">
      <c r="AI4171" s="80"/>
    </row>
    <row r="4172">
      <c r="AI4172" s="80"/>
    </row>
    <row r="4173">
      <c r="AI4173" s="80"/>
    </row>
    <row r="4174">
      <c r="AI4174" s="80"/>
    </row>
    <row r="4175">
      <c r="AI4175" s="80"/>
    </row>
    <row r="4176">
      <c r="AI4176" s="80"/>
    </row>
    <row r="4177">
      <c r="AI4177" s="80"/>
    </row>
    <row r="4178">
      <c r="AI4178" s="80"/>
    </row>
    <row r="4179">
      <c r="AI4179" s="80"/>
    </row>
    <row r="4180">
      <c r="AI4180" s="80"/>
    </row>
    <row r="4181">
      <c r="AI4181" s="80"/>
    </row>
    <row r="4182">
      <c r="AI4182" s="80"/>
    </row>
    <row r="4183">
      <c r="AI4183" s="80"/>
    </row>
    <row r="4184">
      <c r="AI4184" s="80"/>
    </row>
    <row r="4185">
      <c r="AI4185" s="80"/>
    </row>
    <row r="4186">
      <c r="AI4186" s="80"/>
    </row>
    <row r="4187">
      <c r="AI4187" s="80"/>
    </row>
    <row r="4188">
      <c r="AI4188" s="80"/>
    </row>
    <row r="4189">
      <c r="AI4189" s="80"/>
    </row>
    <row r="4190">
      <c r="AI4190" s="80"/>
    </row>
    <row r="4191">
      <c r="AI4191" s="80"/>
    </row>
    <row r="4192">
      <c r="AI4192" s="80"/>
    </row>
    <row r="4193">
      <c r="AI4193" s="80"/>
    </row>
    <row r="4194">
      <c r="AI4194" s="80"/>
    </row>
    <row r="4195">
      <c r="AI4195" s="80"/>
    </row>
    <row r="4196">
      <c r="AI4196" s="80"/>
    </row>
    <row r="4197">
      <c r="AI4197" s="80"/>
    </row>
    <row r="4198">
      <c r="AI4198" s="80"/>
    </row>
    <row r="4199">
      <c r="AI4199" s="80"/>
    </row>
    <row r="4200">
      <c r="AI4200" s="80"/>
    </row>
    <row r="4201">
      <c r="AI4201" s="80"/>
    </row>
    <row r="4202">
      <c r="AI4202" s="80"/>
    </row>
    <row r="4203">
      <c r="AI4203" s="80"/>
    </row>
    <row r="4204">
      <c r="AI4204" s="80"/>
    </row>
    <row r="4205">
      <c r="AI4205" s="80"/>
    </row>
    <row r="4206">
      <c r="AI4206" s="80"/>
    </row>
    <row r="4207">
      <c r="AI4207" s="80"/>
    </row>
    <row r="4208">
      <c r="AI4208" s="80"/>
    </row>
    <row r="4209">
      <c r="AI4209" s="80"/>
    </row>
    <row r="4210">
      <c r="AI4210" s="80"/>
    </row>
    <row r="4211">
      <c r="AI4211" s="80"/>
    </row>
    <row r="4212">
      <c r="AI4212" s="80"/>
    </row>
    <row r="4213">
      <c r="AI4213" s="80"/>
    </row>
    <row r="4214">
      <c r="AI4214" s="80"/>
    </row>
    <row r="4215">
      <c r="AI4215" s="80"/>
    </row>
    <row r="4216">
      <c r="AI4216" s="80"/>
    </row>
    <row r="4217">
      <c r="AI4217" s="80"/>
    </row>
    <row r="4218">
      <c r="AI4218" s="80"/>
    </row>
    <row r="4219">
      <c r="AI4219" s="80"/>
    </row>
    <row r="4220">
      <c r="AI4220" s="80"/>
    </row>
    <row r="4221">
      <c r="AI4221" s="80"/>
    </row>
    <row r="4222">
      <c r="AI4222" s="80"/>
    </row>
    <row r="4223">
      <c r="AI4223" s="80"/>
    </row>
    <row r="4224">
      <c r="AI4224" s="80"/>
    </row>
    <row r="4225">
      <c r="AI4225" s="80"/>
    </row>
    <row r="4226">
      <c r="AI4226" s="80"/>
    </row>
    <row r="4227">
      <c r="AI4227" s="80"/>
    </row>
    <row r="4228">
      <c r="AI4228" s="80"/>
    </row>
    <row r="4229">
      <c r="AI4229" s="80"/>
    </row>
    <row r="4230">
      <c r="AI4230" s="80"/>
    </row>
    <row r="4231">
      <c r="AI4231" s="80"/>
    </row>
    <row r="4232">
      <c r="AI4232" s="80"/>
    </row>
    <row r="4233">
      <c r="AI4233" s="80"/>
    </row>
    <row r="4234">
      <c r="AI4234" s="80"/>
    </row>
    <row r="4235">
      <c r="AI4235" s="80"/>
    </row>
    <row r="4236">
      <c r="AI4236" s="80"/>
    </row>
    <row r="4237">
      <c r="AI4237" s="80"/>
    </row>
    <row r="4238">
      <c r="AI4238" s="80"/>
    </row>
    <row r="4239">
      <c r="AI4239" s="80"/>
    </row>
    <row r="4240">
      <c r="AI4240" s="80"/>
    </row>
    <row r="4241">
      <c r="AI4241" s="80"/>
    </row>
    <row r="4242">
      <c r="AI4242" s="80"/>
    </row>
    <row r="4243">
      <c r="AI4243" s="80"/>
    </row>
    <row r="4244">
      <c r="AI4244" s="80"/>
    </row>
    <row r="4245">
      <c r="AI4245" s="80"/>
    </row>
    <row r="4246">
      <c r="AI4246" s="80"/>
    </row>
    <row r="4247">
      <c r="AI4247" s="80"/>
    </row>
    <row r="4248">
      <c r="AI4248" s="80"/>
    </row>
    <row r="4249">
      <c r="AI4249" s="80"/>
    </row>
    <row r="4250">
      <c r="AI4250" s="80"/>
    </row>
    <row r="4251">
      <c r="AI4251" s="80"/>
    </row>
    <row r="4252">
      <c r="AI4252" s="80"/>
    </row>
    <row r="4253">
      <c r="AI4253" s="80"/>
    </row>
    <row r="4254">
      <c r="AI4254" s="80"/>
    </row>
    <row r="4255">
      <c r="AI4255" s="80"/>
    </row>
    <row r="4256">
      <c r="AI4256" s="80"/>
    </row>
    <row r="4257">
      <c r="AI4257" s="80"/>
    </row>
    <row r="4258">
      <c r="AI4258" s="80"/>
    </row>
    <row r="4259">
      <c r="AI4259" s="80"/>
    </row>
    <row r="4260">
      <c r="AI4260" s="80"/>
    </row>
    <row r="4261">
      <c r="AI4261" s="80"/>
    </row>
    <row r="4262">
      <c r="AI4262" s="80"/>
    </row>
    <row r="4263">
      <c r="AI4263" s="80"/>
    </row>
    <row r="4264">
      <c r="AI4264" s="80"/>
    </row>
    <row r="4265">
      <c r="AI4265" s="80"/>
    </row>
    <row r="4266">
      <c r="AI4266" s="80"/>
    </row>
    <row r="4267">
      <c r="AI4267" s="80"/>
    </row>
    <row r="4268">
      <c r="AI4268" s="80"/>
    </row>
    <row r="4269">
      <c r="AI4269" s="80"/>
    </row>
    <row r="4270">
      <c r="AI4270" s="80"/>
    </row>
    <row r="4271">
      <c r="AI4271" s="80"/>
    </row>
    <row r="4272">
      <c r="AI4272" s="80"/>
    </row>
    <row r="4273">
      <c r="AI4273" s="80"/>
    </row>
    <row r="4274">
      <c r="AI4274" s="80"/>
    </row>
    <row r="4275">
      <c r="AI4275" s="80"/>
    </row>
    <row r="4276">
      <c r="AI4276" s="80"/>
    </row>
    <row r="4277">
      <c r="AI4277" s="80"/>
    </row>
    <row r="4278">
      <c r="AI4278" s="80"/>
    </row>
    <row r="4279">
      <c r="AI4279" s="80"/>
    </row>
    <row r="4280">
      <c r="AI4280" s="80"/>
    </row>
    <row r="4281">
      <c r="AI4281" s="80"/>
    </row>
    <row r="4282">
      <c r="AI4282" s="80"/>
    </row>
    <row r="4283">
      <c r="AI4283" s="80"/>
    </row>
    <row r="4284">
      <c r="AI4284" s="80"/>
    </row>
    <row r="4285">
      <c r="AI4285" s="80"/>
    </row>
    <row r="4286">
      <c r="AI4286" s="80"/>
    </row>
    <row r="4287">
      <c r="AI4287" s="80"/>
    </row>
    <row r="4288">
      <c r="AI4288" s="80"/>
    </row>
    <row r="4289">
      <c r="AI4289" s="80"/>
    </row>
    <row r="4290">
      <c r="AI4290" s="80"/>
    </row>
    <row r="4291">
      <c r="AI4291" s="80"/>
    </row>
    <row r="4292">
      <c r="AI4292" s="80"/>
    </row>
    <row r="4293">
      <c r="AI4293" s="80"/>
    </row>
    <row r="4294">
      <c r="AI4294" s="80"/>
    </row>
    <row r="4295">
      <c r="AI4295" s="80"/>
    </row>
    <row r="4296">
      <c r="AI4296" s="80"/>
    </row>
    <row r="4297">
      <c r="AI4297" s="80"/>
    </row>
    <row r="4298">
      <c r="AI4298" s="80"/>
    </row>
    <row r="4299">
      <c r="AI4299" s="80"/>
    </row>
    <row r="4300">
      <c r="AI4300" s="80"/>
    </row>
    <row r="4301">
      <c r="AI4301" s="80"/>
    </row>
    <row r="4302">
      <c r="AI4302" s="80"/>
    </row>
    <row r="4303">
      <c r="AI4303" s="80"/>
    </row>
    <row r="4304">
      <c r="AI4304" s="80"/>
    </row>
    <row r="4305">
      <c r="AI4305" s="80"/>
    </row>
    <row r="4306">
      <c r="AI4306" s="80"/>
    </row>
    <row r="4307">
      <c r="AI4307" s="80"/>
    </row>
    <row r="4308">
      <c r="AI4308" s="80"/>
    </row>
    <row r="4309">
      <c r="AI4309" s="80"/>
    </row>
    <row r="4310">
      <c r="AI4310" s="80"/>
    </row>
    <row r="4311">
      <c r="AI4311" s="80"/>
    </row>
    <row r="4312">
      <c r="AI4312" s="80"/>
    </row>
    <row r="4313">
      <c r="AI4313" s="80"/>
    </row>
    <row r="4314">
      <c r="AI4314" s="80"/>
    </row>
    <row r="4315">
      <c r="AI4315" s="80"/>
    </row>
    <row r="4316">
      <c r="AI4316" s="80"/>
    </row>
    <row r="4317">
      <c r="AI4317" s="80"/>
    </row>
    <row r="4318">
      <c r="AI4318" s="80"/>
    </row>
    <row r="4319">
      <c r="AI4319" s="80"/>
    </row>
    <row r="4320">
      <c r="AI4320" s="80"/>
    </row>
    <row r="4321">
      <c r="AI4321" s="80"/>
    </row>
    <row r="4322">
      <c r="AI4322" s="80"/>
    </row>
    <row r="4323">
      <c r="AI4323" s="80"/>
    </row>
    <row r="4324">
      <c r="AI4324" s="80"/>
    </row>
    <row r="4325">
      <c r="AI4325" s="80"/>
    </row>
    <row r="4326">
      <c r="AI4326" s="80"/>
    </row>
    <row r="4327">
      <c r="AI4327" s="80"/>
    </row>
    <row r="4328">
      <c r="AI4328" s="80"/>
    </row>
    <row r="4329">
      <c r="AI4329" s="80"/>
    </row>
    <row r="4330">
      <c r="AI4330" s="80"/>
    </row>
    <row r="4331">
      <c r="AI4331" s="80"/>
    </row>
    <row r="4332">
      <c r="AI4332" s="80"/>
    </row>
    <row r="4333">
      <c r="AI4333" s="80"/>
    </row>
    <row r="4334">
      <c r="AI4334" s="80"/>
    </row>
    <row r="4335">
      <c r="AI4335" s="80"/>
    </row>
    <row r="4336">
      <c r="AI4336" s="80"/>
    </row>
    <row r="4337">
      <c r="AI4337" s="80"/>
    </row>
    <row r="4338">
      <c r="AI4338" s="80"/>
    </row>
    <row r="4339">
      <c r="AI4339" s="80"/>
    </row>
    <row r="4340">
      <c r="AI4340" s="80"/>
    </row>
    <row r="4341">
      <c r="AI4341" s="80"/>
    </row>
    <row r="4342">
      <c r="AI4342" s="80"/>
    </row>
    <row r="4343">
      <c r="AI4343" s="80"/>
    </row>
    <row r="4344">
      <c r="AI4344" s="80"/>
    </row>
    <row r="4345">
      <c r="AI4345" s="80"/>
    </row>
    <row r="4346">
      <c r="AI4346" s="80"/>
    </row>
    <row r="4347">
      <c r="AI4347" s="80"/>
    </row>
    <row r="4348">
      <c r="AI4348" s="80"/>
    </row>
    <row r="4349">
      <c r="AI4349" s="80"/>
    </row>
    <row r="4350">
      <c r="AI4350" s="80"/>
    </row>
    <row r="4351">
      <c r="AI4351" s="80"/>
    </row>
    <row r="4352">
      <c r="AI4352" s="80"/>
    </row>
    <row r="4353">
      <c r="AI4353" s="80"/>
    </row>
    <row r="4354">
      <c r="AI4354" s="80"/>
    </row>
    <row r="4355">
      <c r="AI4355" s="80"/>
    </row>
    <row r="4356">
      <c r="AI4356" s="80"/>
    </row>
    <row r="4357">
      <c r="AI4357" s="80"/>
    </row>
    <row r="4358">
      <c r="AI4358" s="80"/>
    </row>
    <row r="4359">
      <c r="AI4359" s="80"/>
    </row>
    <row r="4360">
      <c r="AI4360" s="80"/>
    </row>
    <row r="4361">
      <c r="AI4361" s="80"/>
    </row>
    <row r="4362">
      <c r="AI4362" s="80"/>
    </row>
    <row r="4363">
      <c r="AI4363" s="80"/>
    </row>
    <row r="4364">
      <c r="AI4364" s="80"/>
    </row>
    <row r="4365">
      <c r="AI4365" s="80"/>
    </row>
    <row r="4366">
      <c r="AI4366" s="80"/>
    </row>
    <row r="4367">
      <c r="AI4367" s="80"/>
    </row>
    <row r="4368">
      <c r="AI4368" s="80"/>
    </row>
    <row r="4369">
      <c r="AI4369" s="80"/>
    </row>
    <row r="4370">
      <c r="AI4370" s="80"/>
    </row>
    <row r="4371">
      <c r="AI4371" s="80"/>
    </row>
    <row r="4372">
      <c r="AI4372" s="80"/>
    </row>
    <row r="4373">
      <c r="AI4373" s="80"/>
    </row>
    <row r="4374">
      <c r="AI4374" s="80"/>
    </row>
    <row r="4375">
      <c r="AI4375" s="80"/>
    </row>
    <row r="4376">
      <c r="AI4376" s="80"/>
    </row>
    <row r="4377">
      <c r="AI4377" s="80"/>
    </row>
    <row r="4378">
      <c r="AI4378" s="80"/>
    </row>
    <row r="4379">
      <c r="AI4379" s="80"/>
    </row>
    <row r="4380">
      <c r="AI4380" s="80"/>
    </row>
    <row r="4381">
      <c r="AI4381" s="80"/>
    </row>
    <row r="4382">
      <c r="AI4382" s="80"/>
    </row>
    <row r="4383">
      <c r="AI4383" s="80"/>
    </row>
    <row r="4384">
      <c r="AI4384" s="80"/>
    </row>
    <row r="4385">
      <c r="AI4385" s="80"/>
    </row>
    <row r="4386">
      <c r="AI4386" s="80"/>
    </row>
    <row r="4387">
      <c r="AI4387" s="80"/>
    </row>
    <row r="4388">
      <c r="AI4388" s="80"/>
    </row>
    <row r="4389">
      <c r="AI4389" s="80"/>
    </row>
    <row r="4390">
      <c r="AI4390" s="80"/>
    </row>
    <row r="4391">
      <c r="AI4391" s="80"/>
    </row>
    <row r="4392">
      <c r="AI4392" s="80"/>
    </row>
    <row r="4393">
      <c r="AI4393" s="80"/>
    </row>
    <row r="4394">
      <c r="AI4394" s="80"/>
    </row>
    <row r="4395">
      <c r="AI4395" s="80"/>
    </row>
    <row r="4396">
      <c r="AI4396" s="80"/>
    </row>
    <row r="4397">
      <c r="AI4397" s="80"/>
    </row>
    <row r="4398">
      <c r="AI4398" s="80"/>
    </row>
    <row r="4399">
      <c r="AI4399" s="80"/>
    </row>
    <row r="4400">
      <c r="AI4400" s="80"/>
    </row>
    <row r="4401">
      <c r="AI4401" s="80"/>
    </row>
    <row r="4402">
      <c r="AI4402" s="80"/>
    </row>
    <row r="4403">
      <c r="AI4403" s="80"/>
    </row>
    <row r="4404">
      <c r="AI4404" s="80"/>
    </row>
    <row r="4405">
      <c r="AI4405" s="80"/>
    </row>
    <row r="4406">
      <c r="AI4406" s="80"/>
    </row>
    <row r="4407">
      <c r="AI4407" s="80"/>
    </row>
    <row r="4408">
      <c r="AI4408" s="80"/>
    </row>
    <row r="4409">
      <c r="AI4409" s="80"/>
    </row>
    <row r="4410">
      <c r="AI4410" s="80"/>
    </row>
    <row r="4411">
      <c r="AI4411" s="80"/>
    </row>
    <row r="4412">
      <c r="AI4412" s="80"/>
    </row>
    <row r="4413">
      <c r="AI4413" s="80"/>
    </row>
    <row r="4414">
      <c r="AI4414" s="80"/>
    </row>
    <row r="4415">
      <c r="AI4415" s="80"/>
    </row>
    <row r="4416">
      <c r="AI4416" s="80"/>
    </row>
    <row r="4417">
      <c r="AI4417" s="80"/>
    </row>
    <row r="4418">
      <c r="AI4418" s="80"/>
    </row>
    <row r="4419">
      <c r="AI4419" s="80"/>
    </row>
    <row r="4420">
      <c r="AI4420" s="80"/>
    </row>
    <row r="4421">
      <c r="AI4421" s="80"/>
    </row>
    <row r="4422">
      <c r="AI4422" s="80"/>
    </row>
    <row r="4423">
      <c r="AI4423" s="80"/>
    </row>
    <row r="4424">
      <c r="AI4424" s="80"/>
    </row>
    <row r="4425">
      <c r="AI4425" s="80"/>
    </row>
    <row r="4426">
      <c r="AI4426" s="80"/>
    </row>
    <row r="4427">
      <c r="AI4427" s="80"/>
    </row>
    <row r="4428">
      <c r="AI4428" s="80"/>
    </row>
    <row r="4429">
      <c r="AI4429" s="80"/>
    </row>
    <row r="4430">
      <c r="AI4430" s="80"/>
    </row>
    <row r="4431">
      <c r="AI4431" s="80"/>
    </row>
    <row r="4432">
      <c r="AI4432" s="80"/>
    </row>
    <row r="4433">
      <c r="AI4433" s="80"/>
    </row>
    <row r="4434">
      <c r="AI4434" s="80"/>
    </row>
    <row r="4435">
      <c r="AI4435" s="80"/>
    </row>
    <row r="4436">
      <c r="AI4436" s="80"/>
    </row>
    <row r="4437">
      <c r="AI4437" s="80"/>
    </row>
    <row r="4438">
      <c r="AI4438" s="80"/>
    </row>
    <row r="4439">
      <c r="AI4439" s="80"/>
    </row>
    <row r="4440">
      <c r="AI4440" s="80"/>
    </row>
    <row r="4441">
      <c r="AI4441" s="80"/>
    </row>
    <row r="4442">
      <c r="AI4442" s="80"/>
    </row>
    <row r="4443">
      <c r="AI4443" s="80"/>
    </row>
    <row r="4444">
      <c r="AI4444" s="80"/>
    </row>
    <row r="4445">
      <c r="AI4445" s="80"/>
    </row>
    <row r="4446">
      <c r="AI4446" s="80"/>
    </row>
    <row r="4447">
      <c r="AI4447" s="80"/>
    </row>
    <row r="4448">
      <c r="AI4448" s="80"/>
    </row>
    <row r="4449">
      <c r="AI4449" s="80"/>
    </row>
    <row r="4450">
      <c r="AI4450" s="80"/>
    </row>
    <row r="4451">
      <c r="AI4451" s="80"/>
    </row>
    <row r="4452">
      <c r="AI4452" s="80"/>
    </row>
    <row r="4453">
      <c r="AI4453" s="80"/>
    </row>
    <row r="4454">
      <c r="AI4454" s="80"/>
    </row>
    <row r="4455">
      <c r="AI4455" s="80"/>
    </row>
    <row r="4456">
      <c r="AI4456" s="80"/>
    </row>
    <row r="4457">
      <c r="AI4457" s="80"/>
    </row>
    <row r="4458">
      <c r="AI4458" s="80"/>
    </row>
    <row r="4459">
      <c r="AI4459" s="80"/>
    </row>
    <row r="4460">
      <c r="AI4460" s="80"/>
    </row>
    <row r="4461">
      <c r="AI4461" s="80"/>
    </row>
    <row r="4462">
      <c r="AI4462" s="80"/>
    </row>
    <row r="4463">
      <c r="AI4463" s="80"/>
    </row>
    <row r="4464">
      <c r="AI4464" s="80"/>
    </row>
    <row r="4465">
      <c r="AI4465" s="80"/>
    </row>
    <row r="4466">
      <c r="AI4466" s="80"/>
    </row>
    <row r="4467">
      <c r="AI4467" s="80"/>
    </row>
    <row r="4468">
      <c r="AI4468" s="80"/>
    </row>
    <row r="4469">
      <c r="AI4469" s="80"/>
    </row>
    <row r="4470">
      <c r="AI4470" s="80"/>
    </row>
    <row r="4471">
      <c r="AI4471" s="80"/>
    </row>
    <row r="4472">
      <c r="AI4472" s="80"/>
    </row>
    <row r="4473">
      <c r="AI4473" s="80"/>
    </row>
    <row r="4474">
      <c r="AI4474" s="80"/>
    </row>
    <row r="4475">
      <c r="AI4475" s="80"/>
    </row>
    <row r="4476">
      <c r="AI4476" s="80"/>
    </row>
    <row r="4477">
      <c r="AI4477" s="80"/>
    </row>
    <row r="4478">
      <c r="AI4478" s="80"/>
    </row>
    <row r="4479">
      <c r="AI4479" s="80"/>
    </row>
    <row r="4480">
      <c r="AI4480" s="80"/>
    </row>
    <row r="4481">
      <c r="AI4481" s="80"/>
    </row>
    <row r="4482">
      <c r="AI4482" s="80"/>
    </row>
    <row r="4483">
      <c r="AI4483" s="80"/>
    </row>
    <row r="4484">
      <c r="AI4484" s="80"/>
    </row>
    <row r="4485">
      <c r="AI4485" s="80"/>
    </row>
    <row r="4486">
      <c r="AI4486" s="80"/>
    </row>
    <row r="4487">
      <c r="AI4487" s="80"/>
    </row>
    <row r="4488">
      <c r="AI4488" s="80"/>
    </row>
    <row r="4489">
      <c r="AI4489" s="80"/>
    </row>
    <row r="4490">
      <c r="AI4490" s="80"/>
    </row>
    <row r="4491">
      <c r="AI4491" s="80"/>
    </row>
    <row r="4492">
      <c r="AI4492" s="80"/>
    </row>
    <row r="4493">
      <c r="AI4493" s="80"/>
    </row>
    <row r="4494">
      <c r="AI4494" s="80"/>
    </row>
    <row r="4495">
      <c r="AI4495" s="80"/>
    </row>
    <row r="4496">
      <c r="AI4496" s="80"/>
    </row>
    <row r="4497">
      <c r="AI4497" s="80"/>
    </row>
    <row r="4498">
      <c r="AI4498" s="80"/>
    </row>
    <row r="4499">
      <c r="AI4499" s="80"/>
    </row>
    <row r="4500">
      <c r="AI4500" s="80"/>
    </row>
    <row r="4501">
      <c r="AI4501" s="80"/>
    </row>
    <row r="4502">
      <c r="AI4502" s="80"/>
    </row>
    <row r="4503">
      <c r="AI4503" s="80"/>
    </row>
    <row r="4504">
      <c r="AI4504" s="80"/>
    </row>
    <row r="4505">
      <c r="AI4505" s="80"/>
    </row>
    <row r="4506">
      <c r="AI4506" s="80"/>
    </row>
    <row r="4507">
      <c r="AI4507" s="80"/>
    </row>
    <row r="4508">
      <c r="AI4508" s="80"/>
    </row>
    <row r="4509">
      <c r="AI4509" s="80"/>
    </row>
    <row r="4510">
      <c r="AI4510" s="80"/>
    </row>
    <row r="4511">
      <c r="AI4511" s="80"/>
    </row>
    <row r="4512">
      <c r="AI4512" s="80"/>
    </row>
    <row r="4513">
      <c r="AI4513" s="80"/>
    </row>
    <row r="4514">
      <c r="AI4514" s="80"/>
    </row>
    <row r="4515">
      <c r="AI4515" s="80"/>
    </row>
    <row r="4516">
      <c r="AI4516" s="80"/>
    </row>
    <row r="4517">
      <c r="AI4517" s="80"/>
    </row>
    <row r="4518">
      <c r="AI4518" s="80"/>
    </row>
    <row r="4519">
      <c r="AI4519" s="80"/>
    </row>
    <row r="4520">
      <c r="AI4520" s="80"/>
    </row>
    <row r="4521">
      <c r="AI4521" s="80"/>
    </row>
    <row r="4522">
      <c r="AI4522" s="80"/>
    </row>
    <row r="4523">
      <c r="AI4523" s="80"/>
    </row>
    <row r="4524">
      <c r="AI4524" s="80"/>
    </row>
    <row r="4525">
      <c r="AI4525" s="80"/>
    </row>
    <row r="4526">
      <c r="AI4526" s="80"/>
    </row>
    <row r="4527">
      <c r="AI4527" s="80"/>
    </row>
    <row r="4528">
      <c r="AI4528" s="80"/>
    </row>
    <row r="4529">
      <c r="AI4529" s="80"/>
    </row>
    <row r="4530">
      <c r="AI4530" s="80"/>
    </row>
    <row r="4531">
      <c r="AI4531" s="80"/>
    </row>
    <row r="4532">
      <c r="AI4532" s="80"/>
    </row>
    <row r="4533">
      <c r="AI4533" s="80"/>
    </row>
    <row r="4534">
      <c r="AI4534" s="80"/>
    </row>
    <row r="4535">
      <c r="AI4535" s="80"/>
    </row>
    <row r="4536">
      <c r="AI4536" s="80"/>
    </row>
    <row r="4537">
      <c r="AI4537" s="80"/>
    </row>
    <row r="4538">
      <c r="AI4538" s="80"/>
    </row>
    <row r="4539">
      <c r="AI4539" s="80"/>
    </row>
    <row r="4540">
      <c r="AI4540" s="80"/>
    </row>
    <row r="4541">
      <c r="AI4541" s="80"/>
    </row>
    <row r="4542">
      <c r="AI4542" s="80"/>
    </row>
    <row r="4543">
      <c r="AI4543" s="80"/>
    </row>
    <row r="4544">
      <c r="AI4544" s="80"/>
    </row>
    <row r="4545">
      <c r="AI4545" s="80"/>
    </row>
    <row r="4546">
      <c r="AI4546" s="80"/>
    </row>
    <row r="4547">
      <c r="AI4547" s="80"/>
    </row>
    <row r="4548">
      <c r="AI4548" s="80"/>
    </row>
    <row r="4549">
      <c r="AI4549" s="80"/>
    </row>
    <row r="4550">
      <c r="AI4550" s="80"/>
    </row>
    <row r="4551">
      <c r="AI4551" s="80"/>
    </row>
    <row r="4552">
      <c r="AI4552" s="80"/>
    </row>
    <row r="4553">
      <c r="AI4553" s="80"/>
    </row>
    <row r="4554">
      <c r="AI4554" s="80"/>
    </row>
    <row r="4555">
      <c r="AI4555" s="80"/>
    </row>
    <row r="4556">
      <c r="AI4556" s="80"/>
    </row>
    <row r="4557">
      <c r="AI4557" s="80"/>
    </row>
    <row r="4558">
      <c r="AI4558" s="80"/>
    </row>
    <row r="4559">
      <c r="AI4559" s="80"/>
    </row>
    <row r="4560">
      <c r="AI4560" s="80"/>
    </row>
    <row r="4561">
      <c r="AI4561" s="80"/>
    </row>
    <row r="4562">
      <c r="AI4562" s="80"/>
    </row>
    <row r="4563">
      <c r="AI4563" s="80"/>
    </row>
    <row r="4564">
      <c r="AI4564" s="80"/>
    </row>
    <row r="4565">
      <c r="AI4565" s="80"/>
    </row>
    <row r="4566">
      <c r="AI4566" s="80"/>
    </row>
    <row r="4567">
      <c r="AI4567" s="80"/>
    </row>
    <row r="4568">
      <c r="AI4568" s="80"/>
    </row>
    <row r="4569">
      <c r="AI4569" s="80"/>
    </row>
    <row r="4570">
      <c r="AI4570" s="80"/>
    </row>
    <row r="4571">
      <c r="AI4571" s="80"/>
    </row>
    <row r="4572">
      <c r="AI4572" s="80"/>
    </row>
    <row r="4573">
      <c r="AI4573" s="80"/>
    </row>
    <row r="4574">
      <c r="AI4574" s="80"/>
    </row>
    <row r="4575">
      <c r="AI4575" s="80"/>
    </row>
    <row r="4576">
      <c r="AI4576" s="80"/>
    </row>
    <row r="4577">
      <c r="AI4577" s="80"/>
    </row>
    <row r="4578">
      <c r="AI4578" s="80"/>
    </row>
    <row r="4579">
      <c r="AI4579" s="80"/>
    </row>
    <row r="4580">
      <c r="AI4580" s="80"/>
    </row>
    <row r="4581">
      <c r="AI4581" s="80"/>
    </row>
    <row r="4582">
      <c r="AI4582" s="80"/>
    </row>
    <row r="4583">
      <c r="AI4583" s="80"/>
    </row>
    <row r="4584">
      <c r="AI4584" s="80"/>
    </row>
    <row r="4585">
      <c r="AI4585" s="80"/>
    </row>
    <row r="4586">
      <c r="AI4586" s="80"/>
    </row>
    <row r="4587">
      <c r="AI4587" s="80"/>
    </row>
    <row r="4588">
      <c r="AI4588" s="80"/>
    </row>
    <row r="4589">
      <c r="AI4589" s="80"/>
    </row>
    <row r="4590">
      <c r="AI4590" s="80"/>
    </row>
    <row r="4591">
      <c r="AI4591" s="80"/>
    </row>
    <row r="4592">
      <c r="AI4592" s="80"/>
    </row>
    <row r="4593">
      <c r="AI4593" s="80"/>
    </row>
    <row r="4594">
      <c r="AI4594" s="80"/>
    </row>
    <row r="4595">
      <c r="AI4595" s="80"/>
    </row>
    <row r="4596">
      <c r="AI4596" s="80"/>
    </row>
    <row r="4597">
      <c r="AI4597" s="80"/>
    </row>
    <row r="4598">
      <c r="AI4598" s="80"/>
    </row>
    <row r="4599">
      <c r="AI4599" s="80"/>
    </row>
    <row r="4600">
      <c r="AI4600" s="80"/>
    </row>
    <row r="4601">
      <c r="AI4601" s="80"/>
    </row>
    <row r="4602">
      <c r="AI4602" s="80"/>
    </row>
    <row r="4603">
      <c r="AI4603" s="80"/>
    </row>
    <row r="4604">
      <c r="AI4604" s="80"/>
    </row>
    <row r="4605">
      <c r="AI4605" s="80"/>
    </row>
    <row r="4606">
      <c r="AI4606" s="80"/>
    </row>
    <row r="4607">
      <c r="AI4607" s="80"/>
    </row>
    <row r="4608">
      <c r="AI4608" s="80"/>
    </row>
    <row r="4609">
      <c r="AI4609" s="80"/>
    </row>
    <row r="4610">
      <c r="AI4610" s="80"/>
    </row>
    <row r="4611">
      <c r="AI4611" s="80"/>
    </row>
    <row r="4612">
      <c r="AI4612" s="80"/>
    </row>
    <row r="4613">
      <c r="AI4613" s="80"/>
    </row>
    <row r="4614">
      <c r="AI4614" s="80"/>
    </row>
    <row r="4615">
      <c r="AI4615" s="80"/>
    </row>
    <row r="4616">
      <c r="AI4616" s="80"/>
    </row>
    <row r="4617">
      <c r="AI4617" s="80"/>
    </row>
    <row r="4618">
      <c r="AI4618" s="80"/>
    </row>
    <row r="4619">
      <c r="AI4619" s="80"/>
    </row>
    <row r="4620">
      <c r="AI4620" s="80"/>
    </row>
    <row r="4621">
      <c r="AI4621" s="80"/>
    </row>
    <row r="4622">
      <c r="AI4622" s="80"/>
    </row>
    <row r="4623">
      <c r="AI4623" s="80"/>
    </row>
    <row r="4624">
      <c r="AI4624" s="80"/>
    </row>
    <row r="4625">
      <c r="AI4625" s="80"/>
    </row>
    <row r="4626">
      <c r="AI4626" s="80"/>
    </row>
    <row r="4627">
      <c r="AI4627" s="80"/>
    </row>
    <row r="4628">
      <c r="AI4628" s="80"/>
    </row>
    <row r="4629">
      <c r="AI4629" s="80"/>
    </row>
    <row r="4630">
      <c r="AI4630" s="80"/>
    </row>
    <row r="4631">
      <c r="AI4631" s="80"/>
    </row>
    <row r="4632">
      <c r="AI4632" s="80"/>
    </row>
    <row r="4633">
      <c r="AI4633" s="80"/>
    </row>
    <row r="4634">
      <c r="AI4634" s="80"/>
    </row>
    <row r="4635">
      <c r="AI4635" s="80"/>
    </row>
    <row r="4636">
      <c r="AI4636" s="80"/>
    </row>
    <row r="4637">
      <c r="AI4637" s="80"/>
    </row>
    <row r="4638">
      <c r="AI4638" s="80"/>
    </row>
    <row r="4639">
      <c r="AI4639" s="80"/>
    </row>
    <row r="4640">
      <c r="AI4640" s="80"/>
    </row>
    <row r="4641">
      <c r="AI4641" s="80"/>
    </row>
    <row r="4642">
      <c r="AI4642" s="80"/>
    </row>
    <row r="4643">
      <c r="AI4643" s="80"/>
    </row>
    <row r="4644">
      <c r="AI4644" s="80"/>
    </row>
    <row r="4645">
      <c r="AI4645" s="80"/>
    </row>
    <row r="4646">
      <c r="AI4646" s="80"/>
    </row>
    <row r="4647">
      <c r="AI4647" s="80"/>
    </row>
    <row r="4648">
      <c r="AI4648" s="80"/>
    </row>
    <row r="4649">
      <c r="AI4649" s="80"/>
    </row>
    <row r="4650">
      <c r="AI4650" s="80"/>
    </row>
    <row r="4651">
      <c r="AI4651" s="80"/>
    </row>
    <row r="4652">
      <c r="AI4652" s="80"/>
    </row>
    <row r="4653">
      <c r="AI4653" s="80"/>
    </row>
    <row r="4654">
      <c r="AI4654" s="80"/>
    </row>
    <row r="4655">
      <c r="AI4655" s="80"/>
    </row>
    <row r="4656">
      <c r="AI4656" s="80"/>
    </row>
    <row r="4657">
      <c r="AI4657" s="80"/>
    </row>
    <row r="4658">
      <c r="AI4658" s="80"/>
    </row>
    <row r="4659">
      <c r="AI4659" s="80"/>
    </row>
    <row r="4660">
      <c r="AI4660" s="80"/>
    </row>
    <row r="4661">
      <c r="AI4661" s="80"/>
    </row>
    <row r="4662">
      <c r="AI4662" s="80"/>
    </row>
    <row r="4663">
      <c r="AI4663" s="80"/>
    </row>
    <row r="4664">
      <c r="AI4664" s="80"/>
    </row>
    <row r="4665">
      <c r="AI4665" s="80"/>
    </row>
    <row r="4666">
      <c r="AI4666" s="80"/>
    </row>
    <row r="4667">
      <c r="AI4667" s="80"/>
    </row>
    <row r="4668">
      <c r="AI4668" s="80"/>
    </row>
    <row r="4669">
      <c r="AI4669" s="80"/>
    </row>
    <row r="4670">
      <c r="AI4670" s="80"/>
    </row>
    <row r="4671">
      <c r="AI4671" s="80"/>
    </row>
    <row r="4672">
      <c r="AI4672" s="80"/>
    </row>
    <row r="4673">
      <c r="AI4673" s="80"/>
    </row>
    <row r="4674">
      <c r="AI4674" s="80"/>
    </row>
    <row r="4675">
      <c r="AI4675" s="80"/>
    </row>
    <row r="4676">
      <c r="AI4676" s="80"/>
    </row>
    <row r="4677">
      <c r="AI4677" s="80"/>
    </row>
    <row r="4678">
      <c r="AI4678" s="80"/>
    </row>
    <row r="4679">
      <c r="AI4679" s="80"/>
    </row>
    <row r="4680">
      <c r="AI4680" s="80"/>
    </row>
    <row r="4681">
      <c r="AI4681" s="80"/>
    </row>
    <row r="4682">
      <c r="AI4682" s="80"/>
    </row>
    <row r="4683">
      <c r="AI4683" s="80"/>
    </row>
    <row r="4684">
      <c r="AI4684" s="80"/>
    </row>
    <row r="4685">
      <c r="AI4685" s="80"/>
    </row>
    <row r="4686">
      <c r="AI4686" s="80"/>
    </row>
    <row r="4687">
      <c r="AI4687" s="80"/>
    </row>
    <row r="4688">
      <c r="AI4688" s="80"/>
    </row>
    <row r="4689">
      <c r="AI4689" s="80"/>
    </row>
    <row r="4690">
      <c r="AI4690" s="80"/>
    </row>
    <row r="4691">
      <c r="AI4691" s="80"/>
    </row>
    <row r="4692">
      <c r="AI4692" s="80"/>
    </row>
    <row r="4693">
      <c r="AI4693" s="80"/>
    </row>
    <row r="4694">
      <c r="AI4694" s="80"/>
    </row>
    <row r="4695">
      <c r="AI4695" s="80"/>
    </row>
    <row r="4696">
      <c r="AI4696" s="80"/>
    </row>
    <row r="4697">
      <c r="AI4697" s="80"/>
    </row>
    <row r="4698">
      <c r="AI4698" s="80"/>
    </row>
    <row r="4699">
      <c r="AI4699" s="80"/>
    </row>
    <row r="4700">
      <c r="AI4700" s="80"/>
    </row>
    <row r="4701">
      <c r="AI4701" s="80"/>
    </row>
    <row r="4702">
      <c r="AI4702" s="80"/>
    </row>
    <row r="4703">
      <c r="AI4703" s="80"/>
    </row>
    <row r="4704">
      <c r="AI4704" s="80"/>
    </row>
    <row r="4705">
      <c r="AI4705" s="80"/>
    </row>
    <row r="4706">
      <c r="AI4706" s="80"/>
    </row>
    <row r="4707">
      <c r="AI4707" s="80"/>
    </row>
    <row r="4708">
      <c r="AI4708" s="80"/>
    </row>
    <row r="4709">
      <c r="AI4709" s="80"/>
    </row>
    <row r="4710">
      <c r="AI4710" s="80"/>
    </row>
    <row r="4711">
      <c r="AI4711" s="80"/>
    </row>
    <row r="4712">
      <c r="AI4712" s="80"/>
    </row>
    <row r="4713">
      <c r="AI4713" s="80"/>
    </row>
    <row r="4714">
      <c r="AI4714" s="80"/>
    </row>
    <row r="4715">
      <c r="AI4715" s="80"/>
    </row>
    <row r="4716">
      <c r="AI4716" s="80"/>
    </row>
    <row r="4717">
      <c r="AI4717" s="80"/>
    </row>
    <row r="4718">
      <c r="AI4718" s="80"/>
    </row>
    <row r="4719">
      <c r="AI4719" s="80"/>
    </row>
    <row r="4720">
      <c r="AI4720" s="80"/>
    </row>
    <row r="4721">
      <c r="AI4721" s="80"/>
    </row>
    <row r="4722">
      <c r="AI4722" s="80"/>
    </row>
    <row r="4723">
      <c r="AI4723" s="80"/>
    </row>
    <row r="4724">
      <c r="AI4724" s="80"/>
    </row>
    <row r="4725">
      <c r="AI4725" s="80"/>
    </row>
    <row r="4726">
      <c r="AI4726" s="80"/>
    </row>
    <row r="4727">
      <c r="AI4727" s="80"/>
    </row>
    <row r="4728">
      <c r="AI4728" s="80"/>
    </row>
    <row r="4729">
      <c r="AI4729" s="80"/>
    </row>
    <row r="4730">
      <c r="AI4730" s="80"/>
    </row>
    <row r="4731">
      <c r="AI4731" s="80"/>
    </row>
    <row r="4732">
      <c r="AI4732" s="80"/>
    </row>
    <row r="4733">
      <c r="AI4733" s="80"/>
    </row>
    <row r="4734">
      <c r="AI4734" s="80"/>
    </row>
    <row r="4735">
      <c r="AI4735" s="80"/>
    </row>
    <row r="4736">
      <c r="AI4736" s="80"/>
    </row>
    <row r="4737">
      <c r="AI4737" s="80"/>
    </row>
    <row r="4738">
      <c r="AI4738" s="80"/>
    </row>
    <row r="4739">
      <c r="AI4739" s="80"/>
    </row>
    <row r="4740">
      <c r="AI4740" s="80"/>
    </row>
    <row r="4741">
      <c r="AI4741" s="80"/>
    </row>
    <row r="4742">
      <c r="AI4742" s="80"/>
    </row>
    <row r="4743">
      <c r="AI4743" s="80"/>
    </row>
    <row r="4744">
      <c r="AI4744" s="80"/>
    </row>
    <row r="4745">
      <c r="AI4745" s="80"/>
    </row>
    <row r="4746">
      <c r="AI4746" s="80"/>
    </row>
    <row r="4747">
      <c r="AI4747" s="80"/>
    </row>
    <row r="4748">
      <c r="AI4748" s="80"/>
    </row>
    <row r="4749">
      <c r="AI4749" s="80"/>
    </row>
    <row r="4750">
      <c r="AI4750" s="80"/>
    </row>
    <row r="4751">
      <c r="AI4751" s="80"/>
    </row>
    <row r="4752">
      <c r="AI4752" s="80"/>
    </row>
    <row r="4753">
      <c r="AI4753" s="80"/>
    </row>
    <row r="4754">
      <c r="AI4754" s="80"/>
    </row>
    <row r="4755">
      <c r="AI4755" s="80"/>
    </row>
    <row r="4756">
      <c r="AI4756" s="80"/>
    </row>
    <row r="4757">
      <c r="AI4757" s="80"/>
    </row>
    <row r="4758">
      <c r="AI4758" s="80"/>
    </row>
    <row r="4759">
      <c r="AI4759" s="80"/>
    </row>
    <row r="4760">
      <c r="AI4760" s="80"/>
    </row>
    <row r="4761">
      <c r="AI4761" s="80"/>
    </row>
    <row r="4762">
      <c r="AI4762" s="80"/>
    </row>
    <row r="4763">
      <c r="AI4763" s="80"/>
    </row>
    <row r="4764">
      <c r="AI4764" s="80"/>
    </row>
    <row r="4765">
      <c r="AI4765" s="80"/>
    </row>
    <row r="4766">
      <c r="AI4766" s="80"/>
    </row>
    <row r="4767">
      <c r="AI4767" s="80"/>
    </row>
    <row r="4768">
      <c r="AI4768" s="80"/>
    </row>
    <row r="4769">
      <c r="AI4769" s="80"/>
    </row>
    <row r="4770">
      <c r="AI4770" s="80"/>
    </row>
    <row r="4771">
      <c r="AI4771" s="80"/>
    </row>
    <row r="4772">
      <c r="AI4772" s="80"/>
    </row>
    <row r="4773">
      <c r="AI4773" s="80"/>
    </row>
    <row r="4774">
      <c r="AI4774" s="80"/>
    </row>
    <row r="4775">
      <c r="AI4775" s="80"/>
    </row>
    <row r="4776">
      <c r="AI4776" s="80"/>
    </row>
    <row r="4777">
      <c r="AI4777" s="80"/>
    </row>
    <row r="4778">
      <c r="AI4778" s="80"/>
    </row>
    <row r="4779">
      <c r="AI4779" s="80"/>
    </row>
    <row r="4780">
      <c r="AI4780" s="80"/>
    </row>
    <row r="4781">
      <c r="AI4781" s="80"/>
    </row>
    <row r="4782">
      <c r="AI4782" s="80"/>
    </row>
    <row r="4783">
      <c r="AI4783" s="80"/>
    </row>
    <row r="4784">
      <c r="AI4784" s="80"/>
    </row>
    <row r="4785">
      <c r="AI4785" s="80"/>
    </row>
    <row r="4786">
      <c r="AI4786" s="80"/>
    </row>
    <row r="4787">
      <c r="AI4787" s="80"/>
    </row>
    <row r="4788">
      <c r="AI4788" s="80"/>
    </row>
    <row r="4789">
      <c r="AI4789" s="80"/>
    </row>
    <row r="4790">
      <c r="AI4790" s="80"/>
    </row>
    <row r="4791">
      <c r="AI4791" s="80"/>
    </row>
    <row r="4792">
      <c r="AI4792" s="80"/>
    </row>
    <row r="4793">
      <c r="AI4793" s="80"/>
    </row>
    <row r="4794">
      <c r="AI4794" s="80"/>
    </row>
    <row r="4795">
      <c r="AI4795" s="80"/>
    </row>
    <row r="4796">
      <c r="AI4796" s="80"/>
    </row>
    <row r="4797">
      <c r="AI4797" s="80"/>
    </row>
    <row r="4798">
      <c r="AI4798" s="80"/>
    </row>
    <row r="4799">
      <c r="AI4799" s="80"/>
    </row>
    <row r="4800">
      <c r="AI4800" s="80"/>
    </row>
    <row r="4801">
      <c r="AI4801" s="80"/>
    </row>
    <row r="4802">
      <c r="AI4802" s="80"/>
    </row>
    <row r="4803">
      <c r="AI4803" s="80"/>
    </row>
    <row r="4804">
      <c r="AI4804" s="80"/>
    </row>
    <row r="4805">
      <c r="AI4805" s="80"/>
    </row>
    <row r="4806">
      <c r="AI4806" s="80"/>
    </row>
    <row r="4807">
      <c r="AI4807" s="80"/>
    </row>
    <row r="4808">
      <c r="AI4808" s="80"/>
    </row>
    <row r="4809">
      <c r="AI4809" s="80"/>
    </row>
    <row r="4810">
      <c r="AI4810" s="80"/>
    </row>
    <row r="4811">
      <c r="AI4811" s="80"/>
    </row>
    <row r="4812">
      <c r="AI4812" s="80"/>
    </row>
    <row r="4813">
      <c r="AI4813" s="80"/>
    </row>
    <row r="4814">
      <c r="AI4814" s="80"/>
    </row>
    <row r="4815">
      <c r="AI4815" s="80"/>
    </row>
    <row r="4816">
      <c r="AI4816" s="80"/>
    </row>
    <row r="4817">
      <c r="AI4817" s="80"/>
    </row>
    <row r="4818">
      <c r="AI4818" s="80"/>
    </row>
    <row r="4819">
      <c r="AI4819" s="80"/>
    </row>
    <row r="4820">
      <c r="AI4820" s="80"/>
    </row>
    <row r="4821">
      <c r="AI4821" s="80"/>
    </row>
    <row r="4822">
      <c r="AI4822" s="80"/>
    </row>
    <row r="4823">
      <c r="AI4823" s="80"/>
    </row>
    <row r="4824">
      <c r="AI4824" s="80"/>
    </row>
    <row r="4825">
      <c r="AI4825" s="80"/>
    </row>
    <row r="4826">
      <c r="AI4826" s="80"/>
    </row>
    <row r="4827">
      <c r="AI4827" s="80"/>
    </row>
    <row r="4828">
      <c r="AI4828" s="80"/>
    </row>
    <row r="4829">
      <c r="AI4829" s="80"/>
    </row>
    <row r="4830">
      <c r="AI4830" s="80"/>
    </row>
    <row r="4831">
      <c r="AI4831" s="80"/>
    </row>
    <row r="4832">
      <c r="AI4832" s="80"/>
    </row>
    <row r="4833">
      <c r="AI4833" s="80"/>
    </row>
    <row r="4834">
      <c r="AI4834" s="80"/>
    </row>
    <row r="4835">
      <c r="AI4835" s="80"/>
    </row>
    <row r="4836">
      <c r="AI4836" s="80"/>
    </row>
    <row r="4837">
      <c r="AI4837" s="80"/>
    </row>
    <row r="4838">
      <c r="AI4838" s="80"/>
    </row>
    <row r="4839">
      <c r="AI4839" s="80"/>
    </row>
    <row r="4840">
      <c r="AI4840" s="80"/>
    </row>
    <row r="4841">
      <c r="AI4841" s="80"/>
    </row>
    <row r="4842">
      <c r="AI4842" s="80"/>
    </row>
    <row r="4843">
      <c r="AI4843" s="80"/>
    </row>
    <row r="4844">
      <c r="AI4844" s="80"/>
    </row>
    <row r="4845">
      <c r="AI4845" s="80"/>
    </row>
    <row r="4846">
      <c r="AI4846" s="80"/>
    </row>
    <row r="4847">
      <c r="AI4847" s="80"/>
    </row>
    <row r="4848">
      <c r="AI4848" s="80"/>
    </row>
    <row r="4849">
      <c r="AI4849" s="80"/>
    </row>
    <row r="4850">
      <c r="AI4850" s="80"/>
    </row>
    <row r="4851">
      <c r="AI4851" s="80"/>
    </row>
    <row r="4852">
      <c r="AI4852" s="80"/>
    </row>
    <row r="4853">
      <c r="AI4853" s="80"/>
    </row>
    <row r="4854">
      <c r="AI4854" s="80"/>
    </row>
    <row r="4855">
      <c r="AI4855" s="80"/>
    </row>
    <row r="4856">
      <c r="AI4856" s="80"/>
    </row>
    <row r="4857">
      <c r="AI4857" s="80"/>
    </row>
    <row r="4858">
      <c r="AI4858" s="80"/>
    </row>
    <row r="4859">
      <c r="AI4859" s="80"/>
    </row>
    <row r="4860">
      <c r="AI4860" s="80"/>
    </row>
    <row r="4861">
      <c r="AI4861" s="80"/>
    </row>
    <row r="4862">
      <c r="AI4862" s="80"/>
    </row>
    <row r="4863">
      <c r="AI4863" s="80"/>
    </row>
    <row r="4864">
      <c r="AI4864" s="80"/>
    </row>
    <row r="4865">
      <c r="AI4865" s="80"/>
    </row>
    <row r="4866">
      <c r="AI4866" s="80"/>
    </row>
    <row r="4867">
      <c r="AI4867" s="80"/>
    </row>
    <row r="4868">
      <c r="AI4868" s="80"/>
    </row>
    <row r="4869">
      <c r="AI4869" s="80"/>
    </row>
    <row r="4870">
      <c r="AI4870" s="80"/>
    </row>
    <row r="4871">
      <c r="AI4871" s="80"/>
    </row>
    <row r="4872">
      <c r="AI4872" s="80"/>
    </row>
    <row r="4873">
      <c r="AI4873" s="80"/>
    </row>
    <row r="4874">
      <c r="AI4874" s="80"/>
    </row>
    <row r="4875">
      <c r="AI4875" s="80"/>
    </row>
    <row r="4876">
      <c r="AI4876" s="80"/>
    </row>
    <row r="4877">
      <c r="AI4877" s="80"/>
    </row>
    <row r="4878">
      <c r="AI4878" s="80"/>
    </row>
    <row r="4879">
      <c r="AI4879" s="80"/>
    </row>
    <row r="4880">
      <c r="AI4880" s="80"/>
    </row>
    <row r="4881">
      <c r="AI4881" s="80"/>
    </row>
    <row r="4882">
      <c r="AI4882" s="80"/>
    </row>
    <row r="4883">
      <c r="AI4883" s="80"/>
    </row>
    <row r="4884">
      <c r="AI4884" s="80"/>
    </row>
    <row r="4885">
      <c r="AI4885" s="80"/>
    </row>
    <row r="4886">
      <c r="AI4886" s="80"/>
    </row>
    <row r="4887">
      <c r="AI4887" s="80"/>
    </row>
    <row r="4888">
      <c r="AI4888" s="80"/>
    </row>
    <row r="4889">
      <c r="AI4889" s="80"/>
    </row>
    <row r="4890">
      <c r="AI4890" s="80"/>
    </row>
    <row r="4891">
      <c r="AI4891" s="80"/>
    </row>
    <row r="4892">
      <c r="AI4892" s="80"/>
    </row>
    <row r="4893">
      <c r="AI4893" s="80"/>
    </row>
    <row r="4894">
      <c r="AI4894" s="80"/>
    </row>
    <row r="4895">
      <c r="AI4895" s="80"/>
    </row>
    <row r="4896">
      <c r="AI4896" s="80"/>
    </row>
    <row r="4897">
      <c r="AI4897" s="80"/>
    </row>
    <row r="4898">
      <c r="AI4898" s="80"/>
    </row>
    <row r="4899">
      <c r="AI4899" s="80"/>
    </row>
    <row r="4900">
      <c r="AI4900" s="80"/>
    </row>
    <row r="4901">
      <c r="AI4901" s="80"/>
    </row>
    <row r="4902">
      <c r="AI4902" s="80"/>
    </row>
    <row r="4903">
      <c r="AI4903" s="80"/>
    </row>
    <row r="4904">
      <c r="AI4904" s="80"/>
    </row>
    <row r="4905">
      <c r="AI4905" s="80"/>
    </row>
    <row r="4906">
      <c r="AI4906" s="80"/>
    </row>
    <row r="4907">
      <c r="AI4907" s="80"/>
    </row>
    <row r="4908">
      <c r="AI4908" s="80"/>
    </row>
    <row r="4909">
      <c r="AI4909" s="80"/>
    </row>
    <row r="4910">
      <c r="AI4910" s="80"/>
    </row>
    <row r="4911">
      <c r="AI4911" s="80"/>
    </row>
    <row r="4912">
      <c r="AI4912" s="80"/>
    </row>
    <row r="4913">
      <c r="AI4913" s="80"/>
    </row>
    <row r="4914">
      <c r="AI4914" s="80"/>
    </row>
    <row r="4915">
      <c r="AI4915" s="80"/>
    </row>
    <row r="4916">
      <c r="AI4916" s="80"/>
    </row>
    <row r="4917">
      <c r="AI4917" s="80"/>
    </row>
    <row r="4918">
      <c r="AI4918" s="80"/>
    </row>
    <row r="4919">
      <c r="AI4919" s="80"/>
    </row>
    <row r="4920">
      <c r="AI4920" s="80"/>
    </row>
    <row r="4921">
      <c r="AI4921" s="80"/>
    </row>
    <row r="4922">
      <c r="AI4922" s="80"/>
    </row>
    <row r="4923">
      <c r="AI4923" s="80"/>
    </row>
    <row r="4924">
      <c r="AI4924" s="80"/>
    </row>
    <row r="4925">
      <c r="AI4925" s="80"/>
    </row>
    <row r="4926">
      <c r="AI4926" s="80"/>
    </row>
    <row r="4927">
      <c r="AI4927" s="80"/>
    </row>
    <row r="4928">
      <c r="AI4928" s="80"/>
    </row>
    <row r="4929">
      <c r="AI4929" s="80"/>
    </row>
    <row r="4930">
      <c r="AI4930" s="80"/>
    </row>
    <row r="4931">
      <c r="AI4931" s="80"/>
    </row>
    <row r="4932">
      <c r="AI4932" s="80"/>
    </row>
    <row r="4933">
      <c r="AI4933" s="80"/>
    </row>
    <row r="4934">
      <c r="AI4934" s="80"/>
    </row>
    <row r="4935">
      <c r="AI4935" s="80"/>
    </row>
    <row r="4936">
      <c r="AI4936" s="80"/>
    </row>
    <row r="4937">
      <c r="AI4937" s="80"/>
    </row>
    <row r="4938">
      <c r="AI4938" s="80"/>
    </row>
    <row r="4939">
      <c r="AI4939" s="80"/>
    </row>
    <row r="4940">
      <c r="AI4940" s="80"/>
    </row>
    <row r="4941">
      <c r="AI4941" s="80"/>
    </row>
    <row r="4942">
      <c r="AI4942" s="80"/>
    </row>
    <row r="4943">
      <c r="AI4943" s="80"/>
    </row>
    <row r="4944">
      <c r="AI4944" s="80"/>
    </row>
    <row r="4945">
      <c r="AI4945" s="80"/>
    </row>
    <row r="4946">
      <c r="AI4946" s="80"/>
    </row>
    <row r="4947">
      <c r="AI4947" s="80"/>
    </row>
    <row r="4948">
      <c r="AI4948" s="80"/>
    </row>
    <row r="4949">
      <c r="AI4949" s="80"/>
    </row>
    <row r="4950">
      <c r="AI4950" s="80"/>
    </row>
    <row r="4951">
      <c r="AI4951" s="80"/>
    </row>
    <row r="4952">
      <c r="AI4952" s="80"/>
    </row>
    <row r="4953">
      <c r="AI4953" s="80"/>
    </row>
    <row r="4954">
      <c r="AI4954" s="80"/>
    </row>
    <row r="4955">
      <c r="AI4955" s="80"/>
    </row>
    <row r="4956">
      <c r="AI4956" s="80"/>
    </row>
    <row r="4957">
      <c r="AI4957" s="80"/>
    </row>
    <row r="4958">
      <c r="AI4958" s="80"/>
    </row>
    <row r="4959">
      <c r="AI4959" s="80"/>
    </row>
    <row r="4960">
      <c r="AI4960" s="80"/>
    </row>
    <row r="4961">
      <c r="AI4961" s="80"/>
    </row>
    <row r="4962">
      <c r="AI4962" s="80"/>
    </row>
    <row r="4963">
      <c r="AI4963" s="80"/>
    </row>
    <row r="4964">
      <c r="AI4964" s="80"/>
    </row>
    <row r="4965">
      <c r="AI4965" s="80"/>
    </row>
    <row r="4966">
      <c r="AI4966" s="80"/>
    </row>
    <row r="4967">
      <c r="AI4967" s="80"/>
    </row>
    <row r="4968">
      <c r="AI4968" s="80"/>
    </row>
    <row r="4969">
      <c r="AI4969" s="80"/>
    </row>
    <row r="4970">
      <c r="AI4970" s="80"/>
    </row>
    <row r="4971">
      <c r="AI4971" s="80"/>
    </row>
    <row r="4972">
      <c r="AI4972" s="80"/>
    </row>
    <row r="4973">
      <c r="AI4973" s="80"/>
    </row>
    <row r="4974">
      <c r="AI4974" s="80"/>
    </row>
    <row r="4975">
      <c r="AI4975" s="80"/>
    </row>
    <row r="4976">
      <c r="AI4976" s="80"/>
    </row>
    <row r="4977">
      <c r="AI4977" s="80"/>
    </row>
    <row r="4978">
      <c r="AI4978" s="80"/>
    </row>
    <row r="4979">
      <c r="AI4979" s="80"/>
    </row>
    <row r="4980">
      <c r="AI4980" s="80"/>
    </row>
    <row r="4981">
      <c r="AI4981" s="80"/>
    </row>
    <row r="4982">
      <c r="AI4982" s="80"/>
    </row>
    <row r="4983">
      <c r="AI4983" s="80"/>
    </row>
    <row r="4984">
      <c r="AI4984" s="80"/>
    </row>
    <row r="4985">
      <c r="AI4985" s="80"/>
    </row>
    <row r="4986">
      <c r="AI4986" s="80"/>
    </row>
    <row r="4987">
      <c r="AI4987" s="80"/>
    </row>
    <row r="4988">
      <c r="AI4988" s="80"/>
    </row>
    <row r="4989">
      <c r="AI4989" s="80"/>
    </row>
    <row r="4990">
      <c r="AI4990" s="80"/>
    </row>
    <row r="4991">
      <c r="AI4991" s="80"/>
    </row>
    <row r="4992">
      <c r="AI4992" s="80"/>
    </row>
    <row r="4993">
      <c r="AI4993" s="80"/>
    </row>
    <row r="4994">
      <c r="AI4994" s="80"/>
    </row>
    <row r="4995">
      <c r="AI4995" s="80"/>
    </row>
    <row r="4996">
      <c r="AI4996" s="80"/>
    </row>
    <row r="4997">
      <c r="AI4997" s="80"/>
    </row>
    <row r="4998">
      <c r="AI4998" s="80"/>
    </row>
    <row r="4999">
      <c r="AI4999" s="80"/>
    </row>
    <row r="5000">
      <c r="AI5000" s="80"/>
    </row>
    <row r="5001">
      <c r="AI5001" s="80"/>
    </row>
    <row r="5002">
      <c r="AI5002" s="80"/>
    </row>
    <row r="5003">
      <c r="AI5003" s="80"/>
    </row>
    <row r="5004">
      <c r="AI5004" s="80"/>
    </row>
    <row r="5005">
      <c r="AI5005" s="80"/>
    </row>
    <row r="5006">
      <c r="AI5006" s="80"/>
    </row>
    <row r="5007">
      <c r="AI5007" s="80"/>
    </row>
    <row r="5008">
      <c r="AI5008" s="80"/>
    </row>
    <row r="5009">
      <c r="AI5009" s="80"/>
    </row>
    <row r="5010">
      <c r="AI5010" s="80"/>
    </row>
    <row r="5011">
      <c r="AI5011" s="80"/>
    </row>
    <row r="5012">
      <c r="AI5012" s="80"/>
    </row>
    <row r="5013">
      <c r="AI5013" s="80"/>
    </row>
    <row r="5014">
      <c r="AI5014" s="80"/>
    </row>
    <row r="5015">
      <c r="AI5015" s="80"/>
    </row>
    <row r="5016">
      <c r="AI5016" s="80"/>
    </row>
    <row r="5017">
      <c r="AI5017" s="80"/>
    </row>
    <row r="5018">
      <c r="AI5018" s="80"/>
    </row>
    <row r="5019">
      <c r="AI5019" s="80"/>
    </row>
    <row r="5020">
      <c r="AI5020" s="80"/>
    </row>
    <row r="5021">
      <c r="AI5021" s="80"/>
    </row>
    <row r="5022">
      <c r="AI5022" s="80"/>
    </row>
    <row r="5023">
      <c r="AI5023" s="80"/>
    </row>
    <row r="5024">
      <c r="AI5024" s="80"/>
    </row>
    <row r="5025">
      <c r="AI5025" s="80"/>
    </row>
    <row r="5026">
      <c r="AI5026" s="80"/>
    </row>
    <row r="5027">
      <c r="AI5027" s="80"/>
    </row>
    <row r="5028">
      <c r="AI5028" s="80"/>
    </row>
    <row r="5029">
      <c r="AI5029" s="80"/>
    </row>
    <row r="5030">
      <c r="AI5030" s="80"/>
    </row>
    <row r="5031">
      <c r="AI5031" s="80"/>
    </row>
    <row r="5032">
      <c r="AI5032" s="80"/>
    </row>
    <row r="5033">
      <c r="AI5033" s="80"/>
    </row>
    <row r="5034">
      <c r="AI5034" s="80"/>
    </row>
    <row r="5035">
      <c r="AI5035" s="80"/>
    </row>
    <row r="5036">
      <c r="AI5036" s="80"/>
    </row>
    <row r="5037">
      <c r="AI5037" s="80"/>
    </row>
    <row r="5038">
      <c r="AI5038" s="80"/>
    </row>
    <row r="5039">
      <c r="AI5039" s="80"/>
    </row>
    <row r="5040">
      <c r="AI5040" s="80"/>
    </row>
    <row r="5041">
      <c r="AI5041" s="80"/>
    </row>
    <row r="5042">
      <c r="AI5042" s="80"/>
    </row>
    <row r="5043">
      <c r="AI5043" s="80"/>
    </row>
    <row r="5044">
      <c r="AI5044" s="80"/>
    </row>
    <row r="5045">
      <c r="AI5045" s="80"/>
    </row>
    <row r="5046">
      <c r="AI5046" s="80"/>
    </row>
    <row r="5047">
      <c r="AI5047" s="80"/>
    </row>
    <row r="5048">
      <c r="AI5048" s="80"/>
    </row>
    <row r="5049">
      <c r="AI5049" s="80"/>
    </row>
    <row r="5050">
      <c r="AI5050" s="80"/>
    </row>
    <row r="5051">
      <c r="AI5051" s="80"/>
    </row>
    <row r="5052">
      <c r="AI5052" s="80"/>
    </row>
    <row r="5053">
      <c r="AI5053" s="80"/>
    </row>
    <row r="5054">
      <c r="AI5054" s="80"/>
    </row>
    <row r="5055">
      <c r="AI5055" s="80"/>
    </row>
    <row r="5056">
      <c r="AI5056" s="80"/>
    </row>
    <row r="5057">
      <c r="AI5057" s="80"/>
    </row>
    <row r="5058">
      <c r="AI5058" s="80"/>
    </row>
    <row r="5059">
      <c r="AI5059" s="80"/>
    </row>
    <row r="5060">
      <c r="AI5060" s="80"/>
    </row>
    <row r="5061">
      <c r="AI5061" s="80"/>
    </row>
    <row r="5062">
      <c r="AI5062" s="80"/>
    </row>
    <row r="5063">
      <c r="AI5063" s="80"/>
    </row>
    <row r="5064">
      <c r="AI5064" s="80"/>
    </row>
    <row r="5065">
      <c r="AI5065" s="80"/>
    </row>
    <row r="5066">
      <c r="AI5066" s="80"/>
    </row>
    <row r="5067">
      <c r="AI5067" s="80"/>
    </row>
    <row r="5068">
      <c r="AI5068" s="80"/>
    </row>
    <row r="5069">
      <c r="AI5069" s="80"/>
    </row>
    <row r="5070">
      <c r="AI5070" s="80"/>
    </row>
    <row r="5071">
      <c r="AI5071" s="80"/>
    </row>
    <row r="5072">
      <c r="AI5072" s="80"/>
    </row>
    <row r="5073">
      <c r="AI5073" s="80"/>
    </row>
    <row r="5074">
      <c r="AI5074" s="80"/>
    </row>
    <row r="5075">
      <c r="AI5075" s="80"/>
    </row>
    <row r="5076">
      <c r="AI5076" s="80"/>
    </row>
    <row r="5077">
      <c r="AI5077" s="80"/>
    </row>
    <row r="5078">
      <c r="AI5078" s="80"/>
    </row>
    <row r="5079">
      <c r="AI5079" s="80"/>
    </row>
    <row r="5080">
      <c r="AI5080" s="80"/>
    </row>
    <row r="5081">
      <c r="AI5081" s="80"/>
    </row>
    <row r="5082">
      <c r="AI5082" s="80"/>
    </row>
    <row r="5083">
      <c r="AI5083" s="80"/>
    </row>
    <row r="5084">
      <c r="AI5084" s="80"/>
    </row>
    <row r="5085">
      <c r="AI5085" s="80"/>
    </row>
    <row r="5086">
      <c r="AI5086" s="80"/>
    </row>
    <row r="5087">
      <c r="AI5087" s="80"/>
    </row>
    <row r="5088">
      <c r="AI5088" s="80"/>
    </row>
    <row r="5089">
      <c r="AI5089" s="80"/>
    </row>
    <row r="5090">
      <c r="AI5090" s="80"/>
    </row>
    <row r="5091">
      <c r="AI5091" s="80"/>
    </row>
    <row r="5092">
      <c r="AI5092" s="80"/>
    </row>
    <row r="5093">
      <c r="AI5093" s="80"/>
    </row>
    <row r="5094">
      <c r="AI5094" s="80"/>
    </row>
    <row r="5095">
      <c r="AI5095" s="80"/>
    </row>
    <row r="5096">
      <c r="AI5096" s="80"/>
    </row>
    <row r="5097">
      <c r="AI5097" s="80"/>
    </row>
    <row r="5098">
      <c r="AI5098" s="80"/>
    </row>
    <row r="5099">
      <c r="AI5099" s="80"/>
    </row>
    <row r="5100">
      <c r="AI5100" s="80"/>
    </row>
    <row r="5101">
      <c r="AI5101" s="80"/>
    </row>
    <row r="5102">
      <c r="AI5102" s="80"/>
    </row>
    <row r="5103">
      <c r="AI5103" s="80"/>
    </row>
    <row r="5104">
      <c r="AI5104" s="80"/>
    </row>
    <row r="5105">
      <c r="AI5105" s="80"/>
    </row>
    <row r="5106">
      <c r="AI5106" s="80"/>
    </row>
    <row r="5107">
      <c r="AI5107" s="80"/>
    </row>
    <row r="5108">
      <c r="AI5108" s="80"/>
    </row>
    <row r="5109">
      <c r="AI5109" s="80"/>
    </row>
    <row r="5110">
      <c r="AI5110" s="80"/>
    </row>
    <row r="5111">
      <c r="AI5111" s="80"/>
    </row>
    <row r="5112">
      <c r="AI5112" s="80"/>
    </row>
    <row r="5113">
      <c r="AI5113" s="80"/>
    </row>
    <row r="5114">
      <c r="AI5114" s="80"/>
    </row>
    <row r="5115">
      <c r="AI5115" s="80"/>
    </row>
    <row r="5116">
      <c r="AI5116" s="80"/>
    </row>
    <row r="5117">
      <c r="AI5117" s="80"/>
    </row>
    <row r="5118">
      <c r="AI5118" s="80"/>
    </row>
    <row r="5119">
      <c r="AI5119" s="80"/>
    </row>
    <row r="5120">
      <c r="AI5120" s="80"/>
    </row>
    <row r="5121">
      <c r="AI5121" s="80"/>
    </row>
    <row r="5122">
      <c r="AI5122" s="80"/>
    </row>
    <row r="5123">
      <c r="AI5123" s="80"/>
    </row>
    <row r="5124">
      <c r="AI5124" s="80"/>
    </row>
    <row r="5125">
      <c r="AI5125" s="80"/>
    </row>
    <row r="5126">
      <c r="AI5126" s="80"/>
    </row>
    <row r="5127">
      <c r="AI5127" s="80"/>
    </row>
    <row r="5128">
      <c r="AI5128" s="80"/>
    </row>
    <row r="5129">
      <c r="AI5129" s="80"/>
    </row>
    <row r="5130">
      <c r="AI5130" s="80"/>
    </row>
    <row r="5131">
      <c r="AI5131" s="80"/>
    </row>
    <row r="5132">
      <c r="AI5132" s="80"/>
    </row>
    <row r="5133">
      <c r="AI5133" s="80"/>
    </row>
    <row r="5134">
      <c r="AI5134" s="80"/>
    </row>
    <row r="5135">
      <c r="AI5135" s="80"/>
    </row>
    <row r="5136">
      <c r="AI5136" s="80"/>
    </row>
    <row r="5137">
      <c r="AI5137" s="80"/>
    </row>
    <row r="5138">
      <c r="AI5138" s="80"/>
    </row>
    <row r="5139">
      <c r="AI5139" s="80"/>
    </row>
    <row r="5140">
      <c r="AI5140" s="80"/>
    </row>
    <row r="5141">
      <c r="AI5141" s="80"/>
    </row>
    <row r="5142">
      <c r="AI5142" s="80"/>
    </row>
    <row r="5143">
      <c r="AI5143" s="80"/>
    </row>
    <row r="5144">
      <c r="AI5144" s="80"/>
    </row>
    <row r="5145">
      <c r="AI5145" s="80"/>
    </row>
    <row r="5146">
      <c r="AI5146" s="80"/>
    </row>
    <row r="5147">
      <c r="AI5147" s="80"/>
    </row>
    <row r="5148">
      <c r="AI5148" s="80"/>
    </row>
    <row r="5149">
      <c r="AI5149" s="80"/>
    </row>
    <row r="5150">
      <c r="AI5150" s="80"/>
    </row>
    <row r="5151">
      <c r="AI5151" s="80"/>
    </row>
    <row r="5152">
      <c r="AI5152" s="80"/>
    </row>
    <row r="5153">
      <c r="AI5153" s="80"/>
    </row>
    <row r="5154">
      <c r="AI5154" s="80"/>
    </row>
    <row r="5155">
      <c r="AI5155" s="80"/>
    </row>
    <row r="5156">
      <c r="AI5156" s="80"/>
    </row>
    <row r="5157">
      <c r="AI5157" s="80"/>
    </row>
    <row r="5158">
      <c r="AI5158" s="80"/>
    </row>
    <row r="5159">
      <c r="AI5159" s="80"/>
    </row>
    <row r="5160">
      <c r="AI5160" s="80"/>
    </row>
    <row r="5161">
      <c r="AI5161" s="80"/>
    </row>
    <row r="5162">
      <c r="AI5162" s="80"/>
    </row>
    <row r="5163">
      <c r="AI5163" s="80"/>
    </row>
    <row r="5164">
      <c r="AI5164" s="80"/>
    </row>
    <row r="5165">
      <c r="AI5165" s="80"/>
    </row>
    <row r="5166">
      <c r="AI5166" s="80"/>
    </row>
    <row r="5167">
      <c r="AI5167" s="80"/>
    </row>
    <row r="5168">
      <c r="AI5168" s="80"/>
    </row>
    <row r="5169">
      <c r="AI5169" s="80"/>
    </row>
    <row r="5170">
      <c r="AI5170" s="80"/>
    </row>
    <row r="5171">
      <c r="AI5171" s="80"/>
    </row>
    <row r="5172">
      <c r="AI5172" s="80"/>
    </row>
    <row r="5173">
      <c r="AI5173" s="80"/>
    </row>
    <row r="5174">
      <c r="AI5174" s="80"/>
    </row>
    <row r="5175">
      <c r="AI5175" s="80"/>
    </row>
    <row r="5176">
      <c r="AI5176" s="80"/>
    </row>
    <row r="5177">
      <c r="AI5177" s="80"/>
    </row>
    <row r="5178">
      <c r="AI5178" s="80"/>
    </row>
    <row r="5179">
      <c r="AI5179" s="80"/>
    </row>
    <row r="5180">
      <c r="AI5180" s="80"/>
    </row>
    <row r="5181">
      <c r="AI5181" s="80"/>
    </row>
    <row r="5182">
      <c r="AI5182" s="80"/>
    </row>
    <row r="5183">
      <c r="AI5183" s="80"/>
    </row>
    <row r="5184">
      <c r="AI5184" s="80"/>
    </row>
    <row r="5185">
      <c r="AI5185" s="80"/>
    </row>
    <row r="5186">
      <c r="AI5186" s="80"/>
    </row>
    <row r="5187">
      <c r="AI5187" s="80"/>
    </row>
    <row r="5188">
      <c r="AI5188" s="80"/>
    </row>
    <row r="5189">
      <c r="AI5189" s="80"/>
    </row>
    <row r="5190">
      <c r="AI5190" s="80"/>
    </row>
    <row r="5191">
      <c r="AI5191" s="80"/>
    </row>
    <row r="5192">
      <c r="AI5192" s="80"/>
    </row>
    <row r="5193">
      <c r="AI5193" s="80"/>
    </row>
    <row r="5194">
      <c r="AI5194" s="80"/>
    </row>
    <row r="5195">
      <c r="AI5195" s="80"/>
    </row>
    <row r="5196">
      <c r="AI5196" s="80"/>
    </row>
    <row r="5197">
      <c r="AI5197" s="80"/>
    </row>
    <row r="5198">
      <c r="AI5198" s="80"/>
    </row>
    <row r="5199">
      <c r="AI5199" s="80"/>
    </row>
    <row r="5200">
      <c r="AI5200" s="80"/>
    </row>
    <row r="5201">
      <c r="AI5201" s="80"/>
    </row>
    <row r="5202">
      <c r="AI5202" s="80"/>
    </row>
    <row r="5203">
      <c r="AI5203" s="80"/>
    </row>
    <row r="5204">
      <c r="AI5204" s="80"/>
    </row>
    <row r="5205">
      <c r="AI5205" s="80"/>
    </row>
    <row r="5206">
      <c r="AI5206" s="80"/>
    </row>
    <row r="5207">
      <c r="AI5207" s="80"/>
    </row>
    <row r="5208">
      <c r="AI5208" s="80"/>
    </row>
    <row r="5209">
      <c r="AI5209" s="80"/>
    </row>
    <row r="5210">
      <c r="AI5210" s="80"/>
    </row>
    <row r="5211">
      <c r="AI5211" s="80"/>
    </row>
    <row r="5212">
      <c r="AI5212" s="80"/>
    </row>
    <row r="5213">
      <c r="AI5213" s="80"/>
    </row>
    <row r="5214">
      <c r="AI5214" s="80"/>
    </row>
    <row r="5215">
      <c r="AI5215" s="80"/>
    </row>
    <row r="5216">
      <c r="AI5216" s="80"/>
    </row>
    <row r="5217">
      <c r="AI5217" s="80"/>
    </row>
    <row r="5218">
      <c r="AI5218" s="80"/>
    </row>
    <row r="5219">
      <c r="AI5219" s="80"/>
    </row>
    <row r="5220">
      <c r="AI5220" s="80"/>
    </row>
    <row r="5221">
      <c r="AI5221" s="80"/>
    </row>
    <row r="5222">
      <c r="AI5222" s="80"/>
    </row>
    <row r="5223">
      <c r="AI5223" s="80"/>
    </row>
    <row r="5224">
      <c r="AI5224" s="80"/>
    </row>
    <row r="5225">
      <c r="AI5225" s="80"/>
    </row>
    <row r="5226">
      <c r="AI5226" s="80"/>
    </row>
    <row r="5227">
      <c r="AI5227" s="80"/>
    </row>
    <row r="5228">
      <c r="AI5228" s="80"/>
    </row>
    <row r="5229">
      <c r="AI5229" s="80"/>
    </row>
    <row r="5230">
      <c r="AI5230" s="80"/>
    </row>
    <row r="5231">
      <c r="AI5231" s="80"/>
    </row>
    <row r="5232">
      <c r="AI5232" s="80"/>
    </row>
    <row r="5233">
      <c r="AI5233" s="80"/>
    </row>
    <row r="5234">
      <c r="AI5234" s="80"/>
    </row>
    <row r="5235">
      <c r="AI5235" s="80"/>
    </row>
    <row r="5236">
      <c r="AI5236" s="80"/>
    </row>
    <row r="5237">
      <c r="AI5237" s="80"/>
    </row>
    <row r="5238">
      <c r="AI5238" s="80"/>
    </row>
    <row r="5239">
      <c r="AI5239" s="80"/>
    </row>
    <row r="5240">
      <c r="AI5240" s="80"/>
    </row>
    <row r="5241">
      <c r="AI5241" s="80"/>
    </row>
    <row r="5242">
      <c r="AI5242" s="80"/>
    </row>
    <row r="5243">
      <c r="AI5243" s="80"/>
    </row>
    <row r="5244">
      <c r="AI5244" s="80"/>
    </row>
    <row r="5245">
      <c r="AI5245" s="80"/>
    </row>
    <row r="5246">
      <c r="AI5246" s="80"/>
    </row>
    <row r="5247">
      <c r="AI5247" s="80"/>
    </row>
    <row r="5248">
      <c r="AI5248" s="80"/>
    </row>
    <row r="5249">
      <c r="AI5249" s="80"/>
    </row>
    <row r="5250">
      <c r="AI5250" s="80"/>
    </row>
    <row r="5251">
      <c r="AI5251" s="80"/>
    </row>
    <row r="5252">
      <c r="AI5252" s="80"/>
    </row>
    <row r="5253">
      <c r="AI5253" s="80"/>
    </row>
    <row r="5254">
      <c r="AI5254" s="80"/>
    </row>
    <row r="5255">
      <c r="AI5255" s="80"/>
    </row>
    <row r="5256">
      <c r="AI5256" s="80"/>
    </row>
    <row r="5257">
      <c r="AI5257" s="80"/>
    </row>
    <row r="5258">
      <c r="AI5258" s="80"/>
    </row>
    <row r="5259">
      <c r="AI5259" s="80"/>
    </row>
    <row r="5260">
      <c r="AI5260" s="80"/>
    </row>
    <row r="5261">
      <c r="AI5261" s="80"/>
    </row>
    <row r="5262">
      <c r="AI5262" s="80"/>
    </row>
    <row r="5263">
      <c r="AI5263" s="80"/>
    </row>
    <row r="5264">
      <c r="AI5264" s="80"/>
    </row>
    <row r="5265">
      <c r="AI5265" s="80"/>
    </row>
    <row r="5266">
      <c r="AI5266" s="80"/>
    </row>
    <row r="5267">
      <c r="AI5267" s="80"/>
    </row>
    <row r="5268">
      <c r="AI5268" s="80"/>
    </row>
    <row r="5269">
      <c r="AI5269" s="80"/>
    </row>
    <row r="5270">
      <c r="AI5270" s="80"/>
    </row>
    <row r="5271">
      <c r="AI5271" s="80"/>
    </row>
    <row r="5272">
      <c r="AI5272" s="80"/>
    </row>
    <row r="5273">
      <c r="AI5273" s="80"/>
    </row>
    <row r="5274">
      <c r="AI5274" s="80"/>
    </row>
    <row r="5275">
      <c r="AI5275" s="80"/>
    </row>
    <row r="5276">
      <c r="AI5276" s="80"/>
    </row>
    <row r="5277">
      <c r="AI5277" s="80"/>
    </row>
    <row r="5278">
      <c r="AI5278" s="80"/>
    </row>
    <row r="5279">
      <c r="AI5279" s="80"/>
    </row>
    <row r="5280">
      <c r="AI5280" s="80"/>
    </row>
    <row r="5281">
      <c r="AI5281" s="80"/>
    </row>
    <row r="5282">
      <c r="AI5282" s="80"/>
    </row>
    <row r="5283">
      <c r="AI5283" s="80"/>
    </row>
    <row r="5284">
      <c r="AI5284" s="80"/>
    </row>
    <row r="5285">
      <c r="AI5285" s="80"/>
    </row>
    <row r="5286">
      <c r="AI5286" s="80"/>
    </row>
    <row r="5287">
      <c r="AI5287" s="80"/>
    </row>
    <row r="5288">
      <c r="AI5288" s="80"/>
    </row>
    <row r="5289">
      <c r="AI5289" s="80"/>
    </row>
    <row r="5290">
      <c r="AI5290" s="80"/>
    </row>
    <row r="5291">
      <c r="AI5291" s="80"/>
    </row>
    <row r="5292">
      <c r="AI5292" s="80"/>
    </row>
    <row r="5293">
      <c r="AI5293" s="80"/>
    </row>
    <row r="5294">
      <c r="AI5294" s="80"/>
    </row>
    <row r="5295">
      <c r="AI5295" s="80"/>
    </row>
    <row r="5296">
      <c r="AI5296" s="80"/>
    </row>
    <row r="5297">
      <c r="AI5297" s="80"/>
    </row>
    <row r="5298">
      <c r="AI5298" s="80"/>
    </row>
    <row r="5299">
      <c r="AI5299" s="80"/>
    </row>
    <row r="5300">
      <c r="AI5300" s="80"/>
    </row>
    <row r="5301">
      <c r="AI5301" s="80"/>
    </row>
    <row r="5302">
      <c r="AI5302" s="80"/>
    </row>
    <row r="5303">
      <c r="AI5303" s="80"/>
    </row>
    <row r="5304">
      <c r="AI5304" s="80"/>
    </row>
    <row r="5305">
      <c r="AI5305" s="80"/>
    </row>
    <row r="5306">
      <c r="AI5306" s="80"/>
    </row>
    <row r="5307">
      <c r="AI5307" s="80"/>
    </row>
    <row r="5308">
      <c r="AI5308" s="80"/>
    </row>
    <row r="5309">
      <c r="AI5309" s="80"/>
    </row>
    <row r="5310">
      <c r="AI5310" s="80"/>
    </row>
    <row r="5311">
      <c r="AI5311" s="80"/>
    </row>
    <row r="5312">
      <c r="AI5312" s="80"/>
    </row>
    <row r="5313">
      <c r="AI5313" s="80"/>
    </row>
    <row r="5314">
      <c r="AI5314" s="80"/>
    </row>
    <row r="5315">
      <c r="AI5315" s="80"/>
    </row>
    <row r="5316">
      <c r="AI5316" s="80"/>
    </row>
    <row r="5317">
      <c r="AI5317" s="80"/>
    </row>
    <row r="5318">
      <c r="AI5318" s="80"/>
    </row>
    <row r="5319">
      <c r="AI5319" s="80"/>
    </row>
    <row r="5320">
      <c r="AI5320" s="80"/>
    </row>
    <row r="5321">
      <c r="AI5321" s="80"/>
    </row>
    <row r="5322">
      <c r="AI5322" s="80"/>
    </row>
    <row r="5323">
      <c r="AI5323" s="80"/>
    </row>
    <row r="5324">
      <c r="AI5324" s="80"/>
    </row>
    <row r="5325">
      <c r="AI5325" s="80"/>
    </row>
    <row r="5326">
      <c r="AI5326" s="80"/>
    </row>
    <row r="5327">
      <c r="AI5327" s="80"/>
    </row>
    <row r="5328">
      <c r="AI5328" s="80"/>
    </row>
    <row r="5329">
      <c r="AI5329" s="80"/>
    </row>
    <row r="5330">
      <c r="AI5330" s="80"/>
    </row>
    <row r="5331">
      <c r="AI5331" s="80"/>
    </row>
    <row r="5332">
      <c r="AI5332" s="80"/>
    </row>
    <row r="5333">
      <c r="AI5333" s="80"/>
    </row>
    <row r="5334">
      <c r="AI5334" s="80"/>
    </row>
    <row r="5335">
      <c r="AI5335" s="80"/>
    </row>
    <row r="5336">
      <c r="AI5336" s="80"/>
    </row>
    <row r="5337">
      <c r="AI5337" s="80"/>
    </row>
    <row r="5338">
      <c r="AI5338" s="80"/>
    </row>
    <row r="5339">
      <c r="AI5339" s="80"/>
    </row>
    <row r="5340">
      <c r="AI5340" s="80"/>
    </row>
    <row r="5341">
      <c r="AI5341" s="80"/>
    </row>
    <row r="5342">
      <c r="AI5342" s="80"/>
    </row>
    <row r="5343">
      <c r="AI5343" s="80"/>
    </row>
    <row r="5344">
      <c r="AI5344" s="80"/>
    </row>
    <row r="5345">
      <c r="AI5345" s="80"/>
    </row>
    <row r="5346">
      <c r="AI5346" s="80"/>
    </row>
    <row r="5347">
      <c r="AI5347" s="80"/>
    </row>
    <row r="5348">
      <c r="AI5348" s="80"/>
    </row>
    <row r="5349">
      <c r="AI5349" s="80"/>
    </row>
    <row r="5350">
      <c r="AI5350" s="80"/>
    </row>
    <row r="5351">
      <c r="AI5351" s="80"/>
    </row>
    <row r="5352">
      <c r="AI5352" s="80"/>
    </row>
    <row r="5353">
      <c r="AI5353" s="80"/>
    </row>
    <row r="5354">
      <c r="AI5354" s="80"/>
    </row>
    <row r="5355">
      <c r="AI5355" s="80"/>
    </row>
    <row r="5356">
      <c r="AI5356" s="80"/>
    </row>
    <row r="5357">
      <c r="AI5357" s="80"/>
    </row>
    <row r="5358">
      <c r="AI5358" s="80"/>
    </row>
    <row r="5359">
      <c r="AI5359" s="80"/>
    </row>
    <row r="5360">
      <c r="AI5360" s="80"/>
    </row>
    <row r="5361">
      <c r="AI5361" s="80"/>
    </row>
    <row r="5362">
      <c r="AI5362" s="80"/>
    </row>
    <row r="5363">
      <c r="AI5363" s="80"/>
    </row>
    <row r="5364">
      <c r="AI5364" s="80"/>
    </row>
    <row r="5365">
      <c r="AI5365" s="80"/>
    </row>
    <row r="5366">
      <c r="AI5366" s="80"/>
    </row>
    <row r="5367">
      <c r="AI5367" s="80"/>
    </row>
    <row r="5368">
      <c r="AI5368" s="80"/>
    </row>
    <row r="5369">
      <c r="AI5369" s="80"/>
    </row>
    <row r="5370">
      <c r="AI5370" s="80"/>
    </row>
    <row r="5371">
      <c r="AI5371" s="80"/>
    </row>
    <row r="5372">
      <c r="AI5372" s="80"/>
    </row>
    <row r="5373">
      <c r="AI5373" s="80"/>
    </row>
    <row r="5374">
      <c r="AI5374" s="80"/>
    </row>
    <row r="5375">
      <c r="AI5375" s="80"/>
    </row>
    <row r="5376">
      <c r="AI5376" s="80"/>
    </row>
    <row r="5377">
      <c r="AI5377" s="80"/>
    </row>
    <row r="5378">
      <c r="AI5378" s="80"/>
    </row>
    <row r="5379">
      <c r="AI5379" s="80"/>
    </row>
    <row r="5380">
      <c r="AI5380" s="80"/>
    </row>
    <row r="5381">
      <c r="AI5381" s="80"/>
    </row>
    <row r="5382">
      <c r="AI5382" s="80"/>
    </row>
    <row r="5383">
      <c r="AI5383" s="80"/>
    </row>
    <row r="5384">
      <c r="AI5384" s="80"/>
    </row>
    <row r="5385">
      <c r="AI5385" s="80"/>
    </row>
    <row r="5386">
      <c r="AI5386" s="80"/>
    </row>
    <row r="5387">
      <c r="AI5387" s="80"/>
    </row>
    <row r="5388">
      <c r="AI5388" s="80"/>
    </row>
    <row r="5389">
      <c r="AI5389" s="80"/>
    </row>
    <row r="5390">
      <c r="AI5390" s="80"/>
    </row>
    <row r="5391">
      <c r="AI5391" s="80"/>
    </row>
    <row r="5392">
      <c r="AI5392" s="80"/>
    </row>
    <row r="5393">
      <c r="AI5393" s="80"/>
    </row>
    <row r="5394">
      <c r="AI5394" s="80"/>
    </row>
    <row r="5395">
      <c r="AI5395" s="80"/>
    </row>
    <row r="5396">
      <c r="AI5396" s="80"/>
    </row>
    <row r="5397">
      <c r="AI5397" s="80"/>
    </row>
    <row r="5398">
      <c r="AI5398" s="80"/>
    </row>
    <row r="5399">
      <c r="AI5399" s="80"/>
    </row>
    <row r="5400">
      <c r="AI5400" s="80"/>
    </row>
    <row r="5401">
      <c r="AI5401" s="80"/>
    </row>
    <row r="5402">
      <c r="AI5402" s="80"/>
    </row>
    <row r="5403">
      <c r="AI5403" s="80"/>
    </row>
    <row r="5404">
      <c r="AI5404" s="80"/>
    </row>
    <row r="5405">
      <c r="AI5405" s="80"/>
    </row>
    <row r="5406">
      <c r="AI5406" s="80"/>
    </row>
    <row r="5407">
      <c r="AI5407" s="80"/>
    </row>
    <row r="5408">
      <c r="AI5408" s="80"/>
    </row>
    <row r="5409">
      <c r="AI5409" s="80"/>
    </row>
    <row r="5410">
      <c r="AI5410" s="80"/>
    </row>
    <row r="5411">
      <c r="AI5411" s="80"/>
    </row>
    <row r="5412">
      <c r="AI5412" s="80"/>
    </row>
    <row r="5413">
      <c r="AI5413" s="80"/>
    </row>
    <row r="5414">
      <c r="AI5414" s="80"/>
    </row>
    <row r="5415">
      <c r="AI5415" s="80"/>
    </row>
    <row r="5416">
      <c r="AI5416" s="80"/>
    </row>
    <row r="5417">
      <c r="AI5417" s="80"/>
    </row>
    <row r="5418">
      <c r="AI5418" s="80"/>
    </row>
    <row r="5419">
      <c r="AI5419" s="80"/>
    </row>
    <row r="5420">
      <c r="AI5420" s="80"/>
    </row>
    <row r="5421">
      <c r="AI5421" s="80"/>
    </row>
    <row r="5422">
      <c r="AI5422" s="80"/>
    </row>
    <row r="5423">
      <c r="AI5423" s="80"/>
    </row>
    <row r="5424">
      <c r="AI5424" s="80"/>
    </row>
    <row r="5425">
      <c r="AI5425" s="80"/>
    </row>
    <row r="5426">
      <c r="AI5426" s="80"/>
    </row>
    <row r="5427">
      <c r="AI5427" s="80"/>
    </row>
    <row r="5428">
      <c r="AI5428" s="80"/>
    </row>
    <row r="5429">
      <c r="AI5429" s="80"/>
    </row>
    <row r="5430">
      <c r="AI5430" s="80"/>
    </row>
    <row r="5431">
      <c r="AI5431" s="80"/>
    </row>
    <row r="5432">
      <c r="AI5432" s="80"/>
    </row>
    <row r="5433">
      <c r="AI5433" s="80"/>
    </row>
    <row r="5434">
      <c r="AI5434" s="80"/>
    </row>
    <row r="5435">
      <c r="AI5435" s="80"/>
    </row>
    <row r="5436">
      <c r="AI5436" s="80"/>
    </row>
    <row r="5437">
      <c r="AI5437" s="80"/>
    </row>
    <row r="5438">
      <c r="AI5438" s="80"/>
    </row>
    <row r="5439">
      <c r="AI5439" s="80"/>
    </row>
    <row r="5440">
      <c r="AI5440" s="80"/>
    </row>
    <row r="5441">
      <c r="AI5441" s="80"/>
    </row>
    <row r="5442">
      <c r="AI5442" s="80"/>
    </row>
    <row r="5443">
      <c r="AI5443" s="80"/>
    </row>
    <row r="5444">
      <c r="AI5444" s="80"/>
    </row>
    <row r="5445">
      <c r="AI5445" s="80"/>
    </row>
    <row r="5446">
      <c r="AI5446" s="80"/>
    </row>
    <row r="5447">
      <c r="AI5447" s="80"/>
    </row>
    <row r="5448">
      <c r="AI5448" s="80"/>
    </row>
    <row r="5449">
      <c r="AI5449" s="80"/>
    </row>
    <row r="5450">
      <c r="AI5450" s="80"/>
    </row>
    <row r="5451">
      <c r="AI5451" s="80"/>
    </row>
    <row r="5452">
      <c r="AI5452" s="80"/>
    </row>
    <row r="5453">
      <c r="AI5453" s="80"/>
    </row>
    <row r="5454">
      <c r="AI5454" s="80"/>
    </row>
    <row r="5455">
      <c r="AI5455" s="80"/>
    </row>
    <row r="5456">
      <c r="AI5456" s="80"/>
    </row>
    <row r="5457">
      <c r="AI5457" s="80"/>
    </row>
    <row r="5458">
      <c r="AI5458" s="80"/>
    </row>
    <row r="5459">
      <c r="AI5459" s="80"/>
    </row>
    <row r="5460">
      <c r="AI5460" s="80"/>
    </row>
    <row r="5461">
      <c r="AI5461" s="80"/>
    </row>
    <row r="5462">
      <c r="AI5462" s="80"/>
    </row>
    <row r="5463">
      <c r="AI5463" s="80"/>
    </row>
    <row r="5464">
      <c r="AI5464" s="80"/>
    </row>
    <row r="5465">
      <c r="AI5465" s="80"/>
    </row>
    <row r="5466">
      <c r="AI5466" s="80"/>
    </row>
    <row r="5467">
      <c r="AI5467" s="80"/>
    </row>
    <row r="5468">
      <c r="AI5468" s="80"/>
    </row>
    <row r="5469">
      <c r="AI5469" s="80"/>
    </row>
    <row r="5470">
      <c r="AI5470" s="80"/>
    </row>
    <row r="5471">
      <c r="AI5471" s="80"/>
    </row>
    <row r="5472">
      <c r="AI5472" s="80"/>
    </row>
    <row r="5473">
      <c r="AI5473" s="80"/>
    </row>
    <row r="5474">
      <c r="AI5474" s="80"/>
    </row>
    <row r="5475">
      <c r="AI5475" s="80"/>
    </row>
    <row r="5476">
      <c r="AI5476" s="80"/>
    </row>
    <row r="5477">
      <c r="AI5477" s="80"/>
    </row>
    <row r="5478">
      <c r="AI5478" s="80"/>
    </row>
    <row r="5479">
      <c r="AI5479" s="80"/>
    </row>
    <row r="5480">
      <c r="AI5480" s="80"/>
    </row>
    <row r="5481">
      <c r="AI5481" s="80"/>
    </row>
    <row r="5482">
      <c r="AI5482" s="80"/>
    </row>
    <row r="5483">
      <c r="AI5483" s="80"/>
    </row>
    <row r="5484">
      <c r="AI5484" s="80"/>
    </row>
    <row r="5485">
      <c r="AI5485" s="80"/>
    </row>
    <row r="5486">
      <c r="AI5486" s="80"/>
    </row>
    <row r="5487">
      <c r="AI5487" s="80"/>
    </row>
    <row r="5488">
      <c r="AI5488" s="80"/>
    </row>
    <row r="5489">
      <c r="AI5489" s="80"/>
    </row>
    <row r="5490">
      <c r="AI5490" s="80"/>
    </row>
    <row r="5491">
      <c r="AI5491" s="80"/>
    </row>
    <row r="5492">
      <c r="AI5492" s="80"/>
    </row>
    <row r="5493">
      <c r="AI5493" s="80"/>
    </row>
    <row r="5494">
      <c r="AI5494" s="80"/>
    </row>
    <row r="5495">
      <c r="AI5495" s="80"/>
    </row>
    <row r="5496">
      <c r="AI5496" s="80"/>
    </row>
    <row r="5497">
      <c r="AI5497" s="80"/>
    </row>
    <row r="5498">
      <c r="AI5498" s="80"/>
    </row>
    <row r="5499">
      <c r="AI5499" s="80"/>
    </row>
    <row r="5500">
      <c r="AI5500" s="80"/>
    </row>
    <row r="5501">
      <c r="AI5501" s="80"/>
    </row>
    <row r="5502">
      <c r="AI5502" s="80"/>
    </row>
    <row r="5503">
      <c r="AI5503" s="80"/>
    </row>
    <row r="5504">
      <c r="AI5504" s="80"/>
    </row>
    <row r="5505">
      <c r="AI5505" s="80"/>
    </row>
    <row r="5506">
      <c r="AI5506" s="80"/>
    </row>
    <row r="5507">
      <c r="AI5507" s="80"/>
    </row>
    <row r="5508">
      <c r="AI5508" s="80"/>
    </row>
    <row r="5509">
      <c r="AI5509" s="80"/>
    </row>
    <row r="5510">
      <c r="AI5510" s="80"/>
    </row>
    <row r="5511">
      <c r="AI5511" s="80"/>
    </row>
    <row r="5512">
      <c r="AI5512" s="80"/>
    </row>
    <row r="5513">
      <c r="AI5513" s="80"/>
    </row>
    <row r="5514">
      <c r="AI5514" s="80"/>
    </row>
    <row r="5515">
      <c r="AI5515" s="80"/>
    </row>
    <row r="5516">
      <c r="AI5516" s="80"/>
    </row>
    <row r="5517">
      <c r="AI5517" s="80"/>
    </row>
    <row r="5518">
      <c r="AI5518" s="80"/>
    </row>
    <row r="5519">
      <c r="AI5519" s="80"/>
    </row>
    <row r="5520">
      <c r="AI5520" s="80"/>
    </row>
    <row r="5521">
      <c r="AI5521" s="80"/>
    </row>
    <row r="5522">
      <c r="AI5522" s="80"/>
    </row>
    <row r="5523">
      <c r="AI5523" s="80"/>
    </row>
    <row r="5524">
      <c r="AI5524" s="80"/>
    </row>
    <row r="5525">
      <c r="AI5525" s="80"/>
    </row>
    <row r="5526">
      <c r="AI5526" s="80"/>
    </row>
    <row r="5527">
      <c r="AI5527" s="80"/>
    </row>
    <row r="5528">
      <c r="AI5528" s="80"/>
    </row>
    <row r="5529">
      <c r="AI5529" s="80"/>
    </row>
    <row r="5530">
      <c r="AI5530" s="80"/>
    </row>
    <row r="5531">
      <c r="AI5531" s="80"/>
    </row>
    <row r="5532">
      <c r="AI5532" s="80"/>
    </row>
    <row r="5533">
      <c r="AI5533" s="80"/>
    </row>
    <row r="5534">
      <c r="AI5534" s="80"/>
    </row>
    <row r="5535">
      <c r="AI5535" s="80"/>
    </row>
    <row r="5536">
      <c r="AI5536" s="80"/>
    </row>
    <row r="5537">
      <c r="AI5537" s="80"/>
    </row>
    <row r="5538">
      <c r="AI5538" s="80"/>
    </row>
    <row r="5539">
      <c r="AI5539" s="80"/>
    </row>
    <row r="5540">
      <c r="AI5540" s="80"/>
    </row>
    <row r="5541">
      <c r="AI5541" s="80"/>
    </row>
    <row r="5542">
      <c r="AI5542" s="80"/>
    </row>
    <row r="5543">
      <c r="AI5543" s="80"/>
    </row>
    <row r="5544">
      <c r="AI5544" s="80"/>
    </row>
    <row r="5545">
      <c r="AI5545" s="80"/>
    </row>
    <row r="5546">
      <c r="AI5546" s="80"/>
    </row>
    <row r="5547">
      <c r="AI5547" s="80"/>
    </row>
    <row r="5548">
      <c r="AI5548" s="80"/>
    </row>
    <row r="5549">
      <c r="AI5549" s="80"/>
    </row>
    <row r="5550">
      <c r="AI5550" s="80"/>
    </row>
    <row r="5551">
      <c r="AI5551" s="80"/>
    </row>
    <row r="5552">
      <c r="AI5552" s="80"/>
    </row>
    <row r="5553">
      <c r="AI5553" s="80"/>
    </row>
    <row r="5554">
      <c r="AI5554" s="80"/>
    </row>
    <row r="5555">
      <c r="AI5555" s="80"/>
    </row>
    <row r="5556">
      <c r="AI5556" s="80"/>
    </row>
    <row r="5557">
      <c r="AI5557" s="80"/>
    </row>
    <row r="5558">
      <c r="AI5558" s="80"/>
    </row>
    <row r="5559">
      <c r="AI5559" s="80"/>
    </row>
    <row r="5560">
      <c r="AI5560" s="80"/>
    </row>
    <row r="5561">
      <c r="AI5561" s="80"/>
    </row>
    <row r="5562">
      <c r="AI5562" s="80"/>
    </row>
    <row r="5563">
      <c r="AI5563" s="80"/>
    </row>
    <row r="5564">
      <c r="AI5564" s="80"/>
    </row>
    <row r="5565">
      <c r="AI5565" s="80"/>
    </row>
    <row r="5566">
      <c r="AI5566" s="80"/>
    </row>
    <row r="5567">
      <c r="AI5567" s="80"/>
    </row>
    <row r="5568">
      <c r="AI5568" s="80"/>
    </row>
    <row r="5569">
      <c r="AI5569" s="80"/>
    </row>
    <row r="5570">
      <c r="AI5570" s="80"/>
    </row>
    <row r="5571">
      <c r="AI5571" s="80"/>
    </row>
    <row r="5572">
      <c r="AI5572" s="80"/>
    </row>
    <row r="5573">
      <c r="AI5573" s="80"/>
    </row>
    <row r="5574">
      <c r="AI5574" s="80"/>
    </row>
    <row r="5575">
      <c r="AI5575" s="80"/>
    </row>
    <row r="5576">
      <c r="AI5576" s="80"/>
    </row>
    <row r="5577">
      <c r="AI5577" s="80"/>
    </row>
    <row r="5578">
      <c r="AI5578" s="80"/>
    </row>
    <row r="5579">
      <c r="AI5579" s="80"/>
    </row>
    <row r="5580">
      <c r="AI5580" s="80"/>
    </row>
    <row r="5581">
      <c r="AI5581" s="80"/>
    </row>
    <row r="5582">
      <c r="AI5582" s="80"/>
    </row>
    <row r="5583">
      <c r="AI5583" s="80"/>
    </row>
    <row r="5584">
      <c r="AI5584" s="80"/>
    </row>
    <row r="5585">
      <c r="AI5585" s="80"/>
    </row>
    <row r="5586">
      <c r="AI5586" s="80"/>
    </row>
    <row r="5587">
      <c r="AI5587" s="80"/>
    </row>
    <row r="5588">
      <c r="AI5588" s="80"/>
    </row>
    <row r="5589">
      <c r="AI5589" s="80"/>
    </row>
    <row r="5590">
      <c r="AI5590" s="80"/>
    </row>
    <row r="5591">
      <c r="AI5591" s="80"/>
    </row>
    <row r="5592">
      <c r="AI5592" s="80"/>
    </row>
    <row r="5593">
      <c r="AI5593" s="80"/>
    </row>
    <row r="5594">
      <c r="AI5594" s="80"/>
    </row>
    <row r="5595">
      <c r="AI5595" s="80"/>
    </row>
    <row r="5596">
      <c r="AI5596" s="80"/>
    </row>
    <row r="5597">
      <c r="AI5597" s="80"/>
    </row>
    <row r="5598">
      <c r="AI5598" s="80"/>
    </row>
    <row r="5599">
      <c r="AI5599" s="80"/>
    </row>
    <row r="5600">
      <c r="AI5600" s="80"/>
    </row>
    <row r="5601">
      <c r="AI5601" s="80"/>
    </row>
    <row r="5602">
      <c r="AI5602" s="80"/>
    </row>
    <row r="5603">
      <c r="AI5603" s="80"/>
    </row>
    <row r="5604">
      <c r="AI5604" s="80"/>
    </row>
    <row r="5605">
      <c r="AI5605" s="80"/>
    </row>
    <row r="5606">
      <c r="AI5606" s="80"/>
    </row>
    <row r="5607">
      <c r="AI5607" s="80"/>
    </row>
    <row r="5608">
      <c r="AI5608" s="80"/>
    </row>
    <row r="5609">
      <c r="AI5609" s="80"/>
    </row>
    <row r="5610">
      <c r="AI5610" s="80"/>
    </row>
    <row r="5611">
      <c r="AI5611" s="80"/>
    </row>
    <row r="5612">
      <c r="AI5612" s="80"/>
    </row>
    <row r="5613">
      <c r="AI5613" s="80"/>
    </row>
    <row r="5614">
      <c r="AI5614" s="80"/>
    </row>
    <row r="5615">
      <c r="AI5615" s="80"/>
    </row>
    <row r="5616">
      <c r="AI5616" s="80"/>
    </row>
    <row r="5617">
      <c r="AI5617" s="80"/>
    </row>
    <row r="5618">
      <c r="AI5618" s="80"/>
    </row>
    <row r="5619">
      <c r="AI5619" s="80"/>
    </row>
    <row r="5620">
      <c r="AI5620" s="80"/>
    </row>
    <row r="5621">
      <c r="AI5621" s="80"/>
    </row>
    <row r="5622">
      <c r="AI5622" s="80"/>
    </row>
    <row r="5623">
      <c r="AI5623" s="80"/>
    </row>
    <row r="5624">
      <c r="AI5624" s="80"/>
    </row>
    <row r="5625">
      <c r="AI5625" s="80"/>
    </row>
    <row r="5626">
      <c r="AI5626" s="80"/>
    </row>
    <row r="5627">
      <c r="AI5627" s="80"/>
    </row>
    <row r="5628">
      <c r="AI5628" s="80"/>
    </row>
    <row r="5629">
      <c r="AI5629" s="80"/>
    </row>
    <row r="5630">
      <c r="AI5630" s="80"/>
    </row>
    <row r="5631">
      <c r="AI5631" s="80"/>
    </row>
    <row r="5632">
      <c r="AI5632" s="80"/>
    </row>
    <row r="5633">
      <c r="AI5633" s="80"/>
    </row>
    <row r="5634">
      <c r="AI5634" s="80"/>
    </row>
    <row r="5635">
      <c r="AI5635" s="80"/>
    </row>
    <row r="5636">
      <c r="AI5636" s="80"/>
    </row>
    <row r="5637">
      <c r="AI5637" s="80"/>
    </row>
    <row r="5638">
      <c r="AI5638" s="80"/>
    </row>
    <row r="5639">
      <c r="AI5639" s="80"/>
    </row>
    <row r="5640">
      <c r="AI5640" s="80"/>
    </row>
    <row r="5641">
      <c r="AI5641" s="80"/>
    </row>
    <row r="5642">
      <c r="AI5642" s="80"/>
    </row>
    <row r="5643">
      <c r="AI5643" s="80"/>
    </row>
    <row r="5644">
      <c r="AI5644" s="80"/>
    </row>
    <row r="5645">
      <c r="AI5645" s="80"/>
    </row>
    <row r="5646">
      <c r="AI5646" s="80"/>
    </row>
    <row r="5647">
      <c r="AI5647" s="80"/>
    </row>
    <row r="5648">
      <c r="AI5648" s="80"/>
    </row>
    <row r="5649">
      <c r="AI5649" s="80"/>
    </row>
    <row r="5650">
      <c r="AI5650" s="80"/>
    </row>
    <row r="5651">
      <c r="AI5651" s="80"/>
    </row>
    <row r="5652">
      <c r="AI5652" s="80"/>
    </row>
    <row r="5653">
      <c r="AI5653" s="80"/>
    </row>
    <row r="5654">
      <c r="AI5654" s="80"/>
    </row>
    <row r="5655">
      <c r="AI5655" s="80"/>
    </row>
    <row r="5656">
      <c r="AI5656" s="80"/>
    </row>
    <row r="5657">
      <c r="AI5657" s="80"/>
    </row>
    <row r="5658">
      <c r="AI5658" s="80"/>
    </row>
    <row r="5659">
      <c r="AI5659" s="80"/>
    </row>
    <row r="5660">
      <c r="AI5660" s="80"/>
    </row>
    <row r="5661">
      <c r="AI5661" s="80"/>
    </row>
    <row r="5662">
      <c r="AI5662" s="80"/>
    </row>
    <row r="5663">
      <c r="AI5663" s="80"/>
    </row>
    <row r="5664">
      <c r="AI5664" s="80"/>
    </row>
    <row r="5665">
      <c r="AI5665" s="80"/>
    </row>
    <row r="5666">
      <c r="AI5666" s="80"/>
    </row>
    <row r="5667">
      <c r="AI5667" s="80"/>
    </row>
    <row r="5668">
      <c r="AI5668" s="80"/>
    </row>
    <row r="5669">
      <c r="AI5669" s="80"/>
    </row>
    <row r="5670">
      <c r="AI5670" s="80"/>
    </row>
    <row r="5671">
      <c r="AI5671" s="80"/>
    </row>
    <row r="5672">
      <c r="AI5672" s="80"/>
    </row>
    <row r="5673">
      <c r="AI5673" s="80"/>
    </row>
    <row r="5674">
      <c r="AI5674" s="80"/>
    </row>
    <row r="5675">
      <c r="AI5675" s="80"/>
    </row>
    <row r="5676">
      <c r="AI5676" s="80"/>
    </row>
    <row r="5677">
      <c r="AI5677" s="80"/>
    </row>
    <row r="5678">
      <c r="AI5678" s="80"/>
    </row>
    <row r="5679">
      <c r="AI5679" s="80"/>
    </row>
    <row r="5680">
      <c r="AI5680" s="80"/>
    </row>
    <row r="5681">
      <c r="AI5681" s="80"/>
    </row>
    <row r="5682">
      <c r="AI5682" s="80"/>
    </row>
    <row r="5683">
      <c r="AI5683" s="80"/>
    </row>
    <row r="5684">
      <c r="AI5684" s="80"/>
    </row>
    <row r="5685">
      <c r="AI5685" s="80"/>
    </row>
    <row r="5686">
      <c r="AI5686" s="80"/>
    </row>
    <row r="5687">
      <c r="AI5687" s="80"/>
    </row>
    <row r="5688">
      <c r="AI5688" s="80"/>
    </row>
    <row r="5689">
      <c r="AI5689" s="80"/>
    </row>
    <row r="5690">
      <c r="AI5690" s="80"/>
    </row>
    <row r="5691">
      <c r="AI5691" s="80"/>
    </row>
    <row r="5692">
      <c r="AI5692" s="80"/>
    </row>
    <row r="5693">
      <c r="AI5693" s="80"/>
    </row>
    <row r="5694">
      <c r="AI5694" s="80"/>
    </row>
    <row r="5695">
      <c r="AI5695" s="80"/>
    </row>
    <row r="5696">
      <c r="AI5696" s="80"/>
    </row>
    <row r="5697">
      <c r="AI5697" s="80"/>
    </row>
    <row r="5698">
      <c r="AI5698" s="80"/>
    </row>
    <row r="5699">
      <c r="AI5699" s="80"/>
    </row>
    <row r="5700">
      <c r="AI5700" s="80"/>
    </row>
    <row r="5701">
      <c r="AI5701" s="80"/>
    </row>
    <row r="5702">
      <c r="AI5702" s="80"/>
    </row>
    <row r="5703">
      <c r="AI5703" s="80"/>
    </row>
    <row r="5704">
      <c r="AI5704" s="80"/>
    </row>
    <row r="5705">
      <c r="AI5705" s="80"/>
    </row>
    <row r="5706">
      <c r="AI5706" s="80"/>
    </row>
    <row r="5707">
      <c r="AI5707" s="80"/>
    </row>
    <row r="5708">
      <c r="AI5708" s="80"/>
    </row>
    <row r="5709">
      <c r="AI5709" s="80"/>
    </row>
    <row r="5710">
      <c r="AI5710" s="80"/>
    </row>
    <row r="5711">
      <c r="AI5711" s="80"/>
    </row>
    <row r="5712">
      <c r="AI5712" s="80"/>
    </row>
    <row r="5713">
      <c r="AI5713" s="80"/>
    </row>
    <row r="5714">
      <c r="AI5714" s="80"/>
    </row>
    <row r="5715">
      <c r="AI5715" s="80"/>
    </row>
    <row r="5716">
      <c r="AI5716" s="80"/>
    </row>
    <row r="5717">
      <c r="AI5717" s="80"/>
    </row>
    <row r="5718">
      <c r="AI5718" s="80"/>
    </row>
    <row r="5719">
      <c r="AI5719" s="80"/>
    </row>
    <row r="5720">
      <c r="AI5720" s="80"/>
    </row>
    <row r="5721">
      <c r="AI5721" s="80"/>
    </row>
    <row r="5722">
      <c r="AI5722" s="80"/>
    </row>
    <row r="5723">
      <c r="AI5723" s="80"/>
    </row>
    <row r="5724">
      <c r="AI5724" s="80"/>
    </row>
    <row r="5725">
      <c r="AI5725" s="80"/>
    </row>
    <row r="5726">
      <c r="AI5726" s="80"/>
    </row>
    <row r="5727">
      <c r="AI5727" s="80"/>
    </row>
    <row r="5728">
      <c r="AI5728" s="80"/>
    </row>
    <row r="5729">
      <c r="AI5729" s="80"/>
    </row>
    <row r="5730">
      <c r="AI5730" s="80"/>
    </row>
    <row r="5731">
      <c r="AI5731" s="80"/>
    </row>
    <row r="5732">
      <c r="AI5732" s="80"/>
    </row>
    <row r="5733">
      <c r="AI5733" s="80"/>
    </row>
    <row r="5734">
      <c r="AI5734" s="80"/>
    </row>
    <row r="5735">
      <c r="AI5735" s="80"/>
    </row>
    <row r="5736">
      <c r="AI5736" s="80"/>
    </row>
    <row r="5737">
      <c r="AI5737" s="80"/>
    </row>
    <row r="5738">
      <c r="AI5738" s="80"/>
    </row>
    <row r="5739">
      <c r="AI5739" s="80"/>
    </row>
    <row r="5740">
      <c r="AI5740" s="80"/>
    </row>
    <row r="5741">
      <c r="AI5741" s="80"/>
    </row>
    <row r="5742">
      <c r="AI5742" s="80"/>
    </row>
    <row r="5743">
      <c r="AI5743" s="80"/>
    </row>
    <row r="5744">
      <c r="AI5744" s="80"/>
    </row>
    <row r="5745">
      <c r="AI5745" s="80"/>
    </row>
    <row r="5746">
      <c r="AI5746" s="80"/>
    </row>
    <row r="5747">
      <c r="AI5747" s="80"/>
    </row>
    <row r="5748">
      <c r="AI5748" s="80"/>
    </row>
    <row r="5749">
      <c r="AI5749" s="80"/>
    </row>
    <row r="5750">
      <c r="AI5750" s="80"/>
    </row>
    <row r="5751">
      <c r="AI5751" s="80"/>
    </row>
    <row r="5752">
      <c r="AI5752" s="80"/>
    </row>
    <row r="5753">
      <c r="AI5753" s="80"/>
    </row>
    <row r="5754">
      <c r="AI5754" s="80"/>
    </row>
    <row r="5755">
      <c r="AI5755" s="80"/>
    </row>
    <row r="5756">
      <c r="AI5756" s="80"/>
    </row>
    <row r="5757">
      <c r="AI5757" s="80"/>
    </row>
    <row r="5758">
      <c r="AI5758" s="80"/>
    </row>
    <row r="5759">
      <c r="AI5759" s="80"/>
    </row>
    <row r="5760">
      <c r="AI5760" s="80"/>
    </row>
    <row r="5761">
      <c r="AI5761" s="80"/>
    </row>
    <row r="5762">
      <c r="AI5762" s="80"/>
    </row>
    <row r="5763">
      <c r="AI5763" s="80"/>
    </row>
    <row r="5764">
      <c r="AI5764" s="80"/>
    </row>
    <row r="5765">
      <c r="AI5765" s="80"/>
    </row>
    <row r="5766">
      <c r="AI5766" s="80"/>
    </row>
    <row r="5767">
      <c r="AI5767" s="80"/>
    </row>
    <row r="5768">
      <c r="AI5768" s="80"/>
    </row>
    <row r="5769">
      <c r="AI5769" s="80"/>
    </row>
    <row r="5770">
      <c r="AI5770" s="80"/>
    </row>
    <row r="5771">
      <c r="AI5771" s="80"/>
    </row>
    <row r="5772">
      <c r="AI5772" s="80"/>
    </row>
    <row r="5773">
      <c r="AI5773" s="80"/>
    </row>
    <row r="5774">
      <c r="AI5774" s="80"/>
    </row>
    <row r="5775">
      <c r="AI5775" s="80"/>
    </row>
    <row r="5776">
      <c r="AI5776" s="80"/>
    </row>
    <row r="5777">
      <c r="AI5777" s="80"/>
    </row>
    <row r="5778">
      <c r="AI5778" s="80"/>
    </row>
    <row r="5779">
      <c r="AI5779" s="80"/>
    </row>
    <row r="5780">
      <c r="AI5780" s="80"/>
    </row>
    <row r="5781">
      <c r="AI5781" s="80"/>
    </row>
    <row r="5782">
      <c r="AI5782" s="80"/>
    </row>
    <row r="5783">
      <c r="AI5783" s="80"/>
    </row>
    <row r="5784">
      <c r="AI5784" s="80"/>
    </row>
    <row r="5785">
      <c r="AI5785" s="80"/>
    </row>
    <row r="5786">
      <c r="AI5786" s="80"/>
    </row>
    <row r="5787">
      <c r="AI5787" s="80"/>
    </row>
    <row r="5788">
      <c r="AI5788" s="80"/>
    </row>
    <row r="5789">
      <c r="AI5789" s="80"/>
    </row>
    <row r="5790">
      <c r="AI5790" s="80"/>
    </row>
    <row r="5791">
      <c r="AI5791" s="80"/>
    </row>
    <row r="5792">
      <c r="AI5792" s="80"/>
    </row>
    <row r="5793">
      <c r="AI5793" s="80"/>
    </row>
    <row r="5794">
      <c r="AI5794" s="80"/>
    </row>
    <row r="5795">
      <c r="AI5795" s="80"/>
    </row>
    <row r="5796">
      <c r="AI5796" s="80"/>
    </row>
    <row r="5797">
      <c r="AI5797" s="80"/>
    </row>
    <row r="5798">
      <c r="AI5798" s="80"/>
    </row>
    <row r="5799">
      <c r="AI5799" s="80"/>
    </row>
    <row r="5800">
      <c r="AI5800" s="80"/>
    </row>
    <row r="5801">
      <c r="AI5801" s="80"/>
    </row>
    <row r="5802">
      <c r="AI5802" s="80"/>
    </row>
    <row r="5803">
      <c r="AI5803" s="80"/>
    </row>
    <row r="5804">
      <c r="AI5804" s="80"/>
    </row>
    <row r="5805">
      <c r="AI5805" s="80"/>
    </row>
    <row r="5806">
      <c r="AI5806" s="80"/>
    </row>
    <row r="5807">
      <c r="AI5807" s="80"/>
    </row>
    <row r="5808">
      <c r="AI5808" s="80"/>
    </row>
    <row r="5809">
      <c r="AI5809" s="80"/>
    </row>
    <row r="5810">
      <c r="AI5810" s="80"/>
    </row>
    <row r="5811">
      <c r="AI5811" s="80"/>
    </row>
    <row r="5812">
      <c r="AI5812" s="80"/>
    </row>
    <row r="5813">
      <c r="AI5813" s="80"/>
    </row>
    <row r="5814">
      <c r="AI5814" s="80"/>
    </row>
    <row r="5815">
      <c r="AI5815" s="80"/>
    </row>
    <row r="5816">
      <c r="AI5816" s="80"/>
    </row>
    <row r="5817">
      <c r="AI5817" s="80"/>
    </row>
    <row r="5818">
      <c r="AI5818" s="80"/>
    </row>
    <row r="5819">
      <c r="AI5819" s="80"/>
    </row>
    <row r="5820">
      <c r="AI5820" s="80"/>
    </row>
    <row r="5821">
      <c r="AI5821" s="80"/>
    </row>
    <row r="5822">
      <c r="AI5822" s="80"/>
    </row>
    <row r="5823">
      <c r="AI5823" s="80"/>
    </row>
    <row r="5824">
      <c r="AI5824" s="80"/>
    </row>
    <row r="5825">
      <c r="AI5825" s="80"/>
    </row>
    <row r="5826">
      <c r="AI5826" s="80"/>
    </row>
    <row r="5827">
      <c r="AI5827" s="80"/>
    </row>
    <row r="5828">
      <c r="AI5828" s="80"/>
    </row>
    <row r="5829">
      <c r="AI5829" s="80"/>
    </row>
    <row r="5830">
      <c r="AI5830" s="80"/>
    </row>
    <row r="5831">
      <c r="AI5831" s="80"/>
    </row>
    <row r="5832">
      <c r="AI5832" s="80"/>
    </row>
    <row r="5833">
      <c r="AI5833" s="80"/>
    </row>
    <row r="5834">
      <c r="AI5834" s="80"/>
    </row>
    <row r="5835">
      <c r="AI5835" s="80"/>
    </row>
    <row r="5836">
      <c r="AI5836" s="80"/>
    </row>
    <row r="5837">
      <c r="AI5837" s="80"/>
    </row>
    <row r="5838">
      <c r="AI5838" s="80"/>
    </row>
    <row r="5839">
      <c r="AI5839" s="80"/>
    </row>
    <row r="5840">
      <c r="AI5840" s="80"/>
    </row>
    <row r="5841">
      <c r="AI5841" s="80"/>
    </row>
    <row r="5842">
      <c r="AI5842" s="80"/>
    </row>
    <row r="5843">
      <c r="AI5843" s="80"/>
    </row>
    <row r="5844">
      <c r="AI5844" s="80"/>
    </row>
    <row r="5845">
      <c r="AI5845" s="80"/>
    </row>
    <row r="5846">
      <c r="AI5846" s="80"/>
    </row>
    <row r="5847">
      <c r="AI5847" s="80"/>
    </row>
    <row r="5848">
      <c r="AI5848" s="80"/>
    </row>
    <row r="5849">
      <c r="AI5849" s="80"/>
    </row>
    <row r="5850">
      <c r="AI5850" s="80"/>
    </row>
    <row r="5851">
      <c r="AI5851" s="80"/>
    </row>
    <row r="5852">
      <c r="AI5852" s="80"/>
    </row>
    <row r="5853">
      <c r="AI5853" s="80"/>
    </row>
    <row r="5854">
      <c r="AI5854" s="80"/>
    </row>
    <row r="5855">
      <c r="AI5855" s="80"/>
    </row>
    <row r="5856">
      <c r="AI5856" s="80"/>
    </row>
    <row r="5857">
      <c r="AI5857" s="80"/>
    </row>
    <row r="5858">
      <c r="AI5858" s="80"/>
    </row>
    <row r="5859">
      <c r="AI5859" s="80"/>
    </row>
    <row r="5860">
      <c r="AI5860" s="80"/>
    </row>
    <row r="5861">
      <c r="AI5861" s="80"/>
    </row>
    <row r="5862">
      <c r="AI5862" s="80"/>
    </row>
    <row r="5863">
      <c r="AI5863" s="80"/>
    </row>
    <row r="5864">
      <c r="AI5864" s="80"/>
    </row>
    <row r="5865">
      <c r="AI5865" s="80"/>
    </row>
    <row r="5866">
      <c r="AI5866" s="80"/>
    </row>
    <row r="5867">
      <c r="AI5867" s="80"/>
    </row>
    <row r="5868">
      <c r="AI5868" s="80"/>
    </row>
    <row r="5869">
      <c r="AI5869" s="80"/>
    </row>
    <row r="5870">
      <c r="AI5870" s="80"/>
    </row>
    <row r="5871">
      <c r="AI5871" s="80"/>
    </row>
    <row r="5872">
      <c r="AI5872" s="80"/>
    </row>
    <row r="5873">
      <c r="AI5873" s="80"/>
    </row>
    <row r="5874">
      <c r="AI5874" s="80"/>
    </row>
    <row r="5875">
      <c r="AI5875" s="80"/>
    </row>
    <row r="5876">
      <c r="AI5876" s="80"/>
    </row>
    <row r="5877">
      <c r="AI5877" s="80"/>
    </row>
    <row r="5878">
      <c r="AI5878" s="80"/>
    </row>
    <row r="5879">
      <c r="AI5879" s="80"/>
    </row>
    <row r="5880">
      <c r="AI5880" s="80"/>
    </row>
    <row r="5881">
      <c r="AI5881" s="80"/>
    </row>
    <row r="5882">
      <c r="AI5882" s="80"/>
    </row>
    <row r="5883">
      <c r="AI5883" s="80"/>
    </row>
    <row r="5884">
      <c r="AI5884" s="80"/>
    </row>
    <row r="5885">
      <c r="AI5885" s="80"/>
    </row>
    <row r="5886">
      <c r="AI5886" s="80"/>
    </row>
    <row r="5887">
      <c r="AI5887" s="80"/>
    </row>
    <row r="5888">
      <c r="AI5888" s="80"/>
    </row>
    <row r="5889">
      <c r="AI5889" s="80"/>
    </row>
    <row r="5890">
      <c r="AI5890" s="80"/>
    </row>
    <row r="5891">
      <c r="AI5891" s="80"/>
    </row>
    <row r="5892">
      <c r="AI5892" s="80"/>
    </row>
    <row r="5893">
      <c r="AI5893" s="80"/>
    </row>
    <row r="5894">
      <c r="AI5894" s="80"/>
    </row>
    <row r="5895">
      <c r="AI5895" s="80"/>
    </row>
    <row r="5896">
      <c r="AI5896" s="80"/>
    </row>
    <row r="5897">
      <c r="AI5897" s="80"/>
    </row>
    <row r="5898">
      <c r="AI5898" s="80"/>
    </row>
    <row r="5899">
      <c r="AI5899" s="80"/>
    </row>
    <row r="5900">
      <c r="AI5900" s="80"/>
    </row>
    <row r="5901">
      <c r="AI5901" s="80"/>
    </row>
    <row r="5902">
      <c r="AI5902" s="80"/>
    </row>
    <row r="5903">
      <c r="AI5903" s="80"/>
    </row>
    <row r="5904">
      <c r="AI5904" s="80"/>
    </row>
    <row r="5905">
      <c r="AI5905" s="80"/>
    </row>
    <row r="5906">
      <c r="AI5906" s="80"/>
    </row>
    <row r="5907">
      <c r="AI5907" s="80"/>
    </row>
    <row r="5908">
      <c r="AI5908" s="80"/>
    </row>
    <row r="5909">
      <c r="AI5909" s="80"/>
    </row>
    <row r="5910">
      <c r="AI5910" s="80"/>
    </row>
    <row r="5911">
      <c r="AI5911" s="80"/>
    </row>
    <row r="5912">
      <c r="AI5912" s="80"/>
    </row>
    <row r="5913">
      <c r="AI5913" s="80"/>
    </row>
    <row r="5914">
      <c r="AI5914" s="80"/>
    </row>
    <row r="5915">
      <c r="AI5915" s="80"/>
    </row>
    <row r="5916">
      <c r="AI5916" s="80"/>
    </row>
    <row r="5917">
      <c r="AI5917" s="80"/>
    </row>
    <row r="5918">
      <c r="AI5918" s="80"/>
    </row>
    <row r="5919">
      <c r="AI5919" s="80"/>
    </row>
    <row r="5920">
      <c r="AI5920" s="80"/>
    </row>
    <row r="5921">
      <c r="AI5921" s="80"/>
    </row>
    <row r="5922">
      <c r="AI5922" s="80"/>
    </row>
    <row r="5923">
      <c r="AI5923" s="80"/>
    </row>
    <row r="5924">
      <c r="AI5924" s="80"/>
    </row>
    <row r="5925">
      <c r="AI5925" s="80"/>
    </row>
    <row r="5926">
      <c r="AI5926" s="80"/>
    </row>
    <row r="5927">
      <c r="AI5927" s="80"/>
    </row>
    <row r="5928">
      <c r="AI5928" s="80"/>
    </row>
    <row r="5929">
      <c r="AI5929" s="80"/>
    </row>
    <row r="5930">
      <c r="AI5930" s="80"/>
    </row>
    <row r="5931">
      <c r="AI5931" s="80"/>
    </row>
    <row r="5932">
      <c r="AI5932" s="80"/>
    </row>
    <row r="5933">
      <c r="AI5933" s="80"/>
    </row>
    <row r="5934">
      <c r="AI5934" s="80"/>
    </row>
    <row r="5935">
      <c r="AI5935" s="80"/>
    </row>
    <row r="5936">
      <c r="AI5936" s="80"/>
    </row>
    <row r="5937">
      <c r="AI5937" s="80"/>
    </row>
    <row r="5938">
      <c r="AI5938" s="80"/>
    </row>
    <row r="5939">
      <c r="AI5939" s="80"/>
    </row>
    <row r="5940">
      <c r="AI5940" s="80"/>
    </row>
    <row r="5941">
      <c r="AI5941" s="80"/>
    </row>
    <row r="5942">
      <c r="AI5942" s="80"/>
    </row>
    <row r="5943">
      <c r="AI5943" s="80"/>
    </row>
    <row r="5944">
      <c r="AI5944" s="80"/>
    </row>
    <row r="5945">
      <c r="AI5945" s="80"/>
    </row>
    <row r="5946">
      <c r="AI5946" s="80"/>
    </row>
    <row r="5947">
      <c r="AI5947" s="80"/>
    </row>
    <row r="5948">
      <c r="AI5948" s="80"/>
    </row>
    <row r="5949">
      <c r="AI5949" s="80"/>
    </row>
    <row r="5950">
      <c r="AI5950" s="80"/>
    </row>
    <row r="5951">
      <c r="AI5951" s="80"/>
    </row>
    <row r="5952">
      <c r="AI5952" s="80"/>
    </row>
    <row r="5953">
      <c r="AI5953" s="80"/>
    </row>
    <row r="5954">
      <c r="AI5954" s="80"/>
    </row>
    <row r="5955">
      <c r="AI5955" s="80"/>
    </row>
    <row r="5956">
      <c r="AI5956" s="80"/>
    </row>
    <row r="5957">
      <c r="AI5957" s="80"/>
    </row>
    <row r="5958">
      <c r="AI5958" s="80"/>
    </row>
    <row r="5959">
      <c r="AI5959" s="80"/>
    </row>
    <row r="5960">
      <c r="AI5960" s="80"/>
    </row>
    <row r="5961">
      <c r="AI5961" s="80"/>
    </row>
    <row r="5962">
      <c r="AI5962" s="80"/>
    </row>
    <row r="5963">
      <c r="AI5963" s="80"/>
    </row>
    <row r="5964">
      <c r="AI5964" s="80"/>
    </row>
    <row r="5965">
      <c r="AI5965" s="80"/>
    </row>
    <row r="5966">
      <c r="AI5966" s="80"/>
    </row>
    <row r="5967">
      <c r="AI5967" s="80"/>
    </row>
    <row r="5968">
      <c r="AI5968" s="80"/>
    </row>
    <row r="5969">
      <c r="AI5969" s="80"/>
    </row>
    <row r="5970">
      <c r="AI5970" s="80"/>
    </row>
    <row r="5971">
      <c r="AI5971" s="80"/>
    </row>
    <row r="5972">
      <c r="AI5972" s="80"/>
    </row>
    <row r="5973">
      <c r="AI5973" s="80"/>
    </row>
    <row r="5974">
      <c r="AI5974" s="80"/>
    </row>
    <row r="5975">
      <c r="AI5975" s="80"/>
    </row>
    <row r="5976">
      <c r="AI5976" s="80"/>
    </row>
    <row r="5977">
      <c r="AI5977" s="80"/>
    </row>
    <row r="5978">
      <c r="AI5978" s="80"/>
    </row>
    <row r="5979">
      <c r="AI5979" s="80"/>
    </row>
    <row r="5980">
      <c r="AI5980" s="80"/>
    </row>
    <row r="5981">
      <c r="AI5981" s="80"/>
    </row>
    <row r="5982">
      <c r="AI5982" s="80"/>
    </row>
    <row r="5983">
      <c r="AI5983" s="80"/>
    </row>
    <row r="5984">
      <c r="AI5984" s="80"/>
    </row>
    <row r="5985">
      <c r="AI5985" s="80"/>
    </row>
    <row r="5986">
      <c r="AI5986" s="80"/>
    </row>
    <row r="5987">
      <c r="AI5987" s="80"/>
    </row>
    <row r="5988">
      <c r="AI5988" s="80"/>
    </row>
    <row r="5989">
      <c r="AI5989" s="80"/>
    </row>
    <row r="5990">
      <c r="AI5990" s="80"/>
    </row>
    <row r="5991">
      <c r="AI5991" s="80"/>
    </row>
    <row r="5992">
      <c r="AI5992" s="80"/>
    </row>
    <row r="5993">
      <c r="AI5993" s="80"/>
    </row>
    <row r="5994">
      <c r="AI5994" s="80"/>
    </row>
    <row r="5995">
      <c r="AI5995" s="80"/>
    </row>
    <row r="5996">
      <c r="AI5996" s="80"/>
    </row>
    <row r="5997">
      <c r="AI5997" s="80"/>
    </row>
    <row r="5998">
      <c r="AI5998" s="80"/>
    </row>
    <row r="5999">
      <c r="AI5999" s="80"/>
    </row>
    <row r="6000">
      <c r="AI6000" s="80"/>
    </row>
    <row r="6001">
      <c r="AI6001" s="80"/>
    </row>
    <row r="6002">
      <c r="AI6002" s="80"/>
    </row>
    <row r="6003">
      <c r="AI6003" s="80"/>
    </row>
    <row r="6004">
      <c r="AI6004" s="80"/>
    </row>
    <row r="6005">
      <c r="AI6005" s="80"/>
    </row>
    <row r="6006">
      <c r="AI6006" s="80"/>
    </row>
    <row r="6007">
      <c r="AI6007" s="80"/>
    </row>
    <row r="6008">
      <c r="AI6008" s="80"/>
    </row>
    <row r="6009">
      <c r="AI6009" s="80"/>
    </row>
    <row r="6010">
      <c r="AI6010" s="80"/>
    </row>
    <row r="6011">
      <c r="AI6011" s="80"/>
    </row>
    <row r="6012">
      <c r="AI6012" s="80"/>
    </row>
    <row r="6013">
      <c r="AI6013" s="80"/>
    </row>
    <row r="6014">
      <c r="AI6014" s="80"/>
    </row>
    <row r="6015">
      <c r="AI6015" s="80"/>
    </row>
    <row r="6016">
      <c r="AI6016" s="80"/>
    </row>
    <row r="6017">
      <c r="AI6017" s="80"/>
    </row>
    <row r="6018">
      <c r="AI6018" s="80"/>
    </row>
    <row r="6019">
      <c r="AI6019" s="80"/>
    </row>
    <row r="6020">
      <c r="AI6020" s="80"/>
    </row>
    <row r="6021">
      <c r="AI6021" s="80"/>
    </row>
    <row r="6022">
      <c r="AI6022" s="80"/>
    </row>
    <row r="6023">
      <c r="AI6023" s="80"/>
    </row>
    <row r="6024">
      <c r="AI6024" s="80"/>
    </row>
    <row r="6025">
      <c r="AI6025" s="80"/>
    </row>
    <row r="6026">
      <c r="AI6026" s="80"/>
    </row>
    <row r="6027">
      <c r="AI6027" s="80"/>
    </row>
    <row r="6028">
      <c r="AI6028" s="80"/>
    </row>
    <row r="6029">
      <c r="AI6029" s="80"/>
    </row>
    <row r="6030">
      <c r="AI6030" s="80"/>
    </row>
    <row r="6031">
      <c r="AI6031" s="80"/>
    </row>
    <row r="6032">
      <c r="AI6032" s="80"/>
    </row>
    <row r="6033">
      <c r="AI6033" s="80"/>
    </row>
    <row r="6034">
      <c r="AI6034" s="80"/>
    </row>
    <row r="6035">
      <c r="AI6035" s="80"/>
    </row>
    <row r="6036">
      <c r="AI6036" s="80"/>
    </row>
    <row r="6037">
      <c r="AI6037" s="80"/>
    </row>
    <row r="6038">
      <c r="AI6038" s="80"/>
    </row>
    <row r="6039">
      <c r="AI6039" s="80"/>
    </row>
    <row r="6040">
      <c r="AI6040" s="80"/>
    </row>
    <row r="6041">
      <c r="AI6041" s="80"/>
    </row>
    <row r="6042">
      <c r="AI6042" s="80"/>
    </row>
    <row r="6043">
      <c r="AI6043" s="80"/>
    </row>
    <row r="6044">
      <c r="AI6044" s="80"/>
    </row>
    <row r="6045">
      <c r="AI6045" s="80"/>
    </row>
    <row r="6046">
      <c r="AI6046" s="80"/>
    </row>
    <row r="6047">
      <c r="AI6047" s="80"/>
    </row>
    <row r="6048">
      <c r="AI6048" s="80"/>
    </row>
    <row r="6049">
      <c r="AI6049" s="80"/>
    </row>
    <row r="6050">
      <c r="AI6050" s="80"/>
    </row>
    <row r="6051">
      <c r="AI6051" s="80"/>
    </row>
    <row r="6052">
      <c r="AI6052" s="80"/>
    </row>
    <row r="6053">
      <c r="AI6053" s="80"/>
    </row>
    <row r="6054">
      <c r="AI6054" s="80"/>
    </row>
    <row r="6055">
      <c r="AI6055" s="80"/>
    </row>
    <row r="6056">
      <c r="AI6056" s="80"/>
    </row>
    <row r="6057">
      <c r="AI6057" s="80"/>
    </row>
    <row r="6058">
      <c r="AI6058" s="80"/>
    </row>
    <row r="6059">
      <c r="AI6059" s="80"/>
    </row>
    <row r="6060">
      <c r="AI6060" s="80"/>
    </row>
    <row r="6061">
      <c r="AI6061" s="80"/>
    </row>
    <row r="6062">
      <c r="AI6062" s="80"/>
    </row>
    <row r="6063">
      <c r="AI6063" s="80"/>
    </row>
    <row r="6064">
      <c r="AI6064" s="80"/>
    </row>
    <row r="6065">
      <c r="AI6065" s="80"/>
    </row>
    <row r="6066">
      <c r="AI6066" s="80"/>
    </row>
    <row r="6067">
      <c r="AI6067" s="80"/>
    </row>
    <row r="6068">
      <c r="AI6068" s="80"/>
    </row>
    <row r="6069">
      <c r="AI6069" s="80"/>
    </row>
    <row r="6070">
      <c r="AI6070" s="80"/>
    </row>
    <row r="6071">
      <c r="AI6071" s="80"/>
    </row>
    <row r="6072">
      <c r="AI6072" s="80"/>
    </row>
    <row r="6073">
      <c r="AI6073" s="80"/>
    </row>
    <row r="6074">
      <c r="AI6074" s="80"/>
    </row>
    <row r="6075">
      <c r="AI6075" s="80"/>
    </row>
    <row r="6076">
      <c r="AI6076" s="80"/>
    </row>
    <row r="6077">
      <c r="AI6077" s="80"/>
    </row>
    <row r="6078">
      <c r="AI6078" s="80"/>
    </row>
    <row r="6079">
      <c r="AI6079" s="80"/>
    </row>
    <row r="6080">
      <c r="AI6080" s="80"/>
    </row>
    <row r="6081">
      <c r="AI6081" s="80"/>
    </row>
    <row r="6082">
      <c r="AI6082" s="80"/>
    </row>
    <row r="6083">
      <c r="AI6083" s="80"/>
    </row>
    <row r="6084">
      <c r="AI6084" s="80"/>
    </row>
    <row r="6085">
      <c r="AI6085" s="80"/>
    </row>
    <row r="6086">
      <c r="AI6086" s="80"/>
    </row>
    <row r="6087">
      <c r="AI6087" s="80"/>
    </row>
    <row r="6088">
      <c r="AI6088" s="80"/>
    </row>
    <row r="6089">
      <c r="AI6089" s="80"/>
    </row>
    <row r="6090">
      <c r="AI6090" s="80"/>
    </row>
    <row r="6091">
      <c r="AI6091" s="80"/>
    </row>
    <row r="6092">
      <c r="AI6092" s="80"/>
    </row>
    <row r="6093">
      <c r="AI6093" s="80"/>
    </row>
    <row r="6094">
      <c r="AI6094" s="80"/>
    </row>
    <row r="6095">
      <c r="AI6095" s="80"/>
    </row>
    <row r="6096">
      <c r="AI6096" s="80"/>
    </row>
    <row r="6097">
      <c r="AI6097" s="80"/>
    </row>
    <row r="6098">
      <c r="AI6098" s="80"/>
    </row>
    <row r="6099">
      <c r="AI6099" s="80"/>
    </row>
    <row r="6100">
      <c r="AI6100" s="80"/>
    </row>
    <row r="6101">
      <c r="AI6101" s="80"/>
    </row>
    <row r="6102">
      <c r="AI6102" s="80"/>
    </row>
    <row r="6103">
      <c r="AI6103" s="80"/>
    </row>
    <row r="6104">
      <c r="AI6104" s="80"/>
    </row>
    <row r="6105">
      <c r="AI6105" s="80"/>
    </row>
    <row r="6106">
      <c r="AI6106" s="80"/>
    </row>
    <row r="6107">
      <c r="AI6107" s="80"/>
    </row>
    <row r="6108">
      <c r="AI6108" s="80"/>
    </row>
    <row r="6109">
      <c r="AI6109" s="80"/>
    </row>
    <row r="6110">
      <c r="AI6110" s="80"/>
    </row>
    <row r="6111">
      <c r="AI6111" s="80"/>
    </row>
    <row r="6112">
      <c r="AI6112" s="80"/>
    </row>
    <row r="6113">
      <c r="AI6113" s="80"/>
    </row>
    <row r="6114">
      <c r="AI6114" s="80"/>
    </row>
    <row r="6115">
      <c r="AI6115" s="80"/>
    </row>
    <row r="6116">
      <c r="AI6116" s="80"/>
    </row>
    <row r="6117">
      <c r="AI6117" s="80"/>
    </row>
    <row r="6118">
      <c r="AI6118" s="80"/>
    </row>
    <row r="6119">
      <c r="AI6119" s="80"/>
    </row>
    <row r="6120">
      <c r="AI6120" s="80"/>
    </row>
    <row r="6121">
      <c r="AI6121" s="80"/>
    </row>
    <row r="6122">
      <c r="AI6122" s="80"/>
    </row>
    <row r="6123">
      <c r="AI6123" s="80"/>
    </row>
    <row r="6124">
      <c r="AI6124" s="80"/>
    </row>
    <row r="6125">
      <c r="AI6125" s="80"/>
    </row>
    <row r="6126">
      <c r="AI6126" s="80"/>
    </row>
    <row r="6127">
      <c r="AI6127" s="80"/>
    </row>
    <row r="6128">
      <c r="AI6128" s="80"/>
    </row>
    <row r="6129">
      <c r="AI6129" s="80"/>
    </row>
    <row r="6130">
      <c r="AI6130" s="80"/>
    </row>
    <row r="6131">
      <c r="AI6131" s="80"/>
    </row>
    <row r="6132">
      <c r="AI6132" s="80"/>
    </row>
    <row r="6133">
      <c r="AI6133" s="80"/>
    </row>
    <row r="6134">
      <c r="AI6134" s="80"/>
    </row>
    <row r="6135">
      <c r="AI6135" s="80"/>
    </row>
    <row r="6136">
      <c r="AI6136" s="80"/>
    </row>
    <row r="6137">
      <c r="AI6137" s="80"/>
    </row>
    <row r="6138">
      <c r="AI6138" s="80"/>
    </row>
    <row r="6139">
      <c r="AI6139" s="80"/>
    </row>
    <row r="6140">
      <c r="AI6140" s="80"/>
    </row>
    <row r="6141">
      <c r="AI6141" s="80"/>
    </row>
    <row r="6142">
      <c r="AI6142" s="80"/>
    </row>
    <row r="6143">
      <c r="AI6143" s="80"/>
    </row>
    <row r="6144">
      <c r="AI6144" s="80"/>
    </row>
    <row r="6145">
      <c r="AI6145" s="80"/>
    </row>
    <row r="6146">
      <c r="AI6146" s="80"/>
    </row>
    <row r="6147">
      <c r="AI6147" s="80"/>
    </row>
    <row r="6148">
      <c r="AI6148" s="80"/>
    </row>
    <row r="6149">
      <c r="AI6149" s="80"/>
    </row>
    <row r="6150">
      <c r="AI6150" s="80"/>
    </row>
    <row r="6151">
      <c r="AI6151" s="80"/>
    </row>
    <row r="6152">
      <c r="AI6152" s="80"/>
    </row>
    <row r="6153">
      <c r="AI6153" s="80"/>
    </row>
    <row r="6154">
      <c r="AI6154" s="80"/>
    </row>
    <row r="6155">
      <c r="AI6155" s="80"/>
    </row>
    <row r="6156">
      <c r="AI6156" s="80"/>
    </row>
    <row r="6157">
      <c r="AI6157" s="80"/>
    </row>
    <row r="6158">
      <c r="AI6158" s="80"/>
    </row>
    <row r="6159">
      <c r="AI6159" s="80"/>
    </row>
    <row r="6160">
      <c r="AI6160" s="80"/>
    </row>
    <row r="6161">
      <c r="AI6161" s="80"/>
    </row>
    <row r="6162">
      <c r="AI6162" s="80"/>
    </row>
    <row r="6163">
      <c r="AI6163" s="80"/>
    </row>
    <row r="6164">
      <c r="AI6164" s="80"/>
    </row>
    <row r="6165">
      <c r="AI6165" s="80"/>
    </row>
    <row r="6166">
      <c r="AI6166" s="80"/>
    </row>
    <row r="6167">
      <c r="AI6167" s="80"/>
    </row>
    <row r="6168">
      <c r="AI6168" s="80"/>
    </row>
    <row r="6169">
      <c r="AI6169" s="80"/>
    </row>
    <row r="6170">
      <c r="AI6170" s="80"/>
    </row>
    <row r="6171">
      <c r="AI6171" s="80"/>
    </row>
    <row r="6172">
      <c r="AI6172" s="80"/>
    </row>
    <row r="6173">
      <c r="AI6173" s="80"/>
    </row>
    <row r="6174">
      <c r="AI6174" s="80"/>
    </row>
    <row r="6175">
      <c r="AI6175" s="80"/>
    </row>
    <row r="6176">
      <c r="AI6176" s="80"/>
    </row>
    <row r="6177">
      <c r="AI6177" s="80"/>
    </row>
    <row r="6178">
      <c r="AI6178" s="80"/>
    </row>
    <row r="6179">
      <c r="AI6179" s="80"/>
    </row>
    <row r="6180">
      <c r="AI6180" s="80"/>
    </row>
    <row r="6181">
      <c r="AI6181" s="80"/>
    </row>
    <row r="6182">
      <c r="AI6182" s="80"/>
    </row>
    <row r="6183">
      <c r="AI6183" s="80"/>
    </row>
    <row r="6184">
      <c r="AI6184" s="80"/>
    </row>
    <row r="6185">
      <c r="AI6185" s="80"/>
    </row>
    <row r="6186">
      <c r="AI6186" s="80"/>
    </row>
    <row r="6187">
      <c r="AI6187" s="80"/>
    </row>
    <row r="6188">
      <c r="AI6188" s="80"/>
    </row>
    <row r="6189">
      <c r="AI6189" s="80"/>
    </row>
    <row r="6190">
      <c r="AI6190" s="80"/>
    </row>
    <row r="6191">
      <c r="AI6191" s="80"/>
    </row>
    <row r="6192">
      <c r="AI6192" s="80"/>
    </row>
    <row r="6193">
      <c r="AI6193" s="80"/>
    </row>
    <row r="6194">
      <c r="AI6194" s="80"/>
    </row>
    <row r="6195">
      <c r="AI6195" s="80"/>
    </row>
    <row r="6196">
      <c r="AI6196" s="80"/>
    </row>
    <row r="6197">
      <c r="AI6197" s="80"/>
    </row>
    <row r="6198">
      <c r="AI6198" s="80"/>
    </row>
    <row r="6199">
      <c r="AI6199" s="80"/>
    </row>
    <row r="6200">
      <c r="AI6200" s="80"/>
    </row>
    <row r="6201">
      <c r="AI6201" s="80"/>
    </row>
    <row r="6202">
      <c r="AI6202" s="80"/>
    </row>
    <row r="6203">
      <c r="AI6203" s="80"/>
    </row>
    <row r="6204">
      <c r="AI6204" s="80"/>
    </row>
    <row r="6205">
      <c r="AI6205" s="80"/>
    </row>
    <row r="6206">
      <c r="AI6206" s="80"/>
    </row>
    <row r="6207">
      <c r="AI6207" s="80"/>
    </row>
    <row r="6208">
      <c r="AI6208" s="80"/>
    </row>
    <row r="6209">
      <c r="AI6209" s="80"/>
    </row>
    <row r="6210">
      <c r="AI6210" s="80"/>
    </row>
    <row r="6211">
      <c r="AI6211" s="80"/>
    </row>
    <row r="6212">
      <c r="AI6212" s="80"/>
    </row>
    <row r="6213">
      <c r="AI6213" s="80"/>
    </row>
    <row r="6214">
      <c r="AI6214" s="80"/>
    </row>
    <row r="6215">
      <c r="AI6215" s="80"/>
    </row>
    <row r="6216">
      <c r="AI6216" s="80"/>
    </row>
    <row r="6217">
      <c r="AI6217" s="80"/>
    </row>
    <row r="6218">
      <c r="AI6218" s="80"/>
    </row>
    <row r="6219">
      <c r="AI6219" s="80"/>
    </row>
    <row r="6220">
      <c r="AI6220" s="80"/>
    </row>
    <row r="6221">
      <c r="AI6221" s="80"/>
    </row>
    <row r="6222">
      <c r="AI6222" s="80"/>
    </row>
    <row r="6223">
      <c r="AI6223" s="80"/>
    </row>
    <row r="6224">
      <c r="AI6224" s="80"/>
    </row>
    <row r="6225">
      <c r="AI6225" s="80"/>
    </row>
    <row r="6226">
      <c r="AI6226" s="80"/>
    </row>
    <row r="6227">
      <c r="AI6227" s="80"/>
    </row>
    <row r="6228">
      <c r="AI6228" s="80"/>
    </row>
    <row r="6229">
      <c r="AI6229" s="80"/>
    </row>
    <row r="6230">
      <c r="AI6230" s="80"/>
    </row>
    <row r="6231">
      <c r="AI6231" s="80"/>
    </row>
    <row r="6232">
      <c r="AI6232" s="80"/>
    </row>
    <row r="6233">
      <c r="AI6233" s="80"/>
    </row>
    <row r="6234">
      <c r="AI6234" s="80"/>
    </row>
    <row r="6235">
      <c r="AI6235" s="80"/>
    </row>
    <row r="6236">
      <c r="AI6236" s="80"/>
    </row>
    <row r="6237">
      <c r="AI6237" s="80"/>
    </row>
    <row r="6238">
      <c r="AI6238" s="80"/>
    </row>
    <row r="6239">
      <c r="AI6239" s="80"/>
    </row>
    <row r="6240">
      <c r="AI6240" s="80"/>
    </row>
    <row r="6241">
      <c r="AI6241" s="80"/>
    </row>
    <row r="6242">
      <c r="AI6242" s="80"/>
    </row>
    <row r="6243">
      <c r="AI6243" s="80"/>
    </row>
    <row r="6244">
      <c r="AI6244" s="80"/>
    </row>
    <row r="6245">
      <c r="AI6245" s="80"/>
    </row>
    <row r="6246">
      <c r="AI6246" s="80"/>
    </row>
    <row r="6247">
      <c r="AI6247" s="80"/>
    </row>
    <row r="6248">
      <c r="AI6248" s="80"/>
    </row>
    <row r="6249">
      <c r="AI6249" s="80"/>
    </row>
    <row r="6250">
      <c r="AI6250" s="80"/>
    </row>
    <row r="6251">
      <c r="AI6251" s="80"/>
    </row>
    <row r="6252">
      <c r="AI6252" s="80"/>
    </row>
    <row r="6253">
      <c r="AI6253" s="80"/>
    </row>
    <row r="6254">
      <c r="AI6254" s="80"/>
    </row>
    <row r="6255">
      <c r="AI6255" s="80"/>
    </row>
    <row r="6256">
      <c r="AI6256" s="80"/>
    </row>
    <row r="6257">
      <c r="AI6257" s="80"/>
    </row>
    <row r="6258">
      <c r="AI6258" s="80"/>
    </row>
    <row r="6259">
      <c r="AI6259" s="80"/>
    </row>
    <row r="6260">
      <c r="AI6260" s="80"/>
    </row>
    <row r="6261">
      <c r="AI6261" s="80"/>
    </row>
    <row r="6262">
      <c r="AI6262" s="80"/>
    </row>
    <row r="6263">
      <c r="AI6263" s="80"/>
    </row>
    <row r="6264">
      <c r="AI6264" s="80"/>
    </row>
    <row r="6265">
      <c r="AI6265" s="80"/>
    </row>
    <row r="6266">
      <c r="AI6266" s="80"/>
    </row>
    <row r="6267">
      <c r="AI6267" s="80"/>
    </row>
    <row r="6268">
      <c r="AI6268" s="80"/>
    </row>
    <row r="6269">
      <c r="AI6269" s="80"/>
    </row>
    <row r="6270">
      <c r="AI6270" s="80"/>
    </row>
    <row r="6271">
      <c r="AI6271" s="80"/>
    </row>
    <row r="6272">
      <c r="AI6272" s="80"/>
    </row>
    <row r="6273">
      <c r="AI6273" s="80"/>
    </row>
    <row r="6274">
      <c r="AI6274" s="80"/>
    </row>
    <row r="6275">
      <c r="AI6275" s="80"/>
    </row>
    <row r="6276">
      <c r="AI6276" s="80"/>
    </row>
    <row r="6277">
      <c r="AI6277" s="80"/>
    </row>
    <row r="6278">
      <c r="AI6278" s="80"/>
    </row>
    <row r="6279">
      <c r="AI6279" s="80"/>
    </row>
    <row r="6280">
      <c r="AI6280" s="80"/>
    </row>
    <row r="6281">
      <c r="AI6281" s="80"/>
    </row>
    <row r="6282">
      <c r="AI6282" s="80"/>
    </row>
    <row r="6283">
      <c r="AI6283" s="80"/>
    </row>
    <row r="6284">
      <c r="AI6284" s="80"/>
    </row>
    <row r="6285">
      <c r="AI6285" s="80"/>
    </row>
    <row r="6286">
      <c r="AI6286" s="80"/>
    </row>
    <row r="6287">
      <c r="AI6287" s="80"/>
    </row>
    <row r="6288">
      <c r="AI6288" s="80"/>
    </row>
    <row r="6289">
      <c r="AI6289" s="80"/>
    </row>
    <row r="6290">
      <c r="AI6290" s="80"/>
    </row>
    <row r="6291">
      <c r="AI6291" s="80"/>
    </row>
    <row r="6292">
      <c r="AI6292" s="80"/>
    </row>
    <row r="6293">
      <c r="AI6293" s="80"/>
    </row>
    <row r="6294">
      <c r="AI6294" s="80"/>
    </row>
    <row r="6295">
      <c r="AI6295" s="80"/>
    </row>
    <row r="6296">
      <c r="AI6296" s="80"/>
    </row>
    <row r="6297">
      <c r="AI6297" s="80"/>
    </row>
    <row r="6298">
      <c r="AI6298" s="80"/>
    </row>
    <row r="6299">
      <c r="AI6299" s="80"/>
    </row>
    <row r="6300">
      <c r="AI6300" s="80"/>
    </row>
    <row r="6301">
      <c r="AI6301" s="80"/>
    </row>
    <row r="6302">
      <c r="AI6302" s="80"/>
    </row>
    <row r="6303">
      <c r="AI6303" s="80"/>
    </row>
    <row r="6304">
      <c r="AI6304" s="80"/>
    </row>
    <row r="6305">
      <c r="AI6305" s="80"/>
    </row>
    <row r="6306">
      <c r="AI6306" s="80"/>
    </row>
    <row r="6307">
      <c r="AI6307" s="80"/>
    </row>
    <row r="6308">
      <c r="AI6308" s="80"/>
    </row>
    <row r="6309">
      <c r="AI6309" s="80"/>
    </row>
    <row r="6310">
      <c r="AI6310" s="80"/>
    </row>
    <row r="6311">
      <c r="AI6311" s="80"/>
    </row>
    <row r="6312">
      <c r="AI6312" s="80"/>
    </row>
    <row r="6313">
      <c r="AI6313" s="80"/>
    </row>
    <row r="6314">
      <c r="AI6314" s="80"/>
    </row>
    <row r="6315">
      <c r="AI6315" s="80"/>
    </row>
    <row r="6316">
      <c r="AI6316" s="80"/>
    </row>
    <row r="6317">
      <c r="AI6317" s="80"/>
    </row>
    <row r="6318">
      <c r="AI6318" s="80"/>
    </row>
    <row r="6319">
      <c r="AI6319" s="80"/>
    </row>
    <row r="6320">
      <c r="AI6320" s="80"/>
    </row>
    <row r="6321">
      <c r="AI6321" s="80"/>
    </row>
    <row r="6322">
      <c r="AI6322" s="80"/>
    </row>
    <row r="6323">
      <c r="AI6323" s="80"/>
    </row>
    <row r="6324">
      <c r="AI6324" s="80"/>
    </row>
    <row r="6325">
      <c r="AI6325" s="80"/>
    </row>
    <row r="6326">
      <c r="AI6326" s="80"/>
    </row>
    <row r="6327">
      <c r="AI6327" s="80"/>
    </row>
    <row r="6328">
      <c r="AI6328" s="80"/>
    </row>
    <row r="6329">
      <c r="AI6329" s="80"/>
    </row>
    <row r="6330">
      <c r="AI6330" s="80"/>
    </row>
    <row r="6331">
      <c r="AI6331" s="80"/>
    </row>
    <row r="6332">
      <c r="AI6332" s="80"/>
    </row>
    <row r="6333">
      <c r="AI6333" s="80"/>
    </row>
    <row r="6334">
      <c r="AI6334" s="80"/>
    </row>
    <row r="6335">
      <c r="AI6335" s="80"/>
    </row>
    <row r="6336">
      <c r="AI6336" s="80"/>
    </row>
    <row r="6337">
      <c r="AI6337" s="80"/>
    </row>
    <row r="6338">
      <c r="AI6338" s="80"/>
    </row>
    <row r="6339">
      <c r="AI6339" s="80"/>
    </row>
    <row r="6340">
      <c r="AI6340" s="80"/>
    </row>
    <row r="6341">
      <c r="AI6341" s="80"/>
    </row>
    <row r="6342">
      <c r="AI6342" s="80"/>
    </row>
    <row r="6343">
      <c r="AI6343" s="80"/>
    </row>
    <row r="6344">
      <c r="AI6344" s="80"/>
    </row>
    <row r="6345">
      <c r="AI6345" s="80"/>
    </row>
    <row r="6346">
      <c r="AI6346" s="80"/>
    </row>
    <row r="6347">
      <c r="AI6347" s="80"/>
    </row>
    <row r="6348">
      <c r="AI6348" s="80"/>
    </row>
    <row r="6349">
      <c r="AI6349" s="80"/>
    </row>
    <row r="6350">
      <c r="AI6350" s="80"/>
    </row>
    <row r="6351">
      <c r="AI6351" s="80"/>
    </row>
    <row r="6352">
      <c r="AI6352" s="80"/>
    </row>
    <row r="6353">
      <c r="AI6353" s="80"/>
    </row>
    <row r="6354">
      <c r="AI6354" s="80"/>
    </row>
    <row r="6355">
      <c r="AI6355" s="80"/>
    </row>
    <row r="6356">
      <c r="AI6356" s="80"/>
    </row>
    <row r="6357">
      <c r="AI6357" s="80"/>
    </row>
    <row r="6358">
      <c r="AI6358" s="80"/>
    </row>
    <row r="6359">
      <c r="AI6359" s="80"/>
    </row>
    <row r="6360">
      <c r="AI6360" s="80"/>
    </row>
    <row r="6361">
      <c r="AI6361" s="80"/>
    </row>
    <row r="6362">
      <c r="AI6362" s="80"/>
    </row>
    <row r="6363">
      <c r="AI6363" s="80"/>
    </row>
    <row r="6364">
      <c r="AI6364" s="80"/>
    </row>
    <row r="6365">
      <c r="AI6365" s="80"/>
    </row>
    <row r="6366">
      <c r="AI6366" s="80"/>
    </row>
    <row r="6367">
      <c r="AI6367" s="80"/>
    </row>
    <row r="6368">
      <c r="AI6368" s="80"/>
    </row>
    <row r="6369">
      <c r="AI6369" s="80"/>
    </row>
    <row r="6370">
      <c r="AI6370" s="80"/>
    </row>
    <row r="6371">
      <c r="AI6371" s="80"/>
    </row>
    <row r="6372">
      <c r="AI6372" s="80"/>
    </row>
    <row r="6373">
      <c r="AI6373" s="80"/>
    </row>
    <row r="6374">
      <c r="AI6374" s="80"/>
    </row>
    <row r="6375">
      <c r="AI6375" s="80"/>
    </row>
    <row r="6376">
      <c r="AI6376" s="80"/>
    </row>
    <row r="6377">
      <c r="AI6377" s="80"/>
    </row>
    <row r="6378">
      <c r="AI6378" s="80"/>
    </row>
    <row r="6379">
      <c r="AI6379" s="80"/>
    </row>
    <row r="6380">
      <c r="AI6380" s="80"/>
    </row>
    <row r="6381">
      <c r="AI6381" s="80"/>
    </row>
    <row r="6382">
      <c r="AI6382" s="80"/>
    </row>
    <row r="6383">
      <c r="AI6383" s="80"/>
    </row>
    <row r="6384">
      <c r="AI6384" s="80"/>
    </row>
    <row r="6385">
      <c r="AI6385" s="80"/>
    </row>
    <row r="6386">
      <c r="AI6386" s="80"/>
    </row>
    <row r="6387">
      <c r="AI6387" s="80"/>
    </row>
    <row r="6388">
      <c r="AI6388" s="80"/>
    </row>
    <row r="6389">
      <c r="AI6389" s="80"/>
    </row>
    <row r="6390">
      <c r="AI6390" s="80"/>
    </row>
    <row r="6391">
      <c r="AI6391" s="80"/>
    </row>
    <row r="6392">
      <c r="AI6392" s="80"/>
    </row>
    <row r="6393">
      <c r="AI6393" s="80"/>
    </row>
    <row r="6394">
      <c r="AI6394" s="80"/>
    </row>
    <row r="6395">
      <c r="AI6395" s="80"/>
    </row>
    <row r="6396">
      <c r="AI6396" s="80"/>
    </row>
    <row r="6397">
      <c r="AI6397" s="80"/>
    </row>
    <row r="6398">
      <c r="AI6398" s="80"/>
    </row>
    <row r="6399">
      <c r="AI6399" s="80"/>
    </row>
    <row r="6400">
      <c r="AI6400" s="80"/>
    </row>
    <row r="6401">
      <c r="AI6401" s="80"/>
    </row>
    <row r="6402">
      <c r="AI6402" s="80"/>
    </row>
    <row r="6403">
      <c r="AI6403" s="80"/>
    </row>
    <row r="6404">
      <c r="AI6404" s="80"/>
    </row>
    <row r="6405">
      <c r="AI6405" s="80"/>
    </row>
    <row r="6406">
      <c r="AI6406" s="80"/>
    </row>
    <row r="6407">
      <c r="AI6407" s="80"/>
    </row>
    <row r="6408">
      <c r="AI6408" s="80"/>
    </row>
    <row r="6409">
      <c r="AI6409" s="80"/>
    </row>
    <row r="6410">
      <c r="AI6410" s="80"/>
    </row>
    <row r="6411">
      <c r="AI6411" s="80"/>
    </row>
    <row r="6412">
      <c r="AI6412" s="80"/>
    </row>
    <row r="6413">
      <c r="AI6413" s="80"/>
    </row>
    <row r="6414">
      <c r="AI6414" s="80"/>
    </row>
    <row r="6415">
      <c r="AI6415" s="80"/>
    </row>
    <row r="6416">
      <c r="AI6416" s="80"/>
    </row>
    <row r="6417">
      <c r="AI6417" s="80"/>
    </row>
    <row r="6418">
      <c r="AI6418" s="80"/>
    </row>
    <row r="6419">
      <c r="AI6419" s="80"/>
    </row>
    <row r="6420">
      <c r="AI6420" s="80"/>
    </row>
    <row r="6421">
      <c r="AI6421" s="80"/>
    </row>
    <row r="6422">
      <c r="AI6422" s="80"/>
    </row>
    <row r="6423">
      <c r="AI6423" s="80"/>
    </row>
    <row r="6424">
      <c r="AI6424" s="80"/>
    </row>
    <row r="6425">
      <c r="AI6425" s="80"/>
    </row>
    <row r="6426">
      <c r="AI6426" s="80"/>
    </row>
    <row r="6427">
      <c r="AI6427" s="80"/>
    </row>
    <row r="6428">
      <c r="AI6428" s="80"/>
    </row>
    <row r="6429">
      <c r="AI6429" s="80"/>
    </row>
    <row r="6430">
      <c r="AI6430" s="80"/>
    </row>
    <row r="6431">
      <c r="AI6431" s="80"/>
    </row>
    <row r="6432">
      <c r="AI6432" s="80"/>
    </row>
    <row r="6433">
      <c r="AI6433" s="80"/>
    </row>
    <row r="6434">
      <c r="AI6434" s="80"/>
    </row>
    <row r="6435">
      <c r="AI6435" s="80"/>
    </row>
    <row r="6436">
      <c r="AI6436" s="80"/>
    </row>
    <row r="6437">
      <c r="AI6437" s="80"/>
    </row>
    <row r="6438">
      <c r="AI6438" s="80"/>
    </row>
    <row r="6439">
      <c r="AI6439" s="80"/>
    </row>
    <row r="6440">
      <c r="AI6440" s="80"/>
    </row>
    <row r="6441">
      <c r="AI6441" s="80"/>
    </row>
    <row r="6442">
      <c r="AI6442" s="80"/>
    </row>
    <row r="6443">
      <c r="AI6443" s="80"/>
    </row>
    <row r="6444">
      <c r="AI6444" s="80"/>
    </row>
    <row r="6445">
      <c r="AI6445" s="80"/>
    </row>
    <row r="6446">
      <c r="AI6446" s="80"/>
    </row>
    <row r="6447">
      <c r="AI6447" s="80"/>
    </row>
    <row r="6448">
      <c r="AI6448" s="80"/>
    </row>
    <row r="6449">
      <c r="AI6449" s="80"/>
    </row>
    <row r="6450">
      <c r="AI6450" s="80"/>
    </row>
    <row r="6451">
      <c r="AI6451" s="80"/>
    </row>
    <row r="6452">
      <c r="AI6452" s="80"/>
    </row>
    <row r="6453">
      <c r="AI6453" s="80"/>
    </row>
    <row r="6454">
      <c r="AI6454" s="80"/>
    </row>
    <row r="6455">
      <c r="AI6455" s="80"/>
    </row>
    <row r="6456">
      <c r="AI6456" s="80"/>
    </row>
    <row r="6457">
      <c r="AI6457" s="80"/>
    </row>
    <row r="6458">
      <c r="AI6458" s="80"/>
    </row>
    <row r="6459">
      <c r="AI6459" s="80"/>
    </row>
    <row r="6460">
      <c r="AI6460" s="80"/>
    </row>
    <row r="6461">
      <c r="AI6461" s="80"/>
    </row>
    <row r="6462">
      <c r="AI6462" s="80"/>
    </row>
    <row r="6463">
      <c r="AI6463" s="80"/>
    </row>
    <row r="6464">
      <c r="AI6464" s="80"/>
    </row>
    <row r="6465">
      <c r="AI6465" s="80"/>
    </row>
    <row r="6466">
      <c r="AI6466" s="80"/>
    </row>
    <row r="6467">
      <c r="AI6467" s="80"/>
    </row>
    <row r="6468">
      <c r="AI6468" s="80"/>
    </row>
    <row r="6469">
      <c r="AI6469" s="80"/>
    </row>
    <row r="6470">
      <c r="AI6470" s="80"/>
    </row>
    <row r="6471">
      <c r="AI6471" s="80"/>
    </row>
    <row r="6472">
      <c r="AI6472" s="80"/>
    </row>
    <row r="6473">
      <c r="AI6473" s="80"/>
    </row>
    <row r="6474">
      <c r="AI6474" s="80"/>
    </row>
    <row r="6475">
      <c r="AI6475" s="80"/>
    </row>
    <row r="6476">
      <c r="AI6476" s="80"/>
    </row>
    <row r="6477">
      <c r="AI6477" s="80"/>
    </row>
    <row r="6478">
      <c r="AI6478" s="80"/>
    </row>
    <row r="6479">
      <c r="AI6479" s="80"/>
    </row>
    <row r="6480">
      <c r="AI6480" s="80"/>
    </row>
    <row r="6481">
      <c r="AI6481" s="80"/>
    </row>
    <row r="6482">
      <c r="AI6482" s="80"/>
    </row>
    <row r="6483">
      <c r="AI6483" s="80"/>
    </row>
    <row r="6484">
      <c r="AI6484" s="80"/>
    </row>
    <row r="6485">
      <c r="AI6485" s="80"/>
    </row>
    <row r="6486">
      <c r="AI6486" s="80"/>
    </row>
    <row r="6487">
      <c r="AI6487" s="80"/>
    </row>
    <row r="6488">
      <c r="AI6488" s="80"/>
    </row>
    <row r="6489">
      <c r="AI6489" s="80"/>
    </row>
    <row r="6490">
      <c r="AI6490" s="80"/>
    </row>
    <row r="6491">
      <c r="AI6491" s="80"/>
    </row>
    <row r="6492">
      <c r="AI6492" s="80"/>
    </row>
    <row r="6493">
      <c r="AI6493" s="80"/>
    </row>
    <row r="6494">
      <c r="AI6494" s="80"/>
    </row>
    <row r="6495">
      <c r="AI6495" s="80"/>
    </row>
    <row r="6496">
      <c r="AI6496" s="80"/>
    </row>
    <row r="6497">
      <c r="AI6497" s="80"/>
    </row>
    <row r="6498">
      <c r="AI6498" s="80"/>
    </row>
    <row r="6499">
      <c r="AI6499" s="80"/>
    </row>
    <row r="6500">
      <c r="AI6500" s="80"/>
    </row>
    <row r="6501">
      <c r="AI6501" s="80"/>
    </row>
    <row r="6502">
      <c r="AI6502" s="80"/>
    </row>
    <row r="6503">
      <c r="AI6503" s="80"/>
    </row>
    <row r="6504">
      <c r="AI6504" s="80"/>
    </row>
    <row r="6505">
      <c r="AI6505" s="80"/>
    </row>
    <row r="6506">
      <c r="AI6506" s="80"/>
    </row>
    <row r="6507">
      <c r="AI6507" s="80"/>
    </row>
    <row r="6508">
      <c r="AI6508" s="80"/>
    </row>
    <row r="6509">
      <c r="AI6509" s="80"/>
    </row>
    <row r="6510">
      <c r="AI6510" s="80"/>
    </row>
    <row r="6511">
      <c r="AI6511" s="80"/>
    </row>
    <row r="6512">
      <c r="AI6512" s="80"/>
    </row>
    <row r="6513">
      <c r="AI6513" s="80"/>
    </row>
    <row r="6514">
      <c r="AI6514" s="80"/>
    </row>
    <row r="6515">
      <c r="AI6515" s="80"/>
    </row>
    <row r="6516">
      <c r="AI6516" s="80"/>
    </row>
    <row r="6517">
      <c r="AI6517" s="80"/>
    </row>
    <row r="6518">
      <c r="AI6518" s="80"/>
    </row>
    <row r="6519">
      <c r="AI6519" s="80"/>
    </row>
    <row r="6520">
      <c r="AI6520" s="80"/>
    </row>
    <row r="6521">
      <c r="AI6521" s="80"/>
    </row>
    <row r="6522">
      <c r="AI6522" s="80"/>
    </row>
    <row r="6523">
      <c r="AI6523" s="80"/>
    </row>
    <row r="6524">
      <c r="AI6524" s="80"/>
    </row>
    <row r="6525">
      <c r="AI6525" s="80"/>
    </row>
    <row r="6526">
      <c r="AI6526" s="80"/>
    </row>
    <row r="6527">
      <c r="AI6527" s="80"/>
    </row>
    <row r="6528">
      <c r="AI6528" s="80"/>
    </row>
    <row r="6529">
      <c r="AI6529" s="80"/>
    </row>
    <row r="6530">
      <c r="AI6530" s="80"/>
    </row>
    <row r="6531">
      <c r="AI6531" s="80"/>
    </row>
    <row r="6532">
      <c r="AI6532" s="80"/>
    </row>
    <row r="6533">
      <c r="AI6533" s="80"/>
    </row>
    <row r="6534">
      <c r="AI6534" s="80"/>
    </row>
    <row r="6535">
      <c r="AI6535" s="80"/>
    </row>
    <row r="6536">
      <c r="AI6536" s="80"/>
    </row>
    <row r="6537">
      <c r="AI6537" s="80"/>
    </row>
    <row r="6538">
      <c r="AI6538" s="80"/>
    </row>
    <row r="6539">
      <c r="AI6539" s="80"/>
    </row>
    <row r="6540">
      <c r="AI6540" s="80"/>
    </row>
    <row r="6541">
      <c r="AI6541" s="80"/>
    </row>
    <row r="6542">
      <c r="AI6542" s="80"/>
    </row>
    <row r="6543">
      <c r="AI6543" s="80"/>
    </row>
    <row r="6544">
      <c r="AI6544" s="80"/>
    </row>
    <row r="6545">
      <c r="AI6545" s="80"/>
    </row>
    <row r="6546">
      <c r="AI6546" s="80"/>
    </row>
    <row r="6547">
      <c r="AI6547" s="80"/>
    </row>
    <row r="6548">
      <c r="AI6548" s="80"/>
    </row>
    <row r="6549">
      <c r="AI6549" s="80"/>
    </row>
    <row r="6550">
      <c r="AI6550" s="80"/>
    </row>
    <row r="6551">
      <c r="AI6551" s="80"/>
    </row>
    <row r="6552">
      <c r="AI6552" s="80"/>
    </row>
    <row r="6553">
      <c r="AI6553" s="80"/>
    </row>
    <row r="6554">
      <c r="AI6554" s="80"/>
    </row>
    <row r="6555">
      <c r="AI6555" s="80"/>
    </row>
    <row r="6556">
      <c r="AI6556" s="80"/>
    </row>
    <row r="6557">
      <c r="AI6557" s="80"/>
    </row>
    <row r="6558">
      <c r="AI6558" s="80"/>
    </row>
    <row r="6559">
      <c r="AI6559" s="80"/>
    </row>
    <row r="6560">
      <c r="AI6560" s="80"/>
    </row>
    <row r="6561">
      <c r="AI6561" s="80"/>
    </row>
    <row r="6562">
      <c r="AI6562" s="80"/>
    </row>
    <row r="6563">
      <c r="AI6563" s="80"/>
    </row>
    <row r="6564">
      <c r="AI6564" s="80"/>
    </row>
    <row r="6565">
      <c r="AI6565" s="80"/>
    </row>
    <row r="6566">
      <c r="AI6566" s="80"/>
    </row>
    <row r="6567">
      <c r="AI6567" s="80"/>
    </row>
    <row r="6568">
      <c r="AI6568" s="80"/>
    </row>
    <row r="6569">
      <c r="AI6569" s="80"/>
    </row>
    <row r="6570">
      <c r="AI6570" s="80"/>
    </row>
    <row r="6571">
      <c r="AI6571" s="80"/>
    </row>
    <row r="6572">
      <c r="AI6572" s="80"/>
    </row>
    <row r="6573">
      <c r="AI6573" s="80"/>
    </row>
    <row r="6574">
      <c r="AI6574" s="80"/>
    </row>
    <row r="6575">
      <c r="AI6575" s="80"/>
    </row>
    <row r="6576">
      <c r="AI6576" s="80"/>
    </row>
    <row r="6577">
      <c r="AI6577" s="80"/>
    </row>
    <row r="6578">
      <c r="AI6578" s="80"/>
    </row>
    <row r="6579">
      <c r="AI6579" s="80"/>
    </row>
    <row r="6580">
      <c r="AI6580" s="80"/>
    </row>
    <row r="6581">
      <c r="AI6581" s="80"/>
    </row>
    <row r="6582">
      <c r="AI6582" s="80"/>
    </row>
    <row r="6583">
      <c r="AI6583" s="80"/>
    </row>
    <row r="6584">
      <c r="AI6584" s="80"/>
    </row>
    <row r="6585">
      <c r="AI6585" s="80"/>
    </row>
    <row r="6586">
      <c r="AI6586" s="80"/>
    </row>
    <row r="6587">
      <c r="AI6587" s="80"/>
    </row>
    <row r="6588">
      <c r="AI6588" s="80"/>
    </row>
    <row r="6589">
      <c r="AI6589" s="80"/>
    </row>
    <row r="6590">
      <c r="AI6590" s="80"/>
    </row>
    <row r="6591">
      <c r="AI6591" s="80"/>
    </row>
    <row r="6592">
      <c r="AI6592" s="80"/>
    </row>
    <row r="6593">
      <c r="AI6593" s="80"/>
    </row>
    <row r="6594">
      <c r="AI6594" s="80"/>
    </row>
    <row r="6595">
      <c r="AI6595" s="80"/>
    </row>
    <row r="6596">
      <c r="AI6596" s="80"/>
    </row>
    <row r="6597">
      <c r="AI6597" s="80"/>
    </row>
    <row r="6598">
      <c r="AI6598" s="80"/>
    </row>
    <row r="6599">
      <c r="AI6599" s="80"/>
    </row>
    <row r="6600">
      <c r="AI6600" s="80"/>
    </row>
    <row r="6601">
      <c r="AI6601" s="80"/>
    </row>
    <row r="6602">
      <c r="AI6602" s="80"/>
    </row>
    <row r="6603">
      <c r="AI6603" s="80"/>
    </row>
    <row r="6604">
      <c r="AI6604" s="80"/>
    </row>
    <row r="6605">
      <c r="AI6605" s="80"/>
    </row>
    <row r="6606">
      <c r="AI6606" s="80"/>
    </row>
    <row r="6607">
      <c r="AI6607" s="80"/>
    </row>
    <row r="6608">
      <c r="AI6608" s="80"/>
    </row>
    <row r="6609">
      <c r="AI6609" s="80"/>
    </row>
    <row r="6610">
      <c r="AI6610" s="80"/>
    </row>
    <row r="6611">
      <c r="AI6611" s="80"/>
    </row>
    <row r="6612">
      <c r="AI6612" s="80"/>
    </row>
    <row r="6613">
      <c r="AI6613" s="80"/>
    </row>
    <row r="6614">
      <c r="AI6614" s="80"/>
    </row>
    <row r="6615">
      <c r="AI6615" s="80"/>
    </row>
    <row r="6616">
      <c r="AI6616" s="80"/>
    </row>
    <row r="6617">
      <c r="AI6617" s="80"/>
    </row>
    <row r="6618">
      <c r="AI6618" s="80"/>
    </row>
    <row r="6619">
      <c r="AI6619" s="80"/>
    </row>
    <row r="6620">
      <c r="AI6620" s="80"/>
    </row>
    <row r="6621">
      <c r="AI6621" s="80"/>
    </row>
    <row r="6622">
      <c r="AI6622" s="80"/>
    </row>
    <row r="6623">
      <c r="AI6623" s="80"/>
    </row>
    <row r="6624">
      <c r="AI6624" s="80"/>
    </row>
    <row r="6625">
      <c r="AI6625" s="80"/>
    </row>
    <row r="6626">
      <c r="AI6626" s="80"/>
    </row>
    <row r="6627">
      <c r="AI6627" s="80"/>
    </row>
    <row r="6628">
      <c r="AI6628" s="80"/>
    </row>
    <row r="6629">
      <c r="AI6629" s="80"/>
    </row>
    <row r="6630">
      <c r="AI6630" s="80"/>
    </row>
    <row r="6631">
      <c r="AI6631" s="80"/>
    </row>
    <row r="6632">
      <c r="AI6632" s="80"/>
    </row>
    <row r="6633">
      <c r="AI6633" s="80"/>
    </row>
    <row r="6634">
      <c r="AI6634" s="80"/>
    </row>
    <row r="6635">
      <c r="AI6635" s="80"/>
    </row>
    <row r="6636">
      <c r="AI6636" s="80"/>
    </row>
    <row r="6637">
      <c r="AI6637" s="80"/>
    </row>
    <row r="6638">
      <c r="AI6638" s="80"/>
    </row>
    <row r="6639">
      <c r="AI6639" s="80"/>
    </row>
    <row r="6640">
      <c r="AI6640" s="80"/>
    </row>
    <row r="6641">
      <c r="AI6641" s="80"/>
    </row>
    <row r="6642">
      <c r="AI6642" s="80"/>
    </row>
    <row r="6643">
      <c r="AI6643" s="80"/>
    </row>
    <row r="6644">
      <c r="AI6644" s="80"/>
    </row>
    <row r="6645">
      <c r="AI6645" s="80"/>
    </row>
    <row r="6646">
      <c r="AI6646" s="80"/>
    </row>
    <row r="6647">
      <c r="AI6647" s="80"/>
    </row>
    <row r="6648">
      <c r="AI6648" s="80"/>
    </row>
    <row r="6649">
      <c r="AI6649" s="80"/>
    </row>
    <row r="6650">
      <c r="AI6650" s="80"/>
    </row>
    <row r="6651">
      <c r="AI6651" s="80"/>
    </row>
    <row r="6652">
      <c r="AI6652" s="80"/>
    </row>
    <row r="6653">
      <c r="AI6653" s="80"/>
    </row>
    <row r="6654">
      <c r="AI6654" s="80"/>
    </row>
    <row r="6655">
      <c r="AI6655" s="80"/>
    </row>
    <row r="6656">
      <c r="AI6656" s="80"/>
    </row>
    <row r="6657">
      <c r="AI6657" s="80"/>
    </row>
    <row r="6658">
      <c r="AI6658" s="80"/>
    </row>
    <row r="6659">
      <c r="AI6659" s="80"/>
    </row>
    <row r="6660">
      <c r="AI6660" s="80"/>
    </row>
    <row r="6661">
      <c r="AI6661" s="80"/>
    </row>
    <row r="6662">
      <c r="AI6662" s="80"/>
    </row>
    <row r="6663">
      <c r="AI6663" s="80"/>
    </row>
    <row r="6664">
      <c r="AI6664" s="80"/>
    </row>
    <row r="6665">
      <c r="AI6665" s="80"/>
    </row>
    <row r="6666">
      <c r="AI6666" s="80"/>
    </row>
    <row r="6667">
      <c r="AI6667" s="80"/>
    </row>
    <row r="6668">
      <c r="AI6668" s="80"/>
    </row>
    <row r="6669">
      <c r="AI6669" s="80"/>
    </row>
    <row r="6670">
      <c r="AI6670" s="80"/>
    </row>
    <row r="6671">
      <c r="AI6671" s="80"/>
    </row>
    <row r="6672">
      <c r="AI6672" s="80"/>
    </row>
    <row r="6673">
      <c r="AI6673" s="80"/>
    </row>
    <row r="6674">
      <c r="AI6674" s="80"/>
    </row>
    <row r="6675">
      <c r="AI6675" s="80"/>
    </row>
    <row r="6676">
      <c r="AI6676" s="80"/>
    </row>
    <row r="6677">
      <c r="AI6677" s="80"/>
    </row>
    <row r="6678">
      <c r="AI6678" s="80"/>
    </row>
    <row r="6679">
      <c r="AI6679" s="80"/>
    </row>
    <row r="6680">
      <c r="AI6680" s="80"/>
    </row>
    <row r="6681">
      <c r="AI6681" s="80"/>
    </row>
    <row r="6682">
      <c r="AI6682" s="80"/>
    </row>
    <row r="6683">
      <c r="AI6683" s="80"/>
    </row>
    <row r="6684">
      <c r="AI6684" s="80"/>
    </row>
    <row r="6685">
      <c r="AI6685" s="80"/>
    </row>
    <row r="6686">
      <c r="AI6686" s="80"/>
    </row>
    <row r="6687">
      <c r="AI6687" s="80"/>
    </row>
    <row r="6688">
      <c r="AI6688" s="80"/>
    </row>
    <row r="6689">
      <c r="AI6689" s="80"/>
    </row>
    <row r="6690">
      <c r="AI6690" s="80"/>
    </row>
    <row r="6691">
      <c r="AI6691" s="80"/>
    </row>
    <row r="6692">
      <c r="AI6692" s="80"/>
    </row>
    <row r="6693">
      <c r="AI6693" s="80"/>
    </row>
    <row r="6694">
      <c r="AI6694" s="80"/>
    </row>
    <row r="6695">
      <c r="AI6695" s="80"/>
    </row>
    <row r="6696">
      <c r="AI6696" s="80"/>
    </row>
    <row r="6697">
      <c r="AI6697" s="80"/>
    </row>
    <row r="6698">
      <c r="AI6698" s="80"/>
    </row>
    <row r="6699">
      <c r="AI6699" s="80"/>
    </row>
    <row r="6700">
      <c r="AI6700" s="80"/>
    </row>
    <row r="6701">
      <c r="AI6701" s="80"/>
    </row>
    <row r="6702">
      <c r="AI6702" s="80"/>
    </row>
    <row r="6703">
      <c r="AI6703" s="80"/>
    </row>
    <row r="6704">
      <c r="AI6704" s="80"/>
    </row>
    <row r="6705">
      <c r="AI6705" s="80"/>
    </row>
    <row r="6706">
      <c r="AI6706" s="80"/>
    </row>
    <row r="6707">
      <c r="AI6707" s="80"/>
    </row>
    <row r="6708">
      <c r="AI6708" s="80"/>
    </row>
    <row r="6709">
      <c r="AI6709" s="80"/>
    </row>
    <row r="6710">
      <c r="AI6710" s="80"/>
    </row>
    <row r="6711">
      <c r="AI6711" s="80"/>
    </row>
    <row r="6712">
      <c r="AI6712" s="80"/>
    </row>
    <row r="6713">
      <c r="AI6713" s="80"/>
    </row>
    <row r="6714">
      <c r="AI6714" s="80"/>
    </row>
    <row r="6715">
      <c r="AI6715" s="80"/>
    </row>
    <row r="6716">
      <c r="AI6716" s="80"/>
    </row>
    <row r="6717">
      <c r="AI6717" s="80"/>
    </row>
    <row r="6718">
      <c r="AI6718" s="80"/>
    </row>
    <row r="6719">
      <c r="AI6719" s="80"/>
    </row>
    <row r="6720">
      <c r="AI6720" s="80"/>
    </row>
    <row r="6721">
      <c r="AI6721" s="80"/>
    </row>
    <row r="6722">
      <c r="AI6722" s="80"/>
    </row>
    <row r="6723">
      <c r="AI6723" s="80"/>
    </row>
    <row r="6724">
      <c r="AI6724" s="80"/>
    </row>
    <row r="6725">
      <c r="AI6725" s="80"/>
    </row>
    <row r="6726">
      <c r="AI6726" s="80"/>
    </row>
    <row r="6727">
      <c r="AI6727" s="80"/>
    </row>
    <row r="6728">
      <c r="AI6728" s="80"/>
    </row>
    <row r="6729">
      <c r="AI6729" s="80"/>
    </row>
    <row r="6730">
      <c r="AI6730" s="80"/>
    </row>
    <row r="6731">
      <c r="AI6731" s="80"/>
    </row>
    <row r="6732">
      <c r="AI6732" s="80"/>
    </row>
    <row r="6733">
      <c r="AI6733" s="80"/>
    </row>
    <row r="6734">
      <c r="AI6734" s="80"/>
    </row>
    <row r="6735">
      <c r="AI6735" s="80"/>
    </row>
    <row r="6736">
      <c r="AI6736" s="80"/>
    </row>
    <row r="6737">
      <c r="AI6737" s="80"/>
    </row>
    <row r="6738">
      <c r="AI6738" s="80"/>
    </row>
    <row r="6739">
      <c r="AI6739" s="80"/>
    </row>
    <row r="6740">
      <c r="AI6740" s="80"/>
    </row>
    <row r="6741">
      <c r="AI6741" s="80"/>
    </row>
    <row r="6742">
      <c r="AI6742" s="80"/>
    </row>
    <row r="6743">
      <c r="AI6743" s="80"/>
    </row>
    <row r="6744">
      <c r="AI6744" s="80"/>
    </row>
    <row r="6745">
      <c r="AI6745" s="80"/>
    </row>
    <row r="6746">
      <c r="AI6746" s="80"/>
    </row>
    <row r="6747">
      <c r="AI6747" s="80"/>
    </row>
    <row r="6748">
      <c r="AI6748" s="80"/>
    </row>
    <row r="6749">
      <c r="AI6749" s="80"/>
    </row>
    <row r="6750">
      <c r="AI6750" s="80"/>
    </row>
    <row r="6751">
      <c r="AI6751" s="80"/>
    </row>
    <row r="6752">
      <c r="AI6752" s="80"/>
    </row>
    <row r="6753">
      <c r="AI6753" s="80"/>
    </row>
    <row r="6754">
      <c r="AI6754" s="80"/>
    </row>
    <row r="6755">
      <c r="AI6755" s="80"/>
    </row>
    <row r="6756">
      <c r="AI6756" s="80"/>
    </row>
    <row r="6757">
      <c r="AI6757" s="80"/>
    </row>
    <row r="6758">
      <c r="AI6758" s="80"/>
    </row>
    <row r="6759">
      <c r="AI6759" s="80"/>
    </row>
    <row r="6760">
      <c r="AI6760" s="80"/>
    </row>
    <row r="6761">
      <c r="AI6761" s="80"/>
    </row>
    <row r="6762">
      <c r="AI6762" s="80"/>
    </row>
    <row r="6763">
      <c r="AI6763" s="80"/>
    </row>
    <row r="6764">
      <c r="AI6764" s="80"/>
    </row>
    <row r="6765">
      <c r="AI6765" s="80"/>
    </row>
    <row r="6766">
      <c r="AI6766" s="80"/>
    </row>
    <row r="6767">
      <c r="AI6767" s="80"/>
    </row>
    <row r="6768">
      <c r="AI6768" s="80"/>
    </row>
    <row r="6769">
      <c r="AI6769" s="80"/>
    </row>
    <row r="6770">
      <c r="AI6770" s="80"/>
    </row>
    <row r="6771">
      <c r="AI6771" s="80"/>
    </row>
    <row r="6772">
      <c r="AI6772" s="80"/>
    </row>
    <row r="6773">
      <c r="AI6773" s="80"/>
    </row>
    <row r="6774">
      <c r="AI6774" s="80"/>
    </row>
    <row r="6775">
      <c r="AI6775" s="80"/>
    </row>
    <row r="6776">
      <c r="AI6776" s="80"/>
    </row>
    <row r="6777">
      <c r="AI6777" s="80"/>
    </row>
    <row r="6778">
      <c r="AI6778" s="80"/>
    </row>
    <row r="6779">
      <c r="AI6779" s="80"/>
    </row>
    <row r="6780">
      <c r="AI6780" s="80"/>
    </row>
    <row r="6781">
      <c r="AI6781" s="80"/>
    </row>
    <row r="6782">
      <c r="AI6782" s="80"/>
    </row>
    <row r="6783">
      <c r="AI6783" s="80"/>
    </row>
    <row r="6784">
      <c r="AI6784" s="80"/>
    </row>
    <row r="6785">
      <c r="AI6785" s="80"/>
    </row>
    <row r="6786">
      <c r="AI6786" s="80"/>
    </row>
    <row r="6787">
      <c r="AI6787" s="80"/>
    </row>
    <row r="6788">
      <c r="AI6788" s="80"/>
    </row>
    <row r="6789">
      <c r="AI6789" s="80"/>
    </row>
    <row r="6790">
      <c r="AI6790" s="80"/>
    </row>
    <row r="6791">
      <c r="AI6791" s="80"/>
    </row>
    <row r="6792">
      <c r="AI6792" s="80"/>
    </row>
    <row r="6793">
      <c r="AI6793" s="80"/>
    </row>
    <row r="6794">
      <c r="AI6794" s="80"/>
    </row>
    <row r="6795">
      <c r="AI6795" s="80"/>
    </row>
    <row r="6796">
      <c r="AI6796" s="80"/>
    </row>
    <row r="6797">
      <c r="AI6797" s="80"/>
    </row>
    <row r="6798">
      <c r="AI6798" s="80"/>
    </row>
    <row r="6799">
      <c r="AI6799" s="80"/>
    </row>
    <row r="6800">
      <c r="AI6800" s="80"/>
    </row>
    <row r="6801">
      <c r="AI6801" s="80"/>
    </row>
    <row r="6802">
      <c r="AI6802" s="80"/>
    </row>
    <row r="6803">
      <c r="AI6803" s="80"/>
    </row>
    <row r="6804">
      <c r="AI6804" s="80"/>
    </row>
    <row r="6805">
      <c r="AI6805" s="80"/>
    </row>
    <row r="6806">
      <c r="AI6806" s="80"/>
    </row>
    <row r="6807">
      <c r="AI6807" s="80"/>
    </row>
    <row r="6808">
      <c r="AI6808" s="80"/>
    </row>
    <row r="6809">
      <c r="AI6809" s="80"/>
    </row>
    <row r="6810">
      <c r="AI6810" s="80"/>
    </row>
    <row r="6811">
      <c r="AI6811" s="80"/>
    </row>
    <row r="6812">
      <c r="AI6812" s="80"/>
    </row>
    <row r="6813">
      <c r="AI6813" s="80"/>
    </row>
    <row r="6814">
      <c r="AI6814" s="80"/>
    </row>
    <row r="6815">
      <c r="AI6815" s="80"/>
    </row>
    <row r="6816">
      <c r="AI6816" s="80"/>
    </row>
    <row r="6817">
      <c r="AI6817" s="80"/>
    </row>
    <row r="6818">
      <c r="AI6818" s="80"/>
    </row>
    <row r="6819">
      <c r="AI6819" s="80"/>
    </row>
    <row r="6820">
      <c r="AI6820" s="80"/>
    </row>
    <row r="6821">
      <c r="AI6821" s="80"/>
    </row>
    <row r="6822">
      <c r="AI6822" s="80"/>
    </row>
    <row r="6823">
      <c r="AI6823" s="80"/>
    </row>
    <row r="6824">
      <c r="AI6824" s="80"/>
    </row>
    <row r="6825">
      <c r="AI6825" s="80"/>
    </row>
    <row r="6826">
      <c r="AI6826" s="80"/>
    </row>
    <row r="6827">
      <c r="AI6827" s="80"/>
    </row>
    <row r="6828">
      <c r="AI6828" s="80"/>
    </row>
    <row r="6829">
      <c r="AI6829" s="80"/>
    </row>
    <row r="6830">
      <c r="AI6830" s="80"/>
    </row>
    <row r="6831">
      <c r="AI6831" s="80"/>
    </row>
    <row r="6832">
      <c r="AI6832" s="80"/>
    </row>
    <row r="6833">
      <c r="AI6833" s="80"/>
    </row>
    <row r="6834">
      <c r="AI6834" s="80"/>
    </row>
    <row r="6835">
      <c r="AI6835" s="80"/>
    </row>
    <row r="6836">
      <c r="AI6836" s="80"/>
    </row>
    <row r="6837">
      <c r="AI6837" s="80"/>
    </row>
    <row r="6838">
      <c r="AI6838" s="80"/>
    </row>
    <row r="6839">
      <c r="AI6839" s="80"/>
    </row>
    <row r="6840">
      <c r="AI6840" s="80"/>
    </row>
    <row r="6841">
      <c r="AI6841" s="80"/>
    </row>
    <row r="6842">
      <c r="AI6842" s="80"/>
    </row>
    <row r="6843">
      <c r="AI6843" s="80"/>
    </row>
    <row r="6844">
      <c r="AI6844" s="80"/>
    </row>
    <row r="6845">
      <c r="AI6845" s="80"/>
    </row>
    <row r="6846">
      <c r="AI6846" s="80"/>
    </row>
    <row r="6847">
      <c r="AI6847" s="80"/>
    </row>
    <row r="6848">
      <c r="AI6848" s="80"/>
    </row>
    <row r="6849">
      <c r="AI6849" s="80"/>
    </row>
    <row r="6850">
      <c r="AI6850" s="80"/>
    </row>
    <row r="6851">
      <c r="AI6851" s="80"/>
    </row>
    <row r="6852">
      <c r="AI6852" s="80"/>
    </row>
    <row r="6853">
      <c r="AI6853" s="80"/>
    </row>
    <row r="6854">
      <c r="AI6854" s="80"/>
    </row>
    <row r="6855">
      <c r="AI6855" s="80"/>
    </row>
    <row r="6856">
      <c r="AI6856" s="80"/>
    </row>
    <row r="6857">
      <c r="AI6857" s="80"/>
    </row>
    <row r="6858">
      <c r="AI6858" s="80"/>
    </row>
    <row r="6859">
      <c r="AI6859" s="80"/>
    </row>
    <row r="6860">
      <c r="AI6860" s="80"/>
    </row>
    <row r="6861">
      <c r="AI6861" s="80"/>
    </row>
    <row r="6862">
      <c r="AI6862" s="80"/>
    </row>
    <row r="6863">
      <c r="AI6863" s="80"/>
    </row>
    <row r="6864">
      <c r="AI6864" s="80"/>
    </row>
    <row r="6865">
      <c r="AI6865" s="80"/>
    </row>
    <row r="6866">
      <c r="AI6866" s="80"/>
    </row>
    <row r="6867">
      <c r="AI6867" s="80"/>
    </row>
    <row r="6868">
      <c r="AI6868" s="80"/>
    </row>
    <row r="6869">
      <c r="AI6869" s="80"/>
    </row>
    <row r="6870">
      <c r="AI6870" s="80"/>
    </row>
    <row r="6871">
      <c r="AI6871" s="80"/>
    </row>
    <row r="6872">
      <c r="AI6872" s="80"/>
    </row>
    <row r="6873">
      <c r="AI6873" s="80"/>
    </row>
    <row r="6874">
      <c r="AI6874" s="80"/>
    </row>
    <row r="6875">
      <c r="AI6875" s="80"/>
    </row>
    <row r="6876">
      <c r="AI6876" s="80"/>
    </row>
    <row r="6877">
      <c r="AI6877" s="80"/>
    </row>
    <row r="6878">
      <c r="AI6878" s="80"/>
    </row>
    <row r="6879">
      <c r="AI6879" s="80"/>
    </row>
    <row r="6880">
      <c r="AI6880" s="80"/>
    </row>
    <row r="6881">
      <c r="AI6881" s="80"/>
    </row>
    <row r="6882">
      <c r="AI6882" s="80"/>
    </row>
    <row r="6883">
      <c r="AI6883" s="80"/>
    </row>
    <row r="6884">
      <c r="AI6884" s="80"/>
    </row>
    <row r="6885">
      <c r="AI6885" s="80"/>
    </row>
    <row r="6886">
      <c r="AI6886" s="80"/>
    </row>
    <row r="6887">
      <c r="AI6887" s="80"/>
    </row>
    <row r="6888">
      <c r="AI6888" s="80"/>
    </row>
    <row r="6889">
      <c r="AI6889" s="80"/>
    </row>
    <row r="6890">
      <c r="AI6890" s="80"/>
    </row>
    <row r="6891">
      <c r="AI6891" s="80"/>
    </row>
    <row r="6892">
      <c r="AI6892" s="80"/>
    </row>
    <row r="6893">
      <c r="AI6893" s="80"/>
    </row>
    <row r="6894">
      <c r="AI6894" s="80"/>
    </row>
    <row r="6895">
      <c r="AI6895" s="80"/>
    </row>
    <row r="6896">
      <c r="AI6896" s="80"/>
    </row>
    <row r="6897">
      <c r="AI6897" s="80"/>
    </row>
    <row r="6898">
      <c r="AI6898" s="80"/>
    </row>
    <row r="6899">
      <c r="AI6899" s="80"/>
    </row>
    <row r="6900">
      <c r="AI6900" s="80"/>
    </row>
    <row r="6901">
      <c r="AI6901" s="80"/>
    </row>
    <row r="6902">
      <c r="AI6902" s="80"/>
    </row>
    <row r="6903">
      <c r="AI6903" s="80"/>
    </row>
    <row r="6904">
      <c r="AI6904" s="80"/>
    </row>
    <row r="6905">
      <c r="AI6905" s="80"/>
    </row>
    <row r="6906">
      <c r="AI6906" s="80"/>
    </row>
    <row r="6907">
      <c r="AI6907" s="80"/>
    </row>
    <row r="6908">
      <c r="AI6908" s="80"/>
    </row>
    <row r="6909">
      <c r="AI6909" s="80"/>
    </row>
    <row r="6910">
      <c r="AI6910" s="80"/>
    </row>
    <row r="6911">
      <c r="AI6911" s="80"/>
    </row>
    <row r="6912">
      <c r="AI6912" s="80"/>
    </row>
    <row r="6913">
      <c r="AI6913" s="80"/>
    </row>
    <row r="6914">
      <c r="AI6914" s="80"/>
    </row>
    <row r="6915">
      <c r="AI6915" s="80"/>
    </row>
    <row r="6916">
      <c r="AI6916" s="80"/>
    </row>
    <row r="6917">
      <c r="AI6917" s="80"/>
    </row>
    <row r="6918">
      <c r="AI6918" s="80"/>
    </row>
    <row r="6919">
      <c r="AI6919" s="80"/>
    </row>
    <row r="6920">
      <c r="AI6920" s="80"/>
    </row>
    <row r="6921">
      <c r="AI6921" s="80"/>
    </row>
    <row r="6922">
      <c r="AI6922" s="80"/>
    </row>
    <row r="6923">
      <c r="AI6923" s="80"/>
    </row>
    <row r="6924">
      <c r="AI6924" s="80"/>
    </row>
    <row r="6925">
      <c r="AI6925" s="80"/>
    </row>
    <row r="6926">
      <c r="AI6926" s="80"/>
    </row>
    <row r="6927">
      <c r="AI6927" s="80"/>
    </row>
    <row r="6928">
      <c r="AI6928" s="80"/>
    </row>
    <row r="6929">
      <c r="AI6929" s="80"/>
    </row>
    <row r="6930">
      <c r="AI6930" s="80"/>
    </row>
    <row r="6931">
      <c r="AI6931" s="80"/>
    </row>
    <row r="6932">
      <c r="AI6932" s="80"/>
    </row>
    <row r="6933">
      <c r="AI6933" s="80"/>
    </row>
    <row r="6934">
      <c r="AI6934" s="80"/>
    </row>
    <row r="6935">
      <c r="AI6935" s="80"/>
    </row>
    <row r="6936">
      <c r="AI6936" s="80"/>
    </row>
    <row r="6937">
      <c r="AI6937" s="80"/>
    </row>
    <row r="6938">
      <c r="AI6938" s="80"/>
    </row>
    <row r="6939">
      <c r="AI6939" s="80"/>
    </row>
    <row r="6940">
      <c r="AI6940" s="80"/>
    </row>
    <row r="6941">
      <c r="AI6941" s="80"/>
    </row>
    <row r="6942">
      <c r="AI6942" s="80"/>
    </row>
    <row r="6943">
      <c r="AI6943" s="80"/>
    </row>
    <row r="6944">
      <c r="AI6944" s="80"/>
    </row>
    <row r="6945">
      <c r="AI6945" s="80"/>
    </row>
    <row r="6946">
      <c r="AI6946" s="80"/>
    </row>
    <row r="6947">
      <c r="AI6947" s="80"/>
    </row>
    <row r="6948">
      <c r="AI6948" s="80"/>
    </row>
    <row r="6949">
      <c r="AI6949" s="80"/>
    </row>
    <row r="6950">
      <c r="AI6950" s="80"/>
    </row>
    <row r="6951">
      <c r="AI6951" s="80"/>
    </row>
    <row r="6952">
      <c r="AI6952" s="80"/>
    </row>
    <row r="6953">
      <c r="AI6953" s="80"/>
    </row>
    <row r="6954">
      <c r="AI6954" s="80"/>
    </row>
    <row r="6955">
      <c r="AI6955" s="80"/>
    </row>
    <row r="6956">
      <c r="AI6956" s="80"/>
    </row>
    <row r="6957">
      <c r="AI6957" s="80"/>
    </row>
    <row r="6958">
      <c r="AI6958" s="80"/>
    </row>
    <row r="6959">
      <c r="AI6959" s="80"/>
    </row>
    <row r="6960">
      <c r="AI6960" s="80"/>
    </row>
    <row r="6961">
      <c r="AI6961" s="80"/>
    </row>
    <row r="6962">
      <c r="AI6962" s="80"/>
    </row>
    <row r="6963">
      <c r="AI6963" s="80"/>
    </row>
    <row r="6964">
      <c r="AI6964" s="80"/>
    </row>
    <row r="6965">
      <c r="AI6965" s="80"/>
    </row>
    <row r="6966">
      <c r="AI6966" s="80"/>
    </row>
    <row r="6967">
      <c r="AI6967" s="80"/>
    </row>
    <row r="6968">
      <c r="AI6968" s="80"/>
    </row>
    <row r="6969">
      <c r="AI6969" s="80"/>
    </row>
    <row r="6970">
      <c r="AI6970" s="80"/>
    </row>
    <row r="6971">
      <c r="AI6971" s="80"/>
    </row>
    <row r="6972">
      <c r="AI6972" s="80"/>
    </row>
    <row r="6973">
      <c r="AI6973" s="80"/>
    </row>
    <row r="6974">
      <c r="AI6974" s="80"/>
    </row>
    <row r="6975">
      <c r="AI6975" s="80"/>
    </row>
    <row r="6976">
      <c r="AI6976" s="80"/>
    </row>
    <row r="6977">
      <c r="AI6977" s="80"/>
    </row>
    <row r="6978">
      <c r="AI6978" s="80"/>
    </row>
    <row r="6979">
      <c r="AI6979" s="80"/>
    </row>
    <row r="6980">
      <c r="AI6980" s="80"/>
    </row>
    <row r="6981">
      <c r="AI6981" s="80"/>
    </row>
    <row r="6982">
      <c r="AI6982" s="80"/>
    </row>
    <row r="6983">
      <c r="AI6983" s="80"/>
    </row>
    <row r="6984">
      <c r="AI6984" s="80"/>
    </row>
    <row r="6985">
      <c r="AI6985" s="80"/>
    </row>
    <row r="6986">
      <c r="AI6986" s="80"/>
    </row>
    <row r="6987">
      <c r="AI6987" s="80"/>
    </row>
    <row r="6988">
      <c r="AI6988" s="80"/>
    </row>
    <row r="6989">
      <c r="AI6989" s="80"/>
    </row>
    <row r="6990">
      <c r="AI6990" s="80"/>
    </row>
    <row r="6991">
      <c r="AI6991" s="80"/>
    </row>
    <row r="6992">
      <c r="AI6992" s="80"/>
    </row>
    <row r="6993">
      <c r="AI6993" s="80"/>
    </row>
    <row r="6994">
      <c r="AI6994" s="80"/>
    </row>
    <row r="6995">
      <c r="AI6995" s="80"/>
    </row>
    <row r="6996">
      <c r="AI6996" s="80"/>
    </row>
    <row r="6997">
      <c r="AI6997" s="80"/>
    </row>
    <row r="6998">
      <c r="AI6998" s="80"/>
    </row>
    <row r="6999">
      <c r="AI6999" s="80"/>
    </row>
    <row r="7000">
      <c r="AI7000" s="80"/>
    </row>
    <row r="7001">
      <c r="AI7001" s="80"/>
    </row>
    <row r="7002">
      <c r="AI7002" s="80"/>
    </row>
    <row r="7003">
      <c r="AI7003" s="80"/>
    </row>
    <row r="7004">
      <c r="AI7004" s="80"/>
    </row>
    <row r="7005">
      <c r="AI7005" s="80"/>
    </row>
    <row r="7006">
      <c r="AI7006" s="80"/>
    </row>
    <row r="7007">
      <c r="AI7007" s="80"/>
    </row>
    <row r="7008">
      <c r="AI7008" s="80"/>
    </row>
    <row r="7009">
      <c r="AI7009" s="80"/>
    </row>
    <row r="7010">
      <c r="AI7010" s="80"/>
    </row>
    <row r="7011">
      <c r="AI7011" s="80"/>
    </row>
    <row r="7012">
      <c r="AI7012" s="80"/>
    </row>
    <row r="7013">
      <c r="AI7013" s="80"/>
    </row>
    <row r="7014">
      <c r="AI7014" s="80"/>
    </row>
    <row r="7015">
      <c r="AI7015" s="80"/>
    </row>
    <row r="7016">
      <c r="AI7016" s="80"/>
    </row>
    <row r="7017">
      <c r="AI7017" s="80"/>
    </row>
    <row r="7018">
      <c r="AI7018" s="80"/>
    </row>
    <row r="7019">
      <c r="AI7019" s="80"/>
    </row>
    <row r="7020">
      <c r="AI7020" s="80"/>
    </row>
    <row r="7021">
      <c r="AI7021" s="80"/>
    </row>
    <row r="7022">
      <c r="AI7022" s="80"/>
    </row>
    <row r="7023">
      <c r="AI7023" s="80"/>
    </row>
    <row r="7024">
      <c r="AI7024" s="80"/>
    </row>
    <row r="7025">
      <c r="AI7025" s="80"/>
    </row>
    <row r="7026">
      <c r="AI7026" s="80"/>
    </row>
    <row r="7027">
      <c r="AI7027" s="80"/>
    </row>
    <row r="7028">
      <c r="AI7028" s="80"/>
    </row>
    <row r="7029">
      <c r="AI7029" s="80"/>
    </row>
    <row r="7030">
      <c r="AI7030" s="80"/>
    </row>
    <row r="7031">
      <c r="AI7031" s="80"/>
    </row>
    <row r="7032">
      <c r="AI7032" s="80"/>
    </row>
    <row r="7033">
      <c r="AI7033" s="80"/>
    </row>
    <row r="7034">
      <c r="AI7034" s="80"/>
    </row>
    <row r="7035">
      <c r="AI7035" s="80"/>
    </row>
    <row r="7036">
      <c r="AI7036" s="80"/>
    </row>
    <row r="7037">
      <c r="AI7037" s="80"/>
    </row>
    <row r="7038">
      <c r="AI7038" s="80"/>
    </row>
    <row r="7039">
      <c r="AI7039" s="80"/>
    </row>
    <row r="7040">
      <c r="AI7040" s="80"/>
    </row>
    <row r="7041">
      <c r="AI7041" s="80"/>
    </row>
    <row r="7042">
      <c r="AI7042" s="80"/>
    </row>
    <row r="7043">
      <c r="AI7043" s="80"/>
    </row>
    <row r="7044">
      <c r="AI7044" s="80"/>
    </row>
    <row r="7045">
      <c r="AI7045" s="80"/>
    </row>
    <row r="7046">
      <c r="AI7046" s="80"/>
    </row>
    <row r="7047">
      <c r="AI7047" s="80"/>
    </row>
    <row r="7048">
      <c r="AI7048" s="80"/>
    </row>
    <row r="7049">
      <c r="AI7049" s="80"/>
    </row>
    <row r="7050">
      <c r="AI7050" s="80"/>
    </row>
    <row r="7051">
      <c r="AI7051" s="80"/>
    </row>
    <row r="7052">
      <c r="AI7052" s="80"/>
    </row>
    <row r="7053">
      <c r="AI7053" s="80"/>
    </row>
    <row r="7054">
      <c r="AI7054" s="80"/>
    </row>
    <row r="7055">
      <c r="AI7055" s="80"/>
    </row>
    <row r="7056">
      <c r="AI7056" s="80"/>
    </row>
    <row r="7057">
      <c r="AI7057" s="80"/>
    </row>
    <row r="7058">
      <c r="AI7058" s="80"/>
    </row>
    <row r="7059">
      <c r="AI7059" s="80"/>
    </row>
    <row r="7060">
      <c r="AI7060" s="80"/>
    </row>
    <row r="7061">
      <c r="AI7061" s="80"/>
    </row>
    <row r="7062">
      <c r="AI7062" s="80"/>
    </row>
    <row r="7063">
      <c r="AI7063" s="80"/>
    </row>
    <row r="7064">
      <c r="AI7064" s="80"/>
    </row>
    <row r="7065">
      <c r="AI7065" s="80"/>
    </row>
    <row r="7066">
      <c r="AI7066" s="80"/>
    </row>
    <row r="7067">
      <c r="AI7067" s="80"/>
    </row>
    <row r="7068">
      <c r="AI7068" s="80"/>
    </row>
    <row r="7069">
      <c r="AI7069" s="80"/>
    </row>
    <row r="7070">
      <c r="AI7070" s="80"/>
    </row>
    <row r="7071">
      <c r="AI7071" s="80"/>
    </row>
    <row r="7072">
      <c r="AI7072" s="80"/>
    </row>
    <row r="7073">
      <c r="AI7073" s="80"/>
    </row>
    <row r="7074">
      <c r="AI7074" s="80"/>
    </row>
    <row r="7075">
      <c r="AI7075" s="80"/>
    </row>
    <row r="7076">
      <c r="AI7076" s="80"/>
    </row>
    <row r="7077">
      <c r="AI7077" s="80"/>
    </row>
    <row r="7078">
      <c r="AI7078" s="80"/>
    </row>
    <row r="7079">
      <c r="AI7079" s="80"/>
    </row>
    <row r="7080">
      <c r="AI7080" s="80"/>
    </row>
    <row r="7081">
      <c r="AI7081" s="80"/>
    </row>
    <row r="7082">
      <c r="AI7082" s="80"/>
    </row>
    <row r="7083">
      <c r="AI7083" s="80"/>
    </row>
    <row r="7084">
      <c r="AI7084" s="80"/>
    </row>
    <row r="7085">
      <c r="AI7085" s="80"/>
    </row>
    <row r="7086">
      <c r="AI7086" s="80"/>
    </row>
    <row r="7087">
      <c r="AI7087" s="80"/>
    </row>
    <row r="7088">
      <c r="AI7088" s="80"/>
    </row>
    <row r="7089">
      <c r="AI7089" s="80"/>
    </row>
    <row r="7090">
      <c r="AI7090" s="80"/>
    </row>
    <row r="7091">
      <c r="AI7091" s="80"/>
    </row>
    <row r="7092">
      <c r="AI7092" s="80"/>
    </row>
    <row r="7093">
      <c r="AI7093" s="80"/>
    </row>
    <row r="7094">
      <c r="AI7094" s="80"/>
    </row>
    <row r="7095">
      <c r="AI7095" s="80"/>
    </row>
    <row r="7096">
      <c r="AI7096" s="80"/>
    </row>
    <row r="7097">
      <c r="AI7097" s="80"/>
    </row>
    <row r="7098">
      <c r="AI7098" s="80"/>
    </row>
    <row r="7099">
      <c r="AI7099" s="80"/>
    </row>
    <row r="7100">
      <c r="AI7100" s="80"/>
    </row>
    <row r="7101">
      <c r="AI7101" s="80"/>
    </row>
    <row r="7102">
      <c r="AI7102" s="80"/>
    </row>
    <row r="7103">
      <c r="AI7103" s="80"/>
    </row>
    <row r="7104">
      <c r="AI7104" s="80"/>
    </row>
    <row r="7105">
      <c r="AI7105" s="80"/>
    </row>
    <row r="7106">
      <c r="AI7106" s="80"/>
    </row>
    <row r="7107">
      <c r="AI7107" s="80"/>
    </row>
    <row r="7108">
      <c r="AI7108" s="80"/>
    </row>
    <row r="7109">
      <c r="AI7109" s="80"/>
    </row>
    <row r="7110">
      <c r="AI7110" s="80"/>
    </row>
    <row r="7111">
      <c r="AI7111" s="80"/>
    </row>
    <row r="7112">
      <c r="AI7112" s="80"/>
    </row>
    <row r="7113">
      <c r="AI7113" s="80"/>
    </row>
    <row r="7114">
      <c r="AI7114" s="80"/>
    </row>
    <row r="7115">
      <c r="AI7115" s="80"/>
    </row>
    <row r="7116">
      <c r="AI7116" s="80"/>
    </row>
    <row r="7117">
      <c r="AI7117" s="80"/>
    </row>
    <row r="7118">
      <c r="AI7118" s="80"/>
    </row>
    <row r="7119">
      <c r="AI7119" s="80"/>
    </row>
    <row r="7120">
      <c r="AI7120" s="80"/>
    </row>
    <row r="7121">
      <c r="AI7121" s="80"/>
    </row>
    <row r="7122">
      <c r="AI7122" s="80"/>
    </row>
    <row r="7123">
      <c r="AI7123" s="80"/>
    </row>
    <row r="7124">
      <c r="AI7124" s="80"/>
    </row>
    <row r="7125">
      <c r="AI7125" s="80"/>
    </row>
    <row r="7126">
      <c r="AI7126" s="80"/>
    </row>
    <row r="7127">
      <c r="AI7127" s="80"/>
    </row>
    <row r="7128">
      <c r="AI7128" s="80"/>
    </row>
    <row r="7129">
      <c r="AI7129" s="80"/>
    </row>
    <row r="7130">
      <c r="AI7130" s="80"/>
    </row>
    <row r="7131">
      <c r="AI7131" s="80"/>
    </row>
    <row r="7132">
      <c r="AI7132" s="80"/>
    </row>
    <row r="7133">
      <c r="AI7133" s="80"/>
    </row>
    <row r="7134">
      <c r="AI7134" s="80"/>
    </row>
    <row r="7135">
      <c r="AI7135" s="80"/>
    </row>
    <row r="7136">
      <c r="AI7136" s="80"/>
    </row>
    <row r="7137">
      <c r="AI7137" s="80"/>
    </row>
    <row r="7138">
      <c r="AI7138" s="80"/>
    </row>
    <row r="7139">
      <c r="AI7139" s="80"/>
    </row>
    <row r="7140">
      <c r="AI7140" s="80"/>
    </row>
    <row r="7141">
      <c r="AI7141" s="80"/>
    </row>
    <row r="7142">
      <c r="AI7142" s="80"/>
    </row>
    <row r="7143">
      <c r="AI7143" s="80"/>
    </row>
    <row r="7144">
      <c r="AI7144" s="80"/>
    </row>
    <row r="7145">
      <c r="AI7145" s="80"/>
    </row>
    <row r="7146">
      <c r="AI7146" s="80"/>
    </row>
    <row r="7147">
      <c r="AI7147" s="80"/>
    </row>
    <row r="7148">
      <c r="AI7148" s="80"/>
    </row>
    <row r="7149">
      <c r="AI7149" s="80"/>
    </row>
    <row r="7150">
      <c r="AI7150" s="80"/>
    </row>
    <row r="7151">
      <c r="AI7151" s="80"/>
    </row>
    <row r="7152">
      <c r="AI7152" s="80"/>
    </row>
    <row r="7153">
      <c r="AI7153" s="80"/>
    </row>
    <row r="7154">
      <c r="AI7154" s="80"/>
    </row>
    <row r="7155">
      <c r="AI7155" s="80"/>
    </row>
    <row r="7156">
      <c r="AI7156" s="80"/>
    </row>
    <row r="7157">
      <c r="AI7157" s="80"/>
    </row>
    <row r="7158">
      <c r="AI7158" s="80"/>
    </row>
    <row r="7159">
      <c r="AI7159" s="80"/>
    </row>
    <row r="7160">
      <c r="AI7160" s="80"/>
    </row>
    <row r="7161">
      <c r="AI7161" s="80"/>
    </row>
    <row r="7162">
      <c r="AI7162" s="80"/>
    </row>
    <row r="7163">
      <c r="AI7163" s="80"/>
    </row>
    <row r="7164">
      <c r="AI7164" s="80"/>
    </row>
    <row r="7165">
      <c r="AI7165" s="80"/>
    </row>
    <row r="7166">
      <c r="AI7166" s="80"/>
    </row>
    <row r="7167">
      <c r="AI7167" s="80"/>
    </row>
    <row r="7168">
      <c r="AI7168" s="80"/>
    </row>
    <row r="7169">
      <c r="AI7169" s="80"/>
    </row>
    <row r="7170">
      <c r="AI7170" s="80"/>
    </row>
    <row r="7171">
      <c r="AI7171" s="80"/>
    </row>
    <row r="7172">
      <c r="AI7172" s="80"/>
    </row>
    <row r="7173">
      <c r="AI7173" s="80"/>
    </row>
    <row r="7174">
      <c r="AI7174" s="80"/>
    </row>
    <row r="7175">
      <c r="AI7175" s="80"/>
    </row>
    <row r="7176">
      <c r="AI7176" s="80"/>
    </row>
    <row r="7177">
      <c r="AI7177" s="80"/>
    </row>
    <row r="7178">
      <c r="AI7178" s="80"/>
    </row>
    <row r="7179">
      <c r="AI7179" s="80"/>
    </row>
    <row r="7180">
      <c r="AI7180" s="80"/>
    </row>
    <row r="7181">
      <c r="AI7181" s="80"/>
    </row>
    <row r="7182">
      <c r="AI7182" s="80"/>
    </row>
    <row r="7183">
      <c r="AI7183" s="80"/>
    </row>
    <row r="7184">
      <c r="AI7184" s="80"/>
    </row>
    <row r="7185">
      <c r="AI7185" s="80"/>
    </row>
    <row r="7186">
      <c r="AI7186" s="80"/>
    </row>
    <row r="7187">
      <c r="AI7187" s="80"/>
    </row>
    <row r="7188">
      <c r="AI7188" s="80"/>
    </row>
    <row r="7189">
      <c r="AI7189" s="80"/>
    </row>
    <row r="7190">
      <c r="AI7190" s="80"/>
    </row>
    <row r="7191">
      <c r="AI7191" s="80"/>
    </row>
    <row r="7192">
      <c r="AI7192" s="80"/>
    </row>
    <row r="7193">
      <c r="AI7193" s="80"/>
    </row>
    <row r="7194">
      <c r="AI7194" s="80"/>
    </row>
    <row r="7195">
      <c r="AI7195" s="80"/>
    </row>
    <row r="7196">
      <c r="AI7196" s="80"/>
    </row>
    <row r="7197">
      <c r="AI7197" s="80"/>
    </row>
    <row r="7198">
      <c r="AI7198" s="80"/>
    </row>
    <row r="7199">
      <c r="AI7199" s="80"/>
    </row>
    <row r="7200">
      <c r="AI7200" s="80"/>
    </row>
    <row r="7201">
      <c r="AI7201" s="80"/>
    </row>
    <row r="7202">
      <c r="AI7202" s="80"/>
    </row>
    <row r="7203">
      <c r="AI7203" s="80"/>
    </row>
    <row r="7204">
      <c r="AI7204" s="80"/>
    </row>
    <row r="7205">
      <c r="AI7205" s="80"/>
    </row>
    <row r="7206">
      <c r="AI7206" s="80"/>
    </row>
    <row r="7207">
      <c r="AI7207" s="80"/>
    </row>
    <row r="7208">
      <c r="AI7208" s="80"/>
    </row>
    <row r="7209">
      <c r="AI7209" s="80"/>
    </row>
    <row r="7210">
      <c r="AI7210" s="80"/>
    </row>
    <row r="7211">
      <c r="AI7211" s="80"/>
    </row>
    <row r="7212">
      <c r="AI7212" s="80"/>
    </row>
    <row r="7213">
      <c r="AI7213" s="80"/>
    </row>
    <row r="7214">
      <c r="AI7214" s="80"/>
    </row>
    <row r="7215">
      <c r="AI7215" s="80"/>
    </row>
    <row r="7216">
      <c r="AI7216" s="80"/>
    </row>
    <row r="7217">
      <c r="AI7217" s="80"/>
    </row>
    <row r="7218">
      <c r="AI7218" s="80"/>
    </row>
    <row r="7219">
      <c r="AI7219" s="80"/>
    </row>
    <row r="7220">
      <c r="AI7220" s="80"/>
    </row>
    <row r="7221">
      <c r="AI7221" s="80"/>
    </row>
    <row r="7222">
      <c r="AI7222" s="80"/>
    </row>
    <row r="7223">
      <c r="AI7223" s="80"/>
    </row>
    <row r="7224">
      <c r="AI7224" s="80"/>
    </row>
    <row r="7225">
      <c r="AI7225" s="80"/>
    </row>
    <row r="7226">
      <c r="AI7226" s="80"/>
    </row>
    <row r="7227">
      <c r="AI7227" s="80"/>
    </row>
    <row r="7228">
      <c r="AI7228" s="80"/>
    </row>
    <row r="7229">
      <c r="AI7229" s="80"/>
    </row>
    <row r="7230">
      <c r="AI7230" s="80"/>
    </row>
    <row r="7231">
      <c r="AI7231" s="80"/>
    </row>
    <row r="7232">
      <c r="AI7232" s="80"/>
    </row>
    <row r="7233">
      <c r="AI7233" s="80"/>
    </row>
    <row r="7234">
      <c r="AI7234" s="80"/>
    </row>
    <row r="7235">
      <c r="AI7235" s="80"/>
    </row>
    <row r="7236">
      <c r="AI7236" s="80"/>
    </row>
    <row r="7237">
      <c r="AI7237" s="80"/>
    </row>
    <row r="7238">
      <c r="AI7238" s="80"/>
    </row>
    <row r="7239">
      <c r="AI7239" s="80"/>
    </row>
    <row r="7240">
      <c r="AI7240" s="80"/>
    </row>
    <row r="7241">
      <c r="AI7241" s="80"/>
    </row>
    <row r="7242">
      <c r="AI7242" s="80"/>
    </row>
    <row r="7243">
      <c r="AI7243" s="80"/>
    </row>
    <row r="7244">
      <c r="AI7244" s="80"/>
    </row>
    <row r="7245">
      <c r="AI7245" s="80"/>
    </row>
    <row r="7246">
      <c r="AI7246" s="80"/>
    </row>
    <row r="7247">
      <c r="AI7247" s="80"/>
    </row>
    <row r="7248">
      <c r="AI7248" s="80"/>
    </row>
    <row r="7249">
      <c r="AI7249" s="80"/>
    </row>
    <row r="7250">
      <c r="AI7250" s="80"/>
    </row>
    <row r="7251">
      <c r="AI7251" s="80"/>
    </row>
    <row r="7252">
      <c r="AI7252" s="80"/>
    </row>
    <row r="7253">
      <c r="AI7253" s="80"/>
    </row>
    <row r="7254">
      <c r="AI7254" s="80"/>
    </row>
    <row r="7255">
      <c r="AI7255" s="80"/>
    </row>
    <row r="7256">
      <c r="AI7256" s="80"/>
    </row>
    <row r="7257">
      <c r="AI7257" s="80"/>
    </row>
    <row r="7258">
      <c r="AI7258" s="80"/>
    </row>
    <row r="7259">
      <c r="AI7259" s="80"/>
    </row>
    <row r="7260">
      <c r="AI7260" s="80"/>
    </row>
    <row r="7261">
      <c r="AI7261" s="80"/>
    </row>
    <row r="7262">
      <c r="AI7262" s="80"/>
    </row>
    <row r="7263">
      <c r="AI7263" s="80"/>
    </row>
    <row r="7264">
      <c r="AI7264" s="80"/>
    </row>
    <row r="7265">
      <c r="AI7265" s="80"/>
    </row>
    <row r="7266">
      <c r="AI7266" s="80"/>
    </row>
    <row r="7267">
      <c r="AI7267" s="80"/>
    </row>
    <row r="7268">
      <c r="AI7268" s="80"/>
    </row>
    <row r="7269">
      <c r="AI7269" s="80"/>
    </row>
    <row r="7270">
      <c r="AI7270" s="80"/>
    </row>
    <row r="7271">
      <c r="AI7271" s="80"/>
    </row>
    <row r="7272">
      <c r="AI7272" s="80"/>
    </row>
    <row r="7273">
      <c r="AI7273" s="80"/>
    </row>
    <row r="7274">
      <c r="AI7274" s="80"/>
    </row>
    <row r="7275">
      <c r="AI7275" s="80"/>
    </row>
    <row r="7276">
      <c r="AI7276" s="80"/>
    </row>
    <row r="7277">
      <c r="AI7277" s="80"/>
    </row>
    <row r="7278">
      <c r="AI7278" s="80"/>
    </row>
    <row r="7279">
      <c r="AI7279" s="80"/>
    </row>
    <row r="7280">
      <c r="AI7280" s="80"/>
    </row>
    <row r="7281">
      <c r="AI7281" s="80"/>
    </row>
    <row r="7282">
      <c r="AI7282" s="80"/>
    </row>
    <row r="7283">
      <c r="AI7283" s="80"/>
    </row>
    <row r="7284">
      <c r="AI7284" s="80"/>
    </row>
    <row r="7285">
      <c r="AI7285" s="80"/>
    </row>
    <row r="7286">
      <c r="AI7286" s="80"/>
    </row>
    <row r="7287">
      <c r="AI7287" s="80"/>
    </row>
    <row r="7288">
      <c r="AI7288" s="80"/>
    </row>
    <row r="7289">
      <c r="AI7289" s="80"/>
    </row>
    <row r="7290">
      <c r="AI7290" s="80"/>
    </row>
    <row r="7291">
      <c r="AI7291" s="80"/>
    </row>
    <row r="7292">
      <c r="AI7292" s="80"/>
    </row>
    <row r="7293">
      <c r="AI7293" s="80"/>
    </row>
    <row r="7294">
      <c r="AI7294" s="80"/>
    </row>
    <row r="7295">
      <c r="AI7295" s="80"/>
    </row>
    <row r="7296">
      <c r="AI7296" s="80"/>
    </row>
    <row r="7297">
      <c r="AI7297" s="80"/>
    </row>
    <row r="7298">
      <c r="AI7298" s="80"/>
    </row>
    <row r="7299">
      <c r="AI7299" s="80"/>
    </row>
    <row r="7300">
      <c r="AI7300" s="80"/>
    </row>
    <row r="7301">
      <c r="AI7301" s="80"/>
    </row>
    <row r="7302">
      <c r="AI7302" s="80"/>
    </row>
    <row r="7303">
      <c r="AI7303" s="80"/>
    </row>
    <row r="7304">
      <c r="AI7304" s="80"/>
    </row>
    <row r="7305">
      <c r="AI7305" s="80"/>
    </row>
    <row r="7306">
      <c r="AI7306" s="80"/>
    </row>
    <row r="7307">
      <c r="AI7307" s="80"/>
    </row>
    <row r="7308">
      <c r="AI7308" s="80"/>
    </row>
    <row r="7309">
      <c r="AI7309" s="80"/>
    </row>
    <row r="7310">
      <c r="AI7310" s="80"/>
    </row>
    <row r="7311">
      <c r="AI7311" s="80"/>
    </row>
    <row r="7312">
      <c r="AI7312" s="80"/>
    </row>
    <row r="7313">
      <c r="AI7313" s="80"/>
    </row>
    <row r="7314">
      <c r="AI7314" s="80"/>
    </row>
    <row r="7315">
      <c r="AI7315" s="80"/>
    </row>
    <row r="7316">
      <c r="AI7316" s="80"/>
    </row>
    <row r="7317">
      <c r="AI7317" s="80"/>
    </row>
    <row r="7318">
      <c r="AI7318" s="80"/>
    </row>
    <row r="7319">
      <c r="AI7319" s="80"/>
    </row>
    <row r="7320">
      <c r="AI7320" s="80"/>
    </row>
    <row r="7321">
      <c r="AI7321" s="80"/>
    </row>
    <row r="7322">
      <c r="AI7322" s="80"/>
    </row>
    <row r="7323">
      <c r="AI7323" s="80"/>
    </row>
    <row r="7324">
      <c r="AI7324" s="80"/>
    </row>
    <row r="7325">
      <c r="AI7325" s="80"/>
    </row>
    <row r="7326">
      <c r="AI7326" s="80"/>
    </row>
    <row r="7327">
      <c r="AI7327" s="80"/>
    </row>
    <row r="7328">
      <c r="AI7328" s="80"/>
    </row>
    <row r="7329">
      <c r="AI7329" s="80"/>
    </row>
    <row r="7330">
      <c r="AI7330" s="80"/>
    </row>
    <row r="7331">
      <c r="AI7331" s="80"/>
    </row>
    <row r="7332">
      <c r="AI7332" s="80"/>
    </row>
    <row r="7333">
      <c r="AI7333" s="80"/>
    </row>
    <row r="7334">
      <c r="AI7334" s="80"/>
    </row>
    <row r="7335">
      <c r="AI7335" s="80"/>
    </row>
    <row r="7336">
      <c r="AI7336" s="80"/>
    </row>
    <row r="7337">
      <c r="AI7337" s="80"/>
    </row>
    <row r="7338">
      <c r="AI7338" s="80"/>
    </row>
    <row r="7339">
      <c r="AI7339" s="80"/>
    </row>
    <row r="7340">
      <c r="AI7340" s="80"/>
    </row>
    <row r="7341">
      <c r="AI7341" s="80"/>
    </row>
    <row r="7342">
      <c r="AI7342" s="80"/>
    </row>
    <row r="7343">
      <c r="AI7343" s="80"/>
    </row>
    <row r="7344">
      <c r="AI7344" s="80"/>
    </row>
    <row r="7345">
      <c r="AI7345" s="80"/>
    </row>
    <row r="7346">
      <c r="AI7346" s="80"/>
    </row>
    <row r="7347">
      <c r="AI7347" s="80"/>
    </row>
    <row r="7348">
      <c r="AI7348" s="80"/>
    </row>
    <row r="7349">
      <c r="AI7349" s="80"/>
    </row>
    <row r="7350">
      <c r="AI7350" s="80"/>
    </row>
    <row r="7351">
      <c r="AI7351" s="80"/>
    </row>
    <row r="7352">
      <c r="AI7352" s="80"/>
    </row>
    <row r="7353">
      <c r="AI7353" s="80"/>
    </row>
    <row r="7354">
      <c r="AI7354" s="80"/>
    </row>
    <row r="7355">
      <c r="AI7355" s="80"/>
    </row>
    <row r="7356">
      <c r="AI7356" s="80"/>
    </row>
    <row r="7357">
      <c r="AI7357" s="80"/>
    </row>
    <row r="7358">
      <c r="AI7358" s="80"/>
    </row>
    <row r="7359">
      <c r="AI7359" s="80"/>
    </row>
    <row r="7360">
      <c r="AI7360" s="80"/>
    </row>
    <row r="7361">
      <c r="AI7361" s="80"/>
    </row>
    <row r="7362">
      <c r="AI7362" s="80"/>
    </row>
    <row r="7363">
      <c r="AI7363" s="80"/>
    </row>
    <row r="7364">
      <c r="AI7364" s="80"/>
    </row>
    <row r="7365">
      <c r="AI7365" s="80"/>
    </row>
    <row r="7366">
      <c r="AI7366" s="80"/>
    </row>
    <row r="7367">
      <c r="AI7367" s="80"/>
    </row>
    <row r="7368">
      <c r="AI7368" s="80"/>
    </row>
    <row r="7369">
      <c r="AI7369" s="80"/>
    </row>
    <row r="7370">
      <c r="AI7370" s="80"/>
    </row>
    <row r="7371">
      <c r="AI7371" s="80"/>
    </row>
    <row r="7372">
      <c r="AI7372" s="80"/>
    </row>
    <row r="7373">
      <c r="AI7373" s="80"/>
    </row>
    <row r="7374">
      <c r="AI7374" s="80"/>
    </row>
    <row r="7375">
      <c r="AI7375" s="80"/>
    </row>
    <row r="7376">
      <c r="AI7376" s="80"/>
    </row>
    <row r="7377">
      <c r="AI7377" s="80"/>
    </row>
    <row r="7378">
      <c r="AI7378" s="80"/>
    </row>
    <row r="7379">
      <c r="AI7379" s="80"/>
    </row>
    <row r="7380">
      <c r="AI7380" s="80"/>
    </row>
    <row r="7381">
      <c r="AI7381" s="80"/>
    </row>
    <row r="7382">
      <c r="AI7382" s="80"/>
    </row>
    <row r="7383">
      <c r="AI7383" s="80"/>
    </row>
    <row r="7384">
      <c r="AI7384" s="80"/>
    </row>
    <row r="7385">
      <c r="AI7385" s="80"/>
    </row>
    <row r="7386">
      <c r="AI7386" s="80"/>
    </row>
    <row r="7387">
      <c r="AI7387" s="80"/>
    </row>
    <row r="7388">
      <c r="AI7388" s="80"/>
    </row>
    <row r="7389">
      <c r="AI7389" s="80"/>
    </row>
    <row r="7390">
      <c r="AI7390" s="80"/>
    </row>
    <row r="7391">
      <c r="AI7391" s="80"/>
    </row>
    <row r="7392">
      <c r="AI7392" s="80"/>
    </row>
    <row r="7393">
      <c r="AI7393" s="80"/>
    </row>
    <row r="7394">
      <c r="AI7394" s="80"/>
    </row>
    <row r="7395">
      <c r="AI7395" s="80"/>
    </row>
    <row r="7396">
      <c r="AI7396" s="80"/>
    </row>
    <row r="7397">
      <c r="AI7397" s="80"/>
    </row>
    <row r="7398">
      <c r="AI7398" s="80"/>
    </row>
    <row r="7399">
      <c r="AI7399" s="80"/>
    </row>
    <row r="7400">
      <c r="AI7400" s="80"/>
    </row>
    <row r="7401">
      <c r="AI7401" s="80"/>
    </row>
    <row r="7402">
      <c r="AI7402" s="80"/>
    </row>
    <row r="7403">
      <c r="AI7403" s="80"/>
    </row>
    <row r="7404">
      <c r="AI7404" s="80"/>
    </row>
    <row r="7405">
      <c r="AI7405" s="80"/>
    </row>
    <row r="7406">
      <c r="AI7406" s="80"/>
    </row>
    <row r="7407">
      <c r="AI7407" s="80"/>
    </row>
    <row r="7408">
      <c r="AI7408" s="80"/>
    </row>
    <row r="7409">
      <c r="AI7409" s="80"/>
    </row>
    <row r="7410">
      <c r="AI7410" s="80"/>
    </row>
    <row r="7411">
      <c r="AI7411" s="80"/>
    </row>
    <row r="7412">
      <c r="AI7412" s="80"/>
    </row>
    <row r="7413">
      <c r="AI7413" s="80"/>
    </row>
    <row r="7414">
      <c r="AI7414" s="80"/>
    </row>
    <row r="7415">
      <c r="AI7415" s="80"/>
    </row>
    <row r="7416">
      <c r="AI7416" s="80"/>
    </row>
    <row r="7417">
      <c r="AI7417" s="80"/>
    </row>
    <row r="7418">
      <c r="AI7418" s="80"/>
    </row>
    <row r="7419">
      <c r="AI7419" s="80"/>
    </row>
    <row r="7420">
      <c r="AI7420" s="80"/>
    </row>
    <row r="7421">
      <c r="AI7421" s="80"/>
    </row>
    <row r="7422">
      <c r="AI7422" s="80"/>
    </row>
    <row r="7423">
      <c r="AI7423" s="80"/>
    </row>
    <row r="7424">
      <c r="AI7424" s="80"/>
    </row>
    <row r="7425">
      <c r="AI7425" s="80"/>
    </row>
    <row r="7426">
      <c r="AI7426" s="80"/>
    </row>
    <row r="7427">
      <c r="AI7427" s="80"/>
    </row>
    <row r="7428">
      <c r="AI7428" s="80"/>
    </row>
    <row r="7429">
      <c r="AI7429" s="80"/>
    </row>
    <row r="7430">
      <c r="AI7430" s="80"/>
    </row>
    <row r="7431">
      <c r="AI7431" s="80"/>
    </row>
    <row r="7432">
      <c r="AI7432" s="80"/>
    </row>
    <row r="7433">
      <c r="AI7433" s="80"/>
    </row>
    <row r="7434">
      <c r="AI7434" s="80"/>
    </row>
    <row r="7435">
      <c r="AI7435" s="80"/>
    </row>
    <row r="7436">
      <c r="AI7436" s="80"/>
    </row>
    <row r="7437">
      <c r="AI7437" s="80"/>
    </row>
    <row r="7438">
      <c r="AI7438" s="80"/>
    </row>
    <row r="7439">
      <c r="AI7439" s="80"/>
    </row>
    <row r="7440">
      <c r="AI7440" s="80"/>
    </row>
    <row r="7441">
      <c r="AI7441" s="80"/>
    </row>
    <row r="7442">
      <c r="AI7442" s="80"/>
    </row>
    <row r="7443">
      <c r="AI7443" s="80"/>
    </row>
    <row r="7444">
      <c r="AI7444" s="80"/>
    </row>
    <row r="7445">
      <c r="AI7445" s="80"/>
    </row>
    <row r="7446">
      <c r="AI7446" s="80"/>
    </row>
    <row r="7447">
      <c r="AI7447" s="80"/>
    </row>
    <row r="7448">
      <c r="AI7448" s="80"/>
    </row>
    <row r="7449">
      <c r="AI7449" s="80"/>
    </row>
    <row r="7450">
      <c r="AI7450" s="80"/>
    </row>
    <row r="7451">
      <c r="AI7451" s="80"/>
    </row>
    <row r="7452">
      <c r="AI7452" s="80"/>
    </row>
    <row r="7453">
      <c r="AI7453" s="80"/>
    </row>
    <row r="7454">
      <c r="AI7454" s="80"/>
    </row>
    <row r="7455">
      <c r="AI7455" s="80"/>
    </row>
    <row r="7456">
      <c r="AI7456" s="80"/>
    </row>
    <row r="7457">
      <c r="AI7457" s="80"/>
    </row>
    <row r="7458">
      <c r="AI7458" s="80"/>
    </row>
    <row r="7459">
      <c r="AI7459" s="80"/>
    </row>
    <row r="7460">
      <c r="AI7460" s="80"/>
    </row>
    <row r="7461">
      <c r="AI7461" s="80"/>
    </row>
    <row r="7462">
      <c r="AI7462" s="80"/>
    </row>
    <row r="7463">
      <c r="AI7463" s="80"/>
    </row>
    <row r="7464">
      <c r="AI7464" s="80"/>
    </row>
    <row r="7465">
      <c r="AI7465" s="80"/>
    </row>
    <row r="7466">
      <c r="AI7466" s="80"/>
    </row>
    <row r="7467">
      <c r="AI7467" s="80"/>
    </row>
    <row r="7468">
      <c r="AI7468" s="80"/>
    </row>
    <row r="7469">
      <c r="AI7469" s="80"/>
    </row>
    <row r="7470">
      <c r="AI7470" s="80"/>
    </row>
    <row r="7471">
      <c r="AI7471" s="80"/>
    </row>
    <row r="7472">
      <c r="AI7472" s="80"/>
    </row>
    <row r="7473">
      <c r="AI7473" s="80"/>
    </row>
    <row r="7474">
      <c r="AI7474" s="80"/>
    </row>
    <row r="7475">
      <c r="AI7475" s="80"/>
    </row>
    <row r="7476">
      <c r="AI7476" s="80"/>
    </row>
    <row r="7477">
      <c r="AI7477" s="80"/>
    </row>
    <row r="7478">
      <c r="AI7478" s="80"/>
    </row>
    <row r="7479">
      <c r="AI7479" s="80"/>
    </row>
    <row r="7480">
      <c r="AI7480" s="80"/>
    </row>
    <row r="7481">
      <c r="AI7481" s="80"/>
    </row>
    <row r="7482">
      <c r="AI7482" s="80"/>
    </row>
    <row r="7483">
      <c r="AI7483" s="80"/>
    </row>
    <row r="7484">
      <c r="AI7484" s="80"/>
    </row>
    <row r="7485">
      <c r="AI7485" s="80"/>
    </row>
    <row r="7486">
      <c r="AI7486" s="80"/>
    </row>
    <row r="7487">
      <c r="AI7487" s="80"/>
    </row>
    <row r="7488">
      <c r="AI7488" s="80"/>
    </row>
    <row r="7489">
      <c r="AI7489" s="80"/>
    </row>
    <row r="7490">
      <c r="AI7490" s="80"/>
    </row>
    <row r="7491">
      <c r="AI7491" s="80"/>
    </row>
    <row r="7492">
      <c r="AI7492" s="80"/>
    </row>
    <row r="7493">
      <c r="AI7493" s="80"/>
    </row>
    <row r="7494">
      <c r="AI7494" s="80"/>
    </row>
    <row r="7495">
      <c r="AI7495" s="80"/>
    </row>
    <row r="7496">
      <c r="AI7496" s="80"/>
    </row>
    <row r="7497">
      <c r="AI7497" s="80"/>
    </row>
    <row r="7498">
      <c r="AI7498" s="80"/>
    </row>
    <row r="7499">
      <c r="AI7499" s="80"/>
    </row>
    <row r="7500">
      <c r="AI7500" s="80"/>
    </row>
    <row r="7501">
      <c r="AI7501" s="80"/>
    </row>
    <row r="7502">
      <c r="AI7502" s="80"/>
    </row>
    <row r="7503">
      <c r="AI7503" s="80"/>
    </row>
    <row r="7504">
      <c r="AI7504" s="80"/>
    </row>
    <row r="7505">
      <c r="AI7505" s="80"/>
    </row>
    <row r="7506">
      <c r="AI7506" s="80"/>
    </row>
    <row r="7507">
      <c r="AI7507" s="80"/>
    </row>
    <row r="7508">
      <c r="AI7508" s="80"/>
    </row>
    <row r="7509">
      <c r="AI7509" s="80"/>
    </row>
    <row r="7510">
      <c r="AI7510" s="80"/>
    </row>
    <row r="7511">
      <c r="AI7511" s="80"/>
    </row>
    <row r="7512">
      <c r="AI7512" s="80"/>
    </row>
    <row r="7513">
      <c r="AI7513" s="80"/>
    </row>
    <row r="7514">
      <c r="AI7514" s="80"/>
    </row>
    <row r="7515">
      <c r="AI7515" s="80"/>
    </row>
    <row r="7516">
      <c r="AI7516" s="80"/>
    </row>
    <row r="7517">
      <c r="AI7517" s="80"/>
    </row>
    <row r="7518">
      <c r="AI7518" s="80"/>
    </row>
    <row r="7519">
      <c r="AI7519" s="80"/>
    </row>
    <row r="7520">
      <c r="AI7520" s="80"/>
    </row>
    <row r="7521">
      <c r="AI7521" s="80"/>
    </row>
    <row r="7522">
      <c r="AI7522" s="80"/>
    </row>
    <row r="7523">
      <c r="AI7523" s="80"/>
    </row>
    <row r="7524">
      <c r="AI7524" s="80"/>
    </row>
    <row r="7525">
      <c r="AI7525" s="80"/>
    </row>
    <row r="7526">
      <c r="AI7526" s="80"/>
    </row>
    <row r="7527">
      <c r="AI7527" s="80"/>
    </row>
    <row r="7528">
      <c r="AI7528" s="80"/>
    </row>
    <row r="7529">
      <c r="AI7529" s="80"/>
    </row>
    <row r="7530">
      <c r="AI7530" s="80"/>
    </row>
    <row r="7531">
      <c r="AI7531" s="80"/>
    </row>
    <row r="7532">
      <c r="AI7532" s="80"/>
    </row>
    <row r="7533">
      <c r="AI7533" s="80"/>
    </row>
    <row r="7534">
      <c r="AI7534" s="80"/>
    </row>
    <row r="7535">
      <c r="AI7535" s="80"/>
    </row>
    <row r="7536">
      <c r="AI7536" s="80"/>
    </row>
    <row r="7537">
      <c r="AI7537" s="80"/>
    </row>
    <row r="7538">
      <c r="AI7538" s="80"/>
    </row>
    <row r="7539">
      <c r="AI7539" s="80"/>
    </row>
    <row r="7540">
      <c r="AI7540" s="80"/>
    </row>
    <row r="7541">
      <c r="AI7541" s="80"/>
    </row>
    <row r="7542">
      <c r="AI7542" s="80"/>
    </row>
    <row r="7543">
      <c r="AI7543" s="80"/>
    </row>
    <row r="7544">
      <c r="AI7544" s="80"/>
    </row>
    <row r="7545">
      <c r="AI7545" s="80"/>
    </row>
    <row r="7546">
      <c r="AI7546" s="80"/>
    </row>
    <row r="7547">
      <c r="AI7547" s="80"/>
    </row>
    <row r="7548">
      <c r="AI7548" s="80"/>
    </row>
    <row r="7549">
      <c r="AI7549" s="80"/>
    </row>
    <row r="7550">
      <c r="AI7550" s="80"/>
    </row>
    <row r="7551">
      <c r="AI7551" s="80"/>
    </row>
    <row r="7552">
      <c r="AI7552" s="80"/>
    </row>
    <row r="7553">
      <c r="AI7553" s="80"/>
    </row>
    <row r="7554">
      <c r="AI7554" s="80"/>
    </row>
    <row r="7555">
      <c r="AI7555" s="80"/>
    </row>
    <row r="7556">
      <c r="AI7556" s="80"/>
    </row>
    <row r="7557">
      <c r="AI7557" s="80"/>
    </row>
    <row r="7558">
      <c r="AI7558" s="80"/>
    </row>
    <row r="7559">
      <c r="AI7559" s="80"/>
    </row>
    <row r="7560">
      <c r="AI7560" s="80"/>
    </row>
    <row r="7561">
      <c r="AI7561" s="80"/>
    </row>
    <row r="7562">
      <c r="AI7562" s="80"/>
    </row>
    <row r="7563">
      <c r="AI7563" s="80"/>
    </row>
    <row r="7564">
      <c r="AI7564" s="80"/>
    </row>
    <row r="7565">
      <c r="AI7565" s="80"/>
    </row>
    <row r="7566">
      <c r="AI7566" s="80"/>
    </row>
    <row r="7567">
      <c r="AI7567" s="80"/>
    </row>
    <row r="7568">
      <c r="AI7568" s="80"/>
    </row>
    <row r="7569">
      <c r="AI7569" s="80"/>
    </row>
    <row r="7570">
      <c r="AI7570" s="80"/>
    </row>
    <row r="7571">
      <c r="AI7571" s="80"/>
    </row>
    <row r="7572">
      <c r="AI7572" s="80"/>
    </row>
    <row r="7573">
      <c r="AI7573" s="80"/>
    </row>
    <row r="7574">
      <c r="AI7574" s="80"/>
    </row>
    <row r="7575">
      <c r="AI7575" s="80"/>
    </row>
    <row r="7576">
      <c r="AI7576" s="80"/>
    </row>
    <row r="7577">
      <c r="AI7577" s="80"/>
    </row>
    <row r="7578">
      <c r="AI7578" s="80"/>
    </row>
    <row r="7579">
      <c r="AI7579" s="80"/>
    </row>
    <row r="7580">
      <c r="AI7580" s="80"/>
    </row>
    <row r="7581">
      <c r="AI7581" s="80"/>
    </row>
    <row r="7582">
      <c r="AI7582" s="80"/>
    </row>
    <row r="7583">
      <c r="AI7583" s="80"/>
    </row>
    <row r="7584">
      <c r="AI7584" s="80"/>
    </row>
    <row r="7585">
      <c r="AI7585" s="80"/>
    </row>
    <row r="7586">
      <c r="AI7586" s="80"/>
    </row>
    <row r="7587">
      <c r="AI7587" s="80"/>
    </row>
    <row r="7588">
      <c r="AI7588" s="80"/>
    </row>
    <row r="7589">
      <c r="AI7589" s="80"/>
    </row>
    <row r="7590">
      <c r="AI7590" s="80"/>
    </row>
    <row r="7591">
      <c r="AI7591" s="80"/>
    </row>
    <row r="7592">
      <c r="AI7592" s="80"/>
    </row>
    <row r="7593">
      <c r="AI7593" s="80"/>
    </row>
    <row r="7594">
      <c r="AI7594" s="80"/>
    </row>
    <row r="7595">
      <c r="AI7595" s="80"/>
    </row>
    <row r="7596">
      <c r="AI7596" s="80"/>
    </row>
    <row r="7597">
      <c r="AI7597" s="80"/>
    </row>
    <row r="7598">
      <c r="AI7598" s="80"/>
    </row>
    <row r="7599">
      <c r="AI7599" s="80"/>
    </row>
    <row r="7600">
      <c r="AI7600" s="80"/>
    </row>
    <row r="7601">
      <c r="AI7601" s="80"/>
    </row>
    <row r="7602">
      <c r="AI7602" s="80"/>
    </row>
    <row r="7603">
      <c r="AI7603" s="80"/>
    </row>
    <row r="7604">
      <c r="AI7604" s="80"/>
    </row>
    <row r="7605">
      <c r="AI7605" s="80"/>
    </row>
    <row r="7606">
      <c r="AI7606" s="80"/>
    </row>
    <row r="7607">
      <c r="AI7607" s="80"/>
    </row>
    <row r="7608">
      <c r="AI7608" s="80"/>
    </row>
    <row r="7609">
      <c r="AI7609" s="80"/>
    </row>
    <row r="7610">
      <c r="AI7610" s="80"/>
    </row>
    <row r="7611">
      <c r="AI7611" s="80"/>
    </row>
    <row r="7612">
      <c r="AI7612" s="80"/>
    </row>
    <row r="7613">
      <c r="AI7613" s="80"/>
    </row>
    <row r="7614">
      <c r="AI7614" s="80"/>
    </row>
    <row r="7615">
      <c r="AI7615" s="80"/>
    </row>
    <row r="7616">
      <c r="AI7616" s="80"/>
    </row>
    <row r="7617">
      <c r="AI7617" s="80"/>
    </row>
    <row r="7618">
      <c r="AI7618" s="80"/>
    </row>
    <row r="7619">
      <c r="AI7619" s="80"/>
    </row>
    <row r="7620">
      <c r="AI7620" s="80"/>
    </row>
    <row r="7621">
      <c r="AI7621" s="80"/>
    </row>
    <row r="7622">
      <c r="AI7622" s="80"/>
    </row>
    <row r="7623">
      <c r="AI7623" s="80"/>
    </row>
    <row r="7624">
      <c r="AI7624" s="80"/>
    </row>
    <row r="7625">
      <c r="AI7625" s="80"/>
    </row>
    <row r="7626">
      <c r="AI7626" s="80"/>
    </row>
    <row r="7627">
      <c r="AI7627" s="80"/>
    </row>
    <row r="7628">
      <c r="AI7628" s="80"/>
    </row>
    <row r="7629">
      <c r="AI7629" s="80"/>
    </row>
    <row r="7630">
      <c r="AI7630" s="80"/>
    </row>
    <row r="7631">
      <c r="AI7631" s="80"/>
    </row>
    <row r="7632">
      <c r="AI7632" s="80"/>
    </row>
    <row r="7633">
      <c r="AI7633" s="80"/>
    </row>
    <row r="7634">
      <c r="AI7634" s="80"/>
    </row>
    <row r="7635">
      <c r="AI7635" s="80"/>
    </row>
    <row r="7636">
      <c r="AI7636" s="80"/>
    </row>
    <row r="7637">
      <c r="AI7637" s="80"/>
    </row>
    <row r="7638">
      <c r="AI7638" s="80"/>
    </row>
    <row r="7639">
      <c r="AI7639" s="80"/>
    </row>
    <row r="7640">
      <c r="AI7640" s="80"/>
    </row>
    <row r="7641">
      <c r="AI7641" s="80"/>
    </row>
    <row r="7642">
      <c r="AI7642" s="80"/>
    </row>
    <row r="7643">
      <c r="AI7643" s="80"/>
    </row>
    <row r="7644">
      <c r="AI7644" s="80"/>
    </row>
    <row r="7645">
      <c r="AI7645" s="80"/>
    </row>
    <row r="7646">
      <c r="AI7646" s="80"/>
    </row>
    <row r="7647">
      <c r="AI7647" s="80"/>
    </row>
    <row r="7648">
      <c r="AI7648" s="80"/>
    </row>
    <row r="7649">
      <c r="AI7649" s="80"/>
    </row>
    <row r="7650">
      <c r="AI7650" s="80"/>
    </row>
    <row r="7651">
      <c r="AI7651" s="80"/>
    </row>
    <row r="7652">
      <c r="AI7652" s="80"/>
    </row>
    <row r="7653">
      <c r="AI7653" s="80"/>
    </row>
    <row r="7654">
      <c r="AI7654" s="80"/>
    </row>
    <row r="7655">
      <c r="AI7655" s="80"/>
    </row>
    <row r="7656">
      <c r="AI7656" s="80"/>
    </row>
    <row r="7657">
      <c r="AI7657" s="80"/>
    </row>
    <row r="7658">
      <c r="AI7658" s="80"/>
    </row>
    <row r="7659">
      <c r="AI7659" s="80"/>
    </row>
    <row r="7660">
      <c r="AI7660" s="80"/>
    </row>
    <row r="7661">
      <c r="AI7661" s="80"/>
    </row>
    <row r="7662">
      <c r="AI7662" s="80"/>
    </row>
    <row r="7663">
      <c r="AI7663" s="80"/>
    </row>
    <row r="7664">
      <c r="AI7664" s="80"/>
    </row>
    <row r="7665">
      <c r="AI7665" s="80"/>
    </row>
    <row r="7666">
      <c r="AI7666" s="80"/>
    </row>
    <row r="7667">
      <c r="AI7667" s="80"/>
    </row>
    <row r="7668">
      <c r="AI7668" s="80"/>
    </row>
    <row r="7669">
      <c r="AI7669" s="80"/>
    </row>
    <row r="7670">
      <c r="AI7670" s="80"/>
    </row>
    <row r="7671">
      <c r="AI7671" s="80"/>
    </row>
    <row r="7672">
      <c r="AI7672" s="80"/>
    </row>
    <row r="7673">
      <c r="AI7673" s="80"/>
    </row>
    <row r="7674">
      <c r="AI7674" s="80"/>
    </row>
    <row r="7675">
      <c r="AI7675" s="80"/>
    </row>
    <row r="7676">
      <c r="AI7676" s="80"/>
    </row>
    <row r="7677">
      <c r="AI7677" s="80"/>
    </row>
    <row r="7678">
      <c r="AI7678" s="80"/>
    </row>
    <row r="7679">
      <c r="AI7679" s="80"/>
    </row>
    <row r="7680">
      <c r="AI7680" s="80"/>
    </row>
    <row r="7681">
      <c r="AI7681" s="80"/>
    </row>
    <row r="7682">
      <c r="AI7682" s="80"/>
    </row>
    <row r="7683">
      <c r="AI7683" s="80"/>
    </row>
    <row r="7684">
      <c r="AI7684" s="80"/>
    </row>
    <row r="7685">
      <c r="AI7685" s="80"/>
    </row>
    <row r="7686">
      <c r="AI7686" s="80"/>
    </row>
    <row r="7687">
      <c r="AI7687" s="80"/>
    </row>
    <row r="7688">
      <c r="AI7688" s="80"/>
    </row>
    <row r="7689">
      <c r="AI7689" s="80"/>
    </row>
    <row r="7690">
      <c r="AI7690" s="80"/>
    </row>
    <row r="7691">
      <c r="AI7691" s="80"/>
    </row>
    <row r="7692">
      <c r="AI7692" s="80"/>
    </row>
    <row r="7693">
      <c r="AI7693" s="80"/>
    </row>
    <row r="7694">
      <c r="AI7694" s="80"/>
    </row>
    <row r="7695">
      <c r="AI7695" s="80"/>
    </row>
    <row r="7696">
      <c r="AI7696" s="80"/>
    </row>
    <row r="7697">
      <c r="AI7697" s="80"/>
    </row>
    <row r="7698">
      <c r="AI7698" s="80"/>
    </row>
    <row r="7699">
      <c r="AI7699" s="80"/>
    </row>
    <row r="7700">
      <c r="AI7700" s="80"/>
    </row>
    <row r="7701">
      <c r="AI7701" s="80"/>
    </row>
    <row r="7702">
      <c r="AI7702" s="80"/>
    </row>
    <row r="7703">
      <c r="AI7703" s="80"/>
    </row>
    <row r="7704">
      <c r="AI7704" s="80"/>
    </row>
    <row r="7705">
      <c r="AI7705" s="80"/>
    </row>
    <row r="7706">
      <c r="AI7706" s="80"/>
    </row>
    <row r="7707">
      <c r="AI7707" s="80"/>
    </row>
    <row r="7708">
      <c r="AI7708" s="80"/>
    </row>
    <row r="7709">
      <c r="AI7709" s="80"/>
    </row>
    <row r="7710">
      <c r="AI7710" s="80"/>
    </row>
    <row r="7711">
      <c r="AI7711" s="80"/>
    </row>
    <row r="7712">
      <c r="AI7712" s="80"/>
    </row>
    <row r="7713">
      <c r="AI7713" s="80"/>
    </row>
    <row r="7714">
      <c r="AI7714" s="80"/>
    </row>
    <row r="7715">
      <c r="AI7715" s="80"/>
    </row>
    <row r="7716">
      <c r="AI7716" s="80"/>
    </row>
    <row r="7717">
      <c r="AI7717" s="80"/>
    </row>
    <row r="7718">
      <c r="AI7718" s="80"/>
    </row>
    <row r="7719">
      <c r="AI7719" s="80"/>
    </row>
    <row r="7720">
      <c r="AI7720" s="80"/>
    </row>
    <row r="7721">
      <c r="AI7721" s="80"/>
    </row>
    <row r="7722">
      <c r="AI7722" s="80"/>
    </row>
    <row r="7723">
      <c r="AI7723" s="80"/>
    </row>
    <row r="7724">
      <c r="AI7724" s="80"/>
    </row>
    <row r="7725">
      <c r="AI7725" s="80"/>
    </row>
    <row r="7726">
      <c r="AI7726" s="80"/>
    </row>
    <row r="7727">
      <c r="AI7727" s="80"/>
    </row>
    <row r="7728">
      <c r="AI7728" s="80"/>
    </row>
    <row r="7729">
      <c r="AI7729" s="80"/>
    </row>
    <row r="7730">
      <c r="AI7730" s="80"/>
    </row>
    <row r="7731">
      <c r="AI7731" s="80"/>
    </row>
    <row r="7732">
      <c r="AI7732" s="80"/>
    </row>
    <row r="7733">
      <c r="AI7733" s="80"/>
    </row>
    <row r="7734">
      <c r="AI7734" s="80"/>
    </row>
    <row r="7735">
      <c r="AI7735" s="80"/>
    </row>
    <row r="7736">
      <c r="AI7736" s="80"/>
    </row>
    <row r="7737">
      <c r="AI7737" s="80"/>
    </row>
    <row r="7738">
      <c r="AI7738" s="80"/>
    </row>
    <row r="7739">
      <c r="AI7739" s="80"/>
    </row>
    <row r="7740">
      <c r="AI7740" s="80"/>
    </row>
    <row r="7741">
      <c r="AI7741" s="80"/>
    </row>
    <row r="7742">
      <c r="AI7742" s="80"/>
    </row>
    <row r="7743">
      <c r="AI7743" s="80"/>
    </row>
    <row r="7744">
      <c r="AI7744" s="80"/>
    </row>
    <row r="7745">
      <c r="AI7745" s="80"/>
    </row>
    <row r="7746">
      <c r="AI7746" s="80"/>
    </row>
    <row r="7747">
      <c r="AI7747" s="80"/>
    </row>
    <row r="7748">
      <c r="AI7748" s="80"/>
    </row>
    <row r="7749">
      <c r="AI7749" s="80"/>
    </row>
    <row r="7750">
      <c r="AI7750" s="80"/>
    </row>
    <row r="7751">
      <c r="AI7751" s="80"/>
    </row>
    <row r="7752">
      <c r="AI7752" s="80"/>
    </row>
    <row r="7753">
      <c r="AI7753" s="80"/>
    </row>
    <row r="7754">
      <c r="AI7754" s="80"/>
    </row>
    <row r="7755">
      <c r="AI7755" s="80"/>
    </row>
    <row r="7756">
      <c r="AI7756" s="80"/>
    </row>
    <row r="7757">
      <c r="AI7757" s="80"/>
    </row>
    <row r="7758">
      <c r="AI7758" s="80"/>
    </row>
    <row r="7759">
      <c r="AI7759" s="80"/>
    </row>
    <row r="7760">
      <c r="AI7760" s="80"/>
    </row>
    <row r="7761">
      <c r="AI7761" s="80"/>
    </row>
    <row r="7762">
      <c r="AI7762" s="80"/>
    </row>
    <row r="7763">
      <c r="AI7763" s="80"/>
    </row>
    <row r="7764">
      <c r="AI7764" s="80"/>
    </row>
    <row r="7765">
      <c r="AI7765" s="80"/>
    </row>
    <row r="7766">
      <c r="AI7766" s="80"/>
    </row>
    <row r="7767">
      <c r="AI7767" s="80"/>
    </row>
    <row r="7768">
      <c r="AI7768" s="80"/>
    </row>
    <row r="7769">
      <c r="AI7769" s="80"/>
    </row>
    <row r="7770">
      <c r="AI7770" s="80"/>
    </row>
    <row r="7771">
      <c r="AI7771" s="80"/>
    </row>
    <row r="7772">
      <c r="AI7772" s="80"/>
    </row>
    <row r="7773">
      <c r="AI7773" s="80"/>
    </row>
    <row r="7774">
      <c r="AI7774" s="80"/>
    </row>
    <row r="7775">
      <c r="AI7775" s="80"/>
    </row>
    <row r="7776">
      <c r="AI7776" s="80"/>
    </row>
    <row r="7777">
      <c r="AI7777" s="80"/>
    </row>
    <row r="7778">
      <c r="AI7778" s="80"/>
    </row>
    <row r="7779">
      <c r="AI7779" s="80"/>
    </row>
    <row r="7780">
      <c r="AI7780" s="80"/>
    </row>
    <row r="7781">
      <c r="AI7781" s="80"/>
    </row>
    <row r="7782">
      <c r="AI7782" s="80"/>
    </row>
    <row r="7783">
      <c r="AI7783" s="80"/>
    </row>
    <row r="7784">
      <c r="AI7784" s="80"/>
    </row>
    <row r="7785">
      <c r="AI7785" s="80"/>
    </row>
    <row r="7786">
      <c r="AI7786" s="80"/>
    </row>
    <row r="7787">
      <c r="AI7787" s="80"/>
    </row>
    <row r="7788">
      <c r="AI7788" s="80"/>
    </row>
    <row r="7789">
      <c r="AI7789" s="80"/>
    </row>
    <row r="7790">
      <c r="AI7790" s="80"/>
    </row>
    <row r="7791">
      <c r="AI7791" s="80"/>
    </row>
    <row r="7792">
      <c r="AI7792" s="80"/>
    </row>
    <row r="7793">
      <c r="AI7793" s="80"/>
    </row>
    <row r="7794">
      <c r="AI7794" s="80"/>
    </row>
    <row r="7795">
      <c r="AI7795" s="80"/>
    </row>
    <row r="7796">
      <c r="AI7796" s="80"/>
    </row>
    <row r="7797">
      <c r="AI7797" s="80"/>
    </row>
    <row r="7798">
      <c r="AI7798" s="80"/>
    </row>
    <row r="7799">
      <c r="AI7799" s="80"/>
    </row>
    <row r="7800">
      <c r="AI7800" s="80"/>
    </row>
    <row r="7801">
      <c r="AI7801" s="80"/>
    </row>
    <row r="7802">
      <c r="AI7802" s="80"/>
    </row>
    <row r="7803">
      <c r="AI7803" s="80"/>
    </row>
    <row r="7804">
      <c r="AI7804" s="80"/>
    </row>
    <row r="7805">
      <c r="AI7805" s="80"/>
    </row>
    <row r="7806">
      <c r="AI7806" s="80"/>
    </row>
    <row r="7807">
      <c r="AI7807" s="80"/>
    </row>
    <row r="7808">
      <c r="AI7808" s="80"/>
    </row>
    <row r="7809">
      <c r="AI7809" s="80"/>
    </row>
    <row r="7810">
      <c r="AI7810" s="80"/>
    </row>
    <row r="7811">
      <c r="AI7811" s="80"/>
    </row>
    <row r="7812">
      <c r="AI7812" s="80"/>
    </row>
    <row r="7813">
      <c r="AI7813" s="80"/>
    </row>
    <row r="7814">
      <c r="AI7814" s="80"/>
    </row>
    <row r="7815">
      <c r="AI7815" s="80"/>
    </row>
    <row r="7816">
      <c r="AI7816" s="80"/>
    </row>
    <row r="7817">
      <c r="AI7817" s="80"/>
    </row>
    <row r="7818">
      <c r="AI7818" s="80"/>
    </row>
    <row r="7819">
      <c r="AI7819" s="80"/>
    </row>
    <row r="7820">
      <c r="AI7820" s="80"/>
    </row>
    <row r="7821">
      <c r="AI7821" s="80"/>
    </row>
    <row r="7822">
      <c r="AI7822" s="80"/>
    </row>
    <row r="7823">
      <c r="AI7823" s="80"/>
    </row>
    <row r="7824">
      <c r="AI7824" s="80"/>
    </row>
    <row r="7825">
      <c r="AI7825" s="80"/>
    </row>
    <row r="7826">
      <c r="AI7826" s="80"/>
    </row>
    <row r="7827">
      <c r="AI7827" s="80"/>
    </row>
    <row r="7828">
      <c r="AI7828" s="80"/>
    </row>
    <row r="7829">
      <c r="AI7829" s="80"/>
    </row>
    <row r="7830">
      <c r="AI7830" s="80"/>
    </row>
    <row r="7831">
      <c r="AI7831" s="80"/>
    </row>
    <row r="7832">
      <c r="AI7832" s="80"/>
    </row>
    <row r="7833">
      <c r="AI7833" s="80"/>
    </row>
    <row r="7834">
      <c r="AI7834" s="80"/>
    </row>
    <row r="7835">
      <c r="AI7835" s="80"/>
    </row>
    <row r="7836">
      <c r="AI7836" s="80"/>
    </row>
    <row r="7837">
      <c r="AI7837" s="80"/>
    </row>
    <row r="7838">
      <c r="AI7838" s="80"/>
    </row>
    <row r="7839">
      <c r="AI7839" s="80"/>
    </row>
    <row r="7840">
      <c r="AI7840" s="80"/>
    </row>
    <row r="7841">
      <c r="AI7841" s="80"/>
    </row>
    <row r="7842">
      <c r="AI7842" s="80"/>
    </row>
    <row r="7843">
      <c r="AI7843" s="80"/>
    </row>
    <row r="7844">
      <c r="AI7844" s="80"/>
    </row>
    <row r="7845">
      <c r="AI7845" s="80"/>
    </row>
    <row r="7846">
      <c r="AI7846" s="80"/>
    </row>
    <row r="7847">
      <c r="AI7847" s="80"/>
    </row>
    <row r="7848">
      <c r="AI7848" s="80"/>
    </row>
    <row r="7849">
      <c r="AI7849" s="80"/>
    </row>
    <row r="7850">
      <c r="AI7850" s="80"/>
    </row>
    <row r="7851">
      <c r="AI7851" s="80"/>
    </row>
    <row r="7852">
      <c r="AI7852" s="80"/>
    </row>
    <row r="7853">
      <c r="AI7853" s="80"/>
    </row>
    <row r="7854">
      <c r="AI7854" s="80"/>
    </row>
    <row r="7855">
      <c r="AI7855" s="80"/>
    </row>
    <row r="7856">
      <c r="AI7856" s="80"/>
    </row>
    <row r="7857">
      <c r="AI7857" s="80"/>
    </row>
    <row r="7858">
      <c r="AI7858" s="80"/>
    </row>
    <row r="7859">
      <c r="AI7859" s="80"/>
    </row>
    <row r="7860">
      <c r="AI7860" s="80"/>
    </row>
    <row r="7861">
      <c r="AI7861" s="80"/>
    </row>
    <row r="7862">
      <c r="AI7862" s="80"/>
    </row>
    <row r="7863">
      <c r="AI7863" s="80"/>
    </row>
    <row r="7864">
      <c r="AI7864" s="80"/>
    </row>
    <row r="7865">
      <c r="AI7865" s="80"/>
    </row>
    <row r="7866">
      <c r="AI7866" s="80"/>
    </row>
    <row r="7867">
      <c r="AI7867" s="80"/>
    </row>
    <row r="7868">
      <c r="AI7868" s="80"/>
    </row>
    <row r="7869">
      <c r="AI7869" s="80"/>
    </row>
    <row r="7870">
      <c r="AI7870" s="80"/>
    </row>
    <row r="7871">
      <c r="AI7871" s="80"/>
    </row>
    <row r="7872">
      <c r="AI7872" s="80"/>
    </row>
    <row r="7873">
      <c r="AI7873" s="80"/>
    </row>
    <row r="7874">
      <c r="AI7874" s="80"/>
    </row>
    <row r="7875">
      <c r="AI7875" s="80"/>
    </row>
    <row r="7876">
      <c r="AI7876" s="80"/>
    </row>
    <row r="7877">
      <c r="AI7877" s="80"/>
    </row>
    <row r="7878">
      <c r="AI7878" s="80"/>
    </row>
    <row r="7879">
      <c r="AI7879" s="80"/>
    </row>
    <row r="7880">
      <c r="AI7880" s="80"/>
    </row>
    <row r="7881">
      <c r="AI7881" s="80"/>
    </row>
    <row r="7882">
      <c r="AI7882" s="80"/>
    </row>
    <row r="7883">
      <c r="AI7883" s="80"/>
    </row>
    <row r="7884">
      <c r="AI7884" s="80"/>
    </row>
    <row r="7885">
      <c r="AI7885" s="80"/>
    </row>
    <row r="7886">
      <c r="AI7886" s="80"/>
    </row>
    <row r="7887">
      <c r="AI7887" s="80"/>
    </row>
    <row r="7888">
      <c r="AI7888" s="80"/>
    </row>
    <row r="7889">
      <c r="AI7889" s="80"/>
    </row>
    <row r="7890">
      <c r="AI7890" s="80"/>
    </row>
    <row r="7891">
      <c r="AI7891" s="80"/>
    </row>
    <row r="7892">
      <c r="AI7892" s="80"/>
    </row>
    <row r="7893">
      <c r="AI7893" s="80"/>
    </row>
    <row r="7894">
      <c r="AI7894" s="80"/>
    </row>
    <row r="7895">
      <c r="AI7895" s="80"/>
    </row>
    <row r="7896">
      <c r="AI7896" s="80"/>
    </row>
    <row r="7897">
      <c r="AI7897" s="80"/>
    </row>
    <row r="7898">
      <c r="AI7898" s="80"/>
    </row>
    <row r="7899">
      <c r="AI7899" s="80"/>
    </row>
    <row r="7900">
      <c r="AI7900" s="80"/>
    </row>
    <row r="7901">
      <c r="AI7901" s="80"/>
    </row>
    <row r="7902">
      <c r="AI7902" s="80"/>
    </row>
    <row r="7903">
      <c r="AI7903" s="80"/>
    </row>
    <row r="7904">
      <c r="AI7904" s="80"/>
    </row>
    <row r="7905">
      <c r="AI7905" s="80"/>
    </row>
    <row r="7906">
      <c r="AI7906" s="80"/>
    </row>
    <row r="7907">
      <c r="AI7907" s="80"/>
    </row>
    <row r="7908">
      <c r="AI7908" s="80"/>
    </row>
    <row r="7909">
      <c r="AI7909" s="80"/>
    </row>
    <row r="7910">
      <c r="AI7910" s="80"/>
    </row>
    <row r="7911">
      <c r="AI7911" s="80"/>
    </row>
    <row r="7912">
      <c r="AI7912" s="80"/>
    </row>
    <row r="7913">
      <c r="AI7913" s="80"/>
    </row>
    <row r="7914">
      <c r="AI7914" s="80"/>
    </row>
    <row r="7915">
      <c r="AI7915" s="80"/>
    </row>
    <row r="7916">
      <c r="AI7916" s="80"/>
    </row>
    <row r="7917">
      <c r="AI7917" s="80"/>
    </row>
    <row r="7918">
      <c r="AI7918" s="80"/>
    </row>
    <row r="7919">
      <c r="AI7919" s="80"/>
    </row>
    <row r="7920">
      <c r="AI7920" s="80"/>
    </row>
    <row r="7921">
      <c r="AI7921" s="80"/>
    </row>
    <row r="7922">
      <c r="AI7922" s="80"/>
    </row>
    <row r="7923">
      <c r="AI7923" s="80"/>
    </row>
    <row r="7924">
      <c r="AI7924" s="80"/>
    </row>
    <row r="7925">
      <c r="AI7925" s="80"/>
    </row>
    <row r="7926">
      <c r="AI7926" s="80"/>
    </row>
    <row r="7927">
      <c r="AI7927" s="80"/>
    </row>
    <row r="7928">
      <c r="AI7928" s="80"/>
    </row>
    <row r="7929">
      <c r="AI7929" s="80"/>
    </row>
    <row r="7930">
      <c r="AI7930" s="80"/>
    </row>
    <row r="7931">
      <c r="AI7931" s="80"/>
    </row>
    <row r="7932">
      <c r="AI7932" s="80"/>
    </row>
    <row r="7933">
      <c r="AI7933" s="80"/>
    </row>
    <row r="7934">
      <c r="AI7934" s="80"/>
    </row>
    <row r="7935">
      <c r="AI7935" s="80"/>
    </row>
    <row r="7936">
      <c r="AI7936" s="80"/>
    </row>
    <row r="7937">
      <c r="AI7937" s="80"/>
    </row>
    <row r="7938">
      <c r="AI7938" s="80"/>
    </row>
    <row r="7939">
      <c r="AI7939" s="80"/>
    </row>
    <row r="7940">
      <c r="AI7940" s="80"/>
    </row>
    <row r="7941">
      <c r="AI7941" s="80"/>
    </row>
    <row r="7942">
      <c r="AI7942" s="80"/>
    </row>
    <row r="7943">
      <c r="AI7943" s="80"/>
    </row>
    <row r="7944">
      <c r="AI7944" s="80"/>
    </row>
    <row r="7945">
      <c r="AI7945" s="80"/>
    </row>
    <row r="7946">
      <c r="AI7946" s="80"/>
    </row>
    <row r="7947">
      <c r="AI7947" s="80"/>
    </row>
    <row r="7948">
      <c r="AI7948" s="80"/>
    </row>
    <row r="7949">
      <c r="AI7949" s="80"/>
    </row>
    <row r="7950">
      <c r="AI7950" s="80"/>
    </row>
    <row r="7951">
      <c r="AI7951" s="80"/>
    </row>
    <row r="7952">
      <c r="AI7952" s="80"/>
    </row>
    <row r="7953">
      <c r="AI7953" s="80"/>
    </row>
    <row r="7954">
      <c r="AI7954" s="80"/>
    </row>
    <row r="7955">
      <c r="AI7955" s="80"/>
    </row>
    <row r="7956">
      <c r="AI7956" s="80"/>
    </row>
    <row r="7957">
      <c r="AI7957" s="80"/>
    </row>
    <row r="7958">
      <c r="AI7958" s="80"/>
    </row>
    <row r="7959">
      <c r="AI7959" s="80"/>
    </row>
    <row r="7960">
      <c r="AI7960" s="80"/>
    </row>
    <row r="7961">
      <c r="AI7961" s="80"/>
    </row>
    <row r="7962">
      <c r="AI7962" s="80"/>
    </row>
    <row r="7963">
      <c r="AI7963" s="80"/>
    </row>
    <row r="7964">
      <c r="AI7964" s="80"/>
    </row>
    <row r="7965">
      <c r="AI7965" s="80"/>
    </row>
    <row r="7966">
      <c r="AI7966" s="80"/>
    </row>
    <row r="7967">
      <c r="AI7967" s="80"/>
    </row>
    <row r="7968">
      <c r="AI7968" s="80"/>
    </row>
    <row r="7969">
      <c r="AI7969" s="80"/>
    </row>
    <row r="7970">
      <c r="AI7970" s="80"/>
    </row>
    <row r="7971">
      <c r="AI7971" s="80"/>
    </row>
    <row r="7972">
      <c r="AI7972" s="80"/>
    </row>
    <row r="7973">
      <c r="AI7973" s="80"/>
    </row>
    <row r="7974">
      <c r="AI7974" s="80"/>
    </row>
    <row r="7975">
      <c r="AI7975" s="80"/>
    </row>
    <row r="7976">
      <c r="AI7976" s="80"/>
    </row>
    <row r="7977">
      <c r="AI7977" s="80"/>
    </row>
    <row r="7978">
      <c r="AI7978" s="80"/>
    </row>
    <row r="7979">
      <c r="AI7979" s="80"/>
    </row>
    <row r="7980">
      <c r="AI7980" s="80"/>
    </row>
    <row r="7981">
      <c r="AI7981" s="80"/>
    </row>
    <row r="7982">
      <c r="AI7982" s="80"/>
    </row>
    <row r="7983">
      <c r="AI7983" s="80"/>
    </row>
    <row r="7984">
      <c r="AI7984" s="80"/>
    </row>
    <row r="7985">
      <c r="AI7985" s="80"/>
    </row>
    <row r="7986">
      <c r="AI7986" s="80"/>
    </row>
    <row r="7987">
      <c r="AI7987" s="80"/>
    </row>
    <row r="7988">
      <c r="AI7988" s="80"/>
    </row>
    <row r="7989">
      <c r="AI7989" s="80"/>
    </row>
    <row r="7990">
      <c r="AI7990" s="80"/>
    </row>
    <row r="7991">
      <c r="AI7991" s="80"/>
    </row>
    <row r="7992">
      <c r="AI7992" s="80"/>
    </row>
    <row r="7993">
      <c r="AI7993" s="80"/>
    </row>
    <row r="7994">
      <c r="AI7994" s="80"/>
    </row>
    <row r="7995">
      <c r="AI7995" s="80"/>
    </row>
    <row r="7996">
      <c r="AI7996" s="80"/>
    </row>
    <row r="7997">
      <c r="AI7997" s="80"/>
    </row>
    <row r="7998">
      <c r="AI7998" s="80"/>
    </row>
    <row r="7999">
      <c r="AI7999" s="80"/>
    </row>
    <row r="8000">
      <c r="AI8000" s="80"/>
    </row>
    <row r="8001">
      <c r="AI8001" s="80"/>
    </row>
    <row r="8002">
      <c r="AI8002" s="80"/>
    </row>
    <row r="8003">
      <c r="AI8003" s="80"/>
    </row>
    <row r="8004">
      <c r="AI8004" s="80"/>
    </row>
    <row r="8005">
      <c r="AI8005" s="80"/>
    </row>
    <row r="8006">
      <c r="AI8006" s="80"/>
    </row>
    <row r="8007">
      <c r="AI8007" s="80"/>
    </row>
    <row r="8008">
      <c r="AI8008" s="80"/>
    </row>
    <row r="8009">
      <c r="AI8009" s="80"/>
    </row>
    <row r="8010">
      <c r="AI8010" s="80"/>
    </row>
    <row r="8011">
      <c r="AI8011" s="80"/>
    </row>
    <row r="8012">
      <c r="AI8012" s="80"/>
    </row>
    <row r="8013">
      <c r="AI8013" s="80"/>
    </row>
    <row r="8014">
      <c r="AI8014" s="80"/>
    </row>
    <row r="8015">
      <c r="AI8015" s="80"/>
    </row>
    <row r="8016">
      <c r="AI8016" s="80"/>
    </row>
    <row r="8017">
      <c r="AI8017" s="80"/>
    </row>
    <row r="8018">
      <c r="AI8018" s="80"/>
    </row>
    <row r="8019">
      <c r="AI8019" s="80"/>
    </row>
    <row r="8020">
      <c r="AI8020" s="80"/>
    </row>
    <row r="8021">
      <c r="AI8021" s="80"/>
    </row>
    <row r="8022">
      <c r="AI8022" s="80"/>
    </row>
    <row r="8023">
      <c r="AI8023" s="80"/>
    </row>
    <row r="8024">
      <c r="AI8024" s="80"/>
    </row>
    <row r="8025">
      <c r="AI8025" s="80"/>
    </row>
    <row r="8026">
      <c r="AI8026" s="80"/>
    </row>
    <row r="8027">
      <c r="AI8027" s="80"/>
    </row>
    <row r="8028">
      <c r="AI8028" s="80"/>
    </row>
    <row r="8029">
      <c r="AI8029" s="80"/>
    </row>
    <row r="8030">
      <c r="AI8030" s="80"/>
    </row>
    <row r="8031">
      <c r="AI8031" s="80"/>
    </row>
    <row r="8032">
      <c r="AI8032" s="80"/>
    </row>
    <row r="8033">
      <c r="AI8033" s="80"/>
    </row>
    <row r="8034">
      <c r="AI8034" s="80"/>
    </row>
    <row r="8035">
      <c r="AI8035" s="80"/>
    </row>
    <row r="8036">
      <c r="AI8036" s="80"/>
    </row>
    <row r="8037">
      <c r="AI8037" s="80"/>
    </row>
    <row r="8038">
      <c r="AI8038" s="80"/>
    </row>
    <row r="8039">
      <c r="AI8039" s="80"/>
    </row>
    <row r="8040">
      <c r="AI8040" s="80"/>
    </row>
    <row r="8041">
      <c r="AI8041" s="80"/>
    </row>
    <row r="8042">
      <c r="AI8042" s="80"/>
    </row>
    <row r="8043">
      <c r="AI8043" s="80"/>
    </row>
    <row r="8044">
      <c r="AI8044" s="80"/>
    </row>
    <row r="8045">
      <c r="AI8045" s="80"/>
    </row>
    <row r="8046">
      <c r="AI8046" s="80"/>
    </row>
    <row r="8047">
      <c r="AI8047" s="80"/>
    </row>
    <row r="8048">
      <c r="AI8048" s="80"/>
    </row>
    <row r="8049">
      <c r="AI8049" s="80"/>
    </row>
    <row r="8050">
      <c r="AI8050" s="80"/>
    </row>
    <row r="8051">
      <c r="AI8051" s="80"/>
    </row>
    <row r="8052">
      <c r="AI8052" s="80"/>
    </row>
    <row r="8053">
      <c r="AI8053" s="80"/>
    </row>
    <row r="8054">
      <c r="AI8054" s="80"/>
    </row>
    <row r="8055">
      <c r="AI8055" s="80"/>
    </row>
    <row r="8056">
      <c r="AI8056" s="80"/>
    </row>
    <row r="8057">
      <c r="AI8057" s="80"/>
    </row>
    <row r="8058">
      <c r="AI8058" s="80"/>
    </row>
    <row r="8059">
      <c r="AI8059" s="80"/>
    </row>
    <row r="8060">
      <c r="AI8060" s="80"/>
    </row>
    <row r="8061">
      <c r="AI8061" s="80"/>
    </row>
    <row r="8062">
      <c r="AI8062" s="80"/>
    </row>
    <row r="8063">
      <c r="AI8063" s="80"/>
    </row>
    <row r="8064">
      <c r="AI8064" s="80"/>
    </row>
    <row r="8065">
      <c r="AI8065" s="80"/>
    </row>
    <row r="8066">
      <c r="AI8066" s="80"/>
    </row>
    <row r="8067">
      <c r="AI8067" s="80"/>
    </row>
    <row r="8068">
      <c r="AI8068" s="80"/>
    </row>
    <row r="8069">
      <c r="AI8069" s="80"/>
    </row>
    <row r="8070">
      <c r="AI8070" s="80"/>
    </row>
    <row r="8071">
      <c r="AI8071" s="80"/>
    </row>
    <row r="8072">
      <c r="AI8072" s="80"/>
    </row>
    <row r="8073">
      <c r="AI8073" s="80"/>
    </row>
    <row r="8074">
      <c r="AI8074" s="80"/>
    </row>
    <row r="8075">
      <c r="AI8075" s="80"/>
    </row>
    <row r="8076">
      <c r="AI8076" s="80"/>
    </row>
    <row r="8077">
      <c r="AI8077" s="80"/>
    </row>
    <row r="8078">
      <c r="AI8078" s="80"/>
    </row>
    <row r="8079">
      <c r="AI8079" s="80"/>
    </row>
    <row r="8080">
      <c r="AI8080" s="80"/>
    </row>
    <row r="8081">
      <c r="AI8081" s="80"/>
    </row>
    <row r="8082">
      <c r="AI8082" s="80"/>
    </row>
    <row r="8083">
      <c r="AI8083" s="80"/>
    </row>
    <row r="8084">
      <c r="AI8084" s="80"/>
    </row>
    <row r="8085">
      <c r="AI8085" s="80"/>
    </row>
    <row r="8086">
      <c r="AI8086" s="80"/>
    </row>
    <row r="8087">
      <c r="AI8087" s="80"/>
    </row>
    <row r="8088">
      <c r="AI8088" s="80"/>
    </row>
    <row r="8089">
      <c r="AI8089" s="80"/>
    </row>
    <row r="8090">
      <c r="AI8090" s="80"/>
    </row>
    <row r="8091">
      <c r="AI8091" s="80"/>
    </row>
    <row r="8092">
      <c r="AI8092" s="80"/>
    </row>
    <row r="8093">
      <c r="AI8093" s="80"/>
    </row>
    <row r="8094">
      <c r="AI8094" s="80"/>
    </row>
    <row r="8095">
      <c r="AI8095" s="80"/>
    </row>
    <row r="8096">
      <c r="AI8096" s="80"/>
    </row>
    <row r="8097">
      <c r="AI8097" s="80"/>
    </row>
    <row r="8098">
      <c r="AI8098" s="80"/>
    </row>
    <row r="8099">
      <c r="AI8099" s="80"/>
    </row>
    <row r="8100">
      <c r="AI8100" s="80"/>
    </row>
    <row r="8101">
      <c r="AI8101" s="80"/>
    </row>
    <row r="8102">
      <c r="AI8102" s="80"/>
    </row>
    <row r="8103">
      <c r="AI8103" s="80"/>
    </row>
    <row r="8104">
      <c r="AI8104" s="80"/>
    </row>
    <row r="8105">
      <c r="AI8105" s="80"/>
    </row>
    <row r="8106">
      <c r="AI8106" s="80"/>
    </row>
    <row r="8107">
      <c r="AI8107" s="80"/>
    </row>
    <row r="8108">
      <c r="AI8108" s="80"/>
    </row>
    <row r="8109">
      <c r="AI8109" s="80"/>
    </row>
    <row r="8110">
      <c r="AI8110" s="80"/>
    </row>
    <row r="8111">
      <c r="AI8111" s="80"/>
    </row>
    <row r="8112">
      <c r="AI8112" s="80"/>
    </row>
    <row r="8113">
      <c r="AI8113" s="80"/>
    </row>
    <row r="8114">
      <c r="AI8114" s="80"/>
    </row>
    <row r="8115">
      <c r="AI8115" s="80"/>
    </row>
    <row r="8116">
      <c r="AI8116" s="80"/>
    </row>
    <row r="8117">
      <c r="AI8117" s="80"/>
    </row>
    <row r="8118">
      <c r="AI8118" s="80"/>
    </row>
    <row r="8119">
      <c r="AI8119" s="80"/>
    </row>
    <row r="8120">
      <c r="AI8120" s="80"/>
    </row>
    <row r="8121">
      <c r="AI8121" s="80"/>
    </row>
    <row r="8122">
      <c r="AI8122" s="80"/>
    </row>
    <row r="8123">
      <c r="AI8123" s="80"/>
    </row>
    <row r="8124">
      <c r="AI8124" s="80"/>
    </row>
    <row r="8125">
      <c r="AI8125" s="80"/>
    </row>
    <row r="8126">
      <c r="AI8126" s="80"/>
    </row>
    <row r="8127">
      <c r="AI8127" s="80"/>
    </row>
    <row r="8128">
      <c r="AI8128" s="80"/>
    </row>
    <row r="8129">
      <c r="AI8129" s="80"/>
    </row>
    <row r="8130">
      <c r="AI8130" s="80"/>
    </row>
    <row r="8131">
      <c r="AI8131" s="80"/>
    </row>
    <row r="8132">
      <c r="AI8132" s="80"/>
    </row>
    <row r="8133">
      <c r="AI8133" s="80"/>
    </row>
    <row r="8134">
      <c r="AI8134" s="80"/>
    </row>
    <row r="8135">
      <c r="AI8135" s="80"/>
    </row>
    <row r="8136">
      <c r="AI8136" s="80"/>
    </row>
    <row r="8137">
      <c r="AI8137" s="80"/>
    </row>
    <row r="8138">
      <c r="AI8138" s="80"/>
    </row>
    <row r="8139">
      <c r="AI8139" s="80"/>
    </row>
    <row r="8140">
      <c r="AI8140" s="80"/>
    </row>
    <row r="8141">
      <c r="AI8141" s="80"/>
    </row>
    <row r="8142">
      <c r="AI8142" s="80"/>
    </row>
    <row r="8143">
      <c r="AI8143" s="80"/>
    </row>
    <row r="8144">
      <c r="AI8144" s="80"/>
    </row>
    <row r="8145">
      <c r="AI8145" s="80"/>
    </row>
    <row r="8146">
      <c r="AI8146" s="80"/>
    </row>
    <row r="8147">
      <c r="AI8147" s="80"/>
    </row>
    <row r="8148">
      <c r="AI8148" s="80"/>
    </row>
    <row r="8149">
      <c r="AI8149" s="80"/>
    </row>
    <row r="8150">
      <c r="AI8150" s="80"/>
    </row>
    <row r="8151">
      <c r="AI8151" s="80"/>
    </row>
    <row r="8152">
      <c r="AI8152" s="80"/>
    </row>
    <row r="8153">
      <c r="AI8153" s="80"/>
    </row>
    <row r="8154">
      <c r="AI8154" s="80"/>
    </row>
    <row r="8155">
      <c r="AI8155" s="80"/>
    </row>
    <row r="8156">
      <c r="AI8156" s="80"/>
    </row>
    <row r="8157">
      <c r="AI8157" s="80"/>
    </row>
    <row r="8158">
      <c r="AI8158" s="80"/>
    </row>
    <row r="8159">
      <c r="AI8159" s="80"/>
    </row>
    <row r="8160">
      <c r="AI8160" s="80"/>
    </row>
    <row r="8161">
      <c r="AI8161" s="80"/>
    </row>
    <row r="8162">
      <c r="AI8162" s="80"/>
    </row>
    <row r="8163">
      <c r="AI8163" s="80"/>
    </row>
    <row r="8164">
      <c r="AI8164" s="80"/>
    </row>
    <row r="8165">
      <c r="AI8165" s="80"/>
    </row>
    <row r="8166">
      <c r="AI8166" s="80"/>
    </row>
    <row r="8167">
      <c r="AI8167" s="80"/>
    </row>
    <row r="8168">
      <c r="AI8168" s="80"/>
    </row>
    <row r="8169">
      <c r="AI8169" s="80"/>
    </row>
    <row r="8170">
      <c r="AI8170" s="80"/>
    </row>
    <row r="8171">
      <c r="AI8171" s="80"/>
    </row>
    <row r="8172">
      <c r="AI8172" s="80"/>
    </row>
    <row r="8173">
      <c r="AI8173" s="80"/>
    </row>
    <row r="8174">
      <c r="AI8174" s="80"/>
    </row>
    <row r="8175">
      <c r="AI8175" s="80"/>
    </row>
    <row r="8176">
      <c r="AI8176" s="80"/>
    </row>
    <row r="8177">
      <c r="AI8177" s="80"/>
    </row>
    <row r="8178">
      <c r="AI8178" s="80"/>
    </row>
    <row r="8179">
      <c r="AI8179" s="80"/>
    </row>
    <row r="8180">
      <c r="AI8180" s="80"/>
    </row>
    <row r="8181">
      <c r="AI8181" s="80"/>
    </row>
    <row r="8182">
      <c r="AI8182" s="80"/>
    </row>
    <row r="8183">
      <c r="AI8183" s="80"/>
    </row>
    <row r="8184">
      <c r="AI8184" s="80"/>
    </row>
    <row r="8185">
      <c r="AI8185" s="80"/>
    </row>
    <row r="8186">
      <c r="AI8186" s="80"/>
    </row>
    <row r="8187">
      <c r="AI8187" s="80"/>
    </row>
    <row r="8188">
      <c r="AI8188" s="80"/>
    </row>
    <row r="8189">
      <c r="AI8189" s="80"/>
    </row>
    <row r="8190">
      <c r="AI8190" s="80"/>
    </row>
    <row r="8191">
      <c r="AI8191" s="80"/>
    </row>
    <row r="8192">
      <c r="AI8192" s="80"/>
    </row>
    <row r="8193">
      <c r="AI8193" s="80"/>
    </row>
    <row r="8194">
      <c r="AI8194" s="80"/>
    </row>
    <row r="8195">
      <c r="AI8195" s="80"/>
    </row>
    <row r="8196">
      <c r="AI8196" s="80"/>
    </row>
    <row r="8197">
      <c r="AI8197" s="80"/>
    </row>
    <row r="8198">
      <c r="AI8198" s="80"/>
    </row>
    <row r="8199">
      <c r="AI8199" s="80"/>
    </row>
    <row r="8200">
      <c r="AI8200" s="80"/>
    </row>
    <row r="8201">
      <c r="AI8201" s="80"/>
    </row>
    <row r="8202">
      <c r="AI8202" s="80"/>
    </row>
    <row r="8203">
      <c r="AI8203" s="80"/>
    </row>
    <row r="8204">
      <c r="AI8204" s="80"/>
    </row>
    <row r="8205">
      <c r="AI8205" s="80"/>
    </row>
    <row r="8206">
      <c r="AI8206" s="80"/>
    </row>
    <row r="8207">
      <c r="AI8207" s="80"/>
    </row>
    <row r="8208">
      <c r="AI8208" s="80"/>
    </row>
    <row r="8209">
      <c r="AI8209" s="80"/>
    </row>
    <row r="8210">
      <c r="AI8210" s="80"/>
    </row>
    <row r="8211">
      <c r="AI8211" s="80"/>
    </row>
    <row r="8212">
      <c r="AI8212" s="80"/>
    </row>
    <row r="8213">
      <c r="AI8213" s="80"/>
    </row>
    <row r="8214">
      <c r="AI8214" s="80"/>
    </row>
    <row r="8215">
      <c r="AI8215" s="80"/>
    </row>
    <row r="8216">
      <c r="AI8216" s="80"/>
    </row>
    <row r="8217">
      <c r="AI8217" s="80"/>
    </row>
    <row r="8218">
      <c r="AI8218" s="80"/>
    </row>
    <row r="8219">
      <c r="AI8219" s="80"/>
    </row>
    <row r="8220">
      <c r="AI8220" s="80"/>
    </row>
    <row r="8221">
      <c r="AI8221" s="80"/>
    </row>
    <row r="8222">
      <c r="AI8222" s="80"/>
    </row>
    <row r="8223">
      <c r="AI8223" s="80"/>
    </row>
    <row r="8224">
      <c r="AI8224" s="80"/>
    </row>
    <row r="8225">
      <c r="AI8225" s="80"/>
    </row>
    <row r="8226">
      <c r="AI8226" s="80"/>
    </row>
    <row r="8227">
      <c r="AI8227" s="80"/>
    </row>
    <row r="8228">
      <c r="AI8228" s="80"/>
    </row>
    <row r="8229">
      <c r="AI8229" s="80"/>
    </row>
    <row r="8230">
      <c r="AI8230" s="80"/>
    </row>
    <row r="8231">
      <c r="AI8231" s="80"/>
    </row>
    <row r="8232">
      <c r="AI8232" s="80"/>
    </row>
    <row r="8233">
      <c r="AI8233" s="80"/>
    </row>
    <row r="8234">
      <c r="AI8234" s="80"/>
    </row>
    <row r="8235">
      <c r="AI8235" s="80"/>
    </row>
    <row r="8236">
      <c r="AI8236" s="80"/>
    </row>
    <row r="8237">
      <c r="AI8237" s="80"/>
    </row>
    <row r="8238">
      <c r="AI8238" s="80"/>
    </row>
    <row r="8239">
      <c r="AI8239" s="80"/>
    </row>
    <row r="8240">
      <c r="AI8240" s="80"/>
    </row>
    <row r="8241">
      <c r="AI8241" s="80"/>
    </row>
    <row r="8242">
      <c r="AI8242" s="80"/>
    </row>
    <row r="8243">
      <c r="AI8243" s="80"/>
    </row>
    <row r="8244">
      <c r="AI8244" s="80"/>
    </row>
    <row r="8245">
      <c r="AI8245" s="80"/>
    </row>
    <row r="8246">
      <c r="AI8246" s="80"/>
    </row>
    <row r="8247">
      <c r="AI8247" s="80"/>
    </row>
    <row r="8248">
      <c r="AI8248" s="80"/>
    </row>
    <row r="8249">
      <c r="AI8249" s="80"/>
    </row>
    <row r="8250">
      <c r="AI8250" s="80"/>
    </row>
    <row r="8251">
      <c r="AI8251" s="80"/>
    </row>
    <row r="8252">
      <c r="AI8252" s="80"/>
    </row>
    <row r="8253">
      <c r="AI8253" s="80"/>
    </row>
    <row r="8254">
      <c r="AI8254" s="80"/>
    </row>
    <row r="8255">
      <c r="AI8255" s="80"/>
    </row>
    <row r="8256">
      <c r="AI8256" s="80"/>
    </row>
    <row r="8257">
      <c r="AI8257" s="80"/>
    </row>
    <row r="8258">
      <c r="AI8258" s="80"/>
    </row>
    <row r="8259">
      <c r="AI8259" s="80"/>
    </row>
    <row r="8260">
      <c r="AI8260" s="80"/>
    </row>
    <row r="8261">
      <c r="AI8261" s="80"/>
    </row>
    <row r="8262">
      <c r="AI8262" s="80"/>
    </row>
    <row r="8263">
      <c r="AI8263" s="80"/>
    </row>
    <row r="8264">
      <c r="AI8264" s="80"/>
    </row>
    <row r="8265">
      <c r="AI8265" s="80"/>
    </row>
    <row r="8266">
      <c r="AI8266" s="80"/>
    </row>
    <row r="8267">
      <c r="AI8267" s="80"/>
    </row>
    <row r="8268">
      <c r="AI8268" s="80"/>
    </row>
    <row r="8269">
      <c r="AI8269" s="80"/>
    </row>
    <row r="8270">
      <c r="AI8270" s="80"/>
    </row>
    <row r="8271">
      <c r="AI8271" s="80"/>
    </row>
    <row r="8272">
      <c r="AI8272" s="80"/>
    </row>
    <row r="8273">
      <c r="AI8273" s="80"/>
    </row>
    <row r="8274">
      <c r="AI8274" s="80"/>
    </row>
    <row r="8275">
      <c r="AI8275" s="80"/>
    </row>
    <row r="8276">
      <c r="AI8276" s="80"/>
    </row>
    <row r="8277">
      <c r="AI8277" s="80"/>
    </row>
    <row r="8278">
      <c r="AI8278" s="80"/>
    </row>
    <row r="8279">
      <c r="AI8279" s="80"/>
    </row>
    <row r="8280">
      <c r="AI8280" s="80"/>
    </row>
    <row r="8281">
      <c r="AI8281" s="80"/>
    </row>
    <row r="8282">
      <c r="AI8282" s="80"/>
    </row>
    <row r="8283">
      <c r="AI8283" s="80"/>
    </row>
    <row r="8284">
      <c r="AI8284" s="80"/>
    </row>
    <row r="8285">
      <c r="AI8285" s="80"/>
    </row>
    <row r="8286">
      <c r="AI8286" s="80"/>
    </row>
    <row r="8287">
      <c r="AI8287" s="80"/>
    </row>
    <row r="8288">
      <c r="AI8288" s="80"/>
    </row>
    <row r="8289">
      <c r="AI8289" s="80"/>
    </row>
    <row r="8290">
      <c r="AI8290" s="80"/>
    </row>
    <row r="8291">
      <c r="AI8291" s="80"/>
    </row>
    <row r="8292">
      <c r="AI8292" s="80"/>
    </row>
    <row r="8293">
      <c r="AI8293" s="80"/>
    </row>
    <row r="8294">
      <c r="AI8294" s="80"/>
    </row>
    <row r="8295">
      <c r="AI8295" s="80"/>
    </row>
    <row r="8296">
      <c r="AI8296" s="80"/>
    </row>
    <row r="8297">
      <c r="AI8297" s="80"/>
    </row>
    <row r="8298">
      <c r="AI8298" s="80"/>
    </row>
    <row r="8299">
      <c r="AI8299" s="80"/>
    </row>
    <row r="8300">
      <c r="AI8300" s="80"/>
    </row>
    <row r="8301">
      <c r="AI8301" s="80"/>
    </row>
    <row r="8302">
      <c r="AI8302" s="80"/>
    </row>
    <row r="8303">
      <c r="AI8303" s="80"/>
    </row>
    <row r="8304">
      <c r="AI8304" s="80"/>
    </row>
    <row r="8305">
      <c r="AI8305" s="80"/>
    </row>
    <row r="8306">
      <c r="AI8306" s="80"/>
    </row>
    <row r="8307">
      <c r="AI8307" s="80"/>
    </row>
    <row r="8308">
      <c r="AI8308" s="80"/>
    </row>
    <row r="8309">
      <c r="AI8309" s="80"/>
    </row>
    <row r="8310">
      <c r="AI8310" s="80"/>
    </row>
    <row r="8311">
      <c r="AI8311" s="80"/>
    </row>
    <row r="8312">
      <c r="AI8312" s="80"/>
    </row>
    <row r="8313">
      <c r="AI8313" s="80"/>
    </row>
    <row r="8314">
      <c r="AI8314" s="80"/>
    </row>
    <row r="8315">
      <c r="AI8315" s="80"/>
    </row>
    <row r="8316">
      <c r="AI8316" s="80"/>
    </row>
    <row r="8317">
      <c r="AI8317" s="80"/>
    </row>
    <row r="8318">
      <c r="AI8318" s="80"/>
    </row>
    <row r="8319">
      <c r="AI8319" s="80"/>
    </row>
    <row r="8320">
      <c r="AI8320" s="80"/>
    </row>
    <row r="8321">
      <c r="AI8321" s="80"/>
    </row>
    <row r="8322">
      <c r="AI8322" s="80"/>
    </row>
    <row r="8323">
      <c r="AI8323" s="80"/>
    </row>
    <row r="8324">
      <c r="AI8324" s="80"/>
    </row>
    <row r="8325">
      <c r="AI8325" s="80"/>
    </row>
    <row r="8326">
      <c r="AI8326" s="80"/>
    </row>
    <row r="8327">
      <c r="AI8327" s="80"/>
    </row>
    <row r="8328">
      <c r="AI8328" s="80"/>
    </row>
    <row r="8329">
      <c r="AI8329" s="80"/>
    </row>
    <row r="8330">
      <c r="AI8330" s="80"/>
    </row>
    <row r="8331">
      <c r="AI8331" s="80"/>
    </row>
    <row r="8332">
      <c r="AI8332" s="80"/>
    </row>
    <row r="8333">
      <c r="AI8333" s="80"/>
    </row>
    <row r="8334">
      <c r="AI8334" s="80"/>
    </row>
    <row r="8335">
      <c r="AI8335" s="80"/>
    </row>
    <row r="8336">
      <c r="AI8336" s="80"/>
    </row>
    <row r="8337">
      <c r="AI8337" s="80"/>
    </row>
    <row r="8338">
      <c r="AI8338" s="80"/>
    </row>
    <row r="8339">
      <c r="AI8339" s="80"/>
    </row>
    <row r="8340">
      <c r="AI8340" s="80"/>
    </row>
    <row r="8341">
      <c r="AI8341" s="80"/>
    </row>
    <row r="8342">
      <c r="AI8342" s="80"/>
    </row>
    <row r="8343">
      <c r="AI8343" s="80"/>
    </row>
    <row r="8344">
      <c r="AI8344" s="80"/>
    </row>
    <row r="8345">
      <c r="AI8345" s="80"/>
    </row>
    <row r="8346">
      <c r="AI8346" s="80"/>
    </row>
    <row r="8347">
      <c r="AI8347" s="80"/>
    </row>
    <row r="8348">
      <c r="AI8348" s="80"/>
    </row>
    <row r="8349">
      <c r="AI8349" s="80"/>
    </row>
    <row r="8350">
      <c r="AI8350" s="80"/>
    </row>
    <row r="8351">
      <c r="AI8351" s="80"/>
    </row>
    <row r="8352">
      <c r="AI8352" s="80"/>
    </row>
    <row r="8353">
      <c r="AI8353" s="80"/>
    </row>
    <row r="8354">
      <c r="AI8354" s="80"/>
    </row>
    <row r="8355">
      <c r="AI8355" s="80"/>
    </row>
    <row r="8356">
      <c r="AI8356" s="80"/>
    </row>
    <row r="8357">
      <c r="AI8357" s="80"/>
    </row>
    <row r="8358">
      <c r="AI8358" s="80"/>
    </row>
    <row r="8359">
      <c r="AI8359" s="80"/>
    </row>
    <row r="8360">
      <c r="AI8360" s="80"/>
    </row>
    <row r="8361">
      <c r="AI8361" s="80"/>
    </row>
    <row r="8362">
      <c r="AI8362" s="80"/>
    </row>
    <row r="8363">
      <c r="AI8363" s="80"/>
    </row>
    <row r="8364">
      <c r="AI8364" s="80"/>
    </row>
    <row r="8365">
      <c r="AI8365" s="80"/>
    </row>
    <row r="8366">
      <c r="AI8366" s="80"/>
    </row>
    <row r="8367">
      <c r="AI8367" s="80"/>
    </row>
    <row r="8368">
      <c r="AI8368" s="80"/>
    </row>
    <row r="8369">
      <c r="AI8369" s="80"/>
    </row>
    <row r="8370">
      <c r="AI8370" s="80"/>
    </row>
    <row r="8371">
      <c r="AI8371" s="80"/>
    </row>
    <row r="8372">
      <c r="AI8372" s="80"/>
    </row>
    <row r="8373">
      <c r="AI8373" s="80"/>
    </row>
    <row r="8374">
      <c r="AI8374" s="80"/>
    </row>
    <row r="8375">
      <c r="AI8375" s="80"/>
    </row>
    <row r="8376">
      <c r="AI8376" s="80"/>
    </row>
    <row r="8377">
      <c r="AI8377" s="80"/>
    </row>
    <row r="8378">
      <c r="AI8378" s="80"/>
    </row>
    <row r="8379">
      <c r="AI8379" s="80"/>
    </row>
    <row r="8380">
      <c r="AI8380" s="80"/>
    </row>
    <row r="8381">
      <c r="AI8381" s="80"/>
    </row>
    <row r="8382">
      <c r="AI8382" s="80"/>
    </row>
    <row r="8383">
      <c r="AI8383" s="80"/>
    </row>
    <row r="8384">
      <c r="AI8384" s="80"/>
    </row>
    <row r="8385">
      <c r="AI8385" s="80"/>
    </row>
    <row r="8386">
      <c r="AI8386" s="80"/>
    </row>
    <row r="8387">
      <c r="AI8387" s="80"/>
    </row>
    <row r="8388">
      <c r="AI8388" s="80"/>
    </row>
    <row r="8389">
      <c r="AI8389" s="80"/>
    </row>
    <row r="8390">
      <c r="AI8390" s="80"/>
    </row>
    <row r="8391">
      <c r="AI8391" s="80"/>
    </row>
    <row r="8392">
      <c r="AI8392" s="80"/>
    </row>
    <row r="8393">
      <c r="AI8393" s="80"/>
    </row>
    <row r="8394">
      <c r="AI8394" s="80"/>
    </row>
    <row r="8395">
      <c r="AI8395" s="80"/>
    </row>
    <row r="8396">
      <c r="AI8396" s="80"/>
    </row>
    <row r="8397">
      <c r="AI8397" s="80"/>
    </row>
    <row r="8398">
      <c r="AI8398" s="80"/>
    </row>
    <row r="8399">
      <c r="AI8399" s="80"/>
    </row>
    <row r="8400">
      <c r="AI8400" s="80"/>
    </row>
    <row r="8401">
      <c r="AI8401" s="80"/>
    </row>
    <row r="8402">
      <c r="AI8402" s="80"/>
    </row>
    <row r="8403">
      <c r="AI8403" s="80"/>
    </row>
    <row r="8404">
      <c r="AI8404" s="80"/>
    </row>
    <row r="8405">
      <c r="AI8405" s="80"/>
    </row>
    <row r="8406">
      <c r="AI8406" s="80"/>
    </row>
    <row r="8407">
      <c r="AI8407" s="80"/>
    </row>
    <row r="8408">
      <c r="AI8408" s="80"/>
    </row>
    <row r="8409">
      <c r="AI8409" s="80"/>
    </row>
    <row r="8410">
      <c r="AI8410" s="80"/>
    </row>
    <row r="8411">
      <c r="AI8411" s="80"/>
    </row>
    <row r="8412">
      <c r="AI8412" s="80"/>
    </row>
    <row r="8413">
      <c r="AI8413" s="80"/>
    </row>
    <row r="8414">
      <c r="AI8414" s="80"/>
    </row>
    <row r="8415">
      <c r="AI8415" s="80"/>
    </row>
    <row r="8416">
      <c r="AI8416" s="80"/>
    </row>
    <row r="8417">
      <c r="AI8417" s="80"/>
    </row>
    <row r="8418">
      <c r="AI8418" s="80"/>
    </row>
    <row r="8419">
      <c r="AI8419" s="80"/>
    </row>
    <row r="8420">
      <c r="AI8420" s="80"/>
    </row>
    <row r="8421">
      <c r="AI8421" s="80"/>
    </row>
    <row r="8422">
      <c r="AI8422" s="80"/>
    </row>
    <row r="8423">
      <c r="AI8423" s="80"/>
    </row>
    <row r="8424">
      <c r="AI8424" s="80"/>
    </row>
    <row r="8425">
      <c r="AI8425" s="80"/>
    </row>
    <row r="8426">
      <c r="AI8426" s="80"/>
    </row>
    <row r="8427">
      <c r="AI8427" s="80"/>
    </row>
    <row r="8428">
      <c r="AI8428" s="80"/>
    </row>
    <row r="8429">
      <c r="AI8429" s="80"/>
    </row>
    <row r="8430">
      <c r="AI8430" s="80"/>
    </row>
    <row r="8431">
      <c r="AI8431" s="80"/>
    </row>
    <row r="8432">
      <c r="AI8432" s="80"/>
    </row>
    <row r="8433">
      <c r="AI8433" s="80"/>
    </row>
    <row r="8434">
      <c r="AI8434" s="80"/>
    </row>
    <row r="8435">
      <c r="AI8435" s="80"/>
    </row>
    <row r="8436">
      <c r="AI8436" s="80"/>
    </row>
    <row r="8437">
      <c r="AI8437" s="80"/>
    </row>
    <row r="8438">
      <c r="AI8438" s="80"/>
    </row>
    <row r="8439">
      <c r="AI8439" s="80"/>
    </row>
    <row r="8440">
      <c r="AI8440" s="80"/>
    </row>
    <row r="8441">
      <c r="AI8441" s="80"/>
    </row>
    <row r="8442">
      <c r="AI8442" s="80"/>
    </row>
    <row r="8443">
      <c r="AI8443" s="80"/>
    </row>
    <row r="8444">
      <c r="AI8444" s="80"/>
    </row>
    <row r="8445">
      <c r="AI8445" s="80"/>
    </row>
    <row r="8446">
      <c r="AI8446" s="80"/>
    </row>
    <row r="8447">
      <c r="AI8447" s="80"/>
    </row>
    <row r="8448">
      <c r="AI8448" s="80"/>
    </row>
    <row r="8449">
      <c r="AI8449" s="80"/>
    </row>
    <row r="8450">
      <c r="AI8450" s="80"/>
    </row>
    <row r="8451">
      <c r="AI8451" s="80"/>
    </row>
    <row r="8452">
      <c r="AI8452" s="80"/>
    </row>
    <row r="8453">
      <c r="AI8453" s="80"/>
    </row>
    <row r="8454">
      <c r="AI8454" s="80"/>
    </row>
    <row r="8455">
      <c r="AI8455" s="80"/>
    </row>
    <row r="8456">
      <c r="AI8456" s="80"/>
    </row>
    <row r="8457">
      <c r="AI8457" s="80"/>
    </row>
    <row r="8458">
      <c r="AI8458" s="80"/>
    </row>
    <row r="8459">
      <c r="AI8459" s="80"/>
    </row>
    <row r="8460">
      <c r="AI8460" s="80"/>
    </row>
    <row r="8461">
      <c r="AI8461" s="80"/>
    </row>
    <row r="8462">
      <c r="AI8462" s="80"/>
    </row>
    <row r="8463">
      <c r="AI8463" s="80"/>
    </row>
    <row r="8464">
      <c r="AI8464" s="80"/>
    </row>
    <row r="8465">
      <c r="AI8465" s="80"/>
    </row>
    <row r="8466">
      <c r="AI8466" s="80"/>
    </row>
    <row r="8467">
      <c r="AI8467" s="80"/>
    </row>
    <row r="8468">
      <c r="AI8468" s="80"/>
    </row>
    <row r="8469">
      <c r="AI8469" s="80"/>
    </row>
    <row r="8470">
      <c r="AI8470" s="80"/>
    </row>
    <row r="8471">
      <c r="AI8471" s="80"/>
    </row>
    <row r="8472">
      <c r="AI8472" s="80"/>
    </row>
    <row r="8473">
      <c r="AI8473" s="80"/>
    </row>
    <row r="8474">
      <c r="AI8474" s="80"/>
    </row>
    <row r="8475">
      <c r="AI8475" s="80"/>
    </row>
    <row r="8476">
      <c r="AI8476" s="80"/>
    </row>
    <row r="8477">
      <c r="AI8477" s="80"/>
    </row>
    <row r="8478">
      <c r="AI8478" s="80"/>
    </row>
    <row r="8479">
      <c r="AI8479" s="80"/>
    </row>
    <row r="8480">
      <c r="AI8480" s="80"/>
    </row>
    <row r="8481">
      <c r="AI8481" s="80"/>
    </row>
    <row r="8482">
      <c r="AI8482" s="80"/>
    </row>
    <row r="8483">
      <c r="AI8483" s="80"/>
    </row>
    <row r="8484">
      <c r="AI8484" s="80"/>
    </row>
    <row r="8485">
      <c r="AI8485" s="80"/>
    </row>
    <row r="8486">
      <c r="AI8486" s="80"/>
    </row>
    <row r="8487">
      <c r="AI8487" s="80"/>
    </row>
    <row r="8488">
      <c r="AI8488" s="80"/>
    </row>
    <row r="8489">
      <c r="AI8489" s="80"/>
    </row>
    <row r="8490">
      <c r="AI8490" s="80"/>
    </row>
    <row r="8491">
      <c r="AI8491" s="80"/>
    </row>
    <row r="8492">
      <c r="AI8492" s="80"/>
    </row>
    <row r="8493">
      <c r="AI8493" s="80"/>
    </row>
    <row r="8494">
      <c r="AI8494" s="80"/>
    </row>
    <row r="8495">
      <c r="AI8495" s="80"/>
    </row>
    <row r="8496">
      <c r="AI8496" s="80"/>
    </row>
    <row r="8497">
      <c r="AI8497" s="80"/>
    </row>
    <row r="8498">
      <c r="AI8498" s="80"/>
    </row>
    <row r="8499">
      <c r="AI8499" s="80"/>
    </row>
    <row r="8500">
      <c r="AI8500" s="80"/>
    </row>
    <row r="8501">
      <c r="AI8501" s="80"/>
    </row>
    <row r="8502">
      <c r="AI8502" s="80"/>
    </row>
    <row r="8503">
      <c r="AI8503" s="80"/>
    </row>
    <row r="8504">
      <c r="AI8504" s="80"/>
    </row>
    <row r="8505">
      <c r="AI8505" s="80"/>
    </row>
    <row r="8506">
      <c r="AI8506" s="80"/>
    </row>
    <row r="8507">
      <c r="AI8507" s="80"/>
    </row>
    <row r="8508">
      <c r="AI8508" s="80"/>
    </row>
    <row r="8509">
      <c r="AI8509" s="80"/>
    </row>
    <row r="8510">
      <c r="AI8510" s="80"/>
    </row>
    <row r="8511">
      <c r="AI8511" s="80"/>
    </row>
    <row r="8512">
      <c r="AI8512" s="80"/>
    </row>
    <row r="8513">
      <c r="AI8513" s="80"/>
    </row>
    <row r="8514">
      <c r="AI8514" s="80"/>
    </row>
    <row r="8515">
      <c r="AI8515" s="80"/>
    </row>
    <row r="8516">
      <c r="AI8516" s="80"/>
    </row>
    <row r="8517">
      <c r="AI8517" s="80"/>
    </row>
    <row r="8518">
      <c r="AI8518" s="80"/>
    </row>
    <row r="8519">
      <c r="AI8519" s="80"/>
    </row>
    <row r="8520">
      <c r="AI8520" s="80"/>
    </row>
    <row r="8521">
      <c r="AI8521" s="80"/>
    </row>
    <row r="8522">
      <c r="AI8522" s="80"/>
    </row>
    <row r="8523">
      <c r="AI8523" s="80"/>
    </row>
    <row r="8524">
      <c r="AI8524" s="80"/>
    </row>
    <row r="8525">
      <c r="AI8525" s="80"/>
    </row>
    <row r="8526">
      <c r="AI8526" s="80"/>
    </row>
    <row r="8527">
      <c r="AI8527" s="80"/>
    </row>
    <row r="8528">
      <c r="AI8528" s="80"/>
    </row>
    <row r="8529">
      <c r="AI8529" s="80"/>
    </row>
    <row r="8530">
      <c r="AI8530" s="80"/>
    </row>
    <row r="8531">
      <c r="AI8531" s="80"/>
    </row>
    <row r="8532">
      <c r="AI8532" s="80"/>
    </row>
    <row r="8533">
      <c r="AI8533" s="80"/>
    </row>
    <row r="8534">
      <c r="AI8534" s="80"/>
    </row>
    <row r="8535">
      <c r="AI8535" s="80"/>
    </row>
    <row r="8536">
      <c r="AI8536" s="80"/>
    </row>
    <row r="8537">
      <c r="AI8537" s="80"/>
    </row>
    <row r="8538">
      <c r="AI8538" s="80"/>
    </row>
    <row r="8539">
      <c r="AI8539" s="80"/>
    </row>
    <row r="8540">
      <c r="AI8540" s="80"/>
    </row>
    <row r="8541">
      <c r="AI8541" s="80"/>
    </row>
    <row r="8542">
      <c r="AI8542" s="80"/>
    </row>
    <row r="8543">
      <c r="AI8543" s="80"/>
    </row>
    <row r="8544">
      <c r="AI8544" s="80"/>
    </row>
    <row r="8545">
      <c r="AI8545" s="80"/>
    </row>
    <row r="8546">
      <c r="AI8546" s="80"/>
    </row>
    <row r="8547">
      <c r="AI8547" s="80"/>
    </row>
    <row r="8548">
      <c r="AI8548" s="80"/>
    </row>
    <row r="8549">
      <c r="AI8549" s="80"/>
    </row>
    <row r="8550">
      <c r="AI8550" s="80"/>
    </row>
    <row r="8551">
      <c r="AI8551" s="80"/>
    </row>
    <row r="8552">
      <c r="AI8552" s="80"/>
    </row>
    <row r="8553">
      <c r="AI8553" s="80"/>
    </row>
    <row r="8554">
      <c r="AI8554" s="80"/>
    </row>
    <row r="8555">
      <c r="AI8555" s="80"/>
    </row>
    <row r="8556">
      <c r="AI8556" s="80"/>
    </row>
    <row r="8557">
      <c r="AI8557" s="80"/>
    </row>
    <row r="8558">
      <c r="AI8558" s="80"/>
    </row>
    <row r="8559">
      <c r="AI8559" s="80"/>
    </row>
    <row r="8560">
      <c r="AI8560" s="80"/>
    </row>
    <row r="8561">
      <c r="AI8561" s="80"/>
    </row>
    <row r="8562">
      <c r="AI8562" s="80"/>
    </row>
    <row r="8563">
      <c r="AI8563" s="80"/>
    </row>
    <row r="8564">
      <c r="AI8564" s="80"/>
    </row>
    <row r="8565">
      <c r="AI8565" s="80"/>
    </row>
    <row r="8566">
      <c r="AI8566" s="80"/>
    </row>
    <row r="8567">
      <c r="AI8567" s="80"/>
    </row>
    <row r="8568">
      <c r="AI8568" s="80"/>
    </row>
    <row r="8569">
      <c r="AI8569" s="80"/>
    </row>
    <row r="8570">
      <c r="AI8570" s="80"/>
    </row>
    <row r="8571">
      <c r="AI8571" s="80"/>
    </row>
    <row r="8572">
      <c r="AI8572" s="80"/>
    </row>
    <row r="8573">
      <c r="AI8573" s="80"/>
    </row>
    <row r="8574">
      <c r="AI8574" s="80"/>
    </row>
    <row r="8575">
      <c r="AI8575" s="80"/>
    </row>
    <row r="8576">
      <c r="AI8576" s="80"/>
    </row>
    <row r="8577">
      <c r="AI8577" s="80"/>
    </row>
    <row r="8578">
      <c r="AI8578" s="80"/>
    </row>
    <row r="8579">
      <c r="AI8579" s="80"/>
    </row>
    <row r="8580">
      <c r="AI8580" s="80"/>
    </row>
    <row r="8581">
      <c r="AI8581" s="80"/>
    </row>
    <row r="8582">
      <c r="AI8582" s="80"/>
    </row>
    <row r="8583">
      <c r="AI8583" s="80"/>
    </row>
    <row r="8584">
      <c r="AI8584" s="80"/>
    </row>
    <row r="8585">
      <c r="AI8585" s="80"/>
    </row>
    <row r="8586">
      <c r="AI8586" s="80"/>
    </row>
    <row r="8587">
      <c r="AI8587" s="80"/>
    </row>
    <row r="8588">
      <c r="AI8588" s="80"/>
    </row>
    <row r="8589">
      <c r="AI8589" s="80"/>
    </row>
    <row r="8590">
      <c r="AI8590" s="80"/>
    </row>
    <row r="8591">
      <c r="AI8591" s="80"/>
    </row>
    <row r="8592">
      <c r="AI8592" s="80"/>
    </row>
    <row r="8593">
      <c r="AI8593" s="80"/>
    </row>
    <row r="8594">
      <c r="AI8594" s="80"/>
    </row>
    <row r="8595">
      <c r="AI8595" s="80"/>
    </row>
    <row r="8596">
      <c r="AI8596" s="80"/>
    </row>
    <row r="8597">
      <c r="AI8597" s="80"/>
    </row>
    <row r="8598">
      <c r="AI8598" s="80"/>
    </row>
    <row r="8599">
      <c r="AI8599" s="80"/>
    </row>
    <row r="8600">
      <c r="AI8600" s="80"/>
    </row>
    <row r="8601">
      <c r="AI8601" s="80"/>
    </row>
    <row r="8602">
      <c r="AI8602" s="80"/>
    </row>
    <row r="8603">
      <c r="AI8603" s="80"/>
    </row>
    <row r="8604">
      <c r="AI8604" s="80"/>
    </row>
    <row r="8605">
      <c r="AI8605" s="80"/>
    </row>
    <row r="8606">
      <c r="AI8606" s="80"/>
    </row>
    <row r="8607">
      <c r="AI8607" s="80"/>
    </row>
    <row r="8608">
      <c r="AI8608" s="80"/>
    </row>
    <row r="8609">
      <c r="AI8609" s="80"/>
    </row>
    <row r="8610">
      <c r="AI8610" s="80"/>
    </row>
    <row r="8611">
      <c r="AI8611" s="80"/>
    </row>
    <row r="8612">
      <c r="AI8612" s="80"/>
    </row>
    <row r="8613">
      <c r="AI8613" s="80"/>
    </row>
    <row r="8614">
      <c r="AI8614" s="80"/>
    </row>
    <row r="8615">
      <c r="AI8615" s="80"/>
    </row>
    <row r="8616">
      <c r="AI8616" s="80"/>
    </row>
    <row r="8617">
      <c r="AI8617" s="80"/>
    </row>
    <row r="8618">
      <c r="AI8618" s="80"/>
    </row>
    <row r="8619">
      <c r="AI8619" s="80"/>
    </row>
    <row r="8620">
      <c r="AI8620" s="80"/>
    </row>
    <row r="8621">
      <c r="AI8621" s="80"/>
    </row>
    <row r="8622">
      <c r="AI8622" s="80"/>
    </row>
    <row r="8623">
      <c r="AI8623" s="80"/>
    </row>
    <row r="8624">
      <c r="AI8624" s="80"/>
    </row>
    <row r="8625">
      <c r="AI8625" s="80"/>
    </row>
    <row r="8626">
      <c r="AI8626" s="80"/>
    </row>
    <row r="8627">
      <c r="AI8627" s="80"/>
    </row>
    <row r="8628">
      <c r="AI8628" s="80"/>
    </row>
    <row r="8629">
      <c r="AI8629" s="80"/>
    </row>
    <row r="8630">
      <c r="AI8630" s="80"/>
    </row>
    <row r="8631">
      <c r="AI8631" s="80"/>
    </row>
    <row r="8632">
      <c r="AI8632" s="80"/>
    </row>
    <row r="8633">
      <c r="AI8633" s="80"/>
    </row>
    <row r="8634">
      <c r="AI8634" s="80"/>
    </row>
    <row r="8635">
      <c r="AI8635" s="80"/>
    </row>
    <row r="8636">
      <c r="AI8636" s="80"/>
    </row>
    <row r="8637">
      <c r="AI8637" s="80"/>
    </row>
    <row r="8638">
      <c r="AI8638" s="80"/>
    </row>
    <row r="8639">
      <c r="AI8639" s="80"/>
    </row>
    <row r="8640">
      <c r="AI8640" s="80"/>
    </row>
    <row r="8641">
      <c r="AI8641" s="80"/>
    </row>
    <row r="8642">
      <c r="AI8642" s="80"/>
    </row>
    <row r="8643">
      <c r="AI8643" s="80"/>
    </row>
    <row r="8644">
      <c r="AI8644" s="80"/>
    </row>
    <row r="8645">
      <c r="AI8645" s="80"/>
    </row>
    <row r="8646">
      <c r="AI8646" s="80"/>
    </row>
    <row r="8647">
      <c r="AI8647" s="80"/>
    </row>
    <row r="8648">
      <c r="AI8648" s="80"/>
    </row>
    <row r="8649">
      <c r="AI8649" s="80"/>
    </row>
    <row r="8650">
      <c r="AI8650" s="80"/>
    </row>
    <row r="8651">
      <c r="AI8651" s="80"/>
    </row>
    <row r="8652">
      <c r="AI8652" s="80"/>
    </row>
    <row r="8653">
      <c r="AI8653" s="80"/>
    </row>
    <row r="8654">
      <c r="AI8654" s="80"/>
    </row>
    <row r="8655">
      <c r="AI8655" s="80"/>
    </row>
    <row r="8656">
      <c r="AI8656" s="80"/>
    </row>
    <row r="8657">
      <c r="AI8657" s="80"/>
    </row>
    <row r="8658">
      <c r="AI8658" s="80"/>
    </row>
    <row r="8659">
      <c r="AI8659" s="80"/>
    </row>
    <row r="8660">
      <c r="AI8660" s="80"/>
    </row>
    <row r="8661">
      <c r="AI8661" s="80"/>
    </row>
    <row r="8662">
      <c r="AI8662" s="80"/>
    </row>
    <row r="8663">
      <c r="AI8663" s="80"/>
    </row>
    <row r="8664">
      <c r="AI8664" s="80"/>
    </row>
    <row r="8665">
      <c r="AI8665" s="80"/>
    </row>
    <row r="8666">
      <c r="AI8666" s="80"/>
    </row>
    <row r="8667">
      <c r="AI8667" s="80"/>
    </row>
    <row r="8668">
      <c r="AI8668" s="80"/>
    </row>
    <row r="8669">
      <c r="AI8669" s="80"/>
    </row>
    <row r="8670">
      <c r="AI8670" s="80"/>
    </row>
    <row r="8671">
      <c r="AI8671" s="80"/>
    </row>
    <row r="8672">
      <c r="AI8672" s="80"/>
    </row>
    <row r="8673">
      <c r="AI8673" s="80"/>
    </row>
    <row r="8674">
      <c r="AI8674" s="80"/>
    </row>
    <row r="8675">
      <c r="AI8675" s="80"/>
    </row>
    <row r="8676">
      <c r="AI8676" s="80"/>
    </row>
    <row r="8677">
      <c r="AI8677" s="80"/>
    </row>
    <row r="8678">
      <c r="AI8678" s="80"/>
    </row>
    <row r="8679">
      <c r="AI8679" s="80"/>
    </row>
    <row r="8680">
      <c r="AI8680" s="80"/>
    </row>
    <row r="8681">
      <c r="AI8681" s="80"/>
    </row>
    <row r="8682">
      <c r="AI8682" s="80"/>
    </row>
    <row r="8683">
      <c r="AI8683" s="80"/>
    </row>
    <row r="8684">
      <c r="AI8684" s="80"/>
    </row>
    <row r="8685">
      <c r="AI8685" s="80"/>
    </row>
    <row r="8686">
      <c r="AI8686" s="80"/>
    </row>
    <row r="8687">
      <c r="AI8687" s="80"/>
    </row>
    <row r="8688">
      <c r="AI8688" s="80"/>
    </row>
    <row r="8689">
      <c r="AI8689" s="80"/>
    </row>
    <row r="8690">
      <c r="AI8690" s="80"/>
    </row>
    <row r="8691">
      <c r="AI8691" s="80"/>
    </row>
    <row r="8692">
      <c r="AI8692" s="80"/>
    </row>
    <row r="8693">
      <c r="AI8693" s="80"/>
    </row>
    <row r="8694">
      <c r="AI8694" s="80"/>
    </row>
    <row r="8695">
      <c r="AI8695" s="80"/>
    </row>
    <row r="8696">
      <c r="AI8696" s="80"/>
    </row>
    <row r="8697">
      <c r="AI8697" s="80"/>
    </row>
    <row r="8698">
      <c r="AI8698" s="80"/>
    </row>
    <row r="8699">
      <c r="AI8699" s="80"/>
    </row>
    <row r="8700">
      <c r="AI8700" s="80"/>
    </row>
    <row r="8701">
      <c r="AI8701" s="80"/>
    </row>
    <row r="8702">
      <c r="AI8702" s="80"/>
    </row>
    <row r="8703">
      <c r="AI8703" s="80"/>
    </row>
    <row r="8704">
      <c r="AI8704" s="80"/>
    </row>
    <row r="8705">
      <c r="AI8705" s="80"/>
    </row>
    <row r="8706">
      <c r="AI8706" s="80"/>
    </row>
    <row r="8707">
      <c r="AI8707" s="80"/>
    </row>
    <row r="8708">
      <c r="AI8708" s="80"/>
    </row>
    <row r="8709">
      <c r="AI8709" s="80"/>
    </row>
    <row r="8710">
      <c r="AI8710" s="80"/>
    </row>
    <row r="8711">
      <c r="AI8711" s="80"/>
    </row>
    <row r="8712">
      <c r="AI8712" s="80"/>
    </row>
    <row r="8713">
      <c r="AI8713" s="80"/>
    </row>
    <row r="8714">
      <c r="AI8714" s="80"/>
    </row>
    <row r="8715">
      <c r="AI8715" s="80"/>
    </row>
    <row r="8716">
      <c r="AI8716" s="80"/>
    </row>
    <row r="8717">
      <c r="AI8717" s="80"/>
    </row>
    <row r="8718">
      <c r="AI8718" s="80"/>
    </row>
    <row r="8719">
      <c r="AI8719" s="80"/>
    </row>
    <row r="8720">
      <c r="AI8720" s="80"/>
    </row>
    <row r="8721">
      <c r="AI8721" s="80"/>
    </row>
    <row r="8722">
      <c r="AI8722" s="80"/>
    </row>
    <row r="8723">
      <c r="AI8723" s="80"/>
    </row>
    <row r="8724">
      <c r="AI8724" s="80"/>
    </row>
    <row r="8725">
      <c r="AI8725" s="80"/>
    </row>
    <row r="8726">
      <c r="AI8726" s="80"/>
    </row>
    <row r="8727">
      <c r="AI8727" s="80"/>
    </row>
    <row r="8728">
      <c r="AI8728" s="80"/>
    </row>
    <row r="8729">
      <c r="AI8729" s="80"/>
    </row>
    <row r="8730">
      <c r="AI8730" s="80"/>
    </row>
    <row r="8731">
      <c r="AI8731" s="80"/>
    </row>
    <row r="8732">
      <c r="AI8732" s="80"/>
    </row>
    <row r="8733">
      <c r="AI8733" s="80"/>
    </row>
    <row r="8734">
      <c r="AI8734" s="80"/>
    </row>
    <row r="8735">
      <c r="AI8735" s="80"/>
    </row>
    <row r="8736">
      <c r="AI8736" s="80"/>
    </row>
    <row r="8737">
      <c r="AI8737" s="80"/>
    </row>
    <row r="8738">
      <c r="AI8738" s="80"/>
    </row>
    <row r="8739">
      <c r="AI8739" s="80"/>
    </row>
    <row r="8740">
      <c r="AI8740" s="80"/>
    </row>
    <row r="8741">
      <c r="AI8741" s="80"/>
    </row>
    <row r="8742">
      <c r="AI8742" s="80"/>
    </row>
    <row r="8743">
      <c r="AI8743" s="80"/>
    </row>
    <row r="8744">
      <c r="AI8744" s="80"/>
    </row>
    <row r="8745">
      <c r="AI8745" s="80"/>
    </row>
    <row r="8746">
      <c r="AI8746" s="80"/>
    </row>
    <row r="8747">
      <c r="AI8747" s="80"/>
    </row>
    <row r="8748">
      <c r="AI8748" s="80"/>
    </row>
    <row r="8749">
      <c r="AI8749" s="80"/>
    </row>
    <row r="8750">
      <c r="AI8750" s="80"/>
    </row>
    <row r="8751">
      <c r="AI8751" s="80"/>
    </row>
    <row r="8752">
      <c r="AI8752" s="80"/>
    </row>
    <row r="8753">
      <c r="AI8753" s="80"/>
    </row>
    <row r="8754">
      <c r="AI8754" s="80"/>
    </row>
    <row r="8755">
      <c r="AI8755" s="80"/>
    </row>
    <row r="8756">
      <c r="AI8756" s="80"/>
    </row>
    <row r="8757">
      <c r="AI8757" s="80"/>
    </row>
    <row r="8758">
      <c r="AI8758" s="80"/>
    </row>
    <row r="8759">
      <c r="AI8759" s="80"/>
    </row>
    <row r="8760">
      <c r="AI8760" s="80"/>
    </row>
    <row r="8761">
      <c r="AI8761" s="80"/>
    </row>
    <row r="8762">
      <c r="AI8762" s="80"/>
    </row>
    <row r="8763">
      <c r="AI8763" s="80"/>
    </row>
    <row r="8764">
      <c r="AI8764" s="80"/>
    </row>
    <row r="8765">
      <c r="AI8765" s="80"/>
    </row>
    <row r="8766">
      <c r="AI8766" s="80"/>
    </row>
    <row r="8767">
      <c r="AI8767" s="80"/>
    </row>
    <row r="8768">
      <c r="AI8768" s="80"/>
    </row>
    <row r="8769">
      <c r="AI8769" s="80"/>
    </row>
    <row r="8770">
      <c r="AI8770" s="80"/>
    </row>
    <row r="8771">
      <c r="AI8771" s="80"/>
    </row>
    <row r="8772">
      <c r="AI8772" s="80"/>
    </row>
    <row r="8773">
      <c r="AI8773" s="80"/>
    </row>
    <row r="8774">
      <c r="AI8774" s="80"/>
    </row>
    <row r="8775">
      <c r="AI8775" s="80"/>
    </row>
    <row r="8776">
      <c r="AI8776" s="80"/>
    </row>
    <row r="8777">
      <c r="AI8777" s="80"/>
    </row>
    <row r="8778">
      <c r="AI8778" s="80"/>
    </row>
    <row r="8779">
      <c r="AI8779" s="80"/>
    </row>
    <row r="8780">
      <c r="AI8780" s="80"/>
    </row>
    <row r="8781">
      <c r="AI8781" s="80"/>
    </row>
    <row r="8782">
      <c r="AI8782" s="80"/>
    </row>
    <row r="8783">
      <c r="AI8783" s="80"/>
    </row>
    <row r="8784">
      <c r="AI8784" s="80"/>
    </row>
    <row r="8785">
      <c r="AI8785" s="80"/>
    </row>
    <row r="8786">
      <c r="AI8786" s="80"/>
    </row>
    <row r="8787">
      <c r="AI8787" s="80"/>
    </row>
    <row r="8788">
      <c r="AI8788" s="80"/>
    </row>
    <row r="8789">
      <c r="AI8789" s="80"/>
    </row>
    <row r="8790">
      <c r="AI8790" s="80"/>
    </row>
    <row r="8791">
      <c r="AI8791" s="80"/>
    </row>
    <row r="8792">
      <c r="AI8792" s="80"/>
    </row>
    <row r="8793">
      <c r="AI8793" s="80"/>
    </row>
    <row r="8794">
      <c r="AI8794" s="80"/>
    </row>
    <row r="8795">
      <c r="AI8795" s="80"/>
    </row>
    <row r="8796">
      <c r="AI8796" s="80"/>
    </row>
    <row r="8797">
      <c r="AI8797" s="80"/>
    </row>
    <row r="8798">
      <c r="AI8798" s="80"/>
    </row>
    <row r="8799">
      <c r="AI8799" s="80"/>
    </row>
    <row r="8800">
      <c r="AI8800" s="80"/>
    </row>
    <row r="8801">
      <c r="AI8801" s="80"/>
    </row>
    <row r="8802">
      <c r="AI8802" s="80"/>
    </row>
    <row r="8803">
      <c r="AI8803" s="80"/>
    </row>
    <row r="8804">
      <c r="AI8804" s="80"/>
    </row>
    <row r="8805">
      <c r="AI8805" s="80"/>
    </row>
    <row r="8806">
      <c r="AI8806" s="80"/>
    </row>
    <row r="8807">
      <c r="AI8807" s="80"/>
    </row>
    <row r="8808">
      <c r="AI8808" s="80"/>
    </row>
    <row r="8809">
      <c r="AI8809" s="80"/>
    </row>
    <row r="8810">
      <c r="AI8810" s="80"/>
    </row>
    <row r="8811">
      <c r="AI8811" s="80"/>
    </row>
    <row r="8812">
      <c r="AI8812" s="80"/>
    </row>
    <row r="8813">
      <c r="AI8813" s="80"/>
    </row>
    <row r="8814">
      <c r="AI8814" s="80"/>
    </row>
    <row r="8815">
      <c r="AI8815" s="80"/>
    </row>
    <row r="8816">
      <c r="AI8816" s="80"/>
    </row>
    <row r="8817">
      <c r="AI8817" s="80"/>
    </row>
    <row r="8818">
      <c r="AI8818" s="80"/>
    </row>
    <row r="8819">
      <c r="AI8819" s="80"/>
    </row>
    <row r="8820">
      <c r="AI8820" s="80"/>
    </row>
    <row r="8821">
      <c r="AI8821" s="80"/>
    </row>
    <row r="8822">
      <c r="AI8822" s="80"/>
    </row>
    <row r="8823">
      <c r="AI8823" s="80"/>
    </row>
    <row r="8824">
      <c r="AI8824" s="80"/>
    </row>
    <row r="8825">
      <c r="AI8825" s="80"/>
    </row>
    <row r="8826">
      <c r="AI8826" s="80"/>
    </row>
    <row r="8827">
      <c r="AI8827" s="80"/>
    </row>
    <row r="8828">
      <c r="AI8828" s="80"/>
    </row>
    <row r="8829">
      <c r="AI8829" s="80"/>
    </row>
    <row r="8830">
      <c r="AI8830" s="80"/>
    </row>
    <row r="8831">
      <c r="AI8831" s="80"/>
    </row>
    <row r="8832">
      <c r="AI8832" s="80"/>
    </row>
    <row r="8833">
      <c r="AI8833" s="80"/>
    </row>
    <row r="8834">
      <c r="AI8834" s="80"/>
    </row>
    <row r="8835">
      <c r="AI8835" s="80"/>
    </row>
    <row r="8836">
      <c r="AI8836" s="80"/>
    </row>
    <row r="8837">
      <c r="AI8837" s="80"/>
    </row>
    <row r="8838">
      <c r="AI8838" s="80"/>
    </row>
    <row r="8839">
      <c r="AI8839" s="80"/>
    </row>
    <row r="8840">
      <c r="AI8840" s="80"/>
    </row>
    <row r="8841">
      <c r="AI8841" s="80"/>
    </row>
    <row r="8842">
      <c r="AI8842" s="80"/>
    </row>
    <row r="8843">
      <c r="AI8843" s="80"/>
    </row>
    <row r="8844">
      <c r="AI8844" s="80"/>
    </row>
    <row r="8845">
      <c r="AI8845" s="80"/>
    </row>
    <row r="8846">
      <c r="AI8846" s="80"/>
    </row>
    <row r="8847">
      <c r="AI8847" s="80"/>
    </row>
    <row r="8848">
      <c r="AI8848" s="80"/>
    </row>
    <row r="8849">
      <c r="AI8849" s="80"/>
    </row>
    <row r="8850">
      <c r="AI8850" s="80"/>
    </row>
    <row r="8851">
      <c r="AI8851" s="80"/>
    </row>
    <row r="8852">
      <c r="AI8852" s="80"/>
    </row>
    <row r="8853">
      <c r="AI8853" s="80"/>
    </row>
    <row r="8854">
      <c r="AI8854" s="80"/>
    </row>
    <row r="8855">
      <c r="AI8855" s="80"/>
    </row>
    <row r="8856">
      <c r="AI8856" s="80"/>
    </row>
    <row r="8857">
      <c r="AI8857" s="80"/>
    </row>
    <row r="8858">
      <c r="AI8858" s="80"/>
    </row>
    <row r="8859">
      <c r="AI8859" s="80"/>
    </row>
    <row r="8860">
      <c r="AI8860" s="80"/>
    </row>
    <row r="8861">
      <c r="AI8861" s="80"/>
    </row>
    <row r="8862">
      <c r="AI8862" s="80"/>
    </row>
    <row r="8863">
      <c r="AI8863" s="80"/>
    </row>
    <row r="8864">
      <c r="AI8864" s="80"/>
    </row>
    <row r="8865">
      <c r="AI8865" s="80"/>
    </row>
    <row r="8866">
      <c r="AI8866" s="80"/>
    </row>
    <row r="8867">
      <c r="AI8867" s="80"/>
    </row>
    <row r="8868">
      <c r="AI8868" s="80"/>
    </row>
    <row r="8869">
      <c r="AI8869" s="80"/>
    </row>
    <row r="8870">
      <c r="AI8870" s="80"/>
    </row>
    <row r="8871">
      <c r="AI8871" s="80"/>
    </row>
    <row r="8872">
      <c r="AI8872" s="80"/>
    </row>
    <row r="8873">
      <c r="AI8873" s="80"/>
    </row>
    <row r="8874">
      <c r="AI8874" s="80"/>
    </row>
    <row r="8875">
      <c r="AI8875" s="80"/>
    </row>
    <row r="8876">
      <c r="AI8876" s="80"/>
    </row>
    <row r="8877">
      <c r="AI8877" s="80"/>
    </row>
    <row r="8878">
      <c r="AI8878" s="80"/>
    </row>
    <row r="8879">
      <c r="AI8879" s="80"/>
    </row>
    <row r="8880">
      <c r="AI8880" s="80"/>
    </row>
    <row r="8881">
      <c r="AI8881" s="80"/>
    </row>
    <row r="8882">
      <c r="AI8882" s="80"/>
    </row>
    <row r="8883">
      <c r="AI8883" s="80"/>
    </row>
    <row r="8884">
      <c r="AI8884" s="80"/>
    </row>
    <row r="8885">
      <c r="AI8885" s="80"/>
    </row>
    <row r="8886">
      <c r="AI8886" s="80"/>
    </row>
    <row r="8887">
      <c r="AI8887" s="80"/>
    </row>
    <row r="8888">
      <c r="AI8888" s="80"/>
    </row>
    <row r="8889">
      <c r="AI8889" s="80"/>
    </row>
    <row r="8890">
      <c r="AI8890" s="80"/>
    </row>
    <row r="8891">
      <c r="AI8891" s="80"/>
    </row>
    <row r="8892">
      <c r="AI8892" s="80"/>
    </row>
    <row r="8893">
      <c r="AI8893" s="80"/>
    </row>
    <row r="8894">
      <c r="AI8894" s="80"/>
    </row>
    <row r="8895">
      <c r="AI8895" s="80"/>
    </row>
    <row r="8896">
      <c r="AI8896" s="80"/>
    </row>
    <row r="8897">
      <c r="AI8897" s="80"/>
    </row>
    <row r="8898">
      <c r="AI8898" s="80"/>
    </row>
    <row r="8899">
      <c r="AI8899" s="80"/>
    </row>
    <row r="8900">
      <c r="AI8900" s="80"/>
    </row>
    <row r="8901">
      <c r="AI8901" s="80"/>
    </row>
    <row r="8902">
      <c r="AI8902" s="80"/>
    </row>
    <row r="8903">
      <c r="AI8903" s="80"/>
    </row>
    <row r="8904">
      <c r="AI8904" s="80"/>
    </row>
    <row r="8905">
      <c r="AI8905" s="80"/>
    </row>
    <row r="8906">
      <c r="AI8906" s="80"/>
    </row>
    <row r="8907">
      <c r="AI8907" s="80"/>
    </row>
    <row r="8908">
      <c r="AI8908" s="80"/>
    </row>
    <row r="8909">
      <c r="AI8909" s="80"/>
    </row>
    <row r="8910">
      <c r="AI8910" s="80"/>
    </row>
    <row r="8911">
      <c r="AI8911" s="80"/>
    </row>
    <row r="8912">
      <c r="AI8912" s="80"/>
    </row>
    <row r="8913">
      <c r="AI8913" s="80"/>
    </row>
    <row r="8914">
      <c r="AI8914" s="80"/>
    </row>
    <row r="8915">
      <c r="AI8915" s="80"/>
    </row>
    <row r="8916">
      <c r="AI8916" s="80"/>
    </row>
    <row r="8917">
      <c r="AI8917" s="80"/>
    </row>
    <row r="8918">
      <c r="AI8918" s="80"/>
    </row>
    <row r="8919">
      <c r="AI8919" s="80"/>
    </row>
    <row r="8920">
      <c r="AI8920" s="80"/>
    </row>
    <row r="8921">
      <c r="AI8921" s="80"/>
    </row>
    <row r="8922">
      <c r="AI8922" s="80"/>
    </row>
    <row r="8923">
      <c r="AI8923" s="80"/>
    </row>
    <row r="8924">
      <c r="AI8924" s="80"/>
    </row>
    <row r="8925">
      <c r="AI8925" s="80"/>
    </row>
    <row r="8926">
      <c r="AI8926" s="80"/>
    </row>
    <row r="8927">
      <c r="AI8927" s="80"/>
    </row>
    <row r="8928">
      <c r="AI8928" s="80"/>
    </row>
    <row r="8929">
      <c r="AI8929" s="80"/>
    </row>
    <row r="8930">
      <c r="AI8930" s="80"/>
    </row>
    <row r="8931">
      <c r="AI8931" s="80"/>
    </row>
    <row r="8932">
      <c r="AI8932" s="80"/>
    </row>
    <row r="8933">
      <c r="AI8933" s="80"/>
    </row>
    <row r="8934">
      <c r="AI8934" s="80"/>
    </row>
    <row r="8935">
      <c r="AI8935" s="80"/>
    </row>
    <row r="8936">
      <c r="AI8936" s="80"/>
    </row>
    <row r="8937">
      <c r="AI8937" s="80"/>
    </row>
    <row r="8938">
      <c r="AI8938" s="80"/>
    </row>
    <row r="8939">
      <c r="AI8939" s="80"/>
    </row>
    <row r="8940">
      <c r="AI8940" s="80"/>
    </row>
    <row r="8941">
      <c r="AI8941" s="80"/>
    </row>
    <row r="8942">
      <c r="AI8942" s="80"/>
    </row>
    <row r="8943">
      <c r="AI8943" s="80"/>
    </row>
    <row r="8944">
      <c r="AI8944" s="80"/>
    </row>
    <row r="8945">
      <c r="AI8945" s="80"/>
    </row>
    <row r="8946">
      <c r="AI8946" s="80"/>
    </row>
    <row r="8947">
      <c r="AI8947" s="80"/>
    </row>
    <row r="8948">
      <c r="AI8948" s="80"/>
    </row>
    <row r="8949">
      <c r="AI8949" s="80"/>
    </row>
    <row r="8950">
      <c r="AI8950" s="80"/>
    </row>
    <row r="8951">
      <c r="AI8951" s="80"/>
    </row>
    <row r="8952">
      <c r="AI8952" s="80"/>
    </row>
    <row r="8953">
      <c r="AI8953" s="80"/>
    </row>
    <row r="8954">
      <c r="AI8954" s="80"/>
    </row>
    <row r="8955">
      <c r="AI8955" s="80"/>
    </row>
    <row r="8956">
      <c r="AI8956" s="80"/>
    </row>
    <row r="8957">
      <c r="AI8957" s="80"/>
    </row>
    <row r="8958">
      <c r="AI8958" s="80"/>
    </row>
    <row r="8959">
      <c r="AI8959" s="80"/>
    </row>
    <row r="8960">
      <c r="AI8960" s="80"/>
    </row>
    <row r="8961">
      <c r="AI8961" s="80"/>
    </row>
    <row r="8962">
      <c r="AI8962" s="80"/>
    </row>
    <row r="8963">
      <c r="AI8963" s="80"/>
    </row>
    <row r="8964">
      <c r="AI8964" s="80"/>
    </row>
    <row r="8965">
      <c r="AI8965" s="80"/>
    </row>
    <row r="8966">
      <c r="AI8966" s="80"/>
    </row>
    <row r="8967">
      <c r="AI8967" s="80"/>
    </row>
    <row r="8968">
      <c r="AI8968" s="80"/>
    </row>
    <row r="8969">
      <c r="AI8969" s="80"/>
    </row>
    <row r="8970">
      <c r="AI8970" s="80"/>
    </row>
    <row r="8971">
      <c r="AI8971" s="80"/>
    </row>
    <row r="8972">
      <c r="AI8972" s="80"/>
    </row>
    <row r="8973">
      <c r="AI8973" s="80"/>
    </row>
    <row r="8974">
      <c r="AI8974" s="80"/>
    </row>
    <row r="8975">
      <c r="AI8975" s="80"/>
    </row>
    <row r="8976">
      <c r="AI8976" s="80"/>
    </row>
    <row r="8977">
      <c r="AI8977" s="80"/>
    </row>
    <row r="8978">
      <c r="AI8978" s="80"/>
    </row>
    <row r="8979">
      <c r="AI8979" s="80"/>
    </row>
    <row r="8980">
      <c r="AI8980" s="80"/>
    </row>
    <row r="8981">
      <c r="AI8981" s="80"/>
    </row>
    <row r="8982">
      <c r="AI8982" s="80"/>
    </row>
    <row r="8983">
      <c r="AI8983" s="80"/>
    </row>
    <row r="8984">
      <c r="AI8984" s="80"/>
    </row>
    <row r="8985">
      <c r="AI8985" s="80"/>
    </row>
    <row r="8986">
      <c r="AI8986" s="80"/>
    </row>
    <row r="8987">
      <c r="AI8987" s="80"/>
    </row>
    <row r="8988">
      <c r="AI8988" s="80"/>
    </row>
    <row r="8989">
      <c r="AI8989" s="80"/>
    </row>
    <row r="8990">
      <c r="AI8990" s="80"/>
    </row>
    <row r="8991">
      <c r="AI8991" s="80"/>
    </row>
    <row r="8992">
      <c r="AI8992" s="80"/>
    </row>
    <row r="8993">
      <c r="AI8993" s="80"/>
    </row>
    <row r="8994">
      <c r="AI8994" s="80"/>
    </row>
    <row r="8995">
      <c r="AI8995" s="80"/>
    </row>
    <row r="8996">
      <c r="AI8996" s="80"/>
    </row>
    <row r="8997">
      <c r="AI8997" s="80"/>
    </row>
    <row r="8998">
      <c r="AI8998" s="80"/>
    </row>
    <row r="8999">
      <c r="AI8999" s="80"/>
    </row>
    <row r="9000">
      <c r="AI9000" s="80"/>
    </row>
    <row r="9001">
      <c r="AI9001" s="80"/>
    </row>
    <row r="9002">
      <c r="AI9002" s="80"/>
    </row>
    <row r="9003">
      <c r="AI9003" s="80"/>
    </row>
    <row r="9004">
      <c r="AI9004" s="80"/>
    </row>
    <row r="9005">
      <c r="AI9005" s="80"/>
    </row>
    <row r="9006">
      <c r="AI9006" s="80"/>
    </row>
    <row r="9007">
      <c r="AI9007" s="80"/>
    </row>
    <row r="9008">
      <c r="AI9008" s="80"/>
    </row>
    <row r="9009">
      <c r="AI9009" s="80"/>
    </row>
    <row r="9010">
      <c r="AI9010" s="80"/>
    </row>
    <row r="9011">
      <c r="AI9011" s="80"/>
    </row>
    <row r="9012">
      <c r="AI9012" s="80"/>
    </row>
    <row r="9013">
      <c r="AI9013" s="80"/>
    </row>
    <row r="9014">
      <c r="AI9014" s="80"/>
    </row>
    <row r="9015">
      <c r="AI9015" s="80"/>
    </row>
    <row r="9016">
      <c r="AI9016" s="80"/>
    </row>
    <row r="9017">
      <c r="AI9017" s="80"/>
    </row>
    <row r="9018">
      <c r="AI9018" s="80"/>
    </row>
    <row r="9019">
      <c r="AI9019" s="80"/>
    </row>
    <row r="9020">
      <c r="AI9020" s="80"/>
    </row>
    <row r="9021">
      <c r="AI9021" s="80"/>
    </row>
    <row r="9022">
      <c r="AI9022" s="80"/>
    </row>
    <row r="9023">
      <c r="AI9023" s="80"/>
    </row>
    <row r="9024">
      <c r="AI9024" s="80"/>
    </row>
    <row r="9025">
      <c r="AI9025" s="80"/>
    </row>
    <row r="9026">
      <c r="AI9026" s="80"/>
    </row>
    <row r="9027">
      <c r="AI9027" s="80"/>
    </row>
    <row r="9028">
      <c r="AI9028" s="80"/>
    </row>
    <row r="9029">
      <c r="AI9029" s="80"/>
    </row>
    <row r="9030">
      <c r="AI9030" s="80"/>
    </row>
    <row r="9031">
      <c r="AI9031" s="80"/>
    </row>
    <row r="9032">
      <c r="AI9032" s="80"/>
    </row>
    <row r="9033">
      <c r="AI9033" s="80"/>
    </row>
    <row r="9034">
      <c r="AI9034" s="80"/>
    </row>
    <row r="9035">
      <c r="AI9035" s="80"/>
    </row>
    <row r="9036">
      <c r="AI9036" s="80"/>
    </row>
    <row r="9037">
      <c r="AI9037" s="80"/>
    </row>
    <row r="9038">
      <c r="AI9038" s="80"/>
    </row>
    <row r="9039">
      <c r="AI9039" s="80"/>
    </row>
    <row r="9040">
      <c r="AI9040" s="80"/>
    </row>
    <row r="9041">
      <c r="AI9041" s="80"/>
    </row>
    <row r="9042">
      <c r="AI9042" s="80"/>
    </row>
    <row r="9043">
      <c r="AI9043" s="80"/>
    </row>
    <row r="9044">
      <c r="AI9044" s="80"/>
    </row>
    <row r="9045">
      <c r="AI9045" s="80"/>
    </row>
    <row r="9046">
      <c r="AI9046" s="80"/>
    </row>
    <row r="9047">
      <c r="AI9047" s="80"/>
    </row>
    <row r="9048">
      <c r="AI9048" s="80"/>
    </row>
    <row r="9049">
      <c r="AI9049" s="80"/>
    </row>
    <row r="9050">
      <c r="AI9050" s="80"/>
    </row>
    <row r="9051">
      <c r="AI9051" s="80"/>
    </row>
    <row r="9052">
      <c r="AI9052" s="80"/>
    </row>
    <row r="9053">
      <c r="AI9053" s="80"/>
    </row>
    <row r="9054">
      <c r="AI9054" s="80"/>
    </row>
    <row r="9055">
      <c r="AI9055" s="80"/>
    </row>
    <row r="9056">
      <c r="AI9056" s="80"/>
    </row>
    <row r="9057">
      <c r="AI9057" s="80"/>
    </row>
    <row r="9058">
      <c r="AI9058" s="80"/>
    </row>
    <row r="9059">
      <c r="AI9059" s="80"/>
    </row>
    <row r="9060">
      <c r="AI9060" s="80"/>
    </row>
    <row r="9061">
      <c r="AI9061" s="80"/>
    </row>
    <row r="9062">
      <c r="AI9062" s="80"/>
    </row>
    <row r="9063">
      <c r="AI9063" s="80"/>
    </row>
    <row r="9064">
      <c r="AI9064" s="80"/>
    </row>
    <row r="9065">
      <c r="AI9065" s="80"/>
    </row>
    <row r="9066">
      <c r="AI9066" s="80"/>
    </row>
    <row r="9067">
      <c r="AI9067" s="80"/>
    </row>
    <row r="9068">
      <c r="AI9068" s="80"/>
    </row>
    <row r="9069">
      <c r="AI9069" s="80"/>
    </row>
    <row r="9070">
      <c r="AI9070" s="80"/>
    </row>
    <row r="9071">
      <c r="AI9071" s="80"/>
    </row>
    <row r="9072">
      <c r="AI9072" s="80"/>
    </row>
    <row r="9073">
      <c r="AI9073" s="80"/>
    </row>
    <row r="9074">
      <c r="AI9074" s="80"/>
    </row>
    <row r="9075">
      <c r="AI9075" s="80"/>
    </row>
    <row r="9076">
      <c r="AI9076" s="80"/>
    </row>
    <row r="9077">
      <c r="AI9077" s="80"/>
    </row>
    <row r="9078">
      <c r="AI9078" s="80"/>
    </row>
    <row r="9079">
      <c r="AI9079" s="80"/>
    </row>
    <row r="9080">
      <c r="AI9080" s="80"/>
    </row>
    <row r="9081">
      <c r="AI9081" s="80"/>
    </row>
    <row r="9082">
      <c r="AI9082" s="80"/>
    </row>
    <row r="9083">
      <c r="AI9083" s="80"/>
    </row>
    <row r="9084">
      <c r="AI9084" s="80"/>
    </row>
    <row r="9085">
      <c r="AI9085" s="80"/>
    </row>
    <row r="9086">
      <c r="AI9086" s="80"/>
    </row>
    <row r="9087">
      <c r="AI9087" s="80"/>
    </row>
    <row r="9088">
      <c r="AI9088" s="80"/>
    </row>
    <row r="9089">
      <c r="AI9089" s="80"/>
    </row>
    <row r="9090">
      <c r="AI9090" s="80"/>
    </row>
    <row r="9091">
      <c r="AI9091" s="80"/>
    </row>
    <row r="9092">
      <c r="AI9092" s="80"/>
    </row>
    <row r="9093">
      <c r="AI9093" s="80"/>
    </row>
    <row r="9094">
      <c r="AI9094" s="80"/>
    </row>
    <row r="9095">
      <c r="AI9095" s="80"/>
    </row>
    <row r="9096">
      <c r="AI9096" s="80"/>
    </row>
    <row r="9097">
      <c r="AI9097" s="80"/>
    </row>
    <row r="9098">
      <c r="AI9098" s="80"/>
    </row>
    <row r="9099">
      <c r="AI9099" s="80"/>
    </row>
    <row r="9100">
      <c r="AI9100" s="80"/>
    </row>
    <row r="9101">
      <c r="AI9101" s="80"/>
    </row>
    <row r="9102">
      <c r="AI9102" s="80"/>
    </row>
    <row r="9103">
      <c r="AI9103" s="80"/>
    </row>
    <row r="9104">
      <c r="AI9104" s="80"/>
    </row>
    <row r="9105">
      <c r="AI9105" s="80"/>
    </row>
    <row r="9106">
      <c r="AI9106" s="80"/>
    </row>
    <row r="9107">
      <c r="AI9107" s="80"/>
    </row>
    <row r="9108">
      <c r="AI9108" s="80"/>
    </row>
    <row r="9109">
      <c r="AI9109" s="80"/>
    </row>
    <row r="9110">
      <c r="AI9110" s="80"/>
    </row>
    <row r="9111">
      <c r="AI9111" s="80"/>
    </row>
    <row r="9112">
      <c r="AI9112" s="80"/>
    </row>
    <row r="9113">
      <c r="AI9113" s="80"/>
    </row>
    <row r="9114">
      <c r="AI9114" s="80"/>
    </row>
    <row r="9115">
      <c r="AI9115" s="80"/>
    </row>
    <row r="9116">
      <c r="AI9116" s="80"/>
    </row>
    <row r="9117">
      <c r="AI9117" s="80"/>
    </row>
    <row r="9118">
      <c r="AI9118" s="80"/>
    </row>
    <row r="9119">
      <c r="AI9119" s="80"/>
    </row>
    <row r="9120">
      <c r="AI9120" s="80"/>
    </row>
    <row r="9121">
      <c r="AI9121" s="80"/>
    </row>
    <row r="9122">
      <c r="AI9122" s="80"/>
    </row>
    <row r="9123">
      <c r="AI9123" s="80"/>
    </row>
    <row r="9124">
      <c r="AI9124" s="80"/>
    </row>
    <row r="9125">
      <c r="AI9125" s="80"/>
    </row>
    <row r="9126">
      <c r="AI9126" s="80"/>
    </row>
    <row r="9127">
      <c r="AI9127" s="80"/>
    </row>
    <row r="9128">
      <c r="AI9128" s="80"/>
    </row>
    <row r="9129">
      <c r="AI9129" s="80"/>
    </row>
    <row r="9130">
      <c r="AI9130" s="80"/>
    </row>
    <row r="9131">
      <c r="AI9131" s="80"/>
    </row>
    <row r="9132">
      <c r="AI9132" s="80"/>
    </row>
    <row r="9133">
      <c r="AI9133" s="80"/>
    </row>
    <row r="9134">
      <c r="AI9134" s="80"/>
    </row>
    <row r="9135">
      <c r="AI9135" s="80"/>
    </row>
    <row r="9136">
      <c r="AI9136" s="80"/>
    </row>
    <row r="9137">
      <c r="AI9137" s="80"/>
    </row>
    <row r="9138">
      <c r="AI9138" s="80"/>
    </row>
    <row r="9139">
      <c r="AI9139" s="80"/>
    </row>
    <row r="9140">
      <c r="AI9140" s="80"/>
    </row>
    <row r="9141">
      <c r="AI9141" s="80"/>
    </row>
    <row r="9142">
      <c r="AI9142" s="80"/>
    </row>
    <row r="9143">
      <c r="AI9143" s="80"/>
    </row>
    <row r="9144">
      <c r="AI9144" s="80"/>
    </row>
    <row r="9145">
      <c r="AI9145" s="80"/>
    </row>
    <row r="9146">
      <c r="AI9146" s="80"/>
    </row>
    <row r="9147">
      <c r="AI9147" s="80"/>
    </row>
    <row r="9148">
      <c r="AI9148" s="80"/>
    </row>
    <row r="9149">
      <c r="AI9149" s="80"/>
    </row>
    <row r="9150">
      <c r="AI9150" s="80"/>
    </row>
    <row r="9151">
      <c r="AI9151" s="80"/>
    </row>
    <row r="9152">
      <c r="AI9152" s="80"/>
    </row>
    <row r="9153">
      <c r="AI9153" s="80"/>
    </row>
    <row r="9154">
      <c r="AI9154" s="80"/>
    </row>
    <row r="9155">
      <c r="AI9155" s="80"/>
    </row>
    <row r="9156">
      <c r="AI9156" s="80"/>
    </row>
    <row r="9157">
      <c r="AI9157" s="80"/>
    </row>
    <row r="9158">
      <c r="AI9158" s="80"/>
    </row>
    <row r="9159">
      <c r="AI9159" s="80"/>
    </row>
    <row r="9160">
      <c r="AI9160" s="80"/>
    </row>
    <row r="9161">
      <c r="AI9161" s="80"/>
    </row>
    <row r="9162">
      <c r="AI9162" s="80"/>
    </row>
    <row r="9163">
      <c r="AI9163" s="80"/>
    </row>
    <row r="9164">
      <c r="AI9164" s="80"/>
    </row>
    <row r="9165">
      <c r="AI9165" s="80"/>
    </row>
    <row r="9166">
      <c r="AI9166" s="80"/>
    </row>
    <row r="9167">
      <c r="AI9167" s="80"/>
    </row>
    <row r="9168">
      <c r="AI9168" s="80"/>
    </row>
    <row r="9169">
      <c r="AI9169" s="80"/>
    </row>
    <row r="9170">
      <c r="AI9170" s="80"/>
    </row>
    <row r="9171">
      <c r="AI9171" s="80"/>
    </row>
    <row r="9172">
      <c r="AI9172" s="80"/>
    </row>
    <row r="9173">
      <c r="AI9173" s="80"/>
    </row>
    <row r="9174">
      <c r="AI9174" s="80"/>
    </row>
    <row r="9175">
      <c r="AI9175" s="80"/>
    </row>
    <row r="9176">
      <c r="AI9176" s="80"/>
    </row>
    <row r="9177">
      <c r="AI9177" s="80"/>
    </row>
    <row r="9178">
      <c r="AI9178" s="80"/>
    </row>
    <row r="9179">
      <c r="AI9179" s="80"/>
    </row>
    <row r="9180">
      <c r="AI9180" s="80"/>
    </row>
    <row r="9181">
      <c r="AI9181" s="80"/>
    </row>
    <row r="9182">
      <c r="AI9182" s="80"/>
    </row>
    <row r="9183">
      <c r="AI9183" s="80"/>
    </row>
    <row r="9184">
      <c r="AI9184" s="80"/>
    </row>
    <row r="9185">
      <c r="AI9185" s="80"/>
    </row>
    <row r="9186">
      <c r="AI9186" s="80"/>
    </row>
    <row r="9187">
      <c r="AI9187" s="80"/>
    </row>
    <row r="9188">
      <c r="AI9188" s="80"/>
    </row>
    <row r="9189">
      <c r="AI9189" s="80"/>
    </row>
    <row r="9190">
      <c r="AI9190" s="80"/>
    </row>
    <row r="9191">
      <c r="AI9191" s="80"/>
    </row>
    <row r="9192">
      <c r="AI9192" s="80"/>
    </row>
    <row r="9193">
      <c r="AI9193" s="80"/>
    </row>
    <row r="9194">
      <c r="AI9194" s="80"/>
    </row>
    <row r="9195">
      <c r="AI9195" s="80"/>
    </row>
    <row r="9196">
      <c r="AI9196" s="80"/>
    </row>
    <row r="9197">
      <c r="AI9197" s="80"/>
    </row>
    <row r="9198">
      <c r="AI9198" s="80"/>
    </row>
    <row r="9199">
      <c r="AI9199" s="80"/>
    </row>
    <row r="9200">
      <c r="AI9200" s="80"/>
    </row>
    <row r="9201">
      <c r="AI9201" s="80"/>
    </row>
    <row r="9202">
      <c r="AI9202" s="80"/>
    </row>
    <row r="9203">
      <c r="AI9203" s="80"/>
    </row>
    <row r="9204">
      <c r="AI9204" s="80"/>
    </row>
    <row r="9205">
      <c r="AI9205" s="80"/>
    </row>
    <row r="9206">
      <c r="AI9206" s="80"/>
    </row>
    <row r="9207">
      <c r="AI9207" s="80"/>
    </row>
    <row r="9208">
      <c r="AI9208" s="80"/>
    </row>
    <row r="9209">
      <c r="AI9209" s="80"/>
    </row>
    <row r="9210">
      <c r="AI9210" s="80"/>
    </row>
    <row r="9211">
      <c r="AI9211" s="80"/>
    </row>
    <row r="9212">
      <c r="AI9212" s="80"/>
    </row>
    <row r="9213">
      <c r="AI9213" s="80"/>
    </row>
    <row r="9214">
      <c r="AI9214" s="80"/>
    </row>
    <row r="9215">
      <c r="AI9215" s="80"/>
    </row>
    <row r="9216">
      <c r="AI9216" s="80"/>
    </row>
    <row r="9217">
      <c r="AI9217" s="80"/>
    </row>
    <row r="9218">
      <c r="AI9218" s="80"/>
    </row>
    <row r="9219">
      <c r="AI9219" s="80"/>
    </row>
    <row r="9220">
      <c r="AI9220" s="80"/>
    </row>
    <row r="9221">
      <c r="AI9221" s="80"/>
    </row>
    <row r="9222">
      <c r="AI9222" s="80"/>
    </row>
    <row r="9223">
      <c r="AI9223" s="80"/>
    </row>
    <row r="9224">
      <c r="AI9224" s="80"/>
    </row>
    <row r="9225">
      <c r="AI9225" s="80"/>
    </row>
    <row r="9226">
      <c r="AI9226" s="80"/>
    </row>
    <row r="9227">
      <c r="AI9227" s="80"/>
    </row>
    <row r="9228">
      <c r="AI9228" s="80"/>
    </row>
    <row r="9229">
      <c r="AI9229" s="80"/>
    </row>
    <row r="9230">
      <c r="AI9230" s="80"/>
    </row>
    <row r="9231">
      <c r="AI9231" s="80"/>
    </row>
    <row r="9232">
      <c r="AI9232" s="80"/>
    </row>
    <row r="9233">
      <c r="AI9233" s="80"/>
    </row>
    <row r="9234">
      <c r="AI9234" s="80"/>
    </row>
    <row r="9235">
      <c r="AI9235" s="80"/>
    </row>
    <row r="9236">
      <c r="AI9236" s="80"/>
    </row>
    <row r="9237">
      <c r="AI9237" s="80"/>
    </row>
    <row r="9238">
      <c r="AI9238" s="80"/>
    </row>
    <row r="9239">
      <c r="AI9239" s="80"/>
    </row>
    <row r="9240">
      <c r="AI9240" s="80"/>
    </row>
    <row r="9241">
      <c r="AI9241" s="80"/>
    </row>
    <row r="9242">
      <c r="AI9242" s="80"/>
    </row>
    <row r="9243">
      <c r="AI9243" s="80"/>
    </row>
    <row r="9244">
      <c r="AI9244" s="80"/>
    </row>
    <row r="9245">
      <c r="AI9245" s="80"/>
    </row>
    <row r="9246">
      <c r="AI9246" s="80"/>
    </row>
    <row r="9247">
      <c r="AI9247" s="80"/>
    </row>
    <row r="9248">
      <c r="AI9248" s="80"/>
    </row>
    <row r="9249">
      <c r="AI9249" s="80"/>
    </row>
    <row r="9250">
      <c r="AI9250" s="80"/>
    </row>
    <row r="9251">
      <c r="AI9251" s="80"/>
    </row>
    <row r="9252">
      <c r="AI9252" s="80"/>
    </row>
    <row r="9253">
      <c r="AI9253" s="80"/>
    </row>
    <row r="9254">
      <c r="AI9254" s="80"/>
    </row>
    <row r="9255">
      <c r="AI9255" s="80"/>
    </row>
    <row r="9256">
      <c r="AI9256" s="80"/>
    </row>
    <row r="9257">
      <c r="AI9257" s="80"/>
    </row>
    <row r="9258">
      <c r="AI9258" s="80"/>
    </row>
    <row r="9259">
      <c r="AI9259" s="80"/>
    </row>
    <row r="9260">
      <c r="AI9260" s="80"/>
    </row>
    <row r="9261">
      <c r="AI9261" s="80"/>
    </row>
    <row r="9262">
      <c r="AI9262" s="80"/>
    </row>
    <row r="9263">
      <c r="AI9263" s="80"/>
    </row>
    <row r="9264">
      <c r="AI9264" s="80"/>
    </row>
    <row r="9265">
      <c r="AI9265" s="80"/>
    </row>
    <row r="9266">
      <c r="AI9266" s="80"/>
    </row>
    <row r="9267">
      <c r="AI9267" s="80"/>
    </row>
    <row r="9268">
      <c r="AI9268" s="80"/>
    </row>
    <row r="9269">
      <c r="AI9269" s="80"/>
    </row>
    <row r="9270">
      <c r="AI9270" s="80"/>
    </row>
    <row r="9271">
      <c r="AI9271" s="80"/>
    </row>
    <row r="9272">
      <c r="AI9272" s="80"/>
    </row>
    <row r="9273">
      <c r="AI9273" s="80"/>
    </row>
    <row r="9274">
      <c r="AI9274" s="80"/>
    </row>
    <row r="9275">
      <c r="AI9275" s="80"/>
    </row>
    <row r="9276">
      <c r="AI9276" s="80"/>
    </row>
    <row r="9277">
      <c r="AI9277" s="80"/>
    </row>
    <row r="9278">
      <c r="AI9278" s="80"/>
    </row>
    <row r="9279">
      <c r="AI9279" s="80"/>
    </row>
    <row r="9280">
      <c r="AI9280" s="80"/>
    </row>
    <row r="9281">
      <c r="AI9281" s="80"/>
    </row>
    <row r="9282">
      <c r="AI9282" s="80"/>
    </row>
    <row r="9283">
      <c r="AI9283" s="80"/>
    </row>
    <row r="9284">
      <c r="AI9284" s="80"/>
    </row>
    <row r="9285">
      <c r="AI9285" s="80"/>
    </row>
    <row r="9286">
      <c r="AI9286" s="80"/>
    </row>
    <row r="9287">
      <c r="AI9287" s="80"/>
    </row>
    <row r="9288">
      <c r="AI9288" s="80"/>
    </row>
    <row r="9289">
      <c r="AI9289" s="80"/>
    </row>
    <row r="9290">
      <c r="AI9290" s="80"/>
    </row>
    <row r="9291">
      <c r="AI9291" s="80"/>
    </row>
    <row r="9292">
      <c r="AI9292" s="80"/>
    </row>
    <row r="9293">
      <c r="AI9293" s="80"/>
    </row>
    <row r="9294">
      <c r="AI9294" s="80"/>
    </row>
    <row r="9295">
      <c r="AI9295" s="80"/>
    </row>
    <row r="9296">
      <c r="AI9296" s="80"/>
    </row>
    <row r="9297">
      <c r="AI9297" s="80"/>
    </row>
    <row r="9298">
      <c r="AI9298" s="80"/>
    </row>
    <row r="9299">
      <c r="AI9299" s="80"/>
    </row>
    <row r="9300">
      <c r="AI9300" s="80"/>
    </row>
    <row r="9301">
      <c r="AI9301" s="80"/>
    </row>
    <row r="9302">
      <c r="AI9302" s="80"/>
    </row>
    <row r="9303">
      <c r="AI9303" s="80"/>
    </row>
    <row r="9304">
      <c r="AI9304" s="80"/>
    </row>
    <row r="9305">
      <c r="AI9305" s="80"/>
    </row>
    <row r="9306">
      <c r="AI9306" s="80"/>
    </row>
    <row r="9307">
      <c r="AI9307" s="80"/>
    </row>
    <row r="9308">
      <c r="AI9308" s="80"/>
    </row>
    <row r="9309">
      <c r="AI9309" s="80"/>
    </row>
    <row r="9310">
      <c r="AI9310" s="80"/>
    </row>
    <row r="9311">
      <c r="AI9311" s="80"/>
    </row>
    <row r="9312">
      <c r="AI9312" s="80"/>
    </row>
    <row r="9313">
      <c r="AI9313" s="80"/>
    </row>
    <row r="9314">
      <c r="AI9314" s="80"/>
    </row>
    <row r="9315">
      <c r="AI9315" s="80"/>
    </row>
    <row r="9316">
      <c r="AI9316" s="80"/>
    </row>
    <row r="9317">
      <c r="AI9317" s="80"/>
    </row>
    <row r="9318">
      <c r="AI9318" s="80"/>
    </row>
    <row r="9319">
      <c r="AI9319" s="80"/>
    </row>
    <row r="9320">
      <c r="AI9320" s="80"/>
    </row>
    <row r="9321">
      <c r="AI9321" s="80"/>
    </row>
    <row r="9322">
      <c r="AI9322" s="80"/>
    </row>
    <row r="9323">
      <c r="AI9323" s="80"/>
    </row>
    <row r="9324">
      <c r="AI9324" s="80"/>
    </row>
    <row r="9325">
      <c r="AI9325" s="80"/>
    </row>
    <row r="9326">
      <c r="AI9326" s="80"/>
    </row>
    <row r="9327">
      <c r="AI9327" s="80"/>
    </row>
    <row r="9328">
      <c r="AI9328" s="80"/>
    </row>
    <row r="9329">
      <c r="AI9329" s="80"/>
    </row>
    <row r="9330">
      <c r="AI9330" s="80"/>
    </row>
    <row r="9331">
      <c r="AI9331" s="80"/>
    </row>
    <row r="9332">
      <c r="AI9332" s="80"/>
    </row>
    <row r="9333">
      <c r="AI9333" s="80"/>
    </row>
    <row r="9334">
      <c r="AI9334" s="80"/>
    </row>
    <row r="9335">
      <c r="AI9335" s="80"/>
    </row>
    <row r="9336">
      <c r="AI9336" s="80"/>
    </row>
    <row r="9337">
      <c r="AI9337" s="80"/>
    </row>
    <row r="9338">
      <c r="AI9338" s="80"/>
    </row>
    <row r="9339">
      <c r="AI9339" s="80"/>
    </row>
    <row r="9340">
      <c r="AI9340" s="80"/>
    </row>
    <row r="9341">
      <c r="AI9341" s="80"/>
    </row>
    <row r="9342">
      <c r="AI9342" s="80"/>
    </row>
    <row r="9343">
      <c r="AI9343" s="80"/>
    </row>
    <row r="9344">
      <c r="AI9344" s="80"/>
    </row>
    <row r="9345">
      <c r="AI9345" s="80"/>
    </row>
    <row r="9346">
      <c r="AI9346" s="80"/>
    </row>
    <row r="9347">
      <c r="AI9347" s="80"/>
    </row>
    <row r="9348">
      <c r="AI9348" s="80"/>
    </row>
    <row r="9349">
      <c r="AI9349" s="80"/>
    </row>
    <row r="9350">
      <c r="AI9350" s="80"/>
    </row>
    <row r="9351">
      <c r="AI9351" s="80"/>
    </row>
    <row r="9352">
      <c r="AI9352" s="80"/>
    </row>
    <row r="9353">
      <c r="AI9353" s="80"/>
    </row>
    <row r="9354">
      <c r="AI9354" s="80"/>
    </row>
    <row r="9355">
      <c r="AI9355" s="80"/>
    </row>
    <row r="9356">
      <c r="AI9356" s="80"/>
    </row>
    <row r="9357">
      <c r="AI9357" s="80"/>
    </row>
    <row r="9358">
      <c r="AI9358" s="80"/>
    </row>
    <row r="9359">
      <c r="AI9359" s="80"/>
    </row>
    <row r="9360">
      <c r="AI9360" s="80"/>
    </row>
    <row r="9361">
      <c r="AI9361" s="80"/>
    </row>
    <row r="9362">
      <c r="AI9362" s="80"/>
    </row>
    <row r="9363">
      <c r="AI9363" s="80"/>
    </row>
    <row r="9364">
      <c r="AI9364" s="80"/>
    </row>
    <row r="9365">
      <c r="AI9365" s="80"/>
    </row>
    <row r="9366">
      <c r="AI9366" s="80"/>
    </row>
    <row r="9367">
      <c r="AI9367" s="80"/>
    </row>
    <row r="9368">
      <c r="AI9368" s="80"/>
    </row>
    <row r="9369">
      <c r="AI9369" s="80"/>
    </row>
    <row r="9370">
      <c r="AI9370" s="80"/>
    </row>
    <row r="9371">
      <c r="AI9371" s="80"/>
    </row>
    <row r="9372">
      <c r="AI9372" s="80"/>
    </row>
    <row r="9373">
      <c r="AI9373" s="80"/>
    </row>
    <row r="9374">
      <c r="AI9374" s="80"/>
    </row>
    <row r="9375">
      <c r="AI9375" s="80"/>
    </row>
    <row r="9376">
      <c r="AI9376" s="80"/>
    </row>
    <row r="9377">
      <c r="AI9377" s="80"/>
    </row>
    <row r="9378">
      <c r="AI9378" s="80"/>
    </row>
    <row r="9379">
      <c r="AI9379" s="80"/>
    </row>
    <row r="9380">
      <c r="AI9380" s="80"/>
    </row>
    <row r="9381">
      <c r="AI9381" s="80"/>
    </row>
    <row r="9382">
      <c r="AI9382" s="80"/>
    </row>
    <row r="9383">
      <c r="AI9383" s="80"/>
    </row>
    <row r="9384">
      <c r="AI9384" s="80"/>
    </row>
    <row r="9385">
      <c r="AI9385" s="80"/>
    </row>
    <row r="9386">
      <c r="AI9386" s="80"/>
    </row>
    <row r="9387">
      <c r="AI9387" s="80"/>
    </row>
    <row r="9388">
      <c r="AI9388" s="80"/>
    </row>
    <row r="9389">
      <c r="AI9389" s="80"/>
    </row>
    <row r="9390">
      <c r="AI9390" s="80"/>
    </row>
    <row r="9391">
      <c r="AI9391" s="80"/>
    </row>
    <row r="9392">
      <c r="AI9392" s="80"/>
    </row>
    <row r="9393">
      <c r="AI9393" s="80"/>
    </row>
    <row r="9394">
      <c r="AI9394" s="80"/>
    </row>
    <row r="9395">
      <c r="AI9395" s="80"/>
    </row>
    <row r="9396">
      <c r="AI9396" s="80"/>
    </row>
    <row r="9397">
      <c r="AI9397" s="80"/>
    </row>
    <row r="9398">
      <c r="AI9398" s="80"/>
    </row>
    <row r="9399">
      <c r="AI9399" s="80"/>
    </row>
    <row r="9400">
      <c r="AI9400" s="80"/>
    </row>
    <row r="9401">
      <c r="AI9401" s="80"/>
    </row>
    <row r="9402">
      <c r="AI9402" s="80"/>
    </row>
    <row r="9403">
      <c r="AI9403" s="80"/>
    </row>
    <row r="9404">
      <c r="AI9404" s="80"/>
    </row>
    <row r="9405">
      <c r="AI9405" s="80"/>
    </row>
    <row r="9406">
      <c r="AI9406" s="80"/>
    </row>
    <row r="9407">
      <c r="AI9407" s="80"/>
    </row>
    <row r="9408">
      <c r="AI9408" s="80"/>
    </row>
    <row r="9409">
      <c r="AI9409" s="80"/>
    </row>
    <row r="9410">
      <c r="AI9410" s="80"/>
    </row>
    <row r="9411">
      <c r="AI9411" s="80"/>
    </row>
    <row r="9412">
      <c r="AI9412" s="80"/>
    </row>
    <row r="9413">
      <c r="AI9413" s="80"/>
    </row>
    <row r="9414">
      <c r="AI9414" s="80"/>
    </row>
    <row r="9415">
      <c r="AI9415" s="80"/>
    </row>
    <row r="9416">
      <c r="AI9416" s="80"/>
    </row>
    <row r="9417">
      <c r="AI9417" s="80"/>
    </row>
    <row r="9418">
      <c r="AI9418" s="80"/>
    </row>
    <row r="9419">
      <c r="AI9419" s="80"/>
    </row>
    <row r="9420">
      <c r="AI9420" s="80"/>
    </row>
    <row r="9421">
      <c r="AI9421" s="80"/>
    </row>
    <row r="9422">
      <c r="AI9422" s="80"/>
    </row>
    <row r="9423">
      <c r="AI9423" s="80"/>
    </row>
    <row r="9424">
      <c r="AI9424" s="80"/>
    </row>
    <row r="9425">
      <c r="AI9425" s="80"/>
    </row>
    <row r="9426">
      <c r="AI9426" s="80"/>
    </row>
    <row r="9427">
      <c r="AI9427" s="80"/>
    </row>
    <row r="9428">
      <c r="AI9428" s="80"/>
    </row>
    <row r="9429">
      <c r="AI9429" s="80"/>
    </row>
    <row r="9430">
      <c r="AI9430" s="80"/>
    </row>
    <row r="9431">
      <c r="AI9431" s="80"/>
    </row>
    <row r="9432">
      <c r="AI9432" s="80"/>
    </row>
    <row r="9433">
      <c r="AI9433" s="80"/>
    </row>
    <row r="9434">
      <c r="AI9434" s="80"/>
    </row>
    <row r="9435">
      <c r="AI9435" s="80"/>
    </row>
    <row r="9436">
      <c r="AI9436" s="80"/>
    </row>
    <row r="9437">
      <c r="AI9437" s="80"/>
    </row>
    <row r="9438">
      <c r="AI9438" s="80"/>
    </row>
    <row r="9439">
      <c r="AI9439" s="80"/>
    </row>
    <row r="9440">
      <c r="AI9440" s="80"/>
    </row>
    <row r="9441">
      <c r="AI9441" s="80"/>
    </row>
    <row r="9442">
      <c r="AI9442" s="80"/>
    </row>
    <row r="9443">
      <c r="AI9443" s="80"/>
    </row>
    <row r="9444">
      <c r="AI9444" s="80"/>
    </row>
    <row r="9445">
      <c r="AI9445" s="80"/>
    </row>
    <row r="9446">
      <c r="AI9446" s="80"/>
    </row>
    <row r="9447">
      <c r="AI9447" s="80"/>
    </row>
    <row r="9448">
      <c r="AI9448" s="80"/>
    </row>
    <row r="9449">
      <c r="AI9449" s="80"/>
    </row>
    <row r="9450">
      <c r="AI9450" s="80"/>
    </row>
    <row r="9451">
      <c r="AI9451" s="80"/>
    </row>
    <row r="9452">
      <c r="AI9452" s="80"/>
    </row>
    <row r="9453">
      <c r="AI9453" s="80"/>
    </row>
    <row r="9454">
      <c r="AI9454" s="80"/>
    </row>
    <row r="9455">
      <c r="AI9455" s="80"/>
    </row>
    <row r="9456">
      <c r="AI9456" s="80"/>
    </row>
    <row r="9457">
      <c r="AI9457" s="80"/>
    </row>
    <row r="9458">
      <c r="AI9458" s="80"/>
    </row>
    <row r="9459">
      <c r="AI9459" s="80"/>
    </row>
    <row r="9460">
      <c r="AI9460" s="80"/>
    </row>
    <row r="9461">
      <c r="AI9461" s="80"/>
    </row>
    <row r="9462">
      <c r="AI9462" s="80"/>
    </row>
    <row r="9463">
      <c r="AI9463" s="80"/>
    </row>
    <row r="9464">
      <c r="AI9464" s="80"/>
    </row>
    <row r="9465">
      <c r="AI9465" s="80"/>
    </row>
    <row r="9466">
      <c r="AI9466" s="80"/>
    </row>
    <row r="9467">
      <c r="AI9467" s="80"/>
    </row>
    <row r="9468">
      <c r="AI9468" s="80"/>
    </row>
    <row r="9469">
      <c r="AI9469" s="80"/>
    </row>
    <row r="9470">
      <c r="AI9470" s="80"/>
    </row>
    <row r="9471">
      <c r="AI9471" s="80"/>
    </row>
    <row r="9472">
      <c r="AI9472" s="80"/>
    </row>
    <row r="9473">
      <c r="AI9473" s="80"/>
    </row>
    <row r="9474">
      <c r="AI9474" s="80"/>
    </row>
    <row r="9475">
      <c r="AI9475" s="80"/>
    </row>
    <row r="9476">
      <c r="AI9476" s="80"/>
    </row>
    <row r="9477">
      <c r="AI9477" s="80"/>
    </row>
    <row r="9478">
      <c r="AI9478" s="80"/>
    </row>
    <row r="9479">
      <c r="AI9479" s="80"/>
    </row>
    <row r="9480">
      <c r="AI9480" s="80"/>
    </row>
    <row r="9481">
      <c r="AI9481" s="80"/>
    </row>
    <row r="9482">
      <c r="AI9482" s="80"/>
    </row>
    <row r="9483">
      <c r="AI9483" s="80"/>
    </row>
    <row r="9484">
      <c r="AI9484" s="80"/>
    </row>
    <row r="9485">
      <c r="AI9485" s="80"/>
    </row>
    <row r="9486">
      <c r="AI9486" s="80"/>
    </row>
    <row r="9487">
      <c r="AI9487" s="80"/>
    </row>
    <row r="9488">
      <c r="AI9488" s="80"/>
    </row>
    <row r="9489">
      <c r="AI9489" s="80"/>
    </row>
    <row r="9490">
      <c r="AI9490" s="80"/>
    </row>
    <row r="9491">
      <c r="AI9491" s="80"/>
    </row>
    <row r="9492">
      <c r="AI9492" s="80"/>
    </row>
    <row r="9493">
      <c r="AI9493" s="80"/>
    </row>
    <row r="9494">
      <c r="AI9494" s="80"/>
    </row>
    <row r="9495">
      <c r="AI9495" s="80"/>
    </row>
    <row r="9496">
      <c r="AI9496" s="80"/>
    </row>
    <row r="9497">
      <c r="AI9497" s="80"/>
    </row>
    <row r="9498">
      <c r="AI9498" s="80"/>
    </row>
    <row r="9499">
      <c r="AI9499" s="80"/>
    </row>
    <row r="9500">
      <c r="AI9500" s="80"/>
    </row>
    <row r="9501">
      <c r="AI9501" s="80"/>
    </row>
    <row r="9502">
      <c r="AI9502" s="80"/>
    </row>
    <row r="9503">
      <c r="AI9503" s="80"/>
    </row>
    <row r="9504">
      <c r="AI9504" s="80"/>
    </row>
    <row r="9505">
      <c r="AI9505" s="80"/>
    </row>
    <row r="9506">
      <c r="AI9506" s="80"/>
    </row>
    <row r="9507">
      <c r="AI9507" s="80"/>
    </row>
    <row r="9508">
      <c r="AI9508" s="80"/>
    </row>
    <row r="9509">
      <c r="AI9509" s="80"/>
    </row>
    <row r="9510">
      <c r="AI9510" s="80"/>
    </row>
    <row r="9511">
      <c r="AI9511" s="80"/>
    </row>
    <row r="9512">
      <c r="AI9512" s="80"/>
    </row>
    <row r="9513">
      <c r="AI9513" s="80"/>
    </row>
    <row r="9514">
      <c r="AI9514" s="80"/>
    </row>
    <row r="9515">
      <c r="AI9515" s="80"/>
    </row>
    <row r="9516">
      <c r="AI9516" s="80"/>
    </row>
    <row r="9517">
      <c r="AI9517" s="80"/>
    </row>
    <row r="9518">
      <c r="AI9518" s="80"/>
    </row>
    <row r="9519">
      <c r="AI9519" s="80"/>
    </row>
    <row r="9520">
      <c r="AI9520" s="80"/>
    </row>
    <row r="9521">
      <c r="AI9521" s="80"/>
    </row>
    <row r="9522">
      <c r="AI9522" s="80"/>
    </row>
    <row r="9523">
      <c r="AI9523" s="80"/>
    </row>
    <row r="9524">
      <c r="AI9524" s="80"/>
    </row>
    <row r="9525">
      <c r="AI9525" s="80"/>
    </row>
    <row r="9526">
      <c r="AI9526" s="80"/>
    </row>
    <row r="9527">
      <c r="AI9527" s="80"/>
    </row>
    <row r="9528">
      <c r="AI9528" s="80"/>
    </row>
    <row r="9529">
      <c r="AI9529" s="80"/>
    </row>
    <row r="9530">
      <c r="AI9530" s="80"/>
    </row>
    <row r="9531">
      <c r="AI9531" s="80"/>
    </row>
    <row r="9532">
      <c r="AI9532" s="80"/>
    </row>
    <row r="9533">
      <c r="AI9533" s="80"/>
    </row>
    <row r="9534">
      <c r="AI9534" s="80"/>
    </row>
    <row r="9535">
      <c r="AI9535" s="80"/>
    </row>
    <row r="9536">
      <c r="AI9536" s="80"/>
    </row>
    <row r="9537">
      <c r="AI9537" s="80"/>
    </row>
    <row r="9538">
      <c r="AI9538" s="80"/>
    </row>
    <row r="9539">
      <c r="AI9539" s="80"/>
    </row>
    <row r="9540">
      <c r="AI9540" s="80"/>
    </row>
    <row r="9541">
      <c r="AI9541" s="80"/>
    </row>
    <row r="9542">
      <c r="AI9542" s="80"/>
    </row>
    <row r="9543">
      <c r="AI9543" s="80"/>
    </row>
    <row r="9544">
      <c r="AI9544" s="80"/>
    </row>
    <row r="9545">
      <c r="AI9545" s="80"/>
    </row>
    <row r="9546">
      <c r="AI9546" s="80"/>
    </row>
    <row r="9547">
      <c r="AI9547" s="80"/>
    </row>
    <row r="9548">
      <c r="AI9548" s="80"/>
    </row>
    <row r="9549">
      <c r="AI9549" s="80"/>
    </row>
    <row r="9550">
      <c r="AI9550" s="80"/>
    </row>
    <row r="9551">
      <c r="AI9551" s="80"/>
    </row>
    <row r="9552">
      <c r="AI9552" s="80"/>
    </row>
    <row r="9553">
      <c r="AI9553" s="80"/>
    </row>
    <row r="9554">
      <c r="AI9554" s="80"/>
    </row>
    <row r="9555">
      <c r="AI9555" s="80"/>
    </row>
    <row r="9556">
      <c r="AI9556" s="80"/>
    </row>
    <row r="9557">
      <c r="AI9557" s="80"/>
    </row>
    <row r="9558">
      <c r="AI9558" s="80"/>
    </row>
    <row r="9559">
      <c r="AI9559" s="80"/>
    </row>
    <row r="9560">
      <c r="AI9560" s="80"/>
    </row>
    <row r="9561">
      <c r="AI9561" s="80"/>
    </row>
    <row r="9562">
      <c r="AI9562" s="80"/>
    </row>
    <row r="9563">
      <c r="AI9563" s="80"/>
    </row>
    <row r="9564">
      <c r="AI9564" s="80"/>
    </row>
    <row r="9565">
      <c r="AI9565" s="80"/>
    </row>
    <row r="9566">
      <c r="AI9566" s="80"/>
    </row>
    <row r="9567">
      <c r="AI9567" s="80"/>
    </row>
    <row r="9568">
      <c r="AI9568" s="80"/>
    </row>
    <row r="9569">
      <c r="AI9569" s="80"/>
    </row>
    <row r="9570">
      <c r="AI9570" s="80"/>
    </row>
    <row r="9571">
      <c r="AI9571" s="80"/>
    </row>
    <row r="9572">
      <c r="AI9572" s="80"/>
    </row>
    <row r="9573">
      <c r="AI9573" s="80"/>
    </row>
    <row r="9574">
      <c r="AI9574" s="80"/>
    </row>
    <row r="9575">
      <c r="AI9575" s="80"/>
    </row>
    <row r="9576">
      <c r="AI9576" s="80"/>
    </row>
    <row r="9577">
      <c r="AI9577" s="80"/>
    </row>
    <row r="9578">
      <c r="AI9578" s="80"/>
    </row>
    <row r="9579">
      <c r="AI9579" s="80"/>
    </row>
    <row r="9580">
      <c r="AI9580" s="80"/>
    </row>
    <row r="9581">
      <c r="AI9581" s="80"/>
    </row>
    <row r="9582">
      <c r="AI9582" s="80"/>
    </row>
    <row r="9583">
      <c r="AI9583" s="80"/>
    </row>
    <row r="9584">
      <c r="AI9584" s="80"/>
    </row>
    <row r="9585">
      <c r="AI9585" s="80"/>
    </row>
    <row r="9586">
      <c r="AI9586" s="80"/>
    </row>
    <row r="9587">
      <c r="AI9587" s="80"/>
    </row>
    <row r="9588">
      <c r="AI9588" s="80"/>
    </row>
    <row r="9589">
      <c r="AI9589" s="80"/>
    </row>
    <row r="9590">
      <c r="AI9590" s="80"/>
    </row>
    <row r="9591">
      <c r="AI9591" s="80"/>
    </row>
    <row r="9592">
      <c r="AI9592" s="80"/>
    </row>
    <row r="9593">
      <c r="AI9593" s="80"/>
    </row>
    <row r="9594">
      <c r="AI9594" s="80"/>
    </row>
    <row r="9595">
      <c r="AI9595" s="80"/>
    </row>
    <row r="9596">
      <c r="AI9596" s="80"/>
    </row>
    <row r="9597">
      <c r="AI9597" s="80"/>
    </row>
    <row r="9598">
      <c r="AI9598" s="80"/>
    </row>
    <row r="9599">
      <c r="AI9599" s="80"/>
    </row>
    <row r="9600">
      <c r="AI9600" s="80"/>
    </row>
    <row r="9601">
      <c r="AI9601" s="80"/>
    </row>
    <row r="9602">
      <c r="AI9602" s="80"/>
    </row>
    <row r="9603">
      <c r="AI9603" s="80"/>
    </row>
    <row r="9604">
      <c r="AI9604" s="80"/>
    </row>
    <row r="9605">
      <c r="AI9605" s="80"/>
    </row>
    <row r="9606">
      <c r="AI9606" s="80"/>
    </row>
    <row r="9607">
      <c r="AI9607" s="80"/>
    </row>
    <row r="9608">
      <c r="AI9608" s="80"/>
    </row>
    <row r="9609">
      <c r="AI9609" s="80"/>
    </row>
    <row r="9610">
      <c r="AI9610" s="80"/>
    </row>
    <row r="9611">
      <c r="AI9611" s="80"/>
    </row>
    <row r="9612">
      <c r="AI9612" s="80"/>
    </row>
    <row r="9613">
      <c r="AI9613" s="80"/>
    </row>
    <row r="9614">
      <c r="AI9614" s="80"/>
    </row>
    <row r="9615">
      <c r="AI9615" s="80"/>
    </row>
    <row r="9616">
      <c r="AI9616" s="80"/>
    </row>
    <row r="9617">
      <c r="AI9617" s="80"/>
    </row>
    <row r="9618">
      <c r="AI9618" s="80"/>
    </row>
    <row r="9619">
      <c r="AI9619" s="80"/>
    </row>
    <row r="9620">
      <c r="AI9620" s="80"/>
    </row>
    <row r="9621">
      <c r="AI9621" s="80"/>
    </row>
    <row r="9622">
      <c r="AI9622" s="80"/>
    </row>
    <row r="9623">
      <c r="AI9623" s="80"/>
    </row>
    <row r="9624">
      <c r="AI9624" s="80"/>
    </row>
    <row r="9625">
      <c r="AI9625" s="80"/>
    </row>
    <row r="9626">
      <c r="AI9626" s="80"/>
    </row>
    <row r="9627">
      <c r="AI9627" s="80"/>
    </row>
    <row r="9628">
      <c r="AI9628" s="80"/>
    </row>
    <row r="9629">
      <c r="AI9629" s="80"/>
    </row>
    <row r="9630">
      <c r="AI9630" s="80"/>
    </row>
    <row r="9631">
      <c r="AI9631" s="80"/>
    </row>
    <row r="9632">
      <c r="AI9632" s="80"/>
    </row>
    <row r="9633">
      <c r="AI9633" s="80"/>
    </row>
    <row r="9634">
      <c r="AI9634" s="80"/>
    </row>
    <row r="9635">
      <c r="AI9635" s="80"/>
    </row>
    <row r="9636">
      <c r="AI9636" s="80"/>
    </row>
    <row r="9637">
      <c r="AI9637" s="80"/>
    </row>
    <row r="9638">
      <c r="AI9638" s="80"/>
    </row>
    <row r="9639">
      <c r="AI9639" s="80"/>
    </row>
    <row r="9640">
      <c r="AI9640" s="80"/>
    </row>
    <row r="9641">
      <c r="AI9641" s="80"/>
    </row>
    <row r="9642">
      <c r="AI9642" s="80"/>
    </row>
    <row r="9643">
      <c r="AI9643" s="80"/>
    </row>
    <row r="9644">
      <c r="AI9644" s="80"/>
    </row>
    <row r="9645">
      <c r="AI9645" s="80"/>
    </row>
    <row r="9646">
      <c r="AI9646" s="80"/>
    </row>
    <row r="9647">
      <c r="AI9647" s="80"/>
    </row>
    <row r="9648">
      <c r="AI9648" s="80"/>
    </row>
    <row r="9649">
      <c r="AI9649" s="80"/>
    </row>
    <row r="9650">
      <c r="AI9650" s="80"/>
    </row>
    <row r="9651">
      <c r="AI9651" s="80"/>
    </row>
    <row r="9652">
      <c r="AI9652" s="80"/>
    </row>
    <row r="9653">
      <c r="AI9653" s="80"/>
    </row>
    <row r="9654">
      <c r="AI9654" s="80"/>
    </row>
    <row r="9655">
      <c r="AI9655" s="80"/>
    </row>
    <row r="9656">
      <c r="AI9656" s="80"/>
    </row>
    <row r="9657">
      <c r="AI9657" s="80"/>
    </row>
    <row r="9658">
      <c r="AI9658" s="80"/>
    </row>
    <row r="9659">
      <c r="AI9659" s="80"/>
    </row>
    <row r="9660">
      <c r="AI9660" s="80"/>
    </row>
    <row r="9661">
      <c r="AI9661" s="80"/>
    </row>
    <row r="9662">
      <c r="AI9662" s="80"/>
    </row>
    <row r="9663">
      <c r="AI9663" s="80"/>
    </row>
    <row r="9664">
      <c r="AI9664" s="80"/>
    </row>
    <row r="9665">
      <c r="AI9665" s="80"/>
    </row>
    <row r="9666">
      <c r="AI9666" s="80"/>
    </row>
    <row r="9667">
      <c r="AI9667" s="80"/>
    </row>
    <row r="9668">
      <c r="AI9668" s="80"/>
    </row>
    <row r="9669">
      <c r="AI9669" s="80"/>
    </row>
    <row r="9670">
      <c r="AI9670" s="80"/>
    </row>
    <row r="9671">
      <c r="AI9671" s="80"/>
    </row>
    <row r="9672">
      <c r="AI9672" s="80"/>
    </row>
    <row r="9673">
      <c r="AI9673" s="80"/>
    </row>
    <row r="9674">
      <c r="AI9674" s="80"/>
    </row>
    <row r="9675">
      <c r="AI9675" s="80"/>
    </row>
    <row r="9676">
      <c r="AI9676" s="80"/>
    </row>
    <row r="9677">
      <c r="AI9677" s="80"/>
    </row>
    <row r="9678">
      <c r="AI9678" s="80"/>
    </row>
    <row r="9679">
      <c r="AI9679" s="80"/>
    </row>
    <row r="9680">
      <c r="AI9680" s="80"/>
    </row>
    <row r="9681">
      <c r="AI9681" s="80"/>
    </row>
    <row r="9682">
      <c r="AI9682" s="80"/>
    </row>
    <row r="9683">
      <c r="AI9683" s="80"/>
    </row>
    <row r="9684">
      <c r="AI9684" s="80"/>
    </row>
    <row r="9685">
      <c r="AI9685" s="80"/>
    </row>
    <row r="9686">
      <c r="AI9686" s="80"/>
    </row>
    <row r="9687">
      <c r="AI9687" s="80"/>
    </row>
    <row r="9688">
      <c r="AI9688" s="80"/>
    </row>
    <row r="9689">
      <c r="AI9689" s="80"/>
    </row>
    <row r="9690">
      <c r="AI9690" s="80"/>
    </row>
    <row r="9691">
      <c r="AI9691" s="80"/>
    </row>
    <row r="9692">
      <c r="AI9692" s="80"/>
    </row>
    <row r="9693">
      <c r="AI9693" s="80"/>
    </row>
    <row r="9694">
      <c r="AI9694" s="80"/>
    </row>
    <row r="9695">
      <c r="AI9695" s="80"/>
    </row>
    <row r="9696">
      <c r="AI9696" s="80"/>
    </row>
    <row r="9697">
      <c r="AI9697" s="80"/>
    </row>
    <row r="9698">
      <c r="AI9698" s="80"/>
    </row>
    <row r="9699">
      <c r="AI9699" s="80"/>
    </row>
    <row r="9700">
      <c r="AI9700" s="80"/>
    </row>
    <row r="9701">
      <c r="AI9701" s="80"/>
    </row>
    <row r="9702">
      <c r="AI9702" s="80"/>
    </row>
    <row r="9703">
      <c r="AI9703" s="80"/>
    </row>
    <row r="9704">
      <c r="AI9704" s="80"/>
    </row>
    <row r="9705">
      <c r="AI9705" s="80"/>
    </row>
    <row r="9706">
      <c r="AI9706" s="80"/>
    </row>
    <row r="9707">
      <c r="AI9707" s="80"/>
    </row>
    <row r="9708">
      <c r="AI9708" s="80"/>
    </row>
    <row r="9709">
      <c r="AI9709" s="80"/>
    </row>
    <row r="9710">
      <c r="AI9710" s="80"/>
    </row>
    <row r="9711">
      <c r="AI9711" s="80"/>
    </row>
    <row r="9712">
      <c r="AI9712" s="80"/>
    </row>
    <row r="9713">
      <c r="AI9713" s="80"/>
    </row>
    <row r="9714">
      <c r="AI9714" s="80"/>
    </row>
    <row r="9715">
      <c r="AI9715" s="80"/>
    </row>
    <row r="9716">
      <c r="AI9716" s="80"/>
    </row>
    <row r="9717">
      <c r="AI9717" s="80"/>
    </row>
    <row r="9718">
      <c r="AI9718" s="80"/>
    </row>
    <row r="9719">
      <c r="AI9719" s="80"/>
    </row>
    <row r="9720">
      <c r="AI9720" s="80"/>
    </row>
    <row r="9721">
      <c r="AI9721" s="80"/>
    </row>
    <row r="9722">
      <c r="AI9722" s="80"/>
    </row>
    <row r="9723">
      <c r="AI9723" s="80"/>
    </row>
    <row r="9724">
      <c r="AI9724" s="80"/>
    </row>
    <row r="9725">
      <c r="AI9725" s="80"/>
    </row>
    <row r="9726">
      <c r="AI9726" s="80"/>
    </row>
    <row r="9727">
      <c r="AI9727" s="80"/>
    </row>
    <row r="9728">
      <c r="AI9728" s="80"/>
    </row>
    <row r="9729">
      <c r="AI9729" s="80"/>
    </row>
    <row r="9730">
      <c r="AI9730" s="80"/>
    </row>
    <row r="9731">
      <c r="AI9731" s="80"/>
    </row>
    <row r="9732">
      <c r="AI9732" s="80"/>
    </row>
    <row r="9733">
      <c r="AI9733" s="80"/>
    </row>
    <row r="9734">
      <c r="AI9734" s="80"/>
    </row>
    <row r="9735">
      <c r="AI9735" s="80"/>
    </row>
    <row r="9736">
      <c r="AI9736" s="80"/>
    </row>
    <row r="9737">
      <c r="AI9737" s="80"/>
    </row>
    <row r="9738">
      <c r="AI9738" s="80"/>
    </row>
    <row r="9739">
      <c r="AI9739" s="80"/>
    </row>
    <row r="9740">
      <c r="AI9740" s="80"/>
    </row>
    <row r="9741">
      <c r="AI9741" s="80"/>
    </row>
    <row r="9742">
      <c r="AI9742" s="80"/>
    </row>
    <row r="9743">
      <c r="AI9743" s="80"/>
    </row>
    <row r="9744">
      <c r="AI9744" s="80"/>
    </row>
    <row r="9745">
      <c r="AI9745" s="80"/>
    </row>
    <row r="9746">
      <c r="AI9746" s="80"/>
    </row>
    <row r="9747">
      <c r="AI9747" s="80"/>
    </row>
    <row r="9748">
      <c r="AI9748" s="80"/>
    </row>
    <row r="9749">
      <c r="AI9749" s="80"/>
    </row>
    <row r="9750">
      <c r="AI9750" s="80"/>
    </row>
    <row r="9751">
      <c r="AI9751" s="80"/>
    </row>
    <row r="9752">
      <c r="AI9752" s="80"/>
    </row>
    <row r="9753">
      <c r="AI9753" s="80"/>
    </row>
    <row r="9754">
      <c r="AI9754" s="80"/>
    </row>
    <row r="9755">
      <c r="AI9755" s="80"/>
    </row>
    <row r="9756">
      <c r="AI9756" s="80"/>
    </row>
    <row r="9757">
      <c r="AI9757" s="80"/>
    </row>
    <row r="9758">
      <c r="AI9758" s="80"/>
    </row>
    <row r="9759">
      <c r="AI9759" s="80"/>
    </row>
    <row r="9760">
      <c r="AI9760" s="80"/>
    </row>
    <row r="9761">
      <c r="AI9761" s="80"/>
    </row>
    <row r="9762">
      <c r="AI9762" s="80"/>
    </row>
    <row r="9763">
      <c r="AI9763" s="80"/>
    </row>
    <row r="9764">
      <c r="AI9764" s="80"/>
    </row>
    <row r="9765">
      <c r="AI9765" s="80"/>
    </row>
    <row r="9766">
      <c r="AI9766" s="80"/>
    </row>
    <row r="9767">
      <c r="AI9767" s="80"/>
    </row>
    <row r="9768">
      <c r="AI9768" s="80"/>
    </row>
    <row r="9769">
      <c r="AI9769" s="80"/>
    </row>
    <row r="9770">
      <c r="AI9770" s="80"/>
    </row>
    <row r="9771">
      <c r="AI9771" s="80"/>
    </row>
    <row r="9772">
      <c r="AI9772" s="80"/>
    </row>
    <row r="9773">
      <c r="AI9773" s="80"/>
    </row>
    <row r="9774">
      <c r="AI9774" s="80"/>
    </row>
    <row r="9775">
      <c r="AI9775" s="80"/>
    </row>
    <row r="9776">
      <c r="AI9776" s="80"/>
    </row>
    <row r="9777">
      <c r="AI9777" s="80"/>
    </row>
    <row r="9778">
      <c r="AI9778" s="80"/>
    </row>
    <row r="9779">
      <c r="AI9779" s="80"/>
    </row>
    <row r="9780">
      <c r="AI9780" s="80"/>
    </row>
    <row r="9781">
      <c r="AI9781" s="80"/>
    </row>
    <row r="9782">
      <c r="AI9782" s="80"/>
    </row>
    <row r="9783">
      <c r="AI9783" s="80"/>
    </row>
    <row r="9784">
      <c r="AI9784" s="80"/>
    </row>
    <row r="9785">
      <c r="AI9785" s="80"/>
    </row>
    <row r="9786">
      <c r="AI9786" s="80"/>
    </row>
    <row r="9787">
      <c r="AI9787" s="80"/>
    </row>
    <row r="9788">
      <c r="AI9788" s="80"/>
    </row>
    <row r="9789">
      <c r="AI9789" s="80"/>
    </row>
    <row r="9790">
      <c r="AI9790" s="80"/>
    </row>
    <row r="9791">
      <c r="AI9791" s="80"/>
    </row>
    <row r="9792">
      <c r="AI9792" s="80"/>
    </row>
    <row r="9793">
      <c r="AI9793" s="80"/>
    </row>
    <row r="9794">
      <c r="AI9794" s="80"/>
    </row>
    <row r="9795">
      <c r="AI9795" s="80"/>
    </row>
    <row r="9796">
      <c r="AI9796" s="80"/>
    </row>
    <row r="9797">
      <c r="AI9797" s="80"/>
    </row>
    <row r="9798">
      <c r="AI9798" s="80"/>
    </row>
    <row r="9799">
      <c r="AI9799" s="80"/>
    </row>
    <row r="9800">
      <c r="AI9800" s="80"/>
    </row>
    <row r="9801">
      <c r="AI9801" s="80"/>
    </row>
    <row r="9802">
      <c r="AI9802" s="80"/>
    </row>
    <row r="9803">
      <c r="AI9803" s="80"/>
    </row>
    <row r="9804">
      <c r="AI9804" s="80"/>
    </row>
    <row r="9805">
      <c r="AI9805" s="80"/>
    </row>
    <row r="9806">
      <c r="AI9806" s="80"/>
    </row>
    <row r="9807">
      <c r="AI9807" s="80"/>
    </row>
    <row r="9808">
      <c r="AI9808" s="80"/>
    </row>
    <row r="9809">
      <c r="AI9809" s="80"/>
    </row>
    <row r="9810">
      <c r="AI9810" s="80"/>
    </row>
    <row r="9811">
      <c r="AI9811" s="80"/>
    </row>
    <row r="9812">
      <c r="AI9812" s="80"/>
    </row>
    <row r="9813">
      <c r="AI9813" s="80"/>
    </row>
    <row r="9814">
      <c r="AI9814" s="80"/>
    </row>
    <row r="9815">
      <c r="AI9815" s="80"/>
    </row>
    <row r="9816">
      <c r="AI9816" s="80"/>
    </row>
    <row r="9817">
      <c r="AI9817" s="80"/>
    </row>
    <row r="9818">
      <c r="AI9818" s="80"/>
    </row>
    <row r="9819">
      <c r="AI9819" s="80"/>
    </row>
    <row r="9820">
      <c r="AI9820" s="80"/>
    </row>
    <row r="9821">
      <c r="AI9821" s="80"/>
    </row>
    <row r="9822">
      <c r="AI9822" s="80"/>
    </row>
    <row r="9823">
      <c r="AI9823" s="80"/>
    </row>
    <row r="9824">
      <c r="AI9824" s="80"/>
    </row>
    <row r="9825">
      <c r="AI9825" s="80"/>
    </row>
    <row r="9826">
      <c r="AI9826" s="80"/>
    </row>
    <row r="9827">
      <c r="AI9827" s="80"/>
    </row>
    <row r="9828">
      <c r="AI9828" s="80"/>
    </row>
    <row r="9829">
      <c r="AI9829" s="80"/>
    </row>
    <row r="9830">
      <c r="AI9830" s="80"/>
    </row>
    <row r="9831">
      <c r="AI9831" s="80"/>
    </row>
    <row r="9832">
      <c r="AI9832" s="80"/>
    </row>
    <row r="9833">
      <c r="AI9833" s="80"/>
    </row>
    <row r="9834">
      <c r="AI9834" s="80"/>
    </row>
    <row r="9835">
      <c r="AI9835" s="80"/>
    </row>
    <row r="9836">
      <c r="AI9836" s="80"/>
    </row>
    <row r="9837">
      <c r="AI9837" s="80"/>
    </row>
    <row r="9838">
      <c r="AI9838" s="80"/>
    </row>
    <row r="9839">
      <c r="AI9839" s="80"/>
    </row>
    <row r="9840">
      <c r="AI9840" s="80"/>
    </row>
    <row r="9841">
      <c r="AI9841" s="80"/>
    </row>
    <row r="9842">
      <c r="AI9842" s="80"/>
    </row>
    <row r="9843">
      <c r="AI9843" s="80"/>
    </row>
    <row r="9844">
      <c r="AI9844" s="80"/>
    </row>
    <row r="9845">
      <c r="AI9845" s="80"/>
    </row>
    <row r="9846">
      <c r="AI9846" s="80"/>
    </row>
    <row r="9847">
      <c r="AI9847" s="80"/>
    </row>
    <row r="9848">
      <c r="AI9848" s="80"/>
    </row>
    <row r="9849">
      <c r="AI9849" s="80"/>
    </row>
    <row r="9850">
      <c r="AI9850" s="80"/>
    </row>
    <row r="9851">
      <c r="AI9851" s="80"/>
    </row>
    <row r="9852">
      <c r="AI9852" s="80"/>
    </row>
    <row r="9853">
      <c r="AI9853" s="80"/>
    </row>
    <row r="9854">
      <c r="AI9854" s="80"/>
    </row>
    <row r="9855">
      <c r="AI9855" s="80"/>
    </row>
    <row r="9856">
      <c r="AI9856" s="80"/>
    </row>
    <row r="9857">
      <c r="AI9857" s="80"/>
    </row>
    <row r="9858">
      <c r="AI9858" s="80"/>
    </row>
    <row r="9859">
      <c r="AI9859" s="80"/>
    </row>
    <row r="9860">
      <c r="AI9860" s="80"/>
    </row>
    <row r="9861">
      <c r="AI9861" s="80"/>
    </row>
    <row r="9862">
      <c r="AI9862" s="80"/>
    </row>
    <row r="9863">
      <c r="AI9863" s="80"/>
    </row>
    <row r="9864">
      <c r="AI9864" s="80"/>
    </row>
    <row r="9865">
      <c r="AI9865" s="80"/>
    </row>
    <row r="9866">
      <c r="AI9866" s="80"/>
    </row>
    <row r="9867">
      <c r="AI9867" s="80"/>
    </row>
    <row r="9868">
      <c r="AI9868" s="80"/>
    </row>
    <row r="9869">
      <c r="AI9869" s="80"/>
    </row>
    <row r="9870">
      <c r="AI9870" s="80"/>
    </row>
    <row r="9871">
      <c r="AI9871" s="80"/>
    </row>
    <row r="9872">
      <c r="AI9872" s="80"/>
    </row>
    <row r="9873">
      <c r="AI9873" s="80"/>
    </row>
    <row r="9874">
      <c r="AI9874" s="80"/>
    </row>
    <row r="9875">
      <c r="AI9875" s="80"/>
    </row>
    <row r="9876">
      <c r="AI9876" s="80"/>
    </row>
    <row r="9877">
      <c r="AI9877" s="80"/>
    </row>
    <row r="9878">
      <c r="AI9878" s="80"/>
    </row>
    <row r="9879">
      <c r="AI9879" s="80"/>
    </row>
    <row r="9880">
      <c r="AI9880" s="80"/>
    </row>
    <row r="9881">
      <c r="AI9881" s="80"/>
    </row>
    <row r="9882">
      <c r="AI9882" s="80"/>
    </row>
    <row r="9883">
      <c r="AI9883" s="80"/>
    </row>
    <row r="9884">
      <c r="AI9884" s="80"/>
    </row>
    <row r="9885">
      <c r="AI9885" s="80"/>
    </row>
    <row r="9886">
      <c r="AI9886" s="80"/>
    </row>
    <row r="9887">
      <c r="AI9887" s="80"/>
    </row>
    <row r="9888">
      <c r="AI9888" s="80"/>
    </row>
    <row r="9889">
      <c r="AI9889" s="80"/>
    </row>
    <row r="9890">
      <c r="AI9890" s="80"/>
    </row>
    <row r="9891">
      <c r="AI9891" s="80"/>
    </row>
    <row r="9892">
      <c r="AI9892" s="80"/>
    </row>
    <row r="9893">
      <c r="AI9893" s="80"/>
    </row>
    <row r="9894">
      <c r="AI9894" s="80"/>
    </row>
    <row r="9895">
      <c r="AI9895" s="80"/>
    </row>
    <row r="9896">
      <c r="AI9896" s="80"/>
    </row>
    <row r="9897">
      <c r="AI9897" s="80"/>
    </row>
    <row r="9898">
      <c r="AI9898" s="80"/>
    </row>
    <row r="9899">
      <c r="AI9899" s="80"/>
    </row>
    <row r="9900">
      <c r="AI9900" s="80"/>
    </row>
    <row r="9901">
      <c r="AI9901" s="80"/>
    </row>
    <row r="9902">
      <c r="AI9902" s="80"/>
    </row>
    <row r="9903">
      <c r="AI9903" s="80"/>
    </row>
    <row r="9904">
      <c r="AI9904" s="80"/>
    </row>
    <row r="9905">
      <c r="AI9905" s="80"/>
    </row>
    <row r="9906">
      <c r="AI9906" s="80"/>
    </row>
    <row r="9907">
      <c r="AI9907" s="80"/>
    </row>
    <row r="9908">
      <c r="AI9908" s="80"/>
    </row>
    <row r="9909">
      <c r="AI9909" s="80"/>
    </row>
    <row r="9910">
      <c r="AI9910" s="80"/>
    </row>
    <row r="9911">
      <c r="AI9911" s="80"/>
    </row>
    <row r="9912">
      <c r="AI9912" s="80"/>
    </row>
    <row r="9913">
      <c r="AI9913" s="80"/>
    </row>
    <row r="9914">
      <c r="AI9914" s="80"/>
    </row>
    <row r="9915">
      <c r="AI9915" s="80"/>
    </row>
    <row r="9916">
      <c r="AI9916" s="80"/>
    </row>
    <row r="9917">
      <c r="AI9917" s="80"/>
    </row>
    <row r="9918">
      <c r="AI9918" s="80"/>
    </row>
    <row r="9919">
      <c r="AI9919" s="80"/>
    </row>
    <row r="9920">
      <c r="AI9920" s="80"/>
    </row>
    <row r="9921">
      <c r="AI9921" s="80"/>
    </row>
    <row r="9922">
      <c r="AI9922" s="80"/>
    </row>
    <row r="9923">
      <c r="AI9923" s="80"/>
    </row>
    <row r="9924">
      <c r="AI9924" s="80"/>
    </row>
    <row r="9925">
      <c r="AI9925" s="80"/>
    </row>
    <row r="9926">
      <c r="AI9926" s="80"/>
    </row>
    <row r="9927">
      <c r="AI9927" s="80"/>
    </row>
    <row r="9928">
      <c r="AI9928" s="80"/>
    </row>
    <row r="9929">
      <c r="AI9929" s="80"/>
    </row>
    <row r="9930">
      <c r="AI9930" s="80"/>
    </row>
    <row r="9931">
      <c r="AI9931" s="80"/>
    </row>
    <row r="9932">
      <c r="AI9932" s="80"/>
    </row>
    <row r="9933">
      <c r="AI9933" s="80"/>
    </row>
    <row r="9934">
      <c r="AI9934" s="80"/>
    </row>
    <row r="9935">
      <c r="AI9935" s="80"/>
    </row>
    <row r="9936">
      <c r="AI9936" s="80"/>
    </row>
    <row r="9937">
      <c r="AI9937" s="80"/>
    </row>
    <row r="9938">
      <c r="AI9938" s="80"/>
    </row>
    <row r="9939">
      <c r="AI9939" s="80"/>
    </row>
    <row r="9940">
      <c r="AI9940" s="80"/>
    </row>
    <row r="9941">
      <c r="AI9941" s="80"/>
    </row>
    <row r="9942">
      <c r="AI9942" s="80"/>
    </row>
    <row r="9943">
      <c r="AI9943" s="80"/>
    </row>
    <row r="9944">
      <c r="AI9944" s="80"/>
    </row>
    <row r="9945">
      <c r="AI9945" s="80"/>
    </row>
    <row r="9946">
      <c r="AI9946" s="80"/>
    </row>
    <row r="9947">
      <c r="AI9947" s="80"/>
    </row>
    <row r="9948">
      <c r="AI9948" s="80"/>
    </row>
    <row r="9949">
      <c r="AI9949" s="80"/>
    </row>
    <row r="9950">
      <c r="AI9950" s="80"/>
    </row>
    <row r="9951">
      <c r="AI9951" s="80"/>
    </row>
    <row r="9952">
      <c r="AI9952" s="80"/>
    </row>
    <row r="9953">
      <c r="AI9953" s="80"/>
    </row>
    <row r="9954">
      <c r="AI9954" s="80"/>
    </row>
    <row r="9955">
      <c r="AI9955" s="80"/>
    </row>
    <row r="9956">
      <c r="AI9956" s="80"/>
    </row>
    <row r="9957">
      <c r="AI9957" s="80"/>
    </row>
    <row r="9958">
      <c r="AI9958" s="80"/>
    </row>
    <row r="9959">
      <c r="AI9959" s="80"/>
    </row>
    <row r="9960">
      <c r="AI9960" s="80"/>
    </row>
    <row r="9961">
      <c r="AI9961" s="80"/>
    </row>
    <row r="9962">
      <c r="AI9962" s="80"/>
    </row>
    <row r="9963">
      <c r="AI9963" s="80"/>
    </row>
    <row r="9964">
      <c r="AI9964" s="80"/>
    </row>
    <row r="9965">
      <c r="AI9965" s="80"/>
    </row>
    <row r="9966">
      <c r="AI9966" s="80"/>
    </row>
    <row r="9967">
      <c r="AI9967" s="80"/>
    </row>
    <row r="9968">
      <c r="AI9968" s="80"/>
    </row>
    <row r="9969">
      <c r="AI9969" s="80"/>
    </row>
    <row r="9970">
      <c r="AI9970" s="80"/>
    </row>
    <row r="9971">
      <c r="AI9971" s="80"/>
    </row>
    <row r="9972">
      <c r="AI9972" s="80"/>
    </row>
    <row r="9973">
      <c r="AI9973" s="80"/>
    </row>
    <row r="9974">
      <c r="AI9974" s="80"/>
    </row>
    <row r="9975">
      <c r="AI9975" s="80"/>
    </row>
    <row r="9976">
      <c r="AI9976" s="80"/>
    </row>
    <row r="9977">
      <c r="AI9977" s="80"/>
    </row>
    <row r="9978">
      <c r="AI9978" s="80"/>
    </row>
    <row r="9979">
      <c r="AI9979" s="80"/>
    </row>
    <row r="9980">
      <c r="AI9980" s="80"/>
    </row>
    <row r="9981">
      <c r="AI9981" s="80"/>
    </row>
    <row r="9982">
      <c r="AI9982" s="80"/>
    </row>
    <row r="9983">
      <c r="AI9983" s="80"/>
    </row>
    <row r="9984">
      <c r="AI9984" s="80"/>
    </row>
    <row r="9985">
      <c r="AI9985" s="80"/>
    </row>
    <row r="9986">
      <c r="AI9986" s="80"/>
    </row>
    <row r="9987">
      <c r="AI9987" s="80"/>
    </row>
    <row r="9988">
      <c r="AI9988" s="80"/>
    </row>
    <row r="9989">
      <c r="AI9989" s="80"/>
    </row>
    <row r="9990">
      <c r="AI9990" s="80"/>
    </row>
    <row r="9991">
      <c r="AI9991" s="80"/>
    </row>
    <row r="9992">
      <c r="AI9992" s="80"/>
    </row>
    <row r="9993">
      <c r="AI9993" s="80"/>
    </row>
    <row r="9994">
      <c r="AI9994" s="80"/>
    </row>
    <row r="9995">
      <c r="AI9995" s="80"/>
    </row>
    <row r="9996">
      <c r="AI9996" s="80"/>
    </row>
    <row r="9997">
      <c r="AI9997" s="80"/>
    </row>
    <row r="9998">
      <c r="AI9998" s="80"/>
    </row>
    <row r="9999">
      <c r="AI9999" s="80"/>
    </row>
    <row r="10000">
      <c r="AI10000" s="80"/>
    </row>
    <row r="10001">
      <c r="AI10001" s="80"/>
    </row>
    <row r="10002">
      <c r="AI10002" s="80"/>
    </row>
    <row r="10003">
      <c r="AI10003" s="80"/>
    </row>
    <row r="10004">
      <c r="AI10004" s="80"/>
    </row>
    <row r="10005">
      <c r="AI10005" s="80"/>
    </row>
    <row r="10006">
      <c r="AI10006" s="80"/>
    </row>
    <row r="10007">
      <c r="AI10007" s="80"/>
    </row>
    <row r="10008">
      <c r="AI10008" s="80"/>
    </row>
    <row r="10009">
      <c r="AI10009" s="80"/>
    </row>
    <row r="10010">
      <c r="AI10010" s="80"/>
    </row>
    <row r="10011">
      <c r="AI10011" s="80"/>
    </row>
    <row r="10012">
      <c r="AI10012" s="80"/>
    </row>
    <row r="10013">
      <c r="AI10013" s="80"/>
    </row>
    <row r="10014">
      <c r="AI10014" s="80"/>
    </row>
    <row r="10015">
      <c r="AI10015" s="80"/>
    </row>
    <row r="10016">
      <c r="AI10016" s="80"/>
    </row>
    <row r="10017">
      <c r="AI10017" s="80"/>
    </row>
    <row r="10018">
      <c r="AI10018" s="80"/>
    </row>
    <row r="10019">
      <c r="AI10019" s="80"/>
    </row>
    <row r="10020">
      <c r="AI10020" s="80"/>
    </row>
    <row r="10021">
      <c r="AI10021" s="80"/>
    </row>
    <row r="10022">
      <c r="AI10022" s="80"/>
    </row>
    <row r="10023">
      <c r="AI10023" s="80"/>
    </row>
    <row r="10024">
      <c r="AI10024" s="80"/>
    </row>
    <row r="10025">
      <c r="AI10025" s="80"/>
    </row>
    <row r="10026">
      <c r="AI10026" s="80"/>
    </row>
    <row r="10027">
      <c r="AI10027" s="80"/>
    </row>
    <row r="10028">
      <c r="AI10028" s="80"/>
    </row>
    <row r="10029">
      <c r="AI10029" s="80"/>
    </row>
    <row r="10030">
      <c r="AI10030" s="80"/>
    </row>
    <row r="10031">
      <c r="AI10031" s="80"/>
    </row>
    <row r="10032">
      <c r="AI10032" s="80"/>
    </row>
    <row r="10033">
      <c r="AI10033" s="80"/>
    </row>
    <row r="10034">
      <c r="AI10034" s="80"/>
    </row>
    <row r="10035">
      <c r="AI10035" s="80"/>
    </row>
    <row r="10036">
      <c r="AI10036" s="80"/>
    </row>
    <row r="10037">
      <c r="AI10037" s="80"/>
    </row>
    <row r="10038">
      <c r="AI10038" s="80"/>
    </row>
    <row r="10039">
      <c r="AI10039" s="80"/>
    </row>
    <row r="10040">
      <c r="AI10040" s="80"/>
    </row>
    <row r="10041">
      <c r="AI10041" s="80"/>
    </row>
    <row r="10042">
      <c r="AI10042" s="80"/>
    </row>
    <row r="10043">
      <c r="AI10043" s="80"/>
    </row>
    <row r="10044">
      <c r="AI10044" s="80"/>
    </row>
    <row r="10045">
      <c r="AI10045" s="80"/>
    </row>
    <row r="10046">
      <c r="AI10046" s="80"/>
    </row>
    <row r="10047">
      <c r="AI10047" s="80"/>
    </row>
    <row r="10048">
      <c r="AI10048" s="80"/>
    </row>
    <row r="10049">
      <c r="AI10049" s="80"/>
    </row>
    <row r="10050">
      <c r="AI10050" s="80"/>
    </row>
    <row r="10051">
      <c r="AI10051" s="80"/>
    </row>
    <row r="10052">
      <c r="AI10052" s="80"/>
    </row>
    <row r="10053">
      <c r="AI10053" s="80"/>
    </row>
    <row r="10054">
      <c r="AI10054" s="80"/>
    </row>
    <row r="10055">
      <c r="AI10055" s="80"/>
    </row>
    <row r="10056">
      <c r="AI10056" s="80"/>
    </row>
    <row r="10057">
      <c r="AI10057" s="80"/>
    </row>
    <row r="10058">
      <c r="AI10058" s="80"/>
    </row>
    <row r="10059">
      <c r="AI10059" s="80"/>
    </row>
    <row r="10060">
      <c r="AI10060" s="80"/>
    </row>
    <row r="10061">
      <c r="AI10061" s="80"/>
    </row>
    <row r="10062">
      <c r="AI10062" s="80"/>
    </row>
    <row r="10063">
      <c r="AI10063" s="80"/>
    </row>
    <row r="10064">
      <c r="AI10064" s="80"/>
    </row>
    <row r="10065">
      <c r="AI10065" s="80"/>
    </row>
    <row r="10066">
      <c r="AI10066" s="80"/>
    </row>
    <row r="10067">
      <c r="AI10067" s="80"/>
    </row>
    <row r="10068">
      <c r="AI10068" s="80"/>
    </row>
    <row r="10069">
      <c r="AI10069" s="80"/>
    </row>
    <row r="10070">
      <c r="AI10070" s="80"/>
    </row>
    <row r="10071">
      <c r="AI10071" s="80"/>
    </row>
    <row r="10072">
      <c r="AI10072" s="80"/>
    </row>
    <row r="10073">
      <c r="AI10073" s="80"/>
    </row>
    <row r="10074">
      <c r="AI10074" s="80"/>
    </row>
    <row r="10075">
      <c r="AI10075" s="80"/>
    </row>
    <row r="10076">
      <c r="AI10076" s="80"/>
    </row>
    <row r="10077">
      <c r="AI10077" s="80"/>
    </row>
    <row r="10078">
      <c r="AI10078" s="80"/>
    </row>
    <row r="10079">
      <c r="AI10079" s="80"/>
    </row>
    <row r="10080">
      <c r="AI10080" s="80"/>
    </row>
    <row r="10081">
      <c r="AI10081" s="80"/>
    </row>
    <row r="10082">
      <c r="AI10082" s="80"/>
    </row>
    <row r="10083">
      <c r="AI10083" s="80"/>
    </row>
    <row r="10084">
      <c r="AI10084" s="80"/>
    </row>
    <row r="10085">
      <c r="AI10085" s="80"/>
    </row>
    <row r="10086">
      <c r="AI10086" s="80"/>
    </row>
    <row r="10087">
      <c r="AI10087" s="80"/>
    </row>
    <row r="10088">
      <c r="AI10088" s="80"/>
    </row>
    <row r="10089">
      <c r="AI10089" s="80"/>
    </row>
    <row r="10090">
      <c r="AI10090" s="80"/>
    </row>
    <row r="10091">
      <c r="AI10091" s="80"/>
    </row>
    <row r="10092">
      <c r="AI10092" s="80"/>
    </row>
    <row r="10093">
      <c r="AI10093" s="80"/>
    </row>
    <row r="10094">
      <c r="AI10094" s="80"/>
    </row>
    <row r="10095">
      <c r="AI10095" s="80"/>
    </row>
    <row r="10096">
      <c r="AI10096" s="80"/>
    </row>
    <row r="10097">
      <c r="AI10097" s="80"/>
    </row>
    <row r="10098">
      <c r="AI10098" s="80"/>
    </row>
    <row r="10099">
      <c r="AI10099" s="80"/>
    </row>
    <row r="10100">
      <c r="AI10100" s="80"/>
    </row>
    <row r="10101">
      <c r="AI10101" s="80"/>
    </row>
    <row r="10102">
      <c r="AI10102" s="80"/>
    </row>
    <row r="10103">
      <c r="AI10103" s="80"/>
    </row>
    <row r="10104">
      <c r="AI10104" s="80"/>
    </row>
    <row r="10105">
      <c r="AI10105" s="80"/>
    </row>
    <row r="10106">
      <c r="AI10106" s="80"/>
    </row>
    <row r="10107">
      <c r="AI10107" s="80"/>
    </row>
    <row r="10108">
      <c r="AI10108" s="80"/>
    </row>
    <row r="10109">
      <c r="AI10109" s="80"/>
    </row>
    <row r="10110">
      <c r="AI10110" s="80"/>
    </row>
    <row r="10111">
      <c r="AI10111" s="80"/>
    </row>
    <row r="10112">
      <c r="AI10112" s="80"/>
    </row>
    <row r="10113">
      <c r="AI10113" s="80"/>
    </row>
    <row r="10114">
      <c r="AI10114" s="80"/>
    </row>
    <row r="10115">
      <c r="AI10115" s="80"/>
    </row>
    <row r="10116">
      <c r="AI10116" s="80"/>
    </row>
    <row r="10117">
      <c r="AI10117" s="80"/>
    </row>
    <row r="10118">
      <c r="AI10118" s="80"/>
    </row>
    <row r="10119">
      <c r="AI10119" s="80"/>
    </row>
    <row r="10120">
      <c r="AI10120" s="80"/>
    </row>
    <row r="10121">
      <c r="AI10121" s="80"/>
    </row>
    <row r="10122">
      <c r="AI10122" s="80"/>
    </row>
    <row r="10123">
      <c r="AI10123" s="80"/>
    </row>
    <row r="10124">
      <c r="AI10124" s="80"/>
    </row>
    <row r="10125">
      <c r="AI10125" s="80"/>
    </row>
    <row r="10126">
      <c r="AI10126" s="80"/>
    </row>
    <row r="10127">
      <c r="AI10127" s="80"/>
    </row>
    <row r="10128">
      <c r="AI10128" s="80"/>
    </row>
    <row r="10129">
      <c r="AI10129" s="80"/>
    </row>
    <row r="10130">
      <c r="AI10130" s="80"/>
    </row>
    <row r="10131">
      <c r="AI10131" s="80"/>
    </row>
    <row r="10132">
      <c r="AI10132" s="80"/>
    </row>
    <row r="10133">
      <c r="AI10133" s="80"/>
    </row>
    <row r="10134">
      <c r="AI10134" s="80"/>
    </row>
    <row r="10135">
      <c r="AI10135" s="80"/>
    </row>
    <row r="10136">
      <c r="AI10136" s="80"/>
    </row>
    <row r="10137">
      <c r="AI10137" s="80"/>
    </row>
    <row r="10138">
      <c r="AI10138" s="80"/>
    </row>
    <row r="10139">
      <c r="AI10139" s="80"/>
    </row>
    <row r="10140">
      <c r="AI10140" s="80"/>
    </row>
    <row r="10141">
      <c r="AI10141" s="80"/>
    </row>
    <row r="10142">
      <c r="AI10142" s="80"/>
    </row>
    <row r="10143">
      <c r="AI10143" s="80"/>
    </row>
    <row r="10144">
      <c r="AI10144" s="80"/>
    </row>
    <row r="10145">
      <c r="AI10145" s="80"/>
    </row>
    <row r="10146">
      <c r="AI10146" s="80"/>
    </row>
    <row r="10147">
      <c r="AI10147" s="80"/>
    </row>
    <row r="10148">
      <c r="AI10148" s="80"/>
    </row>
    <row r="10149">
      <c r="AI10149" s="80"/>
    </row>
    <row r="10150">
      <c r="AI10150" s="80"/>
    </row>
    <row r="10151">
      <c r="AI10151" s="80"/>
    </row>
    <row r="10152">
      <c r="AI10152" s="80"/>
    </row>
    <row r="10153">
      <c r="AI10153" s="80"/>
    </row>
    <row r="10154">
      <c r="AI10154" s="80"/>
    </row>
    <row r="10155">
      <c r="AI10155" s="80"/>
    </row>
    <row r="10156">
      <c r="AI10156" s="80"/>
    </row>
    <row r="10157">
      <c r="AI10157" s="80"/>
    </row>
    <row r="10158">
      <c r="AI10158" s="80"/>
    </row>
    <row r="10159">
      <c r="AI10159" s="80"/>
    </row>
    <row r="10160">
      <c r="AI10160" s="80"/>
    </row>
    <row r="10161">
      <c r="AI10161" s="80"/>
    </row>
    <row r="10162">
      <c r="AI10162" s="80"/>
    </row>
    <row r="10163">
      <c r="AI10163" s="80"/>
    </row>
    <row r="10164">
      <c r="AI10164" s="80"/>
    </row>
    <row r="10165">
      <c r="AI10165" s="80"/>
    </row>
    <row r="10166">
      <c r="AI10166" s="80"/>
    </row>
    <row r="10167">
      <c r="AI10167" s="80"/>
    </row>
    <row r="10168">
      <c r="AI10168" s="80"/>
    </row>
    <row r="10169">
      <c r="AI10169" s="80"/>
    </row>
    <row r="10170">
      <c r="AI10170" s="80"/>
    </row>
    <row r="10171">
      <c r="AI10171" s="80"/>
    </row>
    <row r="10172">
      <c r="AI10172" s="80"/>
    </row>
    <row r="10173">
      <c r="AI10173" s="80"/>
    </row>
    <row r="10174">
      <c r="AI10174" s="80"/>
    </row>
    <row r="10175">
      <c r="AI10175" s="80"/>
    </row>
    <row r="10176">
      <c r="AI10176" s="80"/>
    </row>
    <row r="10177">
      <c r="AI10177" s="80"/>
    </row>
    <row r="10178">
      <c r="AI10178" s="80"/>
    </row>
    <row r="10179">
      <c r="AI10179" s="80"/>
    </row>
    <row r="10180">
      <c r="AI10180" s="80"/>
    </row>
    <row r="10181">
      <c r="AI10181" s="80"/>
    </row>
    <row r="10182">
      <c r="AI10182" s="80"/>
    </row>
    <row r="10183">
      <c r="AI10183" s="80"/>
    </row>
    <row r="10184">
      <c r="AI10184" s="80"/>
    </row>
    <row r="10185">
      <c r="AI10185" s="80"/>
    </row>
    <row r="10186">
      <c r="AI10186" s="80"/>
    </row>
    <row r="10187">
      <c r="AI10187" s="80"/>
    </row>
    <row r="10188">
      <c r="AI10188" s="80"/>
    </row>
    <row r="10189">
      <c r="AI10189" s="80"/>
    </row>
    <row r="10190">
      <c r="AI10190" s="80"/>
    </row>
    <row r="10191">
      <c r="AI10191" s="80"/>
    </row>
    <row r="10192">
      <c r="AI10192" s="80"/>
    </row>
    <row r="10193">
      <c r="AI10193" s="80"/>
    </row>
    <row r="10194">
      <c r="AI10194" s="80"/>
    </row>
    <row r="10195">
      <c r="AI10195" s="80"/>
    </row>
    <row r="10196">
      <c r="AI10196" s="80"/>
    </row>
    <row r="10197">
      <c r="AI10197" s="80"/>
    </row>
    <row r="10198">
      <c r="AI10198" s="80"/>
    </row>
    <row r="10199">
      <c r="AI10199" s="80"/>
    </row>
    <row r="10200">
      <c r="AI10200" s="80"/>
    </row>
    <row r="10201">
      <c r="AI10201" s="80"/>
    </row>
    <row r="10202">
      <c r="AI10202" s="80"/>
    </row>
    <row r="10203">
      <c r="AI10203" s="80"/>
    </row>
    <row r="10204">
      <c r="AI10204" s="80"/>
    </row>
    <row r="10205">
      <c r="AI10205" s="80"/>
    </row>
    <row r="10206">
      <c r="AI10206" s="80"/>
    </row>
    <row r="10207">
      <c r="AI10207" s="80"/>
    </row>
    <row r="10208">
      <c r="AI10208" s="80"/>
    </row>
    <row r="10209">
      <c r="AI10209" s="80"/>
    </row>
    <row r="10210">
      <c r="AI10210" s="80"/>
    </row>
    <row r="10211">
      <c r="AI10211" s="80"/>
    </row>
    <row r="10212">
      <c r="AI10212" s="80"/>
    </row>
    <row r="10213">
      <c r="AI10213" s="80"/>
    </row>
    <row r="10214">
      <c r="AI10214" s="80"/>
    </row>
    <row r="10215">
      <c r="AI10215" s="80"/>
    </row>
    <row r="10216">
      <c r="AI10216" s="80"/>
    </row>
    <row r="10217">
      <c r="AI10217" s="80"/>
    </row>
    <row r="10218">
      <c r="AI10218" s="80"/>
    </row>
    <row r="10219">
      <c r="AI10219" s="80"/>
    </row>
    <row r="10220">
      <c r="AI10220" s="80"/>
    </row>
    <row r="10221">
      <c r="AI10221" s="80"/>
    </row>
    <row r="10222">
      <c r="AI10222" s="80"/>
    </row>
    <row r="10223">
      <c r="AI10223" s="80"/>
    </row>
    <row r="10224">
      <c r="AI10224" s="80"/>
    </row>
    <row r="10225">
      <c r="AI10225" s="80"/>
    </row>
    <row r="10226">
      <c r="AI10226" s="80"/>
    </row>
    <row r="10227">
      <c r="AI10227" s="80"/>
    </row>
    <row r="10228">
      <c r="AI10228" s="80"/>
    </row>
    <row r="10229">
      <c r="AI10229" s="80"/>
    </row>
    <row r="10230">
      <c r="AI10230" s="80"/>
    </row>
    <row r="10231">
      <c r="AI10231" s="80"/>
    </row>
    <row r="10232">
      <c r="AI10232" s="80"/>
    </row>
    <row r="10233">
      <c r="AI10233" s="80"/>
    </row>
    <row r="10234">
      <c r="AI10234" s="80"/>
    </row>
    <row r="10235">
      <c r="AI10235" s="80"/>
    </row>
    <row r="10236">
      <c r="AI10236" s="80"/>
    </row>
    <row r="10237">
      <c r="AI10237" s="80"/>
    </row>
    <row r="10238">
      <c r="AI10238" s="80"/>
    </row>
    <row r="10239">
      <c r="AI10239" s="80"/>
    </row>
    <row r="10240">
      <c r="AI10240" s="80"/>
    </row>
    <row r="10241">
      <c r="AI10241" s="80"/>
    </row>
    <row r="10242">
      <c r="AI10242" s="80"/>
    </row>
    <row r="10243">
      <c r="AI10243" s="80"/>
    </row>
    <row r="10244">
      <c r="AI10244" s="80"/>
    </row>
    <row r="10245">
      <c r="AI10245" s="80"/>
    </row>
    <row r="10246">
      <c r="AI10246" s="80"/>
    </row>
    <row r="10247">
      <c r="AI10247" s="80"/>
    </row>
    <row r="10248">
      <c r="AI10248" s="80"/>
    </row>
    <row r="10249">
      <c r="AI10249" s="80"/>
    </row>
    <row r="10250">
      <c r="AI10250" s="80"/>
    </row>
    <row r="10251">
      <c r="AI10251" s="80"/>
    </row>
    <row r="10252">
      <c r="AI10252" s="80"/>
    </row>
    <row r="10253">
      <c r="AI10253" s="80"/>
    </row>
    <row r="10254">
      <c r="AI10254" s="80"/>
    </row>
    <row r="10255">
      <c r="AI10255" s="80"/>
    </row>
    <row r="10256">
      <c r="AI10256" s="80"/>
    </row>
    <row r="10257">
      <c r="AI10257" s="80"/>
    </row>
    <row r="10258">
      <c r="AI10258" s="80"/>
    </row>
    <row r="10259">
      <c r="AI10259" s="80"/>
    </row>
    <row r="10260">
      <c r="AI10260" s="80"/>
    </row>
    <row r="10261">
      <c r="AI10261" s="80"/>
    </row>
    <row r="10262">
      <c r="AI10262" s="80"/>
    </row>
    <row r="10263">
      <c r="AI10263" s="80"/>
    </row>
    <row r="10264">
      <c r="AI10264" s="80"/>
    </row>
    <row r="10265">
      <c r="AI10265" s="80"/>
    </row>
    <row r="10266">
      <c r="AI10266" s="80"/>
    </row>
    <row r="10267">
      <c r="AI10267" s="80"/>
    </row>
    <row r="10268">
      <c r="AI10268" s="80"/>
    </row>
    <row r="10269">
      <c r="AI10269" s="80"/>
    </row>
    <row r="10270">
      <c r="AI10270" s="80"/>
    </row>
    <row r="10271">
      <c r="AI10271" s="80"/>
    </row>
    <row r="10272">
      <c r="AI10272" s="80"/>
    </row>
    <row r="10273">
      <c r="AI10273" s="80"/>
    </row>
    <row r="10274">
      <c r="AI10274" s="80"/>
    </row>
    <row r="10275">
      <c r="AI10275" s="80"/>
    </row>
    <row r="10276">
      <c r="AI10276" s="80"/>
    </row>
    <row r="10277">
      <c r="AI10277" s="80"/>
    </row>
    <row r="10278">
      <c r="AI10278" s="80"/>
    </row>
    <row r="10279">
      <c r="AI10279" s="80"/>
    </row>
    <row r="10280">
      <c r="AI10280" s="80"/>
    </row>
    <row r="10281">
      <c r="AI10281" s="80"/>
    </row>
    <row r="10282">
      <c r="AI10282" s="80"/>
    </row>
    <row r="10283">
      <c r="AI10283" s="80"/>
    </row>
    <row r="10284">
      <c r="AI10284" s="80"/>
    </row>
    <row r="10285">
      <c r="AI10285" s="80"/>
    </row>
    <row r="10286">
      <c r="AI10286" s="80"/>
    </row>
    <row r="10287">
      <c r="AI10287" s="80"/>
    </row>
    <row r="10288">
      <c r="AI10288" s="80"/>
    </row>
    <row r="10289">
      <c r="AI10289" s="80"/>
    </row>
    <row r="10290">
      <c r="AI10290" s="80"/>
    </row>
    <row r="10291">
      <c r="AI10291" s="80"/>
    </row>
    <row r="10292">
      <c r="AI10292" s="80"/>
    </row>
    <row r="10293">
      <c r="AI10293" s="80"/>
    </row>
    <row r="10294">
      <c r="AI10294" s="80"/>
    </row>
    <row r="10295">
      <c r="AI10295" s="80"/>
    </row>
    <row r="10296">
      <c r="AI10296" s="80"/>
    </row>
    <row r="10297">
      <c r="AI10297" s="80"/>
    </row>
    <row r="10298">
      <c r="AI10298" s="80"/>
    </row>
    <row r="10299">
      <c r="AI10299" s="80"/>
    </row>
    <row r="10300">
      <c r="AI10300" s="80"/>
    </row>
    <row r="10301">
      <c r="AI10301" s="80"/>
    </row>
    <row r="10302">
      <c r="AI10302" s="80"/>
    </row>
    <row r="10303">
      <c r="AI10303" s="80"/>
    </row>
    <row r="10304">
      <c r="AI10304" s="80"/>
    </row>
    <row r="10305">
      <c r="AI10305" s="80"/>
    </row>
    <row r="10306">
      <c r="AI10306" s="80"/>
    </row>
    <row r="10307">
      <c r="AI10307" s="80"/>
    </row>
    <row r="10308">
      <c r="AI10308" s="80"/>
    </row>
    <row r="10309">
      <c r="AI10309" s="80"/>
    </row>
    <row r="10310">
      <c r="AI10310" s="80"/>
    </row>
    <row r="10311">
      <c r="AI10311" s="80"/>
    </row>
    <row r="10312">
      <c r="AI10312" s="80"/>
    </row>
    <row r="10313">
      <c r="AI10313" s="80"/>
    </row>
    <row r="10314">
      <c r="AI10314" s="80"/>
    </row>
    <row r="10315">
      <c r="AI10315" s="80"/>
    </row>
    <row r="10316">
      <c r="AI10316" s="80"/>
    </row>
    <row r="10317">
      <c r="AI10317" s="80"/>
    </row>
    <row r="10318">
      <c r="AI10318" s="80"/>
    </row>
    <row r="10319">
      <c r="AI10319" s="80"/>
    </row>
    <row r="10320">
      <c r="AI10320" s="80"/>
    </row>
    <row r="10321">
      <c r="AI10321" s="80"/>
    </row>
    <row r="10322">
      <c r="AI10322" s="80"/>
    </row>
    <row r="10323">
      <c r="AI10323" s="80"/>
    </row>
    <row r="10324">
      <c r="AI10324" s="80"/>
    </row>
    <row r="10325">
      <c r="AI10325" s="80"/>
    </row>
    <row r="10326">
      <c r="AI10326" s="80"/>
    </row>
    <row r="10327">
      <c r="AI10327" s="80"/>
    </row>
    <row r="10328">
      <c r="AI10328" s="80"/>
    </row>
    <row r="10329">
      <c r="AI10329" s="80"/>
    </row>
    <row r="10330">
      <c r="AI10330" s="80"/>
    </row>
    <row r="10331">
      <c r="AI10331" s="80"/>
    </row>
    <row r="10332">
      <c r="AI10332" s="80"/>
    </row>
    <row r="10333">
      <c r="AI10333" s="80"/>
    </row>
    <row r="10334">
      <c r="AI10334" s="80"/>
    </row>
    <row r="10335">
      <c r="AI10335" s="80"/>
    </row>
    <row r="10336">
      <c r="AI10336" s="80"/>
    </row>
    <row r="10337">
      <c r="AI10337" s="80"/>
    </row>
    <row r="10338">
      <c r="AI10338" s="80"/>
    </row>
    <row r="10339">
      <c r="AI10339" s="80"/>
    </row>
    <row r="10340">
      <c r="AI10340" s="80"/>
    </row>
    <row r="10341">
      <c r="AI10341" s="80"/>
    </row>
    <row r="10342">
      <c r="AI10342" s="80"/>
    </row>
    <row r="10343">
      <c r="AI10343" s="80"/>
    </row>
    <row r="10344">
      <c r="AI10344" s="80"/>
    </row>
    <row r="10345">
      <c r="AI10345" s="80"/>
    </row>
    <row r="10346">
      <c r="AI10346" s="80"/>
    </row>
    <row r="10347">
      <c r="AI10347" s="80"/>
    </row>
    <row r="10348">
      <c r="AI10348" s="80"/>
    </row>
    <row r="10349">
      <c r="AI10349" s="80"/>
    </row>
    <row r="10350">
      <c r="AI10350" s="80"/>
    </row>
    <row r="10351">
      <c r="AI10351" s="80"/>
    </row>
    <row r="10352">
      <c r="AI10352" s="80"/>
    </row>
    <row r="10353">
      <c r="AI10353" s="80"/>
    </row>
    <row r="10354">
      <c r="AI10354" s="80"/>
    </row>
    <row r="10355">
      <c r="AI10355" s="80"/>
    </row>
    <row r="10356">
      <c r="AI10356" s="80"/>
    </row>
    <row r="10357">
      <c r="AI10357" s="80"/>
    </row>
    <row r="10358">
      <c r="AI10358" s="80"/>
    </row>
    <row r="10359">
      <c r="AI10359" s="80"/>
    </row>
    <row r="10360">
      <c r="AI10360" s="80"/>
    </row>
    <row r="10361">
      <c r="AI10361" s="80"/>
    </row>
    <row r="10362">
      <c r="AI10362" s="80"/>
    </row>
    <row r="10363">
      <c r="AI10363" s="80"/>
    </row>
    <row r="10364">
      <c r="AI10364" s="80"/>
    </row>
    <row r="10365">
      <c r="AI10365" s="80"/>
    </row>
    <row r="10366">
      <c r="AI10366" s="80"/>
    </row>
    <row r="10367">
      <c r="AI10367" s="80"/>
    </row>
    <row r="10368">
      <c r="AI10368" s="80"/>
    </row>
    <row r="10369">
      <c r="AI10369" s="80"/>
    </row>
    <row r="10370">
      <c r="AI10370" s="80"/>
    </row>
    <row r="10371">
      <c r="AI10371" s="80"/>
    </row>
    <row r="10372">
      <c r="AI10372" s="80"/>
    </row>
    <row r="10373">
      <c r="AI10373" s="80"/>
    </row>
    <row r="10374">
      <c r="AI10374" s="80"/>
    </row>
    <row r="10375">
      <c r="AI10375" s="80"/>
    </row>
    <row r="10376">
      <c r="AI10376" s="80"/>
    </row>
    <row r="10377">
      <c r="AI10377" s="80"/>
    </row>
    <row r="10378">
      <c r="AI10378" s="80"/>
    </row>
    <row r="10379">
      <c r="AI10379" s="80"/>
    </row>
    <row r="10380">
      <c r="AI10380" s="80"/>
    </row>
    <row r="10381">
      <c r="AI10381" s="80"/>
    </row>
    <row r="10382">
      <c r="AI10382" s="80"/>
    </row>
    <row r="10383">
      <c r="AI10383" s="80"/>
    </row>
    <row r="10384">
      <c r="AI10384" s="80"/>
    </row>
    <row r="10385">
      <c r="AI10385" s="80"/>
    </row>
    <row r="10386">
      <c r="AI10386" s="80"/>
    </row>
    <row r="10387">
      <c r="AI10387" s="80"/>
    </row>
    <row r="10388">
      <c r="AI10388" s="80"/>
    </row>
    <row r="10389">
      <c r="AI10389" s="80"/>
    </row>
    <row r="10390">
      <c r="AI10390" s="80"/>
    </row>
    <row r="10391">
      <c r="AI10391" s="80"/>
    </row>
    <row r="10392">
      <c r="AI10392" s="80"/>
    </row>
    <row r="10393">
      <c r="AI10393" s="80"/>
    </row>
    <row r="10394">
      <c r="AI10394" s="80"/>
    </row>
    <row r="10395">
      <c r="AI10395" s="80"/>
    </row>
    <row r="10396">
      <c r="AI10396" s="80"/>
    </row>
    <row r="10397">
      <c r="AI10397" s="80"/>
    </row>
    <row r="10398">
      <c r="AI10398" s="80"/>
    </row>
    <row r="10399">
      <c r="AI10399" s="80"/>
    </row>
    <row r="10400">
      <c r="AI10400" s="80"/>
    </row>
    <row r="10401">
      <c r="AI10401" s="80"/>
    </row>
    <row r="10402">
      <c r="AI10402" s="80"/>
    </row>
    <row r="10403">
      <c r="AI10403" s="80"/>
    </row>
    <row r="10404">
      <c r="AI10404" s="80"/>
    </row>
    <row r="10405">
      <c r="AI10405" s="80"/>
    </row>
    <row r="10406">
      <c r="AI10406" s="80"/>
    </row>
    <row r="10407">
      <c r="AI10407" s="80"/>
    </row>
    <row r="10408">
      <c r="AI10408" s="80"/>
    </row>
    <row r="10409">
      <c r="AI10409" s="80"/>
    </row>
    <row r="10410">
      <c r="AI10410" s="80"/>
    </row>
    <row r="10411">
      <c r="AI10411" s="80"/>
    </row>
    <row r="10412">
      <c r="AI10412" s="80"/>
    </row>
    <row r="10413">
      <c r="AI10413" s="80"/>
    </row>
    <row r="10414">
      <c r="AI10414" s="80"/>
    </row>
    <row r="10415">
      <c r="AI10415" s="80"/>
    </row>
    <row r="10416">
      <c r="AI10416" s="80"/>
    </row>
    <row r="10417">
      <c r="AI10417" s="80"/>
    </row>
    <row r="10418">
      <c r="AI10418" s="80"/>
    </row>
    <row r="10419">
      <c r="AI10419" s="80"/>
    </row>
    <row r="10420">
      <c r="AI10420" s="80"/>
    </row>
    <row r="10421">
      <c r="AI10421" s="80"/>
    </row>
    <row r="10422">
      <c r="AI10422" s="80"/>
    </row>
    <row r="10423">
      <c r="AI10423" s="80"/>
    </row>
    <row r="10424">
      <c r="AI10424" s="80"/>
    </row>
    <row r="10425">
      <c r="AI10425" s="80"/>
    </row>
    <row r="10426">
      <c r="AI10426" s="80"/>
    </row>
    <row r="10427">
      <c r="AI10427" s="80"/>
    </row>
    <row r="10428">
      <c r="AI10428" s="80"/>
    </row>
    <row r="10429">
      <c r="AI10429" s="80"/>
    </row>
    <row r="10430">
      <c r="AI10430" s="80"/>
    </row>
    <row r="10431">
      <c r="AI10431" s="80"/>
    </row>
    <row r="10432">
      <c r="AI10432" s="80"/>
    </row>
    <row r="10433">
      <c r="AI10433" s="80"/>
    </row>
    <row r="10434">
      <c r="AI10434" s="80"/>
    </row>
    <row r="10435">
      <c r="AI10435" s="80"/>
    </row>
    <row r="10436">
      <c r="AI10436" s="80"/>
    </row>
    <row r="10437">
      <c r="AI10437" s="80"/>
    </row>
    <row r="10438">
      <c r="AI10438" s="80"/>
    </row>
    <row r="10439">
      <c r="AI10439" s="80"/>
    </row>
    <row r="10440">
      <c r="AI10440" s="80"/>
    </row>
    <row r="10441">
      <c r="AI10441" s="80"/>
    </row>
    <row r="10442">
      <c r="AI10442" s="80"/>
    </row>
    <row r="10443">
      <c r="AI10443" s="80"/>
    </row>
    <row r="10444">
      <c r="AI10444" s="80"/>
    </row>
    <row r="10445">
      <c r="AI10445" s="80"/>
    </row>
    <row r="10446">
      <c r="AI10446" s="80"/>
    </row>
    <row r="10447">
      <c r="AI10447" s="80"/>
    </row>
    <row r="10448">
      <c r="AI10448" s="80"/>
    </row>
    <row r="10449">
      <c r="AI10449" s="80"/>
    </row>
    <row r="10450">
      <c r="AI10450" s="80"/>
    </row>
    <row r="10451">
      <c r="AI10451" s="80"/>
    </row>
    <row r="10452">
      <c r="AI10452" s="80"/>
    </row>
    <row r="10453">
      <c r="AI10453" s="80"/>
    </row>
    <row r="10454">
      <c r="AI10454" s="80"/>
    </row>
    <row r="10455">
      <c r="AI10455" s="80"/>
    </row>
    <row r="10456">
      <c r="AI10456" s="80"/>
    </row>
    <row r="10457">
      <c r="AI10457" s="80"/>
    </row>
    <row r="10458">
      <c r="AI10458" s="80"/>
    </row>
    <row r="10459">
      <c r="AI10459" s="80"/>
    </row>
    <row r="10460">
      <c r="AI10460" s="80"/>
    </row>
    <row r="10461">
      <c r="AI10461" s="80"/>
    </row>
    <row r="10462">
      <c r="AI10462" s="80"/>
    </row>
    <row r="10463">
      <c r="AI10463" s="80"/>
    </row>
    <row r="10464">
      <c r="AI10464" s="80"/>
    </row>
    <row r="10465">
      <c r="AI10465" s="80"/>
    </row>
    <row r="10466">
      <c r="AI10466" s="80"/>
    </row>
    <row r="10467">
      <c r="AI10467" s="80"/>
    </row>
    <row r="10468">
      <c r="AI10468" s="80"/>
    </row>
    <row r="10469">
      <c r="AI10469" s="80"/>
    </row>
    <row r="10470">
      <c r="AI10470" s="80"/>
    </row>
    <row r="10471">
      <c r="AI10471" s="80"/>
    </row>
    <row r="10472">
      <c r="AI10472" s="80"/>
    </row>
    <row r="10473">
      <c r="AI10473" s="80"/>
    </row>
    <row r="10474">
      <c r="AI10474" s="80"/>
    </row>
    <row r="10475">
      <c r="AI10475" s="80"/>
    </row>
    <row r="10476">
      <c r="AI10476" s="80"/>
    </row>
    <row r="10477">
      <c r="AI10477" s="80"/>
    </row>
    <row r="10478">
      <c r="AI10478" s="80"/>
    </row>
    <row r="10479">
      <c r="AI10479" s="80"/>
    </row>
    <row r="10480">
      <c r="AI10480" s="80"/>
    </row>
    <row r="10481">
      <c r="AI10481" s="80"/>
    </row>
    <row r="10482">
      <c r="AI10482" s="80"/>
    </row>
    <row r="10483">
      <c r="AI10483" s="80"/>
    </row>
    <row r="10484">
      <c r="AI10484" s="80"/>
    </row>
    <row r="10485">
      <c r="AI10485" s="80"/>
    </row>
    <row r="10486">
      <c r="AI10486" s="80"/>
    </row>
    <row r="10487">
      <c r="AI10487" s="80"/>
    </row>
    <row r="10488">
      <c r="AI10488" s="80"/>
    </row>
    <row r="10489">
      <c r="AI10489" s="80"/>
    </row>
    <row r="10490">
      <c r="AI10490" s="80"/>
    </row>
    <row r="10491">
      <c r="AI10491" s="80"/>
    </row>
    <row r="10492">
      <c r="AI10492" s="80"/>
    </row>
    <row r="10493">
      <c r="AI10493" s="80"/>
    </row>
    <row r="10494">
      <c r="AI10494" s="80"/>
    </row>
    <row r="10495">
      <c r="AI10495" s="80"/>
    </row>
    <row r="10496">
      <c r="AI10496" s="80"/>
    </row>
    <row r="10497">
      <c r="AI10497" s="80"/>
    </row>
    <row r="10498">
      <c r="AI10498" s="80"/>
    </row>
    <row r="10499">
      <c r="AI10499" s="80"/>
    </row>
    <row r="10500">
      <c r="AI10500" s="80"/>
    </row>
    <row r="10501">
      <c r="AI10501" s="80"/>
    </row>
    <row r="10502">
      <c r="AI10502" s="80"/>
    </row>
    <row r="10503">
      <c r="AI10503" s="80"/>
    </row>
    <row r="10504">
      <c r="AI10504" s="80"/>
    </row>
    <row r="10505">
      <c r="AI10505" s="80"/>
    </row>
    <row r="10506">
      <c r="AI10506" s="80"/>
    </row>
    <row r="10507">
      <c r="AI10507" s="80"/>
    </row>
    <row r="10508">
      <c r="AI10508" s="80"/>
    </row>
    <row r="10509">
      <c r="AI10509" s="80"/>
    </row>
    <row r="10510">
      <c r="AI10510" s="80"/>
    </row>
    <row r="10511">
      <c r="AI10511" s="80"/>
    </row>
    <row r="10512">
      <c r="AI10512" s="80"/>
    </row>
    <row r="10513">
      <c r="AI10513" s="80"/>
    </row>
    <row r="10514">
      <c r="AI10514" s="80"/>
    </row>
    <row r="10515">
      <c r="AI10515" s="80"/>
    </row>
    <row r="10516">
      <c r="AI10516" s="80"/>
    </row>
    <row r="10517">
      <c r="AI10517" s="80"/>
    </row>
    <row r="10518">
      <c r="AI10518" s="80"/>
    </row>
    <row r="10519">
      <c r="AI10519" s="80"/>
    </row>
    <row r="10520">
      <c r="AI10520" s="80"/>
    </row>
    <row r="10521">
      <c r="AI10521" s="80"/>
    </row>
    <row r="10522">
      <c r="AI10522" s="80"/>
    </row>
    <row r="10523">
      <c r="AI10523" s="80"/>
    </row>
    <row r="10524">
      <c r="AI10524" s="80"/>
    </row>
    <row r="10525">
      <c r="AI10525" s="80"/>
    </row>
    <row r="10526">
      <c r="AI10526" s="80"/>
    </row>
    <row r="10527">
      <c r="AI10527" s="80"/>
    </row>
    <row r="10528">
      <c r="AI10528" s="80"/>
    </row>
    <row r="10529">
      <c r="AI10529" s="80"/>
    </row>
    <row r="10530">
      <c r="AI10530" s="80"/>
    </row>
    <row r="10531">
      <c r="AI10531" s="80"/>
    </row>
    <row r="10532">
      <c r="AI10532" s="80"/>
    </row>
    <row r="10533">
      <c r="AI10533" s="80"/>
    </row>
    <row r="10534">
      <c r="AI10534" s="80"/>
    </row>
    <row r="10535">
      <c r="AI10535" s="80"/>
    </row>
    <row r="10536">
      <c r="AI10536" s="80"/>
    </row>
    <row r="10537">
      <c r="AI10537" s="80"/>
    </row>
    <row r="10538">
      <c r="AI10538" s="80"/>
    </row>
    <row r="10539">
      <c r="AI10539" s="80"/>
    </row>
    <row r="10540">
      <c r="AI10540" s="80"/>
    </row>
    <row r="10541">
      <c r="AI10541" s="80"/>
    </row>
    <row r="10542">
      <c r="AI10542" s="80"/>
    </row>
    <row r="10543">
      <c r="AI10543" s="80"/>
    </row>
    <row r="10544">
      <c r="AI10544" s="80"/>
    </row>
    <row r="10545">
      <c r="AI10545" s="80"/>
    </row>
    <row r="10546">
      <c r="AI10546" s="80"/>
    </row>
    <row r="10547">
      <c r="AI10547" s="80"/>
    </row>
    <row r="10548">
      <c r="AI10548" s="80"/>
    </row>
    <row r="10549">
      <c r="AI10549" s="80"/>
    </row>
    <row r="10550">
      <c r="AI10550" s="80"/>
    </row>
    <row r="10551">
      <c r="AI10551" s="80"/>
    </row>
    <row r="10552">
      <c r="AI10552" s="80"/>
    </row>
    <row r="10553">
      <c r="AI10553" s="80"/>
    </row>
    <row r="10554">
      <c r="AI10554" s="80"/>
    </row>
    <row r="10555">
      <c r="AI10555" s="80"/>
    </row>
    <row r="10556">
      <c r="AI10556" s="80"/>
    </row>
    <row r="10557">
      <c r="AI10557" s="80"/>
    </row>
    <row r="10558">
      <c r="AI10558" s="80"/>
    </row>
    <row r="10559">
      <c r="AI10559" s="80"/>
    </row>
    <row r="10560">
      <c r="AI10560" s="80"/>
    </row>
    <row r="10561">
      <c r="AI10561" s="80"/>
    </row>
    <row r="10562">
      <c r="AI10562" s="80"/>
    </row>
    <row r="10563">
      <c r="AI10563" s="80"/>
    </row>
    <row r="10564">
      <c r="AI10564" s="80"/>
    </row>
    <row r="10565">
      <c r="AI10565" s="80"/>
    </row>
    <row r="10566">
      <c r="AI10566" s="80"/>
    </row>
    <row r="10567">
      <c r="AI10567" s="80"/>
    </row>
    <row r="10568">
      <c r="AI10568" s="80"/>
    </row>
    <row r="10569">
      <c r="AI10569" s="80"/>
    </row>
    <row r="10570">
      <c r="AI10570" s="80"/>
    </row>
    <row r="10571">
      <c r="AI10571" s="80"/>
    </row>
    <row r="10572">
      <c r="AI10572" s="80"/>
    </row>
    <row r="10573">
      <c r="AI10573" s="80"/>
    </row>
    <row r="10574">
      <c r="AI10574" s="80"/>
    </row>
    <row r="10575">
      <c r="AI10575" s="80"/>
    </row>
    <row r="10576">
      <c r="AI10576" s="80"/>
    </row>
    <row r="10577">
      <c r="AI10577" s="80"/>
    </row>
    <row r="10578">
      <c r="AI10578" s="80"/>
    </row>
    <row r="10579">
      <c r="AI10579" s="80"/>
    </row>
    <row r="10580">
      <c r="AI10580" s="80"/>
    </row>
    <row r="10581">
      <c r="AI10581" s="80"/>
    </row>
    <row r="10582">
      <c r="AI10582" s="80"/>
    </row>
    <row r="10583">
      <c r="AI10583" s="80"/>
    </row>
    <row r="10584">
      <c r="AI10584" s="80"/>
    </row>
    <row r="10585">
      <c r="AI10585" s="80"/>
    </row>
    <row r="10586">
      <c r="AI10586" s="80"/>
    </row>
    <row r="10587">
      <c r="AI10587" s="80"/>
    </row>
    <row r="10588">
      <c r="AI10588" s="80"/>
    </row>
    <row r="10589">
      <c r="AI10589" s="80"/>
    </row>
    <row r="10590">
      <c r="AI10590" s="80"/>
    </row>
    <row r="10591">
      <c r="AI10591" s="80"/>
    </row>
    <row r="10592">
      <c r="AI10592" s="80"/>
    </row>
    <row r="10593">
      <c r="AI10593" s="80"/>
    </row>
    <row r="10594">
      <c r="AI10594" s="80"/>
    </row>
    <row r="10595">
      <c r="AI10595" s="80"/>
    </row>
    <row r="10596">
      <c r="AI10596" s="80"/>
    </row>
    <row r="10597">
      <c r="AI10597" s="80"/>
    </row>
    <row r="10598">
      <c r="AI10598" s="80"/>
    </row>
    <row r="10599">
      <c r="AI10599" s="80"/>
    </row>
    <row r="10600">
      <c r="AI10600" s="80"/>
    </row>
    <row r="10601">
      <c r="AI10601" s="80"/>
    </row>
    <row r="10602">
      <c r="AI10602" s="80"/>
    </row>
    <row r="10603">
      <c r="AI10603" s="80"/>
    </row>
    <row r="10604">
      <c r="AI10604" s="80"/>
    </row>
    <row r="10605">
      <c r="AI10605" s="80"/>
    </row>
    <row r="10606">
      <c r="AI10606" s="80"/>
    </row>
    <row r="10607">
      <c r="AI10607" s="80"/>
    </row>
    <row r="10608">
      <c r="AI10608" s="80"/>
    </row>
    <row r="10609">
      <c r="AI10609" s="80"/>
    </row>
    <row r="10610">
      <c r="AI10610" s="80"/>
    </row>
    <row r="10611">
      <c r="AI10611" s="80"/>
    </row>
    <row r="10612">
      <c r="AI10612" s="80"/>
    </row>
    <row r="10613">
      <c r="AI10613" s="80"/>
    </row>
    <row r="10614">
      <c r="AI10614" s="80"/>
    </row>
    <row r="10615">
      <c r="AI10615" s="80"/>
    </row>
    <row r="10616">
      <c r="AI10616" s="80"/>
    </row>
    <row r="10617">
      <c r="AI10617" s="80"/>
    </row>
    <row r="10618">
      <c r="AI10618" s="80"/>
    </row>
    <row r="10619">
      <c r="AI10619" s="80"/>
    </row>
    <row r="10620">
      <c r="AI10620" s="80"/>
    </row>
    <row r="10621">
      <c r="AI10621" s="80"/>
    </row>
    <row r="10622">
      <c r="AI10622" s="80"/>
    </row>
    <row r="10623">
      <c r="AI10623" s="80"/>
    </row>
    <row r="10624">
      <c r="AI10624" s="80"/>
    </row>
    <row r="10625">
      <c r="AI10625" s="80"/>
    </row>
    <row r="10626">
      <c r="AI10626" s="80"/>
    </row>
    <row r="10627">
      <c r="AI10627" s="80"/>
    </row>
    <row r="10628">
      <c r="AI10628" s="80"/>
    </row>
    <row r="10629">
      <c r="AI10629" s="80"/>
    </row>
    <row r="10630">
      <c r="AI10630" s="80"/>
    </row>
    <row r="10631">
      <c r="AI10631" s="80"/>
    </row>
    <row r="10632">
      <c r="AI10632" s="80"/>
    </row>
    <row r="10633">
      <c r="AI10633" s="80"/>
    </row>
    <row r="10634">
      <c r="AI10634" s="80"/>
    </row>
    <row r="10635">
      <c r="AI10635" s="80"/>
    </row>
    <row r="10636">
      <c r="AI10636" s="80"/>
    </row>
    <row r="10637">
      <c r="AI10637" s="80"/>
    </row>
    <row r="10638">
      <c r="AI10638" s="80"/>
    </row>
    <row r="10639">
      <c r="AI10639" s="80"/>
    </row>
    <row r="10640">
      <c r="AI10640" s="80"/>
    </row>
    <row r="10641">
      <c r="AI10641" s="80"/>
    </row>
    <row r="10642">
      <c r="AI10642" s="80"/>
    </row>
    <row r="10643">
      <c r="AI10643" s="80"/>
    </row>
    <row r="10644">
      <c r="AI10644" s="80"/>
    </row>
    <row r="10645">
      <c r="AI10645" s="80"/>
    </row>
    <row r="10646">
      <c r="AI10646" s="80"/>
    </row>
    <row r="10647">
      <c r="AI10647" s="80"/>
    </row>
    <row r="10648">
      <c r="AI10648" s="80"/>
    </row>
    <row r="10649">
      <c r="AI10649" s="80"/>
    </row>
    <row r="10650">
      <c r="AI10650" s="80"/>
    </row>
    <row r="10651">
      <c r="AI10651" s="80"/>
    </row>
    <row r="10652">
      <c r="AI10652" s="80"/>
    </row>
    <row r="10653">
      <c r="AI10653" s="80"/>
    </row>
    <row r="10654">
      <c r="AI10654" s="80"/>
    </row>
    <row r="10655">
      <c r="AI10655" s="80"/>
    </row>
    <row r="10656">
      <c r="AI10656" s="80"/>
    </row>
    <row r="10657">
      <c r="AI10657" s="80"/>
    </row>
    <row r="10658">
      <c r="AI10658" s="80"/>
    </row>
    <row r="10659">
      <c r="AI10659" s="80"/>
    </row>
    <row r="10660">
      <c r="AI10660" s="80"/>
    </row>
    <row r="10661">
      <c r="AI10661" s="80"/>
    </row>
    <row r="10662">
      <c r="AI10662" s="80"/>
    </row>
    <row r="10663">
      <c r="AI10663" s="80"/>
    </row>
    <row r="10664">
      <c r="AI10664" s="80"/>
    </row>
    <row r="10665">
      <c r="AI10665" s="80"/>
    </row>
    <row r="10666">
      <c r="AI10666" s="80"/>
    </row>
    <row r="10667">
      <c r="AI10667" s="80"/>
    </row>
    <row r="10668">
      <c r="AI10668" s="80"/>
    </row>
    <row r="10669">
      <c r="AI10669" s="80"/>
    </row>
    <row r="10670">
      <c r="AI10670" s="80"/>
    </row>
    <row r="10671">
      <c r="AI10671" s="80"/>
    </row>
    <row r="10672">
      <c r="AI10672" s="80"/>
    </row>
    <row r="10673">
      <c r="AI10673" s="80"/>
    </row>
    <row r="10674">
      <c r="AI10674" s="80"/>
    </row>
    <row r="10675">
      <c r="AI10675" s="80"/>
    </row>
    <row r="10676">
      <c r="AI10676" s="80"/>
    </row>
    <row r="10677">
      <c r="AI10677" s="80"/>
    </row>
    <row r="10678">
      <c r="AI10678" s="80"/>
    </row>
    <row r="10679">
      <c r="AI10679" s="80"/>
    </row>
    <row r="10680">
      <c r="AI10680" s="80"/>
    </row>
    <row r="10681">
      <c r="AI10681" s="80"/>
    </row>
    <row r="10682">
      <c r="AI10682" s="80"/>
    </row>
    <row r="10683">
      <c r="AI10683" s="80"/>
    </row>
    <row r="10684">
      <c r="AI10684" s="80"/>
    </row>
    <row r="10685">
      <c r="AI10685" s="80"/>
    </row>
    <row r="10686">
      <c r="AI10686" s="80"/>
    </row>
    <row r="10687">
      <c r="AI10687" s="80"/>
    </row>
    <row r="10688">
      <c r="AI10688" s="80"/>
    </row>
    <row r="10689">
      <c r="AI10689" s="80"/>
    </row>
    <row r="10690">
      <c r="AI10690" s="80"/>
    </row>
    <row r="10691">
      <c r="AI10691" s="80"/>
    </row>
    <row r="10692">
      <c r="AI10692" s="80"/>
    </row>
    <row r="10693">
      <c r="AI10693" s="80"/>
    </row>
    <row r="10694">
      <c r="AI10694" s="80"/>
    </row>
    <row r="10695">
      <c r="AI10695" s="80"/>
    </row>
    <row r="10696">
      <c r="AI10696" s="80"/>
    </row>
    <row r="10697">
      <c r="AI10697" s="80"/>
    </row>
    <row r="10698">
      <c r="AI10698" s="80"/>
    </row>
    <row r="10699">
      <c r="AI10699" s="80"/>
    </row>
    <row r="10700">
      <c r="AI10700" s="80"/>
    </row>
    <row r="10701">
      <c r="AI10701" s="80"/>
    </row>
    <row r="10702">
      <c r="AI10702" s="80"/>
    </row>
    <row r="10703">
      <c r="AI10703" s="80"/>
    </row>
    <row r="10704">
      <c r="AI10704" s="80"/>
    </row>
    <row r="10705">
      <c r="AI10705" s="80"/>
    </row>
    <row r="10706">
      <c r="AI10706" s="80"/>
    </row>
    <row r="10707">
      <c r="AI10707" s="80"/>
    </row>
    <row r="10708">
      <c r="AI10708" s="80"/>
    </row>
    <row r="10709">
      <c r="AI10709" s="80"/>
    </row>
    <row r="10710">
      <c r="AI10710" s="80"/>
    </row>
    <row r="10711">
      <c r="AI10711" s="80"/>
    </row>
    <row r="10712">
      <c r="AI10712" s="80"/>
    </row>
    <row r="10713">
      <c r="AI10713" s="80"/>
    </row>
    <row r="10714">
      <c r="AI10714" s="80"/>
    </row>
    <row r="10715">
      <c r="AI10715" s="80"/>
    </row>
    <row r="10716">
      <c r="AI10716" s="80"/>
    </row>
    <row r="10717">
      <c r="AI10717" s="80"/>
    </row>
    <row r="10718">
      <c r="AI10718" s="80"/>
    </row>
    <row r="10719">
      <c r="AI10719" s="80"/>
    </row>
    <row r="10720">
      <c r="AI10720" s="80"/>
    </row>
    <row r="10721">
      <c r="AI10721" s="80"/>
    </row>
    <row r="10722">
      <c r="AI10722" s="80"/>
    </row>
    <row r="10723">
      <c r="AI10723" s="80"/>
    </row>
    <row r="10724">
      <c r="AI10724" s="80"/>
    </row>
    <row r="10725">
      <c r="AI10725" s="80"/>
    </row>
    <row r="10726">
      <c r="AI10726" s="80"/>
    </row>
    <row r="10727">
      <c r="AI10727" s="80"/>
    </row>
    <row r="10728">
      <c r="AI10728" s="80"/>
    </row>
    <row r="10729">
      <c r="AI10729" s="80"/>
    </row>
    <row r="10730">
      <c r="AI10730" s="80"/>
    </row>
    <row r="10731">
      <c r="AI10731" s="80"/>
    </row>
    <row r="10732">
      <c r="AI10732" s="80"/>
    </row>
    <row r="10733">
      <c r="AI10733" s="80"/>
    </row>
    <row r="10734">
      <c r="AI10734" s="80"/>
    </row>
    <row r="10735">
      <c r="AI10735" s="80"/>
    </row>
    <row r="10736">
      <c r="AI10736" s="80"/>
    </row>
    <row r="10737">
      <c r="AI10737" s="80"/>
    </row>
    <row r="10738">
      <c r="AI10738" s="80"/>
    </row>
    <row r="10739">
      <c r="AI10739" s="80"/>
    </row>
    <row r="10740">
      <c r="AI10740" s="80"/>
    </row>
    <row r="10741">
      <c r="AI10741" s="80"/>
    </row>
    <row r="10742">
      <c r="AI10742" s="80"/>
    </row>
    <row r="10743">
      <c r="AI10743" s="80"/>
    </row>
    <row r="10744">
      <c r="AI10744" s="80"/>
    </row>
    <row r="10745">
      <c r="AI10745" s="80"/>
    </row>
    <row r="10746">
      <c r="AI10746" s="80"/>
    </row>
    <row r="10747">
      <c r="AI10747" s="80"/>
    </row>
    <row r="10748">
      <c r="AI10748" s="80"/>
    </row>
    <row r="10749">
      <c r="AI10749" s="80"/>
    </row>
    <row r="10750">
      <c r="AI10750" s="80"/>
    </row>
    <row r="10751">
      <c r="AI10751" s="80"/>
    </row>
    <row r="10752">
      <c r="AI10752" s="80"/>
    </row>
    <row r="10753">
      <c r="AI10753" s="80"/>
    </row>
    <row r="10754">
      <c r="AI10754" s="80"/>
    </row>
    <row r="10755">
      <c r="AI10755" s="80"/>
    </row>
    <row r="10756">
      <c r="AI10756" s="80"/>
    </row>
    <row r="10757">
      <c r="AI10757" s="80"/>
    </row>
    <row r="10758">
      <c r="AI10758" s="80"/>
    </row>
    <row r="10759">
      <c r="AI10759" s="80"/>
    </row>
    <row r="10760">
      <c r="AI10760" s="80"/>
    </row>
    <row r="10761">
      <c r="AI10761" s="80"/>
    </row>
    <row r="10762">
      <c r="AI10762" s="80"/>
    </row>
    <row r="10763">
      <c r="AI10763" s="80"/>
    </row>
    <row r="10764">
      <c r="AI10764" s="80"/>
    </row>
    <row r="10765">
      <c r="AI10765" s="80"/>
    </row>
    <row r="10766">
      <c r="AI10766" s="80"/>
    </row>
    <row r="10767">
      <c r="AI10767" s="80"/>
    </row>
    <row r="10768">
      <c r="AI10768" s="80"/>
    </row>
    <row r="10769">
      <c r="AI10769" s="80"/>
    </row>
    <row r="10770">
      <c r="AI10770" s="80"/>
    </row>
    <row r="10771">
      <c r="AI10771" s="80"/>
    </row>
    <row r="10772">
      <c r="AI10772" s="80"/>
    </row>
    <row r="10773">
      <c r="AI10773" s="80"/>
    </row>
    <row r="10774">
      <c r="AI10774" s="80"/>
    </row>
    <row r="10775">
      <c r="AI10775" s="80"/>
    </row>
    <row r="10776">
      <c r="AI10776" s="80"/>
    </row>
    <row r="10777">
      <c r="AI10777" s="80"/>
    </row>
    <row r="10778">
      <c r="AI10778" s="80"/>
    </row>
    <row r="10779">
      <c r="AI10779" s="80"/>
    </row>
    <row r="10780">
      <c r="AI10780" s="80"/>
    </row>
    <row r="10781">
      <c r="AI10781" s="80"/>
    </row>
    <row r="10782">
      <c r="AI10782" s="80"/>
    </row>
    <row r="10783">
      <c r="AI10783" s="80"/>
    </row>
    <row r="10784">
      <c r="AI10784" s="80"/>
    </row>
    <row r="10785">
      <c r="AI10785" s="80"/>
    </row>
    <row r="10786">
      <c r="AI10786" s="80"/>
    </row>
    <row r="10787">
      <c r="AI10787" s="80"/>
    </row>
    <row r="10788">
      <c r="AI10788" s="80"/>
    </row>
    <row r="10789">
      <c r="AI10789" s="80"/>
    </row>
    <row r="10790">
      <c r="AI10790" s="80"/>
    </row>
    <row r="10791">
      <c r="AI10791" s="80"/>
    </row>
    <row r="10792">
      <c r="AI10792" s="80"/>
    </row>
    <row r="10793">
      <c r="AI10793" s="80"/>
    </row>
    <row r="10794">
      <c r="AI10794" s="80"/>
    </row>
    <row r="10795">
      <c r="AI10795" s="80"/>
    </row>
    <row r="10796">
      <c r="AI10796" s="80"/>
    </row>
    <row r="10797">
      <c r="AI10797" s="80"/>
    </row>
    <row r="10798">
      <c r="AI10798" s="80"/>
    </row>
    <row r="10799">
      <c r="AI10799" s="80"/>
    </row>
    <row r="10800">
      <c r="AI10800" s="80"/>
    </row>
    <row r="10801">
      <c r="AI10801" s="80"/>
    </row>
    <row r="10802">
      <c r="AI10802" s="80"/>
    </row>
    <row r="10803">
      <c r="AI10803" s="80"/>
    </row>
    <row r="10804">
      <c r="AI10804" s="80"/>
    </row>
    <row r="10805">
      <c r="AI10805" s="80"/>
    </row>
    <row r="10806">
      <c r="AI10806" s="80"/>
    </row>
    <row r="10807">
      <c r="AI10807" s="80"/>
    </row>
    <row r="10808">
      <c r="AI10808" s="80"/>
    </row>
    <row r="10809">
      <c r="AI10809" s="80"/>
    </row>
    <row r="10810">
      <c r="AI10810" s="80"/>
    </row>
    <row r="10811">
      <c r="AI10811" s="80"/>
    </row>
    <row r="10812">
      <c r="AI10812" s="80"/>
    </row>
    <row r="10813">
      <c r="AI10813" s="80"/>
    </row>
    <row r="10814">
      <c r="AI10814" s="80"/>
    </row>
    <row r="10815">
      <c r="AI10815" s="80"/>
    </row>
    <row r="10816">
      <c r="AI10816" s="80"/>
    </row>
    <row r="10817">
      <c r="AI10817" s="80"/>
    </row>
    <row r="10818">
      <c r="AI10818" s="80"/>
    </row>
    <row r="10819">
      <c r="AI10819" s="80"/>
    </row>
    <row r="10820">
      <c r="AI10820" s="80"/>
    </row>
    <row r="10821">
      <c r="AI10821" s="80"/>
    </row>
    <row r="10822">
      <c r="AI10822" s="80"/>
    </row>
    <row r="10823">
      <c r="AI10823" s="80"/>
    </row>
    <row r="10824">
      <c r="AI10824" s="80"/>
    </row>
    <row r="10825">
      <c r="AI10825" s="80"/>
    </row>
    <row r="10826">
      <c r="AI10826" s="80"/>
    </row>
    <row r="10827">
      <c r="AI10827" s="80"/>
    </row>
    <row r="10828">
      <c r="AI10828" s="80"/>
    </row>
    <row r="10829">
      <c r="AI10829" s="80"/>
    </row>
    <row r="10830">
      <c r="AI10830" s="80"/>
    </row>
    <row r="10831">
      <c r="AI10831" s="80"/>
    </row>
    <row r="10832">
      <c r="AI10832" s="80"/>
    </row>
    <row r="10833">
      <c r="AI10833" s="80"/>
    </row>
    <row r="10834">
      <c r="AI10834" s="80"/>
    </row>
    <row r="10835">
      <c r="AI10835" s="80"/>
    </row>
    <row r="10836">
      <c r="AI10836" s="80"/>
    </row>
    <row r="10837">
      <c r="AI10837" s="80"/>
    </row>
    <row r="10838">
      <c r="AI10838" s="80"/>
    </row>
    <row r="10839">
      <c r="AI10839" s="80"/>
    </row>
    <row r="10840">
      <c r="AI10840" s="80"/>
    </row>
    <row r="10841">
      <c r="AI10841" s="80"/>
    </row>
    <row r="10842">
      <c r="AI10842" s="80"/>
    </row>
    <row r="10843">
      <c r="AI10843" s="80"/>
    </row>
    <row r="10844">
      <c r="AI10844" s="80"/>
    </row>
    <row r="10845">
      <c r="AI10845" s="80"/>
    </row>
    <row r="10846">
      <c r="AI10846" s="80"/>
    </row>
    <row r="10847">
      <c r="AI10847" s="80"/>
    </row>
    <row r="10848">
      <c r="AI10848" s="80"/>
    </row>
    <row r="10849">
      <c r="AI10849" s="80"/>
    </row>
    <row r="10850">
      <c r="AI10850" s="80"/>
    </row>
    <row r="10851">
      <c r="AI10851" s="80"/>
    </row>
    <row r="10852">
      <c r="AI10852" s="80"/>
    </row>
    <row r="10853">
      <c r="AI10853" s="80"/>
    </row>
    <row r="10854">
      <c r="AI10854" s="80"/>
    </row>
    <row r="10855">
      <c r="AI10855" s="80"/>
    </row>
    <row r="10856">
      <c r="AI10856" s="80"/>
    </row>
    <row r="10857">
      <c r="AI10857" s="80"/>
    </row>
    <row r="10858">
      <c r="AI10858" s="80"/>
    </row>
    <row r="10859">
      <c r="AI10859" s="80"/>
    </row>
    <row r="10860">
      <c r="AI10860" s="80"/>
    </row>
    <row r="10861">
      <c r="AI10861" s="80"/>
    </row>
    <row r="10862">
      <c r="AI10862" s="80"/>
    </row>
    <row r="10863">
      <c r="AI10863" s="80"/>
    </row>
    <row r="10864">
      <c r="AI10864" s="80"/>
    </row>
    <row r="10865">
      <c r="AI10865" s="80"/>
    </row>
    <row r="10866">
      <c r="AI10866" s="80"/>
    </row>
    <row r="10867">
      <c r="AI10867" s="80"/>
    </row>
    <row r="10868">
      <c r="AI10868" s="80"/>
    </row>
    <row r="10869">
      <c r="AI10869" s="80"/>
    </row>
    <row r="10870">
      <c r="AI10870" s="80"/>
    </row>
    <row r="10871">
      <c r="AI10871" s="80"/>
    </row>
    <row r="10872">
      <c r="AI10872" s="80"/>
    </row>
    <row r="10873">
      <c r="AI10873" s="80"/>
    </row>
    <row r="10874">
      <c r="AI10874" s="80"/>
    </row>
    <row r="10875">
      <c r="AI10875" s="80"/>
    </row>
    <row r="10876">
      <c r="AI10876" s="80"/>
    </row>
    <row r="10877">
      <c r="AI10877" s="80"/>
    </row>
    <row r="10878">
      <c r="AI10878" s="80"/>
    </row>
    <row r="10879">
      <c r="AI10879" s="80"/>
    </row>
    <row r="10880">
      <c r="AI10880" s="80"/>
    </row>
    <row r="10881">
      <c r="AI10881" s="80"/>
    </row>
    <row r="10882">
      <c r="AI10882" s="80"/>
    </row>
    <row r="10883">
      <c r="AI10883" s="80"/>
    </row>
    <row r="10884">
      <c r="AI10884" s="80"/>
    </row>
    <row r="10885">
      <c r="AI10885" s="80"/>
    </row>
    <row r="10886">
      <c r="AI10886" s="80"/>
    </row>
    <row r="10887">
      <c r="AI10887" s="80"/>
    </row>
    <row r="10888">
      <c r="AI10888" s="80"/>
    </row>
    <row r="10889">
      <c r="AI10889" s="80"/>
    </row>
    <row r="10890">
      <c r="AI10890" s="80"/>
    </row>
    <row r="10891">
      <c r="AI10891" s="80"/>
    </row>
    <row r="10892">
      <c r="AI10892" s="80"/>
    </row>
    <row r="10893">
      <c r="AI10893" s="80"/>
    </row>
    <row r="10894">
      <c r="AI10894" s="80"/>
    </row>
    <row r="10895">
      <c r="AI10895" s="80"/>
    </row>
    <row r="10896">
      <c r="AI10896" s="80"/>
    </row>
    <row r="10897">
      <c r="AI10897" s="80"/>
    </row>
    <row r="10898">
      <c r="AI10898" s="80"/>
    </row>
    <row r="10899">
      <c r="AI10899" s="80"/>
    </row>
    <row r="10900">
      <c r="AI10900" s="80"/>
    </row>
    <row r="10901">
      <c r="AI10901" s="80"/>
    </row>
    <row r="10902">
      <c r="AI10902" s="80"/>
    </row>
    <row r="10903">
      <c r="AI10903" s="80"/>
    </row>
    <row r="10904">
      <c r="AI10904" s="80"/>
    </row>
    <row r="10905">
      <c r="AI10905" s="80"/>
    </row>
    <row r="10906">
      <c r="AI10906" s="80"/>
    </row>
    <row r="10907">
      <c r="AI10907" s="80"/>
    </row>
    <row r="10908">
      <c r="AI10908" s="80"/>
    </row>
    <row r="10909">
      <c r="AI10909" s="80"/>
    </row>
    <row r="10910">
      <c r="AI10910" s="80"/>
    </row>
    <row r="10911">
      <c r="AI10911" s="80"/>
    </row>
    <row r="10912">
      <c r="AI10912" s="80"/>
    </row>
    <row r="10913">
      <c r="AI10913" s="80"/>
    </row>
    <row r="10914">
      <c r="AI10914" s="80"/>
    </row>
    <row r="10915">
      <c r="AI10915" s="80"/>
    </row>
    <row r="10916">
      <c r="AI10916" s="80"/>
    </row>
    <row r="10917">
      <c r="AI10917" s="80"/>
    </row>
    <row r="10918">
      <c r="AI10918" s="80"/>
    </row>
    <row r="10919">
      <c r="AI10919" s="80"/>
    </row>
    <row r="10920">
      <c r="AI10920" s="80"/>
    </row>
    <row r="10921">
      <c r="AI10921" s="80"/>
    </row>
    <row r="10922">
      <c r="AI10922" s="80"/>
    </row>
    <row r="10923">
      <c r="AI10923" s="80"/>
    </row>
    <row r="10924">
      <c r="AI10924" s="80"/>
    </row>
    <row r="10925">
      <c r="AI10925" s="80"/>
    </row>
    <row r="10926">
      <c r="AI10926" s="80"/>
    </row>
    <row r="10927">
      <c r="AI10927" s="80"/>
    </row>
    <row r="10928">
      <c r="AI10928" s="80"/>
    </row>
    <row r="10929">
      <c r="AI10929" s="80"/>
    </row>
    <row r="10930">
      <c r="AI10930" s="80"/>
    </row>
    <row r="10931">
      <c r="AI10931" s="80"/>
    </row>
    <row r="10932">
      <c r="AI10932" s="80"/>
    </row>
    <row r="10933">
      <c r="AI10933" s="80"/>
    </row>
    <row r="10934">
      <c r="AI10934" s="80"/>
    </row>
    <row r="10935">
      <c r="AI10935" s="80"/>
    </row>
    <row r="10936">
      <c r="AI10936" s="80"/>
    </row>
    <row r="10937">
      <c r="AI10937" s="80"/>
    </row>
    <row r="10938">
      <c r="AI10938" s="80"/>
    </row>
    <row r="10939">
      <c r="AI10939" s="80"/>
    </row>
    <row r="10940">
      <c r="AI10940" s="80"/>
    </row>
    <row r="10941">
      <c r="AI10941" s="80"/>
    </row>
    <row r="10942">
      <c r="AI10942" s="80"/>
    </row>
    <row r="10943">
      <c r="AI10943" s="80"/>
    </row>
    <row r="10944">
      <c r="AI10944" s="80"/>
    </row>
    <row r="10945">
      <c r="AI10945" s="80"/>
    </row>
    <row r="10946">
      <c r="AI10946" s="80"/>
    </row>
    <row r="10947">
      <c r="AI10947" s="80"/>
    </row>
    <row r="10948">
      <c r="AI10948" s="80"/>
    </row>
    <row r="10949">
      <c r="AI10949" s="80"/>
    </row>
    <row r="10950">
      <c r="AI10950" s="80"/>
    </row>
    <row r="10951">
      <c r="AI10951" s="80"/>
    </row>
    <row r="10952">
      <c r="AI10952" s="80"/>
    </row>
    <row r="10953">
      <c r="AI10953" s="80"/>
    </row>
    <row r="10954">
      <c r="AI10954" s="80"/>
    </row>
    <row r="10955">
      <c r="AI10955" s="80"/>
    </row>
    <row r="10956">
      <c r="AI10956" s="80"/>
    </row>
    <row r="10957">
      <c r="AI10957" s="80"/>
    </row>
    <row r="10958">
      <c r="AI10958" s="80"/>
    </row>
    <row r="10959">
      <c r="AI10959" s="80"/>
    </row>
    <row r="10960">
      <c r="AI10960" s="80"/>
    </row>
    <row r="10961">
      <c r="AI10961" s="80"/>
    </row>
    <row r="10962">
      <c r="AI10962" s="80"/>
    </row>
    <row r="10963">
      <c r="AI10963" s="80"/>
    </row>
    <row r="10964">
      <c r="AI10964" s="80"/>
    </row>
    <row r="10965">
      <c r="AI10965" s="80"/>
    </row>
    <row r="10966">
      <c r="AI10966" s="80"/>
    </row>
    <row r="10967">
      <c r="AI10967" s="80"/>
    </row>
    <row r="10968">
      <c r="AI10968" s="80"/>
    </row>
    <row r="10969">
      <c r="AI10969" s="80"/>
    </row>
    <row r="10970">
      <c r="AI10970" s="80"/>
    </row>
    <row r="10971">
      <c r="AI10971" s="80"/>
    </row>
    <row r="10972">
      <c r="AI10972" s="80"/>
    </row>
    <row r="10973">
      <c r="AI10973" s="80"/>
    </row>
    <row r="10974">
      <c r="AI10974" s="80"/>
    </row>
    <row r="10975">
      <c r="AI10975" s="80"/>
    </row>
    <row r="10976">
      <c r="AI10976" s="80"/>
    </row>
    <row r="10977">
      <c r="AI10977" s="80"/>
    </row>
    <row r="10978">
      <c r="AI10978" s="80"/>
    </row>
    <row r="10979">
      <c r="AI10979" s="80"/>
    </row>
    <row r="10980">
      <c r="AI10980" s="80"/>
    </row>
    <row r="10981">
      <c r="AI10981" s="80"/>
    </row>
    <row r="10982">
      <c r="AI10982" s="80"/>
    </row>
    <row r="10983">
      <c r="AI10983" s="80"/>
    </row>
    <row r="10984">
      <c r="AI10984" s="80"/>
    </row>
    <row r="10985">
      <c r="AI10985" s="80"/>
    </row>
    <row r="10986">
      <c r="AI10986" s="80"/>
    </row>
    <row r="10987">
      <c r="AI10987" s="80"/>
    </row>
    <row r="10988">
      <c r="AI10988" s="80"/>
    </row>
    <row r="10989">
      <c r="AI10989" s="80"/>
    </row>
    <row r="10990">
      <c r="AI10990" s="80"/>
    </row>
    <row r="10991">
      <c r="AI10991" s="80"/>
    </row>
    <row r="10992">
      <c r="AI10992" s="80"/>
    </row>
    <row r="10993">
      <c r="AI10993" s="80"/>
    </row>
    <row r="10994">
      <c r="AI10994" s="80"/>
    </row>
    <row r="10995">
      <c r="AI10995" s="80"/>
    </row>
    <row r="10996">
      <c r="AI10996" s="80"/>
    </row>
    <row r="10997">
      <c r="AI10997" s="80"/>
    </row>
    <row r="10998">
      <c r="AI10998" s="80"/>
    </row>
    <row r="10999">
      <c r="AI10999" s="80"/>
    </row>
    <row r="11000">
      <c r="AI11000" s="80"/>
    </row>
    <row r="11001">
      <c r="AI11001" s="80"/>
    </row>
    <row r="11002">
      <c r="AI11002" s="80"/>
    </row>
    <row r="11003">
      <c r="AI11003" s="80"/>
    </row>
    <row r="11004">
      <c r="AI11004" s="80"/>
    </row>
    <row r="11005">
      <c r="AI11005" s="80"/>
    </row>
    <row r="11006">
      <c r="AI11006" s="80"/>
    </row>
    <row r="11007">
      <c r="AI11007" s="80"/>
    </row>
    <row r="11008">
      <c r="AI11008" s="80"/>
    </row>
    <row r="11009">
      <c r="AI11009" s="80"/>
    </row>
    <row r="11010">
      <c r="AI11010" s="80"/>
    </row>
    <row r="11011">
      <c r="AI11011" s="80"/>
    </row>
    <row r="11012">
      <c r="AI11012" s="80"/>
    </row>
    <row r="11013">
      <c r="AI11013" s="80"/>
    </row>
    <row r="11014">
      <c r="AI11014" s="80"/>
    </row>
    <row r="11015">
      <c r="AI11015" s="80"/>
    </row>
    <row r="11016">
      <c r="AI11016" s="80"/>
    </row>
    <row r="11017">
      <c r="AI11017" s="80"/>
    </row>
    <row r="11018">
      <c r="AI11018" s="80"/>
    </row>
    <row r="11019">
      <c r="AI11019" s="80"/>
    </row>
    <row r="11020">
      <c r="AI11020" s="80"/>
    </row>
    <row r="11021">
      <c r="AI11021" s="80"/>
    </row>
    <row r="11022">
      <c r="AI11022" s="80"/>
    </row>
    <row r="11023">
      <c r="AI11023" s="80"/>
    </row>
    <row r="11024">
      <c r="AI11024" s="80"/>
    </row>
    <row r="11025">
      <c r="AI11025" s="80"/>
    </row>
    <row r="11026">
      <c r="AI11026" s="80"/>
    </row>
    <row r="11027">
      <c r="AI11027" s="80"/>
    </row>
    <row r="11028">
      <c r="AI11028" s="80"/>
    </row>
    <row r="11029">
      <c r="AI11029" s="80"/>
    </row>
    <row r="11030">
      <c r="AI11030" s="80"/>
    </row>
    <row r="11031">
      <c r="AI11031" s="80"/>
    </row>
    <row r="11032">
      <c r="AI11032" s="80"/>
    </row>
    <row r="11033">
      <c r="AI11033" s="80"/>
    </row>
    <row r="11034">
      <c r="AI11034" s="80"/>
    </row>
    <row r="11035">
      <c r="AI11035" s="80"/>
    </row>
    <row r="11036">
      <c r="AI11036" s="80"/>
    </row>
    <row r="11037">
      <c r="AI11037" s="80"/>
    </row>
    <row r="11038">
      <c r="AI11038" s="80"/>
    </row>
    <row r="11039">
      <c r="AI11039" s="80"/>
    </row>
    <row r="11040">
      <c r="AI11040" s="80"/>
    </row>
    <row r="11041">
      <c r="AI11041" s="80"/>
    </row>
    <row r="11042">
      <c r="AI11042" s="80"/>
    </row>
    <row r="11043">
      <c r="AI11043" s="80"/>
    </row>
    <row r="11044">
      <c r="AI11044" s="80"/>
    </row>
    <row r="11045">
      <c r="AI11045" s="80"/>
    </row>
    <row r="11046">
      <c r="AI11046" s="80"/>
    </row>
    <row r="11047">
      <c r="AI11047" s="80"/>
    </row>
    <row r="11048">
      <c r="AI11048" s="80"/>
    </row>
    <row r="11049">
      <c r="AI11049" s="80"/>
    </row>
    <row r="11050">
      <c r="AI11050" s="80"/>
    </row>
    <row r="11051">
      <c r="AI11051" s="80"/>
    </row>
    <row r="11052">
      <c r="AI11052" s="80"/>
    </row>
    <row r="11053">
      <c r="AI11053" s="80"/>
    </row>
    <row r="11054">
      <c r="AI11054" s="80"/>
    </row>
    <row r="11055">
      <c r="AI11055" s="80"/>
    </row>
    <row r="11056">
      <c r="AI11056" s="80"/>
    </row>
    <row r="11057">
      <c r="AI11057" s="80"/>
    </row>
    <row r="11058">
      <c r="AI11058" s="80"/>
    </row>
    <row r="11059">
      <c r="AI11059" s="80"/>
    </row>
    <row r="11060">
      <c r="AI11060" s="80"/>
    </row>
    <row r="11061">
      <c r="AI11061" s="80"/>
    </row>
    <row r="11062">
      <c r="AI11062" s="80"/>
    </row>
    <row r="11063">
      <c r="AI11063" s="80"/>
    </row>
    <row r="11064">
      <c r="AI11064" s="80"/>
    </row>
    <row r="11065">
      <c r="AI11065" s="80"/>
    </row>
    <row r="11066">
      <c r="AI11066" s="80"/>
    </row>
    <row r="11067">
      <c r="AI11067" s="80"/>
    </row>
    <row r="11068">
      <c r="AI11068" s="80"/>
    </row>
    <row r="11069">
      <c r="AI11069" s="80"/>
    </row>
    <row r="11070">
      <c r="AI11070" s="80"/>
    </row>
    <row r="11071">
      <c r="AI11071" s="80"/>
    </row>
    <row r="11072">
      <c r="AI11072" s="80"/>
    </row>
    <row r="11073">
      <c r="AI11073" s="80"/>
    </row>
    <row r="11074">
      <c r="AI11074" s="80"/>
    </row>
    <row r="11075">
      <c r="AI11075" s="80"/>
    </row>
    <row r="11076">
      <c r="AI11076" s="80"/>
    </row>
    <row r="11077">
      <c r="AI11077" s="80"/>
    </row>
    <row r="11078">
      <c r="AI11078" s="80"/>
    </row>
    <row r="11079">
      <c r="AI11079" s="80"/>
    </row>
    <row r="11080">
      <c r="AI11080" s="80"/>
    </row>
    <row r="11081">
      <c r="AI11081" s="80"/>
    </row>
    <row r="11082">
      <c r="AI11082" s="80"/>
    </row>
    <row r="11083">
      <c r="AI11083" s="80"/>
    </row>
    <row r="11084">
      <c r="AI11084" s="80"/>
    </row>
    <row r="11085">
      <c r="AI11085" s="80"/>
    </row>
    <row r="11086">
      <c r="AI11086" s="80"/>
    </row>
    <row r="11087">
      <c r="AI11087" s="80"/>
    </row>
    <row r="11088">
      <c r="AI11088" s="80"/>
    </row>
    <row r="11089">
      <c r="AI11089" s="80"/>
    </row>
    <row r="11090">
      <c r="AI11090" s="80"/>
    </row>
    <row r="11091">
      <c r="AI11091" s="80"/>
    </row>
    <row r="11092">
      <c r="AI11092" s="80"/>
    </row>
    <row r="11093">
      <c r="AI11093" s="80"/>
    </row>
    <row r="11094">
      <c r="AI11094" s="80"/>
    </row>
    <row r="11095">
      <c r="AI11095" s="80"/>
    </row>
    <row r="11096">
      <c r="AI11096" s="80"/>
    </row>
    <row r="11097">
      <c r="AI11097" s="80"/>
    </row>
    <row r="11098">
      <c r="AI11098" s="80"/>
    </row>
    <row r="11099">
      <c r="AI11099" s="80"/>
    </row>
    <row r="11100">
      <c r="AI11100" s="80"/>
    </row>
    <row r="11101">
      <c r="AI11101" s="80"/>
    </row>
    <row r="11102">
      <c r="AI11102" s="80"/>
    </row>
    <row r="11103">
      <c r="AI11103" s="80"/>
    </row>
    <row r="11104">
      <c r="AI11104" s="80"/>
    </row>
    <row r="11105">
      <c r="AI11105" s="80"/>
    </row>
    <row r="11106">
      <c r="AI11106" s="80"/>
    </row>
    <row r="11107">
      <c r="AI11107" s="80"/>
    </row>
    <row r="11108">
      <c r="AI11108" s="80"/>
    </row>
    <row r="11109">
      <c r="AI11109" s="80"/>
    </row>
    <row r="11110">
      <c r="AI11110" s="80"/>
    </row>
    <row r="11111">
      <c r="AI11111" s="80"/>
    </row>
    <row r="11112">
      <c r="AI11112" s="80"/>
    </row>
    <row r="11113">
      <c r="AI11113" s="80"/>
    </row>
    <row r="11114">
      <c r="AI11114" s="80"/>
    </row>
    <row r="11115">
      <c r="AI11115" s="80"/>
    </row>
    <row r="11116">
      <c r="AI11116" s="80"/>
    </row>
    <row r="11117">
      <c r="AI11117" s="80"/>
    </row>
    <row r="11118">
      <c r="AI11118" s="80"/>
    </row>
    <row r="11119">
      <c r="AI11119" s="80"/>
    </row>
    <row r="11120">
      <c r="AI11120" s="80"/>
    </row>
    <row r="11121">
      <c r="AI11121" s="80"/>
    </row>
    <row r="11122">
      <c r="AI11122" s="80"/>
    </row>
    <row r="11123">
      <c r="AI11123" s="80"/>
    </row>
    <row r="11124">
      <c r="AI11124" s="80"/>
    </row>
    <row r="11125">
      <c r="AI11125" s="80"/>
    </row>
    <row r="11126">
      <c r="AI11126" s="80"/>
    </row>
    <row r="11127">
      <c r="AI11127" s="80"/>
    </row>
    <row r="11128">
      <c r="AI11128" s="80"/>
    </row>
    <row r="11129">
      <c r="AI11129" s="80"/>
    </row>
    <row r="11130">
      <c r="AI11130" s="80"/>
    </row>
    <row r="11131">
      <c r="AI11131" s="80"/>
    </row>
    <row r="11132">
      <c r="AI11132" s="80"/>
    </row>
    <row r="11133">
      <c r="AI11133" s="80"/>
    </row>
    <row r="11134">
      <c r="AI11134" s="80"/>
    </row>
    <row r="11135">
      <c r="AI11135" s="80"/>
    </row>
    <row r="11136">
      <c r="AI11136" s="80"/>
    </row>
    <row r="11137">
      <c r="AI11137" s="80"/>
    </row>
    <row r="11138">
      <c r="AI11138" s="80"/>
    </row>
    <row r="11139">
      <c r="AI11139" s="80"/>
    </row>
    <row r="11140">
      <c r="AI11140" s="80"/>
    </row>
    <row r="11141">
      <c r="AI11141" s="80"/>
    </row>
    <row r="11142">
      <c r="AI11142" s="80"/>
    </row>
    <row r="11143">
      <c r="AI11143" s="80"/>
    </row>
    <row r="11144">
      <c r="AI11144" s="80"/>
    </row>
    <row r="11145">
      <c r="AI11145" s="80"/>
    </row>
    <row r="11146">
      <c r="AI11146" s="80"/>
    </row>
    <row r="11147">
      <c r="AI11147" s="80"/>
    </row>
    <row r="11148">
      <c r="AI11148" s="80"/>
    </row>
    <row r="11149">
      <c r="AI11149" s="80"/>
    </row>
    <row r="11150">
      <c r="AI11150" s="80"/>
    </row>
    <row r="11151">
      <c r="AI11151" s="80"/>
    </row>
    <row r="11152">
      <c r="AI11152" s="80"/>
    </row>
    <row r="11153">
      <c r="AI11153" s="80"/>
    </row>
    <row r="11154">
      <c r="AI11154" s="80"/>
    </row>
    <row r="11155">
      <c r="AI11155" s="80"/>
    </row>
    <row r="11156">
      <c r="AI11156" s="80"/>
    </row>
    <row r="11157">
      <c r="AI11157" s="80"/>
    </row>
    <row r="11158">
      <c r="AI11158" s="80"/>
    </row>
    <row r="11159">
      <c r="AI11159" s="80"/>
    </row>
    <row r="11160">
      <c r="AI11160" s="80"/>
    </row>
    <row r="11161">
      <c r="AI11161" s="80"/>
    </row>
    <row r="11162">
      <c r="AI11162" s="80"/>
    </row>
    <row r="11163">
      <c r="AI11163" s="80"/>
    </row>
    <row r="11164">
      <c r="AI11164" s="80"/>
    </row>
    <row r="11165">
      <c r="AI11165" s="80"/>
    </row>
    <row r="11166">
      <c r="AI11166" s="80"/>
    </row>
    <row r="11167">
      <c r="AI11167" s="80"/>
    </row>
    <row r="11168">
      <c r="AI11168" s="80"/>
    </row>
    <row r="11169">
      <c r="AI11169" s="80"/>
    </row>
    <row r="11170">
      <c r="AI11170" s="80"/>
    </row>
    <row r="11171">
      <c r="AI11171" s="80"/>
    </row>
    <row r="11172">
      <c r="AI11172" s="80"/>
    </row>
    <row r="11173">
      <c r="AI11173" s="80"/>
    </row>
    <row r="11174">
      <c r="AI11174" s="80"/>
    </row>
    <row r="11175">
      <c r="AI11175" s="80"/>
    </row>
    <row r="11176">
      <c r="AI11176" s="80"/>
    </row>
    <row r="11177">
      <c r="AI11177" s="80"/>
    </row>
    <row r="11178">
      <c r="AI11178" s="80"/>
    </row>
    <row r="11179">
      <c r="AI11179" s="80"/>
    </row>
    <row r="11180">
      <c r="AI11180" s="80"/>
    </row>
    <row r="11181">
      <c r="AI11181" s="80"/>
    </row>
    <row r="11182">
      <c r="AI11182" s="80"/>
    </row>
    <row r="11183">
      <c r="AI11183" s="80"/>
    </row>
    <row r="11184">
      <c r="AI11184" s="80"/>
    </row>
    <row r="11185">
      <c r="AI11185" s="80"/>
    </row>
    <row r="11186">
      <c r="AI11186" s="80"/>
    </row>
    <row r="11187">
      <c r="AI11187" s="80"/>
    </row>
    <row r="11188">
      <c r="AI11188" s="80"/>
    </row>
    <row r="11189">
      <c r="AI11189" s="80"/>
    </row>
    <row r="11190">
      <c r="AI11190" s="80"/>
    </row>
    <row r="11191">
      <c r="AI11191" s="80"/>
    </row>
    <row r="11192">
      <c r="AI11192" s="80"/>
    </row>
    <row r="11193">
      <c r="AI11193" s="80"/>
    </row>
    <row r="11194">
      <c r="AI11194" s="80"/>
    </row>
    <row r="11195">
      <c r="AI11195" s="80"/>
    </row>
    <row r="11196">
      <c r="AI11196" s="80"/>
    </row>
    <row r="11197">
      <c r="AI11197" s="80"/>
    </row>
    <row r="11198">
      <c r="AI11198" s="80"/>
    </row>
    <row r="11199">
      <c r="AI11199" s="80"/>
    </row>
    <row r="11200">
      <c r="AI11200" s="80"/>
    </row>
    <row r="11201">
      <c r="AI11201" s="80"/>
    </row>
    <row r="11202">
      <c r="AI11202" s="80"/>
    </row>
    <row r="11203">
      <c r="AI11203" s="80"/>
    </row>
    <row r="11204">
      <c r="AI11204" s="80"/>
    </row>
    <row r="11205">
      <c r="AI11205" s="80"/>
    </row>
    <row r="11206">
      <c r="AI11206" s="80"/>
    </row>
    <row r="11207">
      <c r="AI11207" s="80"/>
    </row>
    <row r="11208">
      <c r="AI11208" s="80"/>
    </row>
    <row r="11209">
      <c r="AI11209" s="80"/>
    </row>
    <row r="11210">
      <c r="AI11210" s="80"/>
    </row>
    <row r="11211">
      <c r="AI11211" s="80"/>
    </row>
    <row r="11212">
      <c r="AI11212" s="80"/>
    </row>
    <row r="11213">
      <c r="AI11213" s="80"/>
    </row>
    <row r="11214">
      <c r="AI11214" s="80"/>
    </row>
    <row r="11215">
      <c r="AI11215" s="80"/>
    </row>
    <row r="11216">
      <c r="AI11216" s="80"/>
    </row>
    <row r="11217">
      <c r="AI11217" s="80"/>
    </row>
    <row r="11218">
      <c r="AI11218" s="80"/>
    </row>
    <row r="11219">
      <c r="AI11219" s="80"/>
    </row>
    <row r="11220">
      <c r="AI11220" s="80"/>
    </row>
    <row r="11221">
      <c r="AI11221" s="80"/>
    </row>
    <row r="11222">
      <c r="AI11222" s="80"/>
    </row>
    <row r="11223">
      <c r="AI11223" s="80"/>
    </row>
    <row r="11224">
      <c r="AI11224" s="80"/>
    </row>
    <row r="11225">
      <c r="AI11225" s="80"/>
    </row>
    <row r="11226">
      <c r="AI11226" s="80"/>
    </row>
    <row r="11227">
      <c r="AI11227" s="80"/>
    </row>
    <row r="11228">
      <c r="AI11228" s="80"/>
    </row>
    <row r="11229">
      <c r="AI11229" s="80"/>
    </row>
    <row r="11230">
      <c r="AI11230" s="80"/>
    </row>
    <row r="11231">
      <c r="AI11231" s="80"/>
    </row>
    <row r="11232">
      <c r="AI11232" s="80"/>
    </row>
    <row r="11233">
      <c r="AI11233" s="80"/>
    </row>
    <row r="11234">
      <c r="AI11234" s="80"/>
    </row>
    <row r="11235">
      <c r="AI11235" s="80"/>
    </row>
    <row r="11236">
      <c r="AI11236" s="80"/>
    </row>
    <row r="11237">
      <c r="AI11237" s="80"/>
    </row>
    <row r="11238">
      <c r="AI11238" s="80"/>
    </row>
    <row r="11239">
      <c r="AI11239" s="80"/>
    </row>
    <row r="11240">
      <c r="AI11240" s="80"/>
    </row>
    <row r="11241">
      <c r="AI11241" s="80"/>
    </row>
    <row r="11242">
      <c r="AI11242" s="80"/>
    </row>
    <row r="11243">
      <c r="AI11243" s="80"/>
    </row>
    <row r="11244">
      <c r="AI11244" s="80"/>
    </row>
    <row r="11245">
      <c r="AI11245" s="80"/>
    </row>
    <row r="11246">
      <c r="AI11246" s="80"/>
    </row>
    <row r="11247">
      <c r="AI11247" s="80"/>
    </row>
    <row r="11248">
      <c r="AI11248" s="80"/>
    </row>
    <row r="11249">
      <c r="AI11249" s="80"/>
    </row>
    <row r="11250">
      <c r="AI11250" s="80"/>
    </row>
    <row r="11251">
      <c r="AI11251" s="80"/>
    </row>
    <row r="11252">
      <c r="AI11252" s="80"/>
    </row>
    <row r="11253">
      <c r="AI11253" s="80"/>
    </row>
    <row r="11254">
      <c r="AI11254" s="80"/>
    </row>
    <row r="11255">
      <c r="AI11255" s="80"/>
    </row>
    <row r="11256">
      <c r="AI11256" s="80"/>
    </row>
    <row r="11257">
      <c r="AI11257" s="80"/>
    </row>
    <row r="11258">
      <c r="AI11258" s="80"/>
    </row>
    <row r="11259">
      <c r="AI11259" s="80"/>
    </row>
    <row r="11260">
      <c r="AI11260" s="80"/>
    </row>
    <row r="11261">
      <c r="AI11261" s="80"/>
    </row>
    <row r="11262">
      <c r="AI11262" s="80"/>
    </row>
    <row r="11263">
      <c r="AI11263" s="80"/>
    </row>
    <row r="11264">
      <c r="AI11264" s="80"/>
    </row>
    <row r="11265">
      <c r="AI11265" s="80"/>
    </row>
    <row r="11266">
      <c r="AI11266" s="80"/>
    </row>
    <row r="11267">
      <c r="AI11267" s="80"/>
    </row>
    <row r="11268">
      <c r="AI11268" s="80"/>
    </row>
    <row r="11269">
      <c r="AI11269" s="80"/>
    </row>
    <row r="11270">
      <c r="AI11270" s="80"/>
    </row>
    <row r="11271">
      <c r="AI11271" s="80"/>
    </row>
    <row r="11272">
      <c r="AI11272" s="80"/>
    </row>
    <row r="11273">
      <c r="AI11273" s="80"/>
    </row>
    <row r="11274">
      <c r="AI11274" s="80"/>
    </row>
    <row r="11275">
      <c r="AI11275" s="80"/>
    </row>
    <row r="11276">
      <c r="AI11276" s="80"/>
    </row>
    <row r="11277">
      <c r="AI11277" s="80"/>
    </row>
    <row r="11278">
      <c r="AI11278" s="80"/>
    </row>
    <row r="11279">
      <c r="AI11279" s="80"/>
    </row>
    <row r="11280">
      <c r="AI11280" s="80"/>
    </row>
    <row r="11281">
      <c r="AI11281" s="80"/>
    </row>
    <row r="11282">
      <c r="AI11282" s="80"/>
    </row>
    <row r="11283">
      <c r="AI11283" s="80"/>
    </row>
    <row r="11284">
      <c r="AI11284" s="80"/>
    </row>
    <row r="11285">
      <c r="AI11285" s="80"/>
    </row>
    <row r="11286">
      <c r="AI11286" s="80"/>
    </row>
    <row r="11287">
      <c r="AI11287" s="80"/>
    </row>
    <row r="11288">
      <c r="AI11288" s="80"/>
    </row>
    <row r="11289">
      <c r="AI11289" s="80"/>
    </row>
    <row r="11290">
      <c r="AI11290" s="80"/>
    </row>
    <row r="11291">
      <c r="AI11291" s="80"/>
    </row>
    <row r="11292">
      <c r="AI11292" s="80"/>
    </row>
    <row r="11293">
      <c r="AI11293" s="80"/>
    </row>
    <row r="11294">
      <c r="AI11294" s="80"/>
    </row>
    <row r="11295">
      <c r="AI11295" s="80"/>
    </row>
    <row r="11296">
      <c r="AI11296" s="80"/>
    </row>
    <row r="11297">
      <c r="AI11297" s="80"/>
    </row>
    <row r="11298">
      <c r="AI11298" s="80"/>
    </row>
    <row r="11299">
      <c r="AI11299" s="80"/>
    </row>
    <row r="11300">
      <c r="AI11300" s="80"/>
    </row>
    <row r="11301">
      <c r="AI11301" s="80"/>
    </row>
    <row r="11302">
      <c r="AI11302" s="80"/>
    </row>
    <row r="11303">
      <c r="AI11303" s="80"/>
    </row>
    <row r="11304">
      <c r="AI11304" s="80"/>
    </row>
    <row r="11305">
      <c r="AI11305" s="80"/>
    </row>
    <row r="11306">
      <c r="AI11306" s="80"/>
    </row>
    <row r="11307">
      <c r="AI11307" s="80"/>
    </row>
    <row r="11308">
      <c r="AI11308" s="80"/>
    </row>
    <row r="11309">
      <c r="AI11309" s="80"/>
    </row>
    <row r="11310">
      <c r="AI11310" s="80"/>
    </row>
    <row r="11311">
      <c r="AI11311" s="80"/>
    </row>
    <row r="11312">
      <c r="AI11312" s="80"/>
    </row>
    <row r="11313">
      <c r="AI11313" s="80"/>
    </row>
    <row r="11314">
      <c r="AI11314" s="80"/>
    </row>
    <row r="11315">
      <c r="AI11315" s="80"/>
    </row>
    <row r="11316">
      <c r="AI11316" s="80"/>
    </row>
    <row r="11317">
      <c r="AI11317" s="80"/>
    </row>
    <row r="11318">
      <c r="AI11318" s="80"/>
    </row>
    <row r="11319">
      <c r="AI11319" s="80"/>
    </row>
    <row r="11320">
      <c r="AI11320" s="80"/>
    </row>
    <row r="11321">
      <c r="AI11321" s="80"/>
    </row>
    <row r="11322">
      <c r="AI11322" s="80"/>
    </row>
    <row r="11323">
      <c r="AI11323" s="80"/>
    </row>
    <row r="11324">
      <c r="AI11324" s="80"/>
    </row>
    <row r="11325">
      <c r="AI11325" s="80"/>
    </row>
    <row r="11326">
      <c r="AI11326" s="80"/>
    </row>
    <row r="11327">
      <c r="AI11327" s="80"/>
    </row>
    <row r="11328">
      <c r="AI11328" s="80"/>
    </row>
    <row r="11329">
      <c r="AI11329" s="80"/>
    </row>
    <row r="11330">
      <c r="AI11330" s="80"/>
    </row>
    <row r="11331">
      <c r="AI11331" s="80"/>
    </row>
    <row r="11332">
      <c r="AI11332" s="80"/>
    </row>
    <row r="11333">
      <c r="AI11333" s="80"/>
    </row>
    <row r="11334">
      <c r="AI11334" s="80"/>
    </row>
    <row r="11335">
      <c r="AI11335" s="80"/>
    </row>
    <row r="11336">
      <c r="AI11336" s="80"/>
    </row>
    <row r="11337">
      <c r="AI11337" s="80"/>
    </row>
    <row r="11338">
      <c r="AI11338" s="80"/>
    </row>
    <row r="11339">
      <c r="AI11339" s="80"/>
    </row>
    <row r="11340">
      <c r="AI11340" s="80"/>
    </row>
    <row r="11341">
      <c r="AI11341" s="80"/>
    </row>
    <row r="11342">
      <c r="AI11342" s="80"/>
    </row>
    <row r="11343">
      <c r="AI11343" s="80"/>
    </row>
    <row r="11344">
      <c r="AI11344" s="80"/>
    </row>
    <row r="11345">
      <c r="AI11345" s="80"/>
    </row>
    <row r="11346">
      <c r="AI11346" s="80"/>
    </row>
    <row r="11347">
      <c r="AI11347" s="80"/>
    </row>
    <row r="11348">
      <c r="AI11348" s="80"/>
    </row>
    <row r="11349">
      <c r="AI11349" s="80"/>
    </row>
    <row r="11350">
      <c r="AI11350" s="80"/>
    </row>
    <row r="11351">
      <c r="AI11351" s="80"/>
    </row>
    <row r="11352">
      <c r="AI11352" s="80"/>
    </row>
    <row r="11353">
      <c r="AI11353" s="80"/>
    </row>
    <row r="11354">
      <c r="AI11354" s="80"/>
    </row>
    <row r="11355">
      <c r="AI11355" s="80"/>
    </row>
    <row r="11356">
      <c r="AI11356" s="80"/>
    </row>
    <row r="11357">
      <c r="AI11357" s="80"/>
    </row>
    <row r="11358">
      <c r="AI11358" s="80"/>
    </row>
    <row r="11359">
      <c r="AI11359" s="80"/>
    </row>
    <row r="11360">
      <c r="AI11360" s="80"/>
    </row>
    <row r="11361">
      <c r="AI11361" s="80"/>
    </row>
    <row r="11362">
      <c r="AI11362" s="80"/>
    </row>
    <row r="11363">
      <c r="AI11363" s="80"/>
    </row>
    <row r="11364">
      <c r="AI11364" s="80"/>
    </row>
    <row r="11365">
      <c r="AI11365" s="80"/>
    </row>
    <row r="11366">
      <c r="AI11366" s="80"/>
    </row>
    <row r="11367">
      <c r="AI11367" s="80"/>
    </row>
    <row r="11368">
      <c r="AI11368" s="80"/>
    </row>
    <row r="11369">
      <c r="AI11369" s="80"/>
    </row>
    <row r="11370">
      <c r="AI11370" s="80"/>
    </row>
    <row r="11371">
      <c r="AI11371" s="80"/>
    </row>
    <row r="11372">
      <c r="AI11372" s="80"/>
    </row>
    <row r="11373">
      <c r="AI11373" s="80"/>
    </row>
    <row r="11374">
      <c r="AI11374" s="80"/>
    </row>
    <row r="11375">
      <c r="AI11375" s="80"/>
    </row>
    <row r="11376">
      <c r="AI11376" s="80"/>
    </row>
    <row r="11377">
      <c r="AI11377" s="80"/>
    </row>
    <row r="11378">
      <c r="AI11378" s="80"/>
    </row>
    <row r="11379">
      <c r="AI11379" s="80"/>
    </row>
    <row r="11380">
      <c r="AI11380" s="80"/>
    </row>
    <row r="11381">
      <c r="AI11381" s="80"/>
    </row>
    <row r="11382">
      <c r="AI11382" s="80"/>
    </row>
    <row r="11383">
      <c r="AI11383" s="80"/>
    </row>
    <row r="11384">
      <c r="AI11384" s="80"/>
    </row>
    <row r="11385">
      <c r="AI11385" s="80"/>
    </row>
    <row r="11386">
      <c r="AI11386" s="80"/>
    </row>
    <row r="11387">
      <c r="AI11387" s="80"/>
    </row>
    <row r="11388">
      <c r="AI11388" s="80"/>
    </row>
    <row r="11389">
      <c r="AI11389" s="80"/>
    </row>
    <row r="11390">
      <c r="AI11390" s="80"/>
    </row>
    <row r="11391">
      <c r="AI11391" s="80"/>
    </row>
    <row r="11392">
      <c r="AI11392" s="80"/>
    </row>
    <row r="11393">
      <c r="AI11393" s="80"/>
    </row>
    <row r="11394">
      <c r="AI11394" s="80"/>
    </row>
    <row r="11395">
      <c r="AI11395" s="80"/>
    </row>
    <row r="11396">
      <c r="AI11396" s="80"/>
    </row>
    <row r="11397">
      <c r="AI11397" s="80"/>
    </row>
    <row r="11398">
      <c r="AI11398" s="80"/>
    </row>
    <row r="11399">
      <c r="AI11399" s="80"/>
    </row>
    <row r="11400">
      <c r="AI11400" s="80"/>
    </row>
    <row r="11401">
      <c r="AI11401" s="80"/>
    </row>
    <row r="11402">
      <c r="AI11402" s="80"/>
    </row>
    <row r="11403">
      <c r="AI11403" s="80"/>
    </row>
    <row r="11404">
      <c r="AI11404" s="80"/>
    </row>
    <row r="11405">
      <c r="AI11405" s="80"/>
    </row>
    <row r="11406">
      <c r="AI11406" s="80"/>
    </row>
    <row r="11407">
      <c r="AI11407" s="80"/>
    </row>
    <row r="11408">
      <c r="AI11408" s="80"/>
    </row>
    <row r="11409">
      <c r="AI11409" s="80"/>
    </row>
    <row r="11410">
      <c r="AI11410" s="80"/>
    </row>
    <row r="11411">
      <c r="AI11411" s="80"/>
    </row>
    <row r="11412">
      <c r="AI11412" s="80"/>
    </row>
    <row r="11413">
      <c r="AI11413" s="80"/>
    </row>
    <row r="11414">
      <c r="AI11414" s="80"/>
    </row>
    <row r="11415">
      <c r="AI11415" s="80"/>
    </row>
    <row r="11416">
      <c r="AI11416" s="80"/>
    </row>
    <row r="11417">
      <c r="AI11417" s="80"/>
    </row>
    <row r="11418">
      <c r="AI11418" s="80"/>
    </row>
    <row r="11419">
      <c r="AI11419" s="80"/>
    </row>
    <row r="11420">
      <c r="AI11420" s="80"/>
    </row>
    <row r="11421">
      <c r="AI11421" s="80"/>
    </row>
    <row r="11422">
      <c r="AI11422" s="80"/>
    </row>
    <row r="11423">
      <c r="AI11423" s="80"/>
    </row>
    <row r="11424">
      <c r="AI11424" s="80"/>
    </row>
    <row r="11425">
      <c r="AI11425" s="80"/>
    </row>
    <row r="11426">
      <c r="AI11426" s="80"/>
    </row>
    <row r="11427">
      <c r="AI11427" s="80"/>
    </row>
    <row r="11428">
      <c r="AI11428" s="80"/>
    </row>
    <row r="11429">
      <c r="AI11429" s="80"/>
    </row>
    <row r="11430">
      <c r="AI11430" s="80"/>
    </row>
    <row r="11431">
      <c r="AI11431" s="80"/>
    </row>
    <row r="11432">
      <c r="AI11432" s="80"/>
    </row>
    <row r="11433">
      <c r="AI11433" s="80"/>
    </row>
    <row r="11434">
      <c r="AI11434" s="80"/>
    </row>
    <row r="11435">
      <c r="AI11435" s="80"/>
    </row>
    <row r="11436">
      <c r="AI11436" s="80"/>
    </row>
    <row r="11437">
      <c r="AI11437" s="80"/>
    </row>
    <row r="11438">
      <c r="AI11438" s="80"/>
    </row>
    <row r="11439">
      <c r="AI11439" s="80"/>
    </row>
    <row r="11440">
      <c r="AI11440" s="80"/>
    </row>
    <row r="11441">
      <c r="AI11441" s="80"/>
    </row>
    <row r="11442">
      <c r="AI11442" s="80"/>
    </row>
    <row r="11443">
      <c r="AI11443" s="80"/>
    </row>
    <row r="11444">
      <c r="AI11444" s="80"/>
    </row>
    <row r="11445">
      <c r="AI11445" s="80"/>
    </row>
    <row r="11446">
      <c r="AI11446" s="80"/>
    </row>
    <row r="11447">
      <c r="AI11447" s="80"/>
    </row>
    <row r="11448">
      <c r="AI11448" s="80"/>
    </row>
    <row r="11449">
      <c r="AI11449" s="80"/>
    </row>
    <row r="11450">
      <c r="AI11450" s="80"/>
    </row>
    <row r="11451">
      <c r="AI11451" s="80"/>
    </row>
    <row r="11452">
      <c r="AI11452" s="80"/>
    </row>
    <row r="11453">
      <c r="AI11453" s="80"/>
    </row>
    <row r="11454">
      <c r="AI11454" s="80"/>
    </row>
    <row r="11455">
      <c r="AI11455" s="80"/>
    </row>
    <row r="11456">
      <c r="AI11456" s="80"/>
    </row>
    <row r="11457">
      <c r="AI11457" s="80"/>
    </row>
    <row r="11458">
      <c r="AI11458" s="80"/>
    </row>
    <row r="11459">
      <c r="AI11459" s="80"/>
    </row>
    <row r="11460">
      <c r="AI11460" s="80"/>
    </row>
    <row r="11461">
      <c r="AI11461" s="80"/>
    </row>
    <row r="11462">
      <c r="AI11462" s="80"/>
    </row>
    <row r="11463">
      <c r="AI11463" s="80"/>
    </row>
    <row r="11464">
      <c r="AI11464" s="80"/>
    </row>
    <row r="11465">
      <c r="AI11465" s="80"/>
    </row>
    <row r="11466">
      <c r="AI11466" s="80"/>
    </row>
    <row r="11467">
      <c r="AI11467" s="80"/>
    </row>
    <row r="11468">
      <c r="AI11468" s="80"/>
    </row>
    <row r="11469">
      <c r="AI11469" s="80"/>
    </row>
    <row r="11470">
      <c r="AI11470" s="80"/>
    </row>
    <row r="11471">
      <c r="AI11471" s="80"/>
    </row>
    <row r="11472">
      <c r="AI11472" s="80"/>
    </row>
    <row r="11473">
      <c r="AI11473" s="80"/>
    </row>
    <row r="11474">
      <c r="AI11474" s="80"/>
    </row>
    <row r="11475">
      <c r="AI11475" s="80"/>
    </row>
    <row r="11476">
      <c r="AI11476" s="80"/>
    </row>
    <row r="11477">
      <c r="AI11477" s="80"/>
    </row>
    <row r="11478">
      <c r="AI11478" s="80"/>
    </row>
    <row r="11479">
      <c r="AI11479" s="80"/>
    </row>
    <row r="11480">
      <c r="AI11480" s="80"/>
    </row>
    <row r="11481">
      <c r="AI11481" s="80"/>
    </row>
    <row r="11482">
      <c r="AI11482" s="80"/>
    </row>
    <row r="11483">
      <c r="AI11483" s="80"/>
    </row>
    <row r="11484">
      <c r="AI11484" s="80"/>
    </row>
    <row r="11485">
      <c r="AI11485" s="80"/>
    </row>
    <row r="11486">
      <c r="AI11486" s="80"/>
    </row>
    <row r="11487">
      <c r="AI11487" s="80"/>
    </row>
    <row r="11488">
      <c r="AI11488" s="80"/>
    </row>
    <row r="11489">
      <c r="AI11489" s="80"/>
    </row>
    <row r="11490">
      <c r="AI11490" s="80"/>
    </row>
    <row r="11491">
      <c r="AI11491" s="80"/>
    </row>
    <row r="11492">
      <c r="AI11492" s="80"/>
    </row>
    <row r="11493">
      <c r="AI11493" s="80"/>
    </row>
    <row r="11494">
      <c r="AI11494" s="80"/>
    </row>
    <row r="11495">
      <c r="AI11495" s="80"/>
    </row>
    <row r="11496">
      <c r="AI11496" s="80"/>
    </row>
    <row r="11497">
      <c r="AI11497" s="80"/>
    </row>
    <row r="11498">
      <c r="AI11498" s="80"/>
    </row>
    <row r="11499">
      <c r="AI11499" s="80"/>
    </row>
    <row r="11500">
      <c r="AI11500" s="80"/>
    </row>
    <row r="11501">
      <c r="AI11501" s="80"/>
    </row>
    <row r="11502">
      <c r="AI11502" s="80"/>
    </row>
    <row r="11503">
      <c r="AI11503" s="80"/>
    </row>
    <row r="11504">
      <c r="AI11504" s="80"/>
    </row>
    <row r="11505">
      <c r="AI11505" s="80"/>
    </row>
    <row r="11506">
      <c r="AI11506" s="80"/>
    </row>
    <row r="11507">
      <c r="AI11507" s="80"/>
    </row>
    <row r="11508">
      <c r="AI11508" s="80"/>
    </row>
    <row r="11509">
      <c r="AI11509" s="80"/>
    </row>
    <row r="11510">
      <c r="AI11510" s="80"/>
    </row>
    <row r="11511">
      <c r="AI11511" s="80"/>
    </row>
    <row r="11512">
      <c r="AI11512" s="80"/>
    </row>
    <row r="11513">
      <c r="AI11513" s="80"/>
    </row>
    <row r="11514">
      <c r="AI11514" s="80"/>
    </row>
    <row r="11515">
      <c r="AI11515" s="80"/>
    </row>
    <row r="11516">
      <c r="AI11516" s="80"/>
    </row>
    <row r="11517">
      <c r="AI11517" s="80"/>
    </row>
    <row r="11518">
      <c r="AI11518" s="80"/>
    </row>
    <row r="11519">
      <c r="AI11519" s="80"/>
    </row>
    <row r="11520">
      <c r="AI11520" s="80"/>
    </row>
    <row r="11521">
      <c r="AI11521" s="80"/>
    </row>
    <row r="11522">
      <c r="AI11522" s="80"/>
    </row>
    <row r="11523">
      <c r="AI11523" s="80"/>
    </row>
    <row r="11524">
      <c r="AI11524" s="80"/>
    </row>
    <row r="11525">
      <c r="AI11525" s="80"/>
    </row>
    <row r="11526">
      <c r="AI11526" s="80"/>
    </row>
    <row r="11527">
      <c r="AI11527" s="80"/>
    </row>
    <row r="11528">
      <c r="AI11528" s="80"/>
    </row>
    <row r="11529">
      <c r="AI11529" s="80"/>
    </row>
    <row r="11530">
      <c r="AI11530" s="80"/>
    </row>
    <row r="11531">
      <c r="AI11531" s="80"/>
    </row>
    <row r="11532">
      <c r="AI11532" s="80"/>
    </row>
    <row r="11533">
      <c r="AI11533" s="80"/>
    </row>
    <row r="11534">
      <c r="AI11534" s="80"/>
    </row>
    <row r="11535">
      <c r="AI11535" s="80"/>
    </row>
    <row r="11536">
      <c r="AI11536" s="80"/>
    </row>
    <row r="11537">
      <c r="AI11537" s="80"/>
    </row>
    <row r="11538">
      <c r="AI11538" s="80"/>
    </row>
    <row r="11539">
      <c r="AI11539" s="80"/>
    </row>
    <row r="11540">
      <c r="AI11540" s="80"/>
    </row>
    <row r="11541">
      <c r="AI11541" s="80"/>
    </row>
    <row r="11542">
      <c r="AI11542" s="80"/>
    </row>
    <row r="11543">
      <c r="AI11543" s="80"/>
    </row>
    <row r="11544">
      <c r="AI11544" s="80"/>
    </row>
    <row r="11545">
      <c r="AI11545" s="80"/>
    </row>
    <row r="11546">
      <c r="AI11546" s="80"/>
    </row>
    <row r="11547">
      <c r="AI11547" s="80"/>
    </row>
    <row r="11548">
      <c r="AI11548" s="80"/>
    </row>
    <row r="11549">
      <c r="AI11549" s="80"/>
    </row>
    <row r="11550">
      <c r="AI11550" s="80"/>
    </row>
    <row r="11551">
      <c r="AI11551" s="80"/>
    </row>
    <row r="11552">
      <c r="AI11552" s="80"/>
    </row>
    <row r="11553">
      <c r="AI11553" s="80"/>
    </row>
    <row r="11554">
      <c r="AI11554" s="80"/>
    </row>
    <row r="11555">
      <c r="AI11555" s="80"/>
    </row>
    <row r="11556">
      <c r="AI11556" s="80"/>
    </row>
    <row r="11557">
      <c r="AI11557" s="80"/>
    </row>
    <row r="11558">
      <c r="AI11558" s="80"/>
    </row>
    <row r="11559">
      <c r="AI11559" s="80"/>
    </row>
    <row r="11560">
      <c r="AI11560" s="80"/>
    </row>
    <row r="11561">
      <c r="AI11561" s="80"/>
    </row>
    <row r="11562">
      <c r="AI11562" s="80"/>
    </row>
    <row r="11563">
      <c r="AI11563" s="80"/>
    </row>
    <row r="11564">
      <c r="AI11564" s="80"/>
    </row>
    <row r="11565">
      <c r="AI11565" s="80"/>
    </row>
    <row r="11566">
      <c r="AI11566" s="80"/>
    </row>
    <row r="11567">
      <c r="AI11567" s="80"/>
    </row>
    <row r="11568">
      <c r="AI11568" s="80"/>
    </row>
    <row r="11569">
      <c r="AI11569" s="80"/>
    </row>
    <row r="11570">
      <c r="AI11570" s="80"/>
    </row>
    <row r="11571">
      <c r="AI11571" s="80"/>
    </row>
    <row r="11572">
      <c r="AI11572" s="80"/>
    </row>
    <row r="11573">
      <c r="AI11573" s="80"/>
    </row>
    <row r="11574">
      <c r="AI11574" s="80"/>
    </row>
    <row r="11575">
      <c r="AI11575" s="80"/>
    </row>
    <row r="11576">
      <c r="AI11576" s="80"/>
    </row>
    <row r="11577">
      <c r="AI11577" s="80"/>
    </row>
    <row r="11578">
      <c r="AI11578" s="80"/>
    </row>
    <row r="11579">
      <c r="AI11579" s="80"/>
    </row>
    <row r="11580">
      <c r="AI11580" s="80"/>
    </row>
    <row r="11581">
      <c r="AI11581" s="80"/>
    </row>
    <row r="11582">
      <c r="AI11582" s="80"/>
    </row>
    <row r="11583">
      <c r="AI11583" s="80"/>
    </row>
    <row r="11584">
      <c r="AI11584" s="80"/>
    </row>
    <row r="11585">
      <c r="AI11585" s="80"/>
    </row>
    <row r="11586">
      <c r="AI11586" s="80"/>
    </row>
    <row r="11587">
      <c r="AI11587" s="80"/>
    </row>
    <row r="11588">
      <c r="AI11588" s="80"/>
    </row>
    <row r="11589">
      <c r="AI11589" s="80"/>
    </row>
    <row r="11590">
      <c r="AI11590" s="80"/>
    </row>
    <row r="11591">
      <c r="AI11591" s="80"/>
    </row>
    <row r="11592">
      <c r="AI11592" s="80"/>
    </row>
    <row r="11593">
      <c r="AI11593" s="80"/>
    </row>
    <row r="11594">
      <c r="AI11594" s="80"/>
    </row>
    <row r="11595">
      <c r="AI11595" s="80"/>
    </row>
    <row r="11596">
      <c r="AI11596" s="80"/>
    </row>
    <row r="11597">
      <c r="AI11597" s="80"/>
    </row>
    <row r="11598">
      <c r="AI11598" s="80"/>
    </row>
    <row r="11599">
      <c r="AI11599" s="80"/>
    </row>
    <row r="11600">
      <c r="AI11600" s="80"/>
    </row>
    <row r="11601">
      <c r="AI11601" s="80"/>
    </row>
    <row r="11602">
      <c r="AI11602" s="80"/>
    </row>
    <row r="11603">
      <c r="AI11603" s="80"/>
    </row>
    <row r="11604">
      <c r="AI11604" s="80"/>
    </row>
    <row r="11605">
      <c r="AI11605" s="80"/>
    </row>
    <row r="11606">
      <c r="AI11606" s="80"/>
    </row>
    <row r="11607">
      <c r="AI11607" s="80"/>
    </row>
    <row r="11608">
      <c r="AI11608" s="80"/>
    </row>
    <row r="11609">
      <c r="AI11609" s="80"/>
    </row>
    <row r="11610">
      <c r="AI11610" s="80"/>
    </row>
    <row r="11611">
      <c r="AI11611" s="80"/>
    </row>
    <row r="11612">
      <c r="AI11612" s="80"/>
    </row>
    <row r="11613">
      <c r="AI11613" s="80"/>
    </row>
    <row r="11614">
      <c r="AI11614" s="80"/>
    </row>
    <row r="11615">
      <c r="AI11615" s="80"/>
    </row>
    <row r="11616">
      <c r="AI11616" s="80"/>
    </row>
    <row r="11617">
      <c r="AI11617" s="80"/>
    </row>
    <row r="11618">
      <c r="AI11618" s="80"/>
    </row>
    <row r="11619">
      <c r="AI11619" s="80"/>
    </row>
    <row r="11620">
      <c r="AI11620" s="80"/>
    </row>
    <row r="11621">
      <c r="AI11621" s="80"/>
    </row>
    <row r="11622">
      <c r="AI11622" s="80"/>
    </row>
    <row r="11623">
      <c r="AI11623" s="80"/>
    </row>
    <row r="11624">
      <c r="AI11624" s="80"/>
    </row>
    <row r="11625">
      <c r="AI11625" s="80"/>
    </row>
    <row r="11626">
      <c r="AI11626" s="80"/>
    </row>
    <row r="11627">
      <c r="AI11627" s="80"/>
    </row>
    <row r="11628">
      <c r="AI11628" s="80"/>
    </row>
    <row r="11629">
      <c r="AI11629" s="80"/>
    </row>
    <row r="11630">
      <c r="AI11630" s="80"/>
    </row>
    <row r="11631">
      <c r="AI11631" s="80"/>
    </row>
    <row r="11632">
      <c r="AI11632" s="80"/>
    </row>
    <row r="11633">
      <c r="AI11633" s="80"/>
    </row>
    <row r="11634">
      <c r="AI11634" s="80"/>
    </row>
    <row r="11635">
      <c r="AI11635" s="80"/>
    </row>
    <row r="11636">
      <c r="AI11636" s="80"/>
    </row>
    <row r="11637">
      <c r="AI11637" s="80"/>
    </row>
    <row r="11638">
      <c r="AI11638" s="80"/>
    </row>
    <row r="11639">
      <c r="AI11639" s="80"/>
    </row>
    <row r="11640">
      <c r="AI11640" s="80"/>
    </row>
    <row r="11641">
      <c r="AI11641" s="80"/>
    </row>
    <row r="11642">
      <c r="AI11642" s="80"/>
    </row>
    <row r="11643">
      <c r="AI11643" s="80"/>
    </row>
    <row r="11644">
      <c r="AI11644" s="80"/>
    </row>
    <row r="11645">
      <c r="AI11645" s="80"/>
    </row>
    <row r="11646">
      <c r="AI11646" s="80"/>
    </row>
    <row r="11647">
      <c r="AI11647" s="80"/>
    </row>
    <row r="11648">
      <c r="AI11648" s="80"/>
    </row>
    <row r="11649">
      <c r="AI11649" s="80"/>
    </row>
    <row r="11650">
      <c r="AI11650" s="80"/>
    </row>
    <row r="11651">
      <c r="AI11651" s="80"/>
    </row>
    <row r="11652">
      <c r="AI11652" s="80"/>
    </row>
    <row r="11653">
      <c r="AI11653" s="80"/>
    </row>
    <row r="11654">
      <c r="AI11654" s="80"/>
    </row>
    <row r="11655">
      <c r="AI11655" s="80"/>
    </row>
    <row r="11656">
      <c r="AI11656" s="80"/>
    </row>
    <row r="11657">
      <c r="AI11657" s="80"/>
    </row>
    <row r="11658">
      <c r="AI11658" s="80"/>
    </row>
    <row r="11659">
      <c r="AI11659" s="80"/>
    </row>
    <row r="11660">
      <c r="AI11660" s="80"/>
    </row>
    <row r="11661">
      <c r="AI11661" s="80"/>
    </row>
    <row r="11662">
      <c r="AI11662" s="80"/>
    </row>
    <row r="11663">
      <c r="AI11663" s="80"/>
    </row>
    <row r="11664">
      <c r="AI11664" s="80"/>
    </row>
    <row r="11665">
      <c r="AI11665" s="80"/>
    </row>
    <row r="11666">
      <c r="AI11666" s="80"/>
    </row>
    <row r="11667">
      <c r="AI11667" s="80"/>
    </row>
    <row r="11668">
      <c r="AI11668" s="80"/>
    </row>
    <row r="11669">
      <c r="AI11669" s="80"/>
    </row>
    <row r="11670">
      <c r="AI11670" s="80"/>
    </row>
    <row r="11671">
      <c r="AI11671" s="80"/>
    </row>
    <row r="11672">
      <c r="AI11672" s="80"/>
    </row>
    <row r="11673">
      <c r="AI11673" s="80"/>
    </row>
    <row r="11674">
      <c r="AI11674" s="80"/>
    </row>
    <row r="11675">
      <c r="AI11675" s="80"/>
    </row>
    <row r="11676">
      <c r="AI11676" s="80"/>
    </row>
    <row r="11677">
      <c r="AI11677" s="80"/>
    </row>
    <row r="11678">
      <c r="AI11678" s="80"/>
    </row>
    <row r="11679">
      <c r="AI11679" s="80"/>
    </row>
    <row r="11680">
      <c r="AI11680" s="80"/>
    </row>
    <row r="11681">
      <c r="AI11681" s="80"/>
    </row>
    <row r="11682">
      <c r="AI11682" s="80"/>
    </row>
    <row r="11683">
      <c r="AI11683" s="80"/>
    </row>
    <row r="11684">
      <c r="AI11684" s="80"/>
    </row>
    <row r="11685">
      <c r="AI11685" s="80"/>
    </row>
    <row r="11686">
      <c r="AI11686" s="80"/>
    </row>
    <row r="11687">
      <c r="AI11687" s="80"/>
    </row>
    <row r="11688">
      <c r="AI11688" s="80"/>
    </row>
    <row r="11689">
      <c r="AI11689" s="80"/>
    </row>
    <row r="11690">
      <c r="AI11690" s="80"/>
    </row>
    <row r="11691">
      <c r="AI11691" s="80"/>
    </row>
    <row r="11692">
      <c r="AI11692" s="80"/>
    </row>
    <row r="11693">
      <c r="AI11693" s="80"/>
    </row>
    <row r="11694">
      <c r="AI11694" s="80"/>
    </row>
    <row r="11695">
      <c r="AI11695" s="80"/>
    </row>
    <row r="11696">
      <c r="AI11696" s="80"/>
    </row>
    <row r="11697">
      <c r="AI11697" s="80"/>
    </row>
    <row r="11698">
      <c r="AI11698" s="80"/>
    </row>
    <row r="11699">
      <c r="AI11699" s="80"/>
    </row>
    <row r="11700">
      <c r="AI11700" s="80"/>
    </row>
    <row r="11701">
      <c r="AI11701" s="80"/>
    </row>
    <row r="11702">
      <c r="AI11702" s="80"/>
    </row>
    <row r="11703">
      <c r="AI11703" s="80"/>
    </row>
    <row r="11704">
      <c r="AI11704" s="80"/>
    </row>
    <row r="11705">
      <c r="AI11705" s="80"/>
    </row>
    <row r="11706">
      <c r="AI11706" s="80"/>
    </row>
    <row r="11707">
      <c r="AI11707" s="80"/>
    </row>
    <row r="11708">
      <c r="AI11708" s="80"/>
    </row>
    <row r="11709">
      <c r="AI11709" s="80"/>
    </row>
    <row r="11710">
      <c r="AI11710" s="80"/>
    </row>
    <row r="11711">
      <c r="AI11711" s="80"/>
    </row>
    <row r="11712">
      <c r="AI11712" s="80"/>
    </row>
    <row r="11713">
      <c r="AI11713" s="80"/>
    </row>
    <row r="11714">
      <c r="AI11714" s="80"/>
    </row>
    <row r="11715">
      <c r="AI11715" s="80"/>
    </row>
    <row r="11716">
      <c r="AI11716" s="80"/>
    </row>
    <row r="11717">
      <c r="AI11717" s="80"/>
    </row>
    <row r="11718">
      <c r="AI11718" s="80"/>
    </row>
    <row r="11719">
      <c r="AI11719" s="80"/>
    </row>
    <row r="11720">
      <c r="AI11720" s="80"/>
    </row>
    <row r="11721">
      <c r="AI11721" s="80"/>
    </row>
    <row r="11722">
      <c r="AI11722" s="80"/>
    </row>
    <row r="11723">
      <c r="AI11723" s="80"/>
    </row>
    <row r="11724">
      <c r="AI11724" s="80"/>
    </row>
    <row r="11725">
      <c r="AI11725" s="80"/>
    </row>
    <row r="11726">
      <c r="AI11726" s="80"/>
    </row>
    <row r="11727">
      <c r="AI11727" s="80"/>
    </row>
    <row r="11728">
      <c r="AI11728" s="80"/>
    </row>
    <row r="11729">
      <c r="AI11729" s="80"/>
    </row>
    <row r="11730">
      <c r="AI11730" s="80"/>
    </row>
    <row r="11731">
      <c r="AI11731" s="80"/>
    </row>
    <row r="11732">
      <c r="AI11732" s="80"/>
    </row>
    <row r="11733">
      <c r="AI11733" s="80"/>
    </row>
    <row r="11734">
      <c r="AI11734" s="80"/>
    </row>
    <row r="11735">
      <c r="AI11735" s="80"/>
    </row>
    <row r="11736">
      <c r="AI11736" s="80"/>
    </row>
    <row r="11737">
      <c r="AI11737" s="80"/>
    </row>
    <row r="11738">
      <c r="AI11738" s="80"/>
    </row>
    <row r="11739">
      <c r="AI11739" s="80"/>
    </row>
    <row r="11740">
      <c r="AI11740" s="80"/>
    </row>
    <row r="11741">
      <c r="AI11741" s="80"/>
    </row>
    <row r="11742">
      <c r="AI11742" s="80"/>
    </row>
    <row r="11743">
      <c r="AI11743" s="80"/>
    </row>
    <row r="11744">
      <c r="AI11744" s="80"/>
    </row>
    <row r="11745">
      <c r="AI11745" s="80"/>
    </row>
    <row r="11746">
      <c r="AI11746" s="80"/>
    </row>
    <row r="11747">
      <c r="AI11747" s="80"/>
    </row>
    <row r="11748">
      <c r="AI11748" s="80"/>
    </row>
    <row r="11749">
      <c r="AI11749" s="80"/>
    </row>
    <row r="11750">
      <c r="AI11750" s="80"/>
    </row>
    <row r="11751">
      <c r="AI11751" s="80"/>
    </row>
    <row r="11752">
      <c r="AI11752" s="80"/>
    </row>
    <row r="11753">
      <c r="AI11753" s="80"/>
    </row>
    <row r="11754">
      <c r="AI11754" s="80"/>
    </row>
    <row r="11755">
      <c r="AI11755" s="80"/>
    </row>
    <row r="11756">
      <c r="AI11756" s="80"/>
    </row>
    <row r="11757">
      <c r="AI11757" s="80"/>
    </row>
    <row r="11758">
      <c r="AI11758" s="80"/>
    </row>
    <row r="11759">
      <c r="AI11759" s="80"/>
    </row>
    <row r="11760">
      <c r="AI11760" s="80"/>
    </row>
    <row r="11761">
      <c r="AI11761" s="80"/>
    </row>
    <row r="11762">
      <c r="AI11762" s="80"/>
    </row>
    <row r="11763">
      <c r="AI11763" s="80"/>
    </row>
    <row r="11764">
      <c r="AI11764" s="80"/>
    </row>
    <row r="11765">
      <c r="AI11765" s="80"/>
    </row>
    <row r="11766">
      <c r="AI11766" s="80"/>
    </row>
    <row r="11767">
      <c r="AI11767" s="80"/>
    </row>
    <row r="11768">
      <c r="AI11768" s="80"/>
    </row>
    <row r="11769">
      <c r="AI11769" s="80"/>
    </row>
    <row r="11770">
      <c r="AI11770" s="80"/>
    </row>
    <row r="11771">
      <c r="AI11771" s="80"/>
    </row>
    <row r="11772">
      <c r="AI11772" s="80"/>
    </row>
    <row r="11773">
      <c r="AI11773" s="80"/>
    </row>
    <row r="11774">
      <c r="AI11774" s="80"/>
    </row>
    <row r="11775">
      <c r="AI11775" s="80"/>
    </row>
    <row r="11776">
      <c r="AI11776" s="80"/>
    </row>
    <row r="11777">
      <c r="AI11777" s="80"/>
    </row>
    <row r="11778">
      <c r="AI11778" s="80"/>
    </row>
    <row r="11779">
      <c r="AI11779" s="80"/>
    </row>
    <row r="11780">
      <c r="AI11780" s="80"/>
    </row>
    <row r="11781">
      <c r="AI11781" s="80"/>
    </row>
    <row r="11782">
      <c r="AI11782" s="80"/>
    </row>
    <row r="11783">
      <c r="AI11783" s="80"/>
    </row>
    <row r="11784">
      <c r="AI11784" s="80"/>
    </row>
    <row r="11785">
      <c r="AI11785" s="80"/>
    </row>
    <row r="11786">
      <c r="AI11786" s="80"/>
    </row>
    <row r="11787">
      <c r="AI11787" s="80"/>
    </row>
    <row r="11788">
      <c r="AI11788" s="80"/>
    </row>
    <row r="11789">
      <c r="AI11789" s="80"/>
    </row>
    <row r="11790">
      <c r="AI11790" s="80"/>
    </row>
    <row r="11791">
      <c r="AI11791" s="80"/>
    </row>
    <row r="11792">
      <c r="AI11792" s="80"/>
    </row>
    <row r="11793">
      <c r="AI11793" s="80"/>
    </row>
    <row r="11794">
      <c r="AI11794" s="80"/>
    </row>
    <row r="11795">
      <c r="AI11795" s="80"/>
    </row>
    <row r="11796">
      <c r="AI11796" s="80"/>
    </row>
    <row r="11797">
      <c r="AI11797" s="80"/>
    </row>
    <row r="11798">
      <c r="AI11798" s="80"/>
    </row>
    <row r="11799">
      <c r="AI11799" s="80"/>
    </row>
    <row r="11800">
      <c r="AI11800" s="80"/>
    </row>
    <row r="11801">
      <c r="AI11801" s="80"/>
    </row>
    <row r="11802">
      <c r="AI11802" s="80"/>
    </row>
    <row r="11803">
      <c r="AI11803" s="80"/>
    </row>
    <row r="11804">
      <c r="AI11804" s="80"/>
    </row>
    <row r="11805">
      <c r="AI11805" s="80"/>
    </row>
    <row r="11806">
      <c r="AI11806" s="80"/>
    </row>
    <row r="11807">
      <c r="AI11807" s="80"/>
    </row>
    <row r="11808">
      <c r="AI11808" s="80"/>
    </row>
    <row r="11809">
      <c r="AI11809" s="80"/>
    </row>
    <row r="11810">
      <c r="AI11810" s="80"/>
    </row>
    <row r="11811">
      <c r="AI11811" s="80"/>
    </row>
    <row r="11812">
      <c r="AI11812" s="80"/>
    </row>
    <row r="11813">
      <c r="AI11813" s="80"/>
    </row>
    <row r="11814">
      <c r="AI11814" s="80"/>
    </row>
    <row r="11815">
      <c r="AI11815" s="80"/>
    </row>
    <row r="11816">
      <c r="AI11816" s="80"/>
    </row>
    <row r="11817">
      <c r="AI11817" s="80"/>
    </row>
    <row r="11818">
      <c r="AI11818" s="80"/>
    </row>
    <row r="11819">
      <c r="AI11819" s="80"/>
    </row>
    <row r="11820">
      <c r="AI11820" s="80"/>
    </row>
    <row r="11821">
      <c r="AI11821" s="80"/>
    </row>
    <row r="11822">
      <c r="AI11822" s="80"/>
    </row>
    <row r="11823">
      <c r="AI11823" s="80"/>
    </row>
    <row r="11824">
      <c r="AI11824" s="80"/>
    </row>
    <row r="11825">
      <c r="AI11825" s="80"/>
    </row>
    <row r="11826">
      <c r="AI11826" s="80"/>
    </row>
    <row r="11827">
      <c r="AI11827" s="80"/>
    </row>
    <row r="11828">
      <c r="AI11828" s="80"/>
    </row>
    <row r="11829">
      <c r="AI11829" s="80"/>
    </row>
    <row r="11830">
      <c r="AI11830" s="80"/>
    </row>
    <row r="11831">
      <c r="AI11831" s="80"/>
    </row>
    <row r="11832">
      <c r="AI11832" s="80"/>
    </row>
    <row r="11833">
      <c r="AI11833" s="80"/>
    </row>
    <row r="11834">
      <c r="AI11834" s="80"/>
    </row>
    <row r="11835">
      <c r="AI11835" s="80"/>
    </row>
    <row r="11836">
      <c r="AI11836" s="80"/>
    </row>
    <row r="11837">
      <c r="AI11837" s="80"/>
    </row>
    <row r="11838">
      <c r="AI11838" s="80"/>
    </row>
    <row r="11839">
      <c r="AI11839" s="80"/>
    </row>
    <row r="11840">
      <c r="AI11840" s="80"/>
    </row>
    <row r="11841">
      <c r="AI11841" s="80"/>
    </row>
    <row r="11842">
      <c r="AI11842" s="80"/>
    </row>
    <row r="11843">
      <c r="AI11843" s="80"/>
    </row>
    <row r="11844">
      <c r="AI11844" s="80"/>
    </row>
    <row r="11845">
      <c r="AI11845" s="80"/>
    </row>
    <row r="11846">
      <c r="AI11846" s="80"/>
    </row>
    <row r="11847">
      <c r="AI11847" s="80"/>
    </row>
    <row r="11848">
      <c r="AI11848" s="80"/>
    </row>
    <row r="11849">
      <c r="AI11849" s="80"/>
    </row>
    <row r="11850">
      <c r="AI11850" s="80"/>
    </row>
    <row r="11851">
      <c r="AI11851" s="80"/>
    </row>
    <row r="11852">
      <c r="AI11852" s="80"/>
    </row>
    <row r="11853">
      <c r="AI11853" s="80"/>
    </row>
    <row r="11854">
      <c r="AI11854" s="80"/>
    </row>
    <row r="11855">
      <c r="AI11855" s="80"/>
    </row>
    <row r="11856">
      <c r="AI11856" s="80"/>
    </row>
    <row r="11857">
      <c r="AI11857" s="80"/>
    </row>
    <row r="11858">
      <c r="AI11858" s="80"/>
    </row>
    <row r="11859">
      <c r="AI11859" s="80"/>
    </row>
    <row r="11860">
      <c r="AI11860" s="80"/>
    </row>
    <row r="11861">
      <c r="AI11861" s="80"/>
    </row>
    <row r="11862">
      <c r="AI11862" s="80"/>
    </row>
    <row r="11863">
      <c r="AI11863" s="80"/>
    </row>
    <row r="11864">
      <c r="AI11864" s="80"/>
    </row>
    <row r="11865">
      <c r="AI11865" s="80"/>
    </row>
    <row r="11866">
      <c r="AI11866" s="80"/>
    </row>
    <row r="11867">
      <c r="AI11867" s="80"/>
    </row>
    <row r="11868">
      <c r="AI11868" s="80"/>
    </row>
    <row r="11869">
      <c r="AI11869" s="80"/>
    </row>
    <row r="11870">
      <c r="AI11870" s="80"/>
    </row>
    <row r="11871">
      <c r="AI11871" s="80"/>
    </row>
    <row r="11872">
      <c r="AI11872" s="80"/>
    </row>
    <row r="11873">
      <c r="AI11873" s="80"/>
    </row>
    <row r="11874">
      <c r="AI11874" s="80"/>
    </row>
    <row r="11875">
      <c r="AI11875" s="80"/>
    </row>
    <row r="11876">
      <c r="AI11876" s="80"/>
    </row>
    <row r="11877">
      <c r="AI11877" s="80"/>
    </row>
    <row r="11878">
      <c r="AI11878" s="80"/>
    </row>
    <row r="11879">
      <c r="AI11879" s="80"/>
    </row>
    <row r="11880">
      <c r="AI11880" s="80"/>
    </row>
    <row r="11881">
      <c r="AI11881" s="80"/>
    </row>
    <row r="11882">
      <c r="AI11882" s="80"/>
    </row>
    <row r="11883">
      <c r="AI11883" s="80"/>
    </row>
    <row r="11884">
      <c r="AI11884" s="80"/>
    </row>
    <row r="11885">
      <c r="AI11885" s="80"/>
    </row>
    <row r="11886">
      <c r="AI11886" s="80"/>
    </row>
    <row r="11887">
      <c r="AI11887" s="80"/>
    </row>
    <row r="11888">
      <c r="AI11888" s="80"/>
    </row>
    <row r="11889">
      <c r="AI11889" s="80"/>
    </row>
    <row r="11890">
      <c r="AI11890" s="80"/>
    </row>
    <row r="11891">
      <c r="AI11891" s="80"/>
    </row>
    <row r="11892">
      <c r="AI11892" s="80"/>
    </row>
    <row r="11893">
      <c r="AI11893" s="80"/>
    </row>
    <row r="11894">
      <c r="AI11894" s="80"/>
    </row>
    <row r="11895">
      <c r="AI11895" s="80"/>
    </row>
    <row r="11896">
      <c r="AI11896" s="80"/>
    </row>
    <row r="11897">
      <c r="AI11897" s="80"/>
    </row>
    <row r="11898">
      <c r="AI11898" s="80"/>
    </row>
    <row r="11899">
      <c r="AI11899" s="80"/>
    </row>
    <row r="11900">
      <c r="AI11900" s="80"/>
    </row>
    <row r="11901">
      <c r="AI11901" s="80"/>
    </row>
    <row r="11902">
      <c r="AI11902" s="80"/>
    </row>
    <row r="11903">
      <c r="AI11903" s="80"/>
    </row>
    <row r="11904">
      <c r="AI11904" s="80"/>
    </row>
    <row r="11905">
      <c r="AI11905" s="80"/>
    </row>
    <row r="11906">
      <c r="AI11906" s="80"/>
    </row>
    <row r="11907">
      <c r="AI11907" s="80"/>
    </row>
    <row r="11908">
      <c r="AI11908" s="80"/>
    </row>
    <row r="11909">
      <c r="AI11909" s="80"/>
    </row>
    <row r="11910">
      <c r="AI11910" s="80"/>
    </row>
    <row r="11911">
      <c r="AI11911" s="80"/>
    </row>
    <row r="11912">
      <c r="AI11912" s="80"/>
    </row>
    <row r="11913">
      <c r="AI11913" s="80"/>
    </row>
    <row r="11914">
      <c r="AI11914" s="80"/>
    </row>
    <row r="11915">
      <c r="AI11915" s="80"/>
    </row>
    <row r="11916">
      <c r="AI11916" s="80"/>
    </row>
    <row r="11917">
      <c r="AI11917" s="80"/>
    </row>
    <row r="11918">
      <c r="AI11918" s="80"/>
    </row>
    <row r="11919">
      <c r="AI11919" s="80"/>
    </row>
    <row r="11920">
      <c r="AI11920" s="80"/>
    </row>
    <row r="11921">
      <c r="AI11921" s="80"/>
    </row>
    <row r="11922">
      <c r="AI11922" s="80"/>
    </row>
    <row r="11923">
      <c r="AI11923" s="80"/>
    </row>
    <row r="11924">
      <c r="AI11924" s="80"/>
    </row>
    <row r="11925">
      <c r="AI11925" s="80"/>
    </row>
    <row r="11926">
      <c r="AI11926" s="80"/>
    </row>
    <row r="11927">
      <c r="AI11927" s="80"/>
    </row>
    <row r="11928">
      <c r="AI11928" s="80"/>
    </row>
    <row r="11929">
      <c r="AI11929" s="80"/>
    </row>
    <row r="11930">
      <c r="AI11930" s="80"/>
    </row>
    <row r="11931">
      <c r="AI11931" s="80"/>
    </row>
    <row r="11932">
      <c r="AI11932" s="80"/>
    </row>
    <row r="11933">
      <c r="AI11933" s="80"/>
    </row>
    <row r="11934">
      <c r="AI11934" s="80"/>
    </row>
    <row r="11935">
      <c r="AI11935" s="80"/>
    </row>
    <row r="11936">
      <c r="AI11936" s="80"/>
    </row>
    <row r="11937">
      <c r="AI11937" s="80"/>
    </row>
    <row r="11938">
      <c r="AI11938" s="80"/>
    </row>
    <row r="11939">
      <c r="AI11939" s="80"/>
    </row>
    <row r="11940">
      <c r="AI11940" s="80"/>
    </row>
    <row r="11941">
      <c r="AI11941" s="80"/>
    </row>
    <row r="11942">
      <c r="AI11942" s="80"/>
    </row>
    <row r="11943">
      <c r="AI11943" s="80"/>
    </row>
    <row r="11944">
      <c r="AI11944" s="80"/>
    </row>
    <row r="11945">
      <c r="AI11945" s="80"/>
    </row>
    <row r="11946">
      <c r="AI11946" s="80"/>
    </row>
    <row r="11947">
      <c r="AI11947" s="80"/>
    </row>
    <row r="11948">
      <c r="AI11948" s="80"/>
    </row>
    <row r="11949">
      <c r="AI11949" s="80"/>
    </row>
    <row r="11950">
      <c r="AI11950" s="80"/>
    </row>
    <row r="11951">
      <c r="AI11951" s="80"/>
    </row>
    <row r="11952">
      <c r="AI11952" s="80"/>
    </row>
    <row r="11953">
      <c r="AI11953" s="80"/>
    </row>
    <row r="11954">
      <c r="AI11954" s="80"/>
    </row>
    <row r="11955">
      <c r="AI11955" s="80"/>
    </row>
    <row r="11956">
      <c r="AI11956" s="80"/>
    </row>
    <row r="11957">
      <c r="AI11957" s="80"/>
    </row>
    <row r="11958">
      <c r="AI11958" s="80"/>
    </row>
    <row r="11959">
      <c r="AI11959" s="80"/>
    </row>
    <row r="11960">
      <c r="AI11960" s="80"/>
    </row>
    <row r="11961">
      <c r="AI11961" s="80"/>
    </row>
    <row r="11962">
      <c r="AI11962" s="80"/>
    </row>
    <row r="11963">
      <c r="AI11963" s="80"/>
    </row>
    <row r="11964">
      <c r="AI11964" s="80"/>
    </row>
    <row r="11965">
      <c r="AI11965" s="80"/>
    </row>
    <row r="11966">
      <c r="AI11966" s="80"/>
    </row>
    <row r="11967">
      <c r="AI11967" s="80"/>
    </row>
    <row r="11968">
      <c r="AI11968" s="80"/>
    </row>
    <row r="11969">
      <c r="AI11969" s="80"/>
    </row>
    <row r="11970">
      <c r="AI11970" s="80"/>
    </row>
    <row r="11971">
      <c r="AI11971" s="80"/>
    </row>
    <row r="11972">
      <c r="AI11972" s="80"/>
    </row>
    <row r="11973">
      <c r="AI11973" s="80"/>
    </row>
    <row r="11974">
      <c r="AI11974" s="80"/>
    </row>
    <row r="11975">
      <c r="AI11975" s="80"/>
    </row>
    <row r="11976">
      <c r="AI11976" s="80"/>
    </row>
    <row r="11977">
      <c r="AI11977" s="80"/>
    </row>
    <row r="11978">
      <c r="AI11978" s="80"/>
    </row>
    <row r="11979">
      <c r="AI11979" s="80"/>
    </row>
    <row r="11980">
      <c r="AI11980" s="80"/>
    </row>
    <row r="11981">
      <c r="AI11981" s="80"/>
    </row>
    <row r="11982">
      <c r="AI11982" s="80"/>
    </row>
    <row r="11983">
      <c r="AI11983" s="80"/>
    </row>
    <row r="11984">
      <c r="AI11984" s="80"/>
    </row>
    <row r="11985">
      <c r="AI11985" s="80"/>
    </row>
    <row r="11986">
      <c r="AI11986" s="80"/>
    </row>
    <row r="11987">
      <c r="AI11987" s="80"/>
    </row>
    <row r="11988">
      <c r="AI11988" s="80"/>
    </row>
    <row r="11989">
      <c r="AI11989" s="80"/>
    </row>
    <row r="11990">
      <c r="AI11990" s="80"/>
    </row>
    <row r="11991">
      <c r="AI11991" s="80"/>
    </row>
    <row r="11992">
      <c r="AI11992" s="80"/>
    </row>
    <row r="11993">
      <c r="AI11993" s="80"/>
    </row>
    <row r="11994">
      <c r="AI11994" s="80"/>
    </row>
    <row r="11995">
      <c r="AI11995" s="80"/>
    </row>
    <row r="11996">
      <c r="AI11996" s="80"/>
    </row>
    <row r="11997">
      <c r="AI11997" s="80"/>
    </row>
    <row r="11998">
      <c r="AI11998" s="80"/>
    </row>
    <row r="11999">
      <c r="AI11999" s="80"/>
    </row>
    <row r="12000">
      <c r="AI12000" s="80"/>
    </row>
    <row r="12001">
      <c r="AI12001" s="80"/>
    </row>
    <row r="12002">
      <c r="AI12002" s="80"/>
    </row>
    <row r="12003">
      <c r="AI12003" s="80"/>
    </row>
    <row r="12004">
      <c r="AI12004" s="80"/>
    </row>
    <row r="12005">
      <c r="AI12005" s="80"/>
    </row>
    <row r="12006">
      <c r="AI12006" s="80"/>
    </row>
    <row r="12007">
      <c r="AI12007" s="80"/>
    </row>
    <row r="12008">
      <c r="AI12008" s="80"/>
    </row>
    <row r="12009">
      <c r="AI12009" s="80"/>
    </row>
    <row r="12010">
      <c r="AI12010" s="80"/>
    </row>
    <row r="12011">
      <c r="AI12011" s="80"/>
    </row>
    <row r="12012">
      <c r="AI12012" s="80"/>
    </row>
    <row r="12013">
      <c r="AI12013" s="80"/>
    </row>
    <row r="12014">
      <c r="AI12014" s="80"/>
    </row>
    <row r="12015">
      <c r="AI12015" s="80"/>
    </row>
    <row r="12016">
      <c r="AI12016" s="80"/>
    </row>
    <row r="12017">
      <c r="AI12017" s="80"/>
    </row>
    <row r="12018">
      <c r="AI12018" s="80"/>
    </row>
    <row r="12019">
      <c r="AI12019" s="80"/>
    </row>
    <row r="12020">
      <c r="AI12020" s="80"/>
    </row>
    <row r="12021">
      <c r="AI12021" s="80"/>
    </row>
    <row r="12022">
      <c r="AI12022" s="80"/>
    </row>
    <row r="12023">
      <c r="AI12023" s="80"/>
    </row>
    <row r="12024">
      <c r="AI12024" s="80"/>
    </row>
    <row r="12025">
      <c r="AI12025" s="80"/>
    </row>
    <row r="12026">
      <c r="AI12026" s="80"/>
    </row>
    <row r="12027">
      <c r="AI12027" s="80"/>
    </row>
    <row r="12028">
      <c r="AI12028" s="80"/>
    </row>
    <row r="12029">
      <c r="AI12029" s="80"/>
    </row>
    <row r="12030">
      <c r="AI12030" s="80"/>
    </row>
    <row r="12031">
      <c r="AI12031" s="80"/>
    </row>
    <row r="12032">
      <c r="AI12032" s="80"/>
    </row>
    <row r="12033">
      <c r="AI12033" s="80"/>
    </row>
    <row r="12034">
      <c r="AI12034" s="80"/>
    </row>
    <row r="12035">
      <c r="AI12035" s="80"/>
    </row>
    <row r="12036">
      <c r="AI12036" s="80"/>
    </row>
    <row r="12037">
      <c r="AI12037" s="80"/>
    </row>
    <row r="12038">
      <c r="AI12038" s="80"/>
    </row>
    <row r="12039">
      <c r="AI12039" s="80"/>
    </row>
    <row r="12040">
      <c r="AI12040" s="80"/>
    </row>
    <row r="12041">
      <c r="AI12041" s="80"/>
    </row>
    <row r="12042">
      <c r="AI12042" s="80"/>
    </row>
    <row r="12043">
      <c r="AI12043" s="80"/>
    </row>
    <row r="12044">
      <c r="AI12044" s="80"/>
    </row>
    <row r="12045">
      <c r="AI12045" s="80"/>
    </row>
    <row r="12046">
      <c r="AI12046" s="80"/>
    </row>
    <row r="12047">
      <c r="AI12047" s="80"/>
    </row>
    <row r="12048">
      <c r="AI12048" s="80"/>
    </row>
    <row r="12049">
      <c r="AI12049" s="80"/>
    </row>
    <row r="12050">
      <c r="AI12050" s="80"/>
    </row>
    <row r="12051">
      <c r="AI12051" s="80"/>
    </row>
    <row r="12052">
      <c r="AI12052" s="80"/>
    </row>
    <row r="12053">
      <c r="AI12053" s="80"/>
    </row>
    <row r="12054">
      <c r="AI12054" s="80"/>
    </row>
    <row r="12055">
      <c r="AI12055" s="80"/>
    </row>
    <row r="12056">
      <c r="AI12056" s="80"/>
    </row>
    <row r="12057">
      <c r="AI12057" s="80"/>
    </row>
    <row r="12058">
      <c r="AI12058" s="80"/>
    </row>
    <row r="12059">
      <c r="AI12059" s="80"/>
    </row>
    <row r="12060">
      <c r="AI12060" s="80"/>
    </row>
    <row r="12061">
      <c r="AI12061" s="80"/>
    </row>
    <row r="12062">
      <c r="AI12062" s="80"/>
    </row>
    <row r="12063">
      <c r="AI12063" s="80"/>
    </row>
    <row r="12064">
      <c r="AI12064" s="80"/>
    </row>
    <row r="12065">
      <c r="AI12065" s="80"/>
    </row>
    <row r="12066">
      <c r="AI12066" s="80"/>
    </row>
    <row r="12067">
      <c r="AI12067" s="80"/>
    </row>
    <row r="12068">
      <c r="AI12068" s="80"/>
    </row>
    <row r="12069">
      <c r="AI12069" s="80"/>
    </row>
    <row r="12070">
      <c r="AI12070" s="80"/>
    </row>
    <row r="12071">
      <c r="AI12071" s="80"/>
    </row>
    <row r="12072">
      <c r="AI12072" s="80"/>
    </row>
    <row r="12073">
      <c r="AI12073" s="80"/>
    </row>
    <row r="12074">
      <c r="AI12074" s="80"/>
    </row>
    <row r="12075">
      <c r="AI12075" s="80"/>
    </row>
    <row r="12076">
      <c r="AI12076" s="80"/>
    </row>
    <row r="12077">
      <c r="AI12077" s="80"/>
    </row>
    <row r="12078">
      <c r="AI12078" s="80"/>
    </row>
    <row r="12079">
      <c r="AI12079" s="80"/>
    </row>
    <row r="12080">
      <c r="AI12080" s="80"/>
    </row>
    <row r="12081">
      <c r="AI12081" s="80"/>
    </row>
    <row r="12082">
      <c r="AI12082" s="80"/>
    </row>
    <row r="12083">
      <c r="AI12083" s="80"/>
    </row>
    <row r="12084">
      <c r="AI12084" s="80"/>
    </row>
    <row r="12085">
      <c r="AI12085" s="80"/>
    </row>
    <row r="12086">
      <c r="AI12086" s="80"/>
    </row>
    <row r="12087">
      <c r="AI12087" s="80"/>
    </row>
    <row r="12088">
      <c r="AI12088" s="80"/>
    </row>
    <row r="12089">
      <c r="AI12089" s="80"/>
    </row>
    <row r="12090">
      <c r="AI12090" s="80"/>
    </row>
    <row r="12091">
      <c r="AI12091" s="80"/>
    </row>
    <row r="12092">
      <c r="AI12092" s="80"/>
    </row>
    <row r="12093">
      <c r="AI12093" s="80"/>
    </row>
    <row r="12094">
      <c r="AI12094" s="80"/>
    </row>
    <row r="12095">
      <c r="AI12095" s="80"/>
    </row>
    <row r="12096">
      <c r="AI12096" s="80"/>
    </row>
    <row r="12097">
      <c r="AI12097" s="80"/>
    </row>
    <row r="12098">
      <c r="AI12098" s="80"/>
    </row>
    <row r="12099">
      <c r="AI12099" s="80"/>
    </row>
    <row r="12100">
      <c r="AI12100" s="80"/>
    </row>
    <row r="12101">
      <c r="AI12101" s="80"/>
    </row>
    <row r="12102">
      <c r="AI12102" s="80"/>
    </row>
    <row r="12103">
      <c r="AI12103" s="80"/>
    </row>
    <row r="12104">
      <c r="AI12104" s="80"/>
    </row>
    <row r="12105">
      <c r="AI12105" s="80"/>
    </row>
    <row r="12106">
      <c r="AI12106" s="80"/>
    </row>
    <row r="12107">
      <c r="AI12107" s="80"/>
    </row>
    <row r="12108">
      <c r="AI12108" s="80"/>
    </row>
    <row r="12109">
      <c r="AI12109" s="80"/>
    </row>
    <row r="12110">
      <c r="AI12110" s="80"/>
    </row>
    <row r="12111">
      <c r="AI12111" s="80"/>
    </row>
    <row r="12112">
      <c r="AI12112" s="80"/>
    </row>
    <row r="12113">
      <c r="AI12113" s="80"/>
    </row>
    <row r="12114">
      <c r="AI12114" s="80"/>
    </row>
    <row r="12115">
      <c r="AI12115" s="80"/>
    </row>
    <row r="12116">
      <c r="AI12116" s="80"/>
    </row>
    <row r="12117">
      <c r="AI12117" s="80"/>
    </row>
    <row r="12118">
      <c r="AI12118" s="80"/>
    </row>
    <row r="12119">
      <c r="AI12119" s="80"/>
    </row>
    <row r="12120">
      <c r="AI12120" s="80"/>
    </row>
    <row r="12121">
      <c r="AI12121" s="80"/>
    </row>
    <row r="12122">
      <c r="AI12122" s="80"/>
    </row>
    <row r="12123">
      <c r="AI12123" s="80"/>
    </row>
    <row r="12124">
      <c r="AI12124" s="80"/>
    </row>
    <row r="12125">
      <c r="AI12125" s="80"/>
    </row>
    <row r="12126">
      <c r="AI12126" s="80"/>
    </row>
    <row r="12127">
      <c r="AI12127" s="80"/>
    </row>
    <row r="12128">
      <c r="AI12128" s="80"/>
    </row>
    <row r="12129">
      <c r="AI12129" s="80"/>
    </row>
    <row r="12130">
      <c r="AI12130" s="80"/>
    </row>
    <row r="12131">
      <c r="AI12131" s="80"/>
    </row>
    <row r="12132">
      <c r="AI12132" s="80"/>
    </row>
    <row r="12133">
      <c r="AI12133" s="80"/>
    </row>
    <row r="12134">
      <c r="AI12134" s="80"/>
    </row>
    <row r="12135">
      <c r="AI12135" s="80"/>
    </row>
    <row r="12136">
      <c r="AI12136" s="80"/>
    </row>
    <row r="12137">
      <c r="AI12137" s="80"/>
    </row>
    <row r="12138">
      <c r="AI12138" s="80"/>
    </row>
    <row r="12139">
      <c r="AI12139" s="80"/>
    </row>
    <row r="12140">
      <c r="AI12140" s="80"/>
    </row>
    <row r="12141">
      <c r="AI12141" s="80"/>
    </row>
    <row r="12142">
      <c r="AI12142" s="80"/>
    </row>
    <row r="12143">
      <c r="AI12143" s="80"/>
    </row>
    <row r="12144">
      <c r="AI12144" s="80"/>
    </row>
    <row r="12145">
      <c r="AI12145" s="80"/>
    </row>
    <row r="12146">
      <c r="AI12146" s="80"/>
    </row>
    <row r="12147">
      <c r="AI12147" s="80"/>
    </row>
    <row r="12148">
      <c r="AI12148" s="80"/>
    </row>
    <row r="12149">
      <c r="AI12149" s="80"/>
    </row>
    <row r="12150">
      <c r="AI12150" s="80"/>
    </row>
    <row r="12151">
      <c r="AI12151" s="80"/>
    </row>
    <row r="12152">
      <c r="AI12152" s="80"/>
    </row>
    <row r="12153">
      <c r="AI12153" s="80"/>
    </row>
    <row r="12154">
      <c r="AI12154" s="80"/>
    </row>
    <row r="12155">
      <c r="AI12155" s="80"/>
    </row>
    <row r="12156">
      <c r="AI12156" s="80"/>
    </row>
    <row r="12157">
      <c r="AI12157" s="80"/>
    </row>
    <row r="12158">
      <c r="AI12158" s="80"/>
    </row>
    <row r="12159">
      <c r="AI12159" s="80"/>
    </row>
    <row r="12160">
      <c r="AI12160" s="80"/>
    </row>
    <row r="12161">
      <c r="AI12161" s="80"/>
    </row>
    <row r="12162">
      <c r="AI12162" s="80"/>
    </row>
    <row r="12163">
      <c r="AI12163" s="80"/>
    </row>
    <row r="12164">
      <c r="AI12164" s="80"/>
    </row>
    <row r="12165">
      <c r="AI12165" s="80"/>
    </row>
    <row r="12166">
      <c r="AI12166" s="80"/>
    </row>
    <row r="12167">
      <c r="AI12167" s="80"/>
    </row>
    <row r="12168">
      <c r="AI12168" s="80"/>
    </row>
    <row r="12169">
      <c r="AI12169" s="80"/>
    </row>
    <row r="12170">
      <c r="AI12170" s="80"/>
    </row>
    <row r="12171">
      <c r="AI12171" s="80"/>
    </row>
    <row r="12172">
      <c r="AI12172" s="80"/>
    </row>
    <row r="12173">
      <c r="AI12173" s="80"/>
    </row>
    <row r="12174">
      <c r="AI12174" s="80"/>
    </row>
    <row r="12175">
      <c r="AI12175" s="80"/>
    </row>
    <row r="12176">
      <c r="AI12176" s="80"/>
    </row>
    <row r="12177">
      <c r="AI12177" s="80"/>
    </row>
    <row r="12178">
      <c r="AI12178" s="80"/>
    </row>
    <row r="12179">
      <c r="AI12179" s="80"/>
    </row>
    <row r="12180">
      <c r="AI12180" s="80"/>
    </row>
    <row r="12181">
      <c r="AI12181" s="80"/>
    </row>
    <row r="12182">
      <c r="AI12182" s="80"/>
    </row>
    <row r="12183">
      <c r="AI12183" s="80"/>
    </row>
    <row r="12184">
      <c r="AI12184" s="80"/>
    </row>
    <row r="12185">
      <c r="AI12185" s="80"/>
    </row>
    <row r="12186">
      <c r="AI12186" s="80"/>
    </row>
    <row r="12187">
      <c r="AI12187" s="80"/>
    </row>
    <row r="12188">
      <c r="AI12188" s="80"/>
    </row>
    <row r="12189">
      <c r="AI12189" s="80"/>
    </row>
    <row r="12190">
      <c r="AI12190" s="80"/>
    </row>
    <row r="12191">
      <c r="AI12191" s="80"/>
    </row>
    <row r="12192">
      <c r="AI12192" s="80"/>
    </row>
    <row r="12193">
      <c r="AI12193" s="80"/>
    </row>
    <row r="12194">
      <c r="AI12194" s="80"/>
    </row>
    <row r="12195">
      <c r="AI12195" s="80"/>
    </row>
    <row r="12196">
      <c r="AI12196" s="80"/>
    </row>
    <row r="12197">
      <c r="AI12197" s="80"/>
    </row>
    <row r="12198">
      <c r="AI12198" s="80"/>
    </row>
    <row r="12199">
      <c r="AI12199" s="80"/>
    </row>
    <row r="12200">
      <c r="AI12200" s="80"/>
    </row>
    <row r="12201">
      <c r="AI12201" s="80"/>
    </row>
    <row r="12202">
      <c r="AI12202" s="80"/>
    </row>
    <row r="12203">
      <c r="AI12203" s="80"/>
    </row>
    <row r="12204">
      <c r="AI12204" s="80"/>
    </row>
    <row r="12205">
      <c r="AI12205" s="80"/>
    </row>
    <row r="12206">
      <c r="AI12206" s="80"/>
    </row>
    <row r="12207">
      <c r="AI12207" s="80"/>
    </row>
    <row r="12208">
      <c r="AI12208" s="80"/>
    </row>
    <row r="12209">
      <c r="AI12209" s="80"/>
    </row>
    <row r="12210">
      <c r="AI12210" s="80"/>
    </row>
    <row r="12211">
      <c r="AI12211" s="80"/>
    </row>
    <row r="12212">
      <c r="AI12212" s="80"/>
    </row>
    <row r="12213">
      <c r="AI12213" s="80"/>
    </row>
    <row r="12214">
      <c r="AI12214" s="80"/>
    </row>
    <row r="12215">
      <c r="AI12215" s="80"/>
    </row>
    <row r="12216">
      <c r="AI12216" s="80"/>
    </row>
    <row r="12217">
      <c r="AI12217" s="80"/>
    </row>
    <row r="12218">
      <c r="AI12218" s="80"/>
    </row>
    <row r="12219">
      <c r="AI12219" s="80"/>
    </row>
    <row r="12220">
      <c r="AI12220" s="80"/>
    </row>
    <row r="12221">
      <c r="AI12221" s="80"/>
    </row>
    <row r="12222">
      <c r="AI12222" s="80"/>
    </row>
    <row r="12223">
      <c r="AI12223" s="80"/>
    </row>
    <row r="12224">
      <c r="AI12224" s="80"/>
    </row>
    <row r="12225">
      <c r="AI12225" s="80"/>
    </row>
    <row r="12226">
      <c r="AI12226" s="80"/>
    </row>
    <row r="12227">
      <c r="AI12227" s="80"/>
    </row>
    <row r="12228">
      <c r="AI12228" s="80"/>
    </row>
    <row r="12229">
      <c r="AI12229" s="80"/>
    </row>
    <row r="12230">
      <c r="AI12230" s="80"/>
    </row>
    <row r="12231">
      <c r="AI12231" s="80"/>
    </row>
    <row r="12232">
      <c r="AI12232" s="80"/>
    </row>
    <row r="12233">
      <c r="AI12233" s="80"/>
    </row>
    <row r="12234">
      <c r="AI12234" s="80"/>
    </row>
    <row r="12235">
      <c r="AI12235" s="80"/>
    </row>
    <row r="12236">
      <c r="AI12236" s="80"/>
    </row>
    <row r="12237">
      <c r="AI12237" s="80"/>
    </row>
    <row r="12238">
      <c r="AI12238" s="80"/>
    </row>
    <row r="12239">
      <c r="AI12239" s="80"/>
    </row>
    <row r="12240">
      <c r="AI12240" s="80"/>
    </row>
    <row r="12241">
      <c r="AI12241" s="80"/>
    </row>
    <row r="12242">
      <c r="AI12242" s="80"/>
    </row>
    <row r="12243">
      <c r="AI12243" s="80"/>
    </row>
    <row r="12244">
      <c r="AI12244" s="80"/>
    </row>
    <row r="12245">
      <c r="AI12245" s="80"/>
    </row>
    <row r="12246">
      <c r="AI12246" s="80"/>
    </row>
    <row r="12247">
      <c r="AI12247" s="80"/>
    </row>
    <row r="12248">
      <c r="AI12248" s="80"/>
    </row>
    <row r="12249">
      <c r="AI12249" s="80"/>
    </row>
    <row r="12250">
      <c r="AI12250" s="80"/>
    </row>
    <row r="12251">
      <c r="AI12251" s="80"/>
    </row>
    <row r="12252">
      <c r="AI12252" s="80"/>
    </row>
    <row r="12253">
      <c r="AI12253" s="80"/>
    </row>
    <row r="12254">
      <c r="AI12254" s="80"/>
    </row>
    <row r="12255">
      <c r="AI12255" s="80"/>
    </row>
    <row r="12256">
      <c r="AI12256" s="80"/>
    </row>
    <row r="12257">
      <c r="AI12257" s="80"/>
    </row>
    <row r="12258">
      <c r="AI12258" s="80"/>
    </row>
    <row r="12259">
      <c r="AI12259" s="80"/>
    </row>
    <row r="12260">
      <c r="AI12260" s="80"/>
    </row>
    <row r="12261">
      <c r="AI12261" s="80"/>
    </row>
    <row r="12262">
      <c r="AI12262" s="80"/>
    </row>
    <row r="12263">
      <c r="AI12263" s="80"/>
    </row>
    <row r="12264">
      <c r="AI12264" s="80"/>
    </row>
    <row r="12265">
      <c r="AI12265" s="80"/>
    </row>
    <row r="12266">
      <c r="AI12266" s="80"/>
    </row>
    <row r="12267">
      <c r="AI12267" s="80"/>
    </row>
    <row r="12268">
      <c r="AI12268" s="80"/>
    </row>
    <row r="12269">
      <c r="AI12269" s="80"/>
    </row>
    <row r="12270">
      <c r="AI12270" s="80"/>
    </row>
    <row r="12271">
      <c r="AI12271" s="80"/>
    </row>
    <row r="12272">
      <c r="AI12272" s="80"/>
    </row>
    <row r="12273">
      <c r="AI12273" s="80"/>
    </row>
    <row r="12274">
      <c r="AI12274" s="80"/>
    </row>
    <row r="12275">
      <c r="AI12275" s="80"/>
    </row>
    <row r="12276">
      <c r="AI12276" s="80"/>
    </row>
    <row r="12277">
      <c r="AI12277" s="80"/>
    </row>
    <row r="12278">
      <c r="AI12278" s="80"/>
    </row>
    <row r="12279">
      <c r="AI12279" s="80"/>
    </row>
    <row r="12280">
      <c r="AI12280" s="80"/>
    </row>
    <row r="12281">
      <c r="AI12281" s="80"/>
    </row>
    <row r="12282">
      <c r="AI12282" s="80"/>
    </row>
    <row r="12283">
      <c r="AI12283" s="80"/>
    </row>
    <row r="12284">
      <c r="AI12284" s="80"/>
    </row>
    <row r="12285">
      <c r="AI12285" s="80"/>
    </row>
    <row r="12286">
      <c r="AI12286" s="80"/>
    </row>
    <row r="12287">
      <c r="AI12287" s="80"/>
    </row>
    <row r="12288">
      <c r="AI12288" s="80"/>
    </row>
    <row r="12289">
      <c r="AI12289" s="80"/>
    </row>
    <row r="12290">
      <c r="AI12290" s="80"/>
    </row>
    <row r="12291">
      <c r="AI12291" s="80"/>
    </row>
    <row r="12292">
      <c r="AI12292" s="80"/>
    </row>
    <row r="12293">
      <c r="AI12293" s="80"/>
    </row>
    <row r="12294">
      <c r="AI12294" s="80"/>
    </row>
    <row r="12295">
      <c r="AI12295" s="80"/>
    </row>
    <row r="12296">
      <c r="AI12296" s="80"/>
    </row>
    <row r="12297">
      <c r="AI12297" s="80"/>
    </row>
    <row r="12298">
      <c r="AI12298" s="80"/>
    </row>
    <row r="12299">
      <c r="AI12299" s="80"/>
    </row>
    <row r="12300">
      <c r="AI12300" s="80"/>
    </row>
    <row r="12301">
      <c r="AI12301" s="80"/>
    </row>
    <row r="12302">
      <c r="AI12302" s="80"/>
    </row>
    <row r="12303">
      <c r="AI12303" s="80"/>
    </row>
    <row r="12304">
      <c r="AI12304" s="80"/>
    </row>
    <row r="12305">
      <c r="AI12305" s="80"/>
    </row>
    <row r="12306">
      <c r="AI12306" s="80"/>
    </row>
    <row r="12307">
      <c r="AI12307" s="80"/>
    </row>
    <row r="12308">
      <c r="AI12308" s="80"/>
    </row>
    <row r="12309">
      <c r="AI12309" s="80"/>
    </row>
    <row r="12310">
      <c r="AI12310" s="80"/>
    </row>
    <row r="12311">
      <c r="AI12311" s="80"/>
    </row>
    <row r="12312">
      <c r="AI12312" s="80"/>
    </row>
    <row r="12313">
      <c r="AI12313" s="80"/>
    </row>
    <row r="12314">
      <c r="AI12314" s="80"/>
    </row>
    <row r="12315">
      <c r="AI12315" s="80"/>
    </row>
    <row r="12316">
      <c r="AI12316" s="80"/>
    </row>
    <row r="12317">
      <c r="AI12317" s="80"/>
    </row>
    <row r="12318">
      <c r="AI12318" s="80"/>
    </row>
    <row r="12319">
      <c r="AI12319" s="80"/>
    </row>
    <row r="12320">
      <c r="AI12320" s="80"/>
    </row>
    <row r="12321">
      <c r="AI12321" s="80"/>
    </row>
    <row r="12322">
      <c r="AI12322" s="80"/>
    </row>
    <row r="12323">
      <c r="AI12323" s="80"/>
    </row>
    <row r="12324">
      <c r="AI12324" s="80"/>
    </row>
    <row r="12325">
      <c r="AI12325" s="80"/>
    </row>
    <row r="12326">
      <c r="AI12326" s="80"/>
    </row>
    <row r="12327">
      <c r="AI12327" s="80"/>
    </row>
    <row r="12328">
      <c r="AI12328" s="80"/>
    </row>
    <row r="12329">
      <c r="AI12329" s="80"/>
    </row>
    <row r="12330">
      <c r="AI12330" s="80"/>
    </row>
    <row r="12331">
      <c r="AI12331" s="80"/>
    </row>
    <row r="12332">
      <c r="AI12332" s="80"/>
    </row>
    <row r="12333">
      <c r="AI12333" s="80"/>
    </row>
    <row r="12334">
      <c r="AI12334" s="80"/>
    </row>
    <row r="12335">
      <c r="AI12335" s="80"/>
    </row>
    <row r="12336">
      <c r="AI12336" s="80"/>
    </row>
    <row r="12337">
      <c r="AI12337" s="80"/>
    </row>
    <row r="12338">
      <c r="AI12338" s="80"/>
    </row>
    <row r="12339">
      <c r="AI12339" s="80"/>
    </row>
    <row r="12340">
      <c r="AI12340" s="80"/>
    </row>
    <row r="12341">
      <c r="AI12341" s="80"/>
    </row>
    <row r="12342">
      <c r="AI12342" s="80"/>
    </row>
    <row r="12343">
      <c r="AI12343" s="80"/>
    </row>
    <row r="12344">
      <c r="AI12344" s="80"/>
    </row>
    <row r="12345">
      <c r="AI12345" s="80"/>
    </row>
    <row r="12346">
      <c r="AI12346" s="80"/>
    </row>
    <row r="12347">
      <c r="AI12347" s="80"/>
    </row>
    <row r="12348">
      <c r="AI12348" s="80"/>
    </row>
    <row r="12349">
      <c r="AI12349" s="80"/>
    </row>
    <row r="12350">
      <c r="AI12350" s="80"/>
    </row>
    <row r="12351">
      <c r="AI12351" s="80"/>
    </row>
    <row r="12352">
      <c r="AI12352" s="80"/>
    </row>
    <row r="12353">
      <c r="AI12353" s="80"/>
    </row>
    <row r="12354">
      <c r="AI12354" s="80"/>
    </row>
    <row r="12355">
      <c r="AI12355" s="80"/>
    </row>
    <row r="12356">
      <c r="AI12356" s="80"/>
    </row>
    <row r="12357">
      <c r="AI12357" s="80"/>
    </row>
    <row r="12358">
      <c r="AI12358" s="80"/>
    </row>
    <row r="12359">
      <c r="AI12359" s="80"/>
    </row>
    <row r="12360">
      <c r="AI12360" s="80"/>
    </row>
    <row r="12361">
      <c r="AI12361" s="80"/>
    </row>
    <row r="12362">
      <c r="AI12362" s="80"/>
    </row>
    <row r="12363">
      <c r="AI12363" s="80"/>
    </row>
    <row r="12364">
      <c r="AI12364" s="80"/>
    </row>
    <row r="12365">
      <c r="AI12365" s="80"/>
    </row>
    <row r="12366">
      <c r="AI12366" s="80"/>
    </row>
    <row r="12367">
      <c r="AI12367" s="80"/>
    </row>
    <row r="12368">
      <c r="AI12368" s="80"/>
    </row>
    <row r="12369">
      <c r="AI12369" s="80"/>
    </row>
    <row r="12370">
      <c r="AI12370" s="80"/>
    </row>
    <row r="12371">
      <c r="AI12371" s="80"/>
    </row>
    <row r="12372">
      <c r="AI12372" s="80"/>
    </row>
    <row r="12373">
      <c r="AI12373" s="80"/>
    </row>
    <row r="12374">
      <c r="AI12374" s="80"/>
    </row>
    <row r="12375">
      <c r="AI12375" s="80"/>
    </row>
    <row r="12376">
      <c r="AI12376" s="80"/>
    </row>
    <row r="12377">
      <c r="AI12377" s="80"/>
    </row>
    <row r="12378">
      <c r="AI12378" s="80"/>
    </row>
    <row r="12379">
      <c r="AI12379" s="80"/>
    </row>
    <row r="12380">
      <c r="AI12380" s="80"/>
    </row>
    <row r="12381">
      <c r="AI12381" s="80"/>
    </row>
    <row r="12382">
      <c r="AI12382" s="80"/>
    </row>
    <row r="12383">
      <c r="AI12383" s="80"/>
    </row>
    <row r="12384">
      <c r="AI12384" s="80"/>
    </row>
    <row r="12385">
      <c r="AI12385" s="80"/>
    </row>
    <row r="12386">
      <c r="AI12386" s="80"/>
    </row>
    <row r="12387">
      <c r="AI12387" s="80"/>
    </row>
    <row r="12388">
      <c r="AI12388" s="80"/>
    </row>
    <row r="12389">
      <c r="AI12389" s="80"/>
    </row>
    <row r="12390">
      <c r="AI12390" s="80"/>
    </row>
    <row r="12391">
      <c r="AI12391" s="80"/>
    </row>
    <row r="12392">
      <c r="AI12392" s="80"/>
    </row>
    <row r="12393">
      <c r="AI12393" s="80"/>
    </row>
    <row r="12394">
      <c r="AI12394" s="80"/>
    </row>
    <row r="12395">
      <c r="AI12395" s="80"/>
    </row>
    <row r="12396">
      <c r="AI12396" s="80"/>
    </row>
    <row r="12397">
      <c r="AI12397" s="80"/>
    </row>
    <row r="12398">
      <c r="AI12398" s="80"/>
    </row>
    <row r="12399">
      <c r="AI12399" s="80"/>
    </row>
    <row r="12400">
      <c r="AI12400" s="80"/>
    </row>
    <row r="12401">
      <c r="AI12401" s="80"/>
    </row>
    <row r="12402">
      <c r="AI12402" s="80"/>
    </row>
    <row r="12403">
      <c r="AI12403" s="80"/>
    </row>
    <row r="12404">
      <c r="AI12404" s="80"/>
    </row>
    <row r="12405">
      <c r="AI12405" s="80"/>
    </row>
    <row r="12406">
      <c r="AI12406" s="80"/>
    </row>
    <row r="12407">
      <c r="AI12407" s="80"/>
    </row>
    <row r="12408">
      <c r="AI12408" s="80"/>
    </row>
    <row r="12409">
      <c r="AI12409" s="80"/>
    </row>
    <row r="12410">
      <c r="AI12410" s="80"/>
    </row>
    <row r="12411">
      <c r="AI12411" s="80"/>
    </row>
    <row r="12412">
      <c r="AI12412" s="80"/>
    </row>
    <row r="12413">
      <c r="AI12413" s="80"/>
    </row>
    <row r="12414">
      <c r="AI12414" s="80"/>
    </row>
    <row r="12415">
      <c r="AI12415" s="80"/>
    </row>
    <row r="12416">
      <c r="AI12416" s="80"/>
    </row>
    <row r="12417">
      <c r="AI12417" s="80"/>
    </row>
    <row r="12418">
      <c r="AI12418" s="80"/>
    </row>
    <row r="12419">
      <c r="AI12419" s="80"/>
    </row>
    <row r="12420">
      <c r="AI12420" s="80"/>
    </row>
    <row r="12421">
      <c r="AI12421" s="80"/>
    </row>
    <row r="12422">
      <c r="AI12422" s="80"/>
    </row>
    <row r="12423">
      <c r="AI12423" s="80"/>
    </row>
    <row r="12424">
      <c r="AI12424" s="80"/>
    </row>
    <row r="12425">
      <c r="AI12425" s="80"/>
    </row>
    <row r="12426">
      <c r="AI12426" s="80"/>
    </row>
    <row r="12427">
      <c r="AI12427" s="80"/>
    </row>
    <row r="12428">
      <c r="AI12428" s="80"/>
    </row>
    <row r="12429">
      <c r="AI12429" s="80"/>
    </row>
    <row r="12430">
      <c r="AI12430" s="80"/>
    </row>
    <row r="12431">
      <c r="AI12431" s="80"/>
    </row>
    <row r="12432">
      <c r="AI12432" s="80"/>
    </row>
    <row r="12433">
      <c r="AI12433" s="80"/>
    </row>
    <row r="12434">
      <c r="AI12434" s="80"/>
    </row>
    <row r="12435">
      <c r="AI12435" s="80"/>
    </row>
    <row r="12436">
      <c r="AI12436" s="80"/>
    </row>
    <row r="12437">
      <c r="AI12437" s="80"/>
    </row>
    <row r="12438">
      <c r="AI12438" s="80"/>
    </row>
    <row r="12439">
      <c r="AI12439" s="80"/>
    </row>
    <row r="12440">
      <c r="AI12440" s="80"/>
    </row>
    <row r="12441">
      <c r="AI12441" s="80"/>
    </row>
    <row r="12442">
      <c r="AI12442" s="80"/>
    </row>
    <row r="12443">
      <c r="AI12443" s="80"/>
    </row>
    <row r="12444">
      <c r="AI12444" s="80"/>
    </row>
    <row r="12445">
      <c r="AI12445" s="80"/>
    </row>
    <row r="12446">
      <c r="AI12446" s="80"/>
    </row>
    <row r="12447">
      <c r="AI12447" s="80"/>
    </row>
    <row r="12448">
      <c r="AI12448" s="80"/>
    </row>
    <row r="12449">
      <c r="AI12449" s="80"/>
    </row>
    <row r="12450">
      <c r="AI12450" s="80"/>
    </row>
    <row r="12451">
      <c r="AI12451" s="80"/>
    </row>
    <row r="12452">
      <c r="AI12452" s="80"/>
    </row>
    <row r="12453">
      <c r="AI12453" s="80"/>
    </row>
    <row r="12454">
      <c r="AI12454" s="80"/>
    </row>
    <row r="12455">
      <c r="AI12455" s="80"/>
    </row>
    <row r="12456">
      <c r="AI12456" s="80"/>
    </row>
    <row r="12457">
      <c r="AI12457" s="80"/>
    </row>
    <row r="12458">
      <c r="AI12458" s="80"/>
    </row>
    <row r="12459">
      <c r="AI12459" s="80"/>
    </row>
    <row r="12460">
      <c r="AI12460" s="80"/>
    </row>
    <row r="12461">
      <c r="AI12461" s="80"/>
    </row>
    <row r="12462">
      <c r="AI12462" s="80"/>
    </row>
    <row r="12463">
      <c r="AI12463" s="80"/>
    </row>
    <row r="12464">
      <c r="AI12464" s="80"/>
    </row>
    <row r="12465">
      <c r="AI12465" s="80"/>
    </row>
    <row r="12466">
      <c r="AI12466" s="80"/>
    </row>
    <row r="12467">
      <c r="AI12467" s="80"/>
    </row>
    <row r="12468">
      <c r="AI12468" s="80"/>
    </row>
    <row r="12469">
      <c r="AI12469" s="80"/>
    </row>
    <row r="12470">
      <c r="AI12470" s="80"/>
    </row>
    <row r="12471">
      <c r="AI12471" s="80"/>
    </row>
    <row r="12472">
      <c r="AI12472" s="80"/>
    </row>
    <row r="12473">
      <c r="AI12473" s="80"/>
    </row>
    <row r="12474">
      <c r="AI12474" s="80"/>
    </row>
    <row r="12475">
      <c r="AI12475" s="80"/>
    </row>
    <row r="12476">
      <c r="AI12476" s="80"/>
    </row>
    <row r="12477">
      <c r="AI12477" s="80"/>
    </row>
    <row r="12478">
      <c r="AI12478" s="80"/>
    </row>
    <row r="12479">
      <c r="AI12479" s="80"/>
    </row>
    <row r="12480">
      <c r="AI12480" s="80"/>
    </row>
    <row r="12481">
      <c r="AI12481" s="80"/>
    </row>
    <row r="12482">
      <c r="AI12482" s="80"/>
    </row>
    <row r="12483">
      <c r="AI12483" s="80"/>
    </row>
    <row r="12484">
      <c r="AI12484" s="80"/>
    </row>
    <row r="12485">
      <c r="AI12485" s="80"/>
    </row>
    <row r="12486">
      <c r="AI12486" s="80"/>
    </row>
    <row r="12487">
      <c r="AI12487" s="80"/>
    </row>
    <row r="12488">
      <c r="AI12488" s="80"/>
    </row>
    <row r="12489">
      <c r="AI12489" s="80"/>
    </row>
    <row r="12490">
      <c r="AI12490" s="80"/>
    </row>
    <row r="12491">
      <c r="AI12491" s="80"/>
    </row>
    <row r="12492">
      <c r="AI12492" s="80"/>
    </row>
    <row r="12493">
      <c r="AI12493" s="80"/>
    </row>
    <row r="12494">
      <c r="AI12494" s="80"/>
    </row>
    <row r="12495">
      <c r="AI12495" s="80"/>
    </row>
    <row r="12496">
      <c r="AI12496" s="80"/>
    </row>
    <row r="12497">
      <c r="AI12497" s="80"/>
    </row>
    <row r="12498">
      <c r="AI12498" s="80"/>
    </row>
    <row r="12499">
      <c r="AI12499" s="80"/>
    </row>
    <row r="12500">
      <c r="AI12500" s="80"/>
    </row>
    <row r="12501">
      <c r="AI12501" s="80"/>
    </row>
    <row r="12502">
      <c r="AI12502" s="80"/>
    </row>
    <row r="12503">
      <c r="AI12503" s="80"/>
    </row>
    <row r="12504">
      <c r="AI12504" s="80"/>
    </row>
    <row r="12505">
      <c r="AI12505" s="80"/>
    </row>
    <row r="12506">
      <c r="AI12506" s="80"/>
    </row>
    <row r="12507">
      <c r="AI12507" s="80"/>
    </row>
    <row r="12508">
      <c r="AI12508" s="80"/>
    </row>
    <row r="12509">
      <c r="AI12509" s="80"/>
    </row>
    <row r="12510">
      <c r="AI12510" s="80"/>
    </row>
    <row r="12511">
      <c r="AI12511" s="80"/>
    </row>
    <row r="12512">
      <c r="AI12512" s="80"/>
    </row>
    <row r="12513">
      <c r="AI12513" s="80"/>
    </row>
    <row r="12514">
      <c r="AI12514" s="80"/>
    </row>
    <row r="12515">
      <c r="AI12515" s="80"/>
    </row>
    <row r="12516">
      <c r="AI12516" s="80"/>
    </row>
    <row r="12517">
      <c r="AI12517" s="80"/>
    </row>
    <row r="12518">
      <c r="AI12518" s="80"/>
    </row>
    <row r="12519">
      <c r="AI12519" s="80"/>
    </row>
    <row r="12520">
      <c r="AI12520" s="80"/>
    </row>
    <row r="12521">
      <c r="AI12521" s="80"/>
    </row>
    <row r="12522">
      <c r="AI12522" s="80"/>
    </row>
    <row r="12523">
      <c r="AI12523" s="80"/>
    </row>
    <row r="12524">
      <c r="AI12524" s="80"/>
    </row>
    <row r="12525">
      <c r="AI12525" s="80"/>
    </row>
    <row r="12526">
      <c r="AI12526" s="80"/>
    </row>
    <row r="12527">
      <c r="AI12527" s="80"/>
    </row>
    <row r="12528">
      <c r="AI12528" s="80"/>
    </row>
    <row r="12529">
      <c r="AI12529" s="80"/>
    </row>
    <row r="12530">
      <c r="AI12530" s="80"/>
    </row>
    <row r="12531">
      <c r="AI12531" s="80"/>
    </row>
    <row r="12532">
      <c r="AI12532" s="80"/>
    </row>
    <row r="12533">
      <c r="AI12533" s="80"/>
    </row>
    <row r="12534">
      <c r="AI12534" s="80"/>
    </row>
    <row r="12535">
      <c r="AI12535" s="80"/>
    </row>
    <row r="12536">
      <c r="AI12536" s="80"/>
    </row>
    <row r="12537">
      <c r="AI12537" s="80"/>
    </row>
    <row r="12538">
      <c r="AI12538" s="80"/>
    </row>
    <row r="12539">
      <c r="AI12539" s="80"/>
    </row>
    <row r="12540">
      <c r="AI12540" s="80"/>
    </row>
    <row r="12541">
      <c r="AI12541" s="80"/>
    </row>
    <row r="12542">
      <c r="AI12542" s="80"/>
    </row>
    <row r="12543">
      <c r="AI12543" s="80"/>
    </row>
    <row r="12544">
      <c r="AI12544" s="80"/>
    </row>
    <row r="12545">
      <c r="AI12545" s="80"/>
    </row>
    <row r="12546">
      <c r="AI12546" s="80"/>
    </row>
    <row r="12547">
      <c r="AI12547" s="80"/>
    </row>
    <row r="12548">
      <c r="AI12548" s="80"/>
    </row>
    <row r="12549">
      <c r="AI12549" s="80"/>
    </row>
    <row r="12550">
      <c r="AI12550" s="80"/>
    </row>
    <row r="12551">
      <c r="AI12551" s="80"/>
    </row>
    <row r="12552">
      <c r="AI12552" s="80"/>
    </row>
    <row r="12553">
      <c r="AI12553" s="80"/>
    </row>
    <row r="12554">
      <c r="AI12554" s="80"/>
    </row>
    <row r="12555">
      <c r="AI12555" s="80"/>
    </row>
    <row r="12556">
      <c r="AI12556" s="80"/>
    </row>
    <row r="12557">
      <c r="AI12557" s="80"/>
    </row>
    <row r="12558">
      <c r="AI12558" s="80"/>
    </row>
    <row r="12559">
      <c r="AI12559" s="80"/>
    </row>
    <row r="12560">
      <c r="AI12560" s="80"/>
    </row>
    <row r="12561">
      <c r="AI12561" s="80"/>
    </row>
    <row r="12562">
      <c r="AI12562" s="80"/>
    </row>
    <row r="12563">
      <c r="AI12563" s="80"/>
    </row>
    <row r="12564">
      <c r="AI12564" s="80"/>
    </row>
    <row r="12565">
      <c r="AI12565" s="80"/>
    </row>
    <row r="12566">
      <c r="AI12566" s="80"/>
    </row>
    <row r="12567">
      <c r="AI12567" s="80"/>
    </row>
    <row r="12568">
      <c r="AI12568" s="80"/>
    </row>
    <row r="12569">
      <c r="AI12569" s="80"/>
    </row>
    <row r="12570">
      <c r="AI12570" s="80"/>
    </row>
    <row r="12571">
      <c r="AI12571" s="80"/>
    </row>
    <row r="12572">
      <c r="AI12572" s="80"/>
    </row>
    <row r="12573">
      <c r="AI12573" s="80"/>
    </row>
    <row r="12574">
      <c r="AI12574" s="80"/>
    </row>
    <row r="12575">
      <c r="AI12575" s="80"/>
    </row>
    <row r="12576">
      <c r="AI12576" s="80"/>
    </row>
    <row r="12577">
      <c r="AI12577" s="80"/>
    </row>
    <row r="12578">
      <c r="AI12578" s="80"/>
    </row>
    <row r="12579">
      <c r="AI12579" s="80"/>
    </row>
    <row r="12580">
      <c r="AI12580" s="80"/>
    </row>
    <row r="12581">
      <c r="AI12581" s="80"/>
    </row>
    <row r="12582">
      <c r="AI12582" s="80"/>
    </row>
    <row r="12583">
      <c r="AI12583" s="80"/>
    </row>
    <row r="12584">
      <c r="AI12584" s="80"/>
    </row>
    <row r="12585">
      <c r="AI12585" s="80"/>
    </row>
    <row r="12586">
      <c r="AI12586" s="80"/>
    </row>
    <row r="12587">
      <c r="AI12587" s="80"/>
    </row>
    <row r="12588">
      <c r="AI12588" s="80"/>
    </row>
    <row r="12589">
      <c r="AI12589" s="80"/>
    </row>
    <row r="12590">
      <c r="AI12590" s="80"/>
    </row>
    <row r="12591">
      <c r="AI12591" s="80"/>
    </row>
    <row r="12592">
      <c r="AI12592" s="80"/>
    </row>
    <row r="12593">
      <c r="AI12593" s="80"/>
    </row>
    <row r="12594">
      <c r="AI12594" s="80"/>
    </row>
    <row r="12595">
      <c r="AI12595" s="80"/>
    </row>
    <row r="12596">
      <c r="AI12596" s="80"/>
    </row>
    <row r="12597">
      <c r="AI12597" s="80"/>
    </row>
    <row r="12598">
      <c r="AI12598" s="80"/>
    </row>
    <row r="12599">
      <c r="AI12599" s="80"/>
    </row>
    <row r="12600">
      <c r="AI12600" s="80"/>
    </row>
    <row r="12601">
      <c r="AI12601" s="80"/>
    </row>
    <row r="12602">
      <c r="AI12602" s="80"/>
    </row>
    <row r="12603">
      <c r="AI12603" s="80"/>
    </row>
    <row r="12604">
      <c r="AI12604" s="80"/>
    </row>
    <row r="12605">
      <c r="AI12605" s="80"/>
    </row>
    <row r="12606">
      <c r="AI12606" s="80"/>
    </row>
    <row r="12607">
      <c r="AI12607" s="80"/>
    </row>
    <row r="12608">
      <c r="AI12608" s="80"/>
    </row>
    <row r="12609">
      <c r="AI12609" s="80"/>
    </row>
    <row r="12610">
      <c r="AI12610" s="80"/>
    </row>
    <row r="12611">
      <c r="AI12611" s="80"/>
    </row>
    <row r="12612">
      <c r="AI12612" s="80"/>
    </row>
    <row r="12613">
      <c r="AI12613" s="80"/>
    </row>
    <row r="12614">
      <c r="AI12614" s="80"/>
    </row>
    <row r="12615">
      <c r="AI12615" s="80"/>
    </row>
    <row r="12616">
      <c r="AI12616" s="80"/>
    </row>
    <row r="12617">
      <c r="AI12617" s="80"/>
    </row>
    <row r="12618">
      <c r="AI12618" s="80"/>
    </row>
    <row r="12619">
      <c r="AI12619" s="80"/>
    </row>
    <row r="12620">
      <c r="AI12620" s="80"/>
    </row>
    <row r="12621">
      <c r="AI12621" s="80"/>
    </row>
    <row r="12622">
      <c r="AI12622" s="80"/>
    </row>
    <row r="12623">
      <c r="AI12623" s="80"/>
    </row>
    <row r="12624">
      <c r="AI12624" s="80"/>
    </row>
    <row r="12625">
      <c r="AI12625" s="80"/>
    </row>
    <row r="12626">
      <c r="AI12626" s="80"/>
    </row>
    <row r="12627">
      <c r="AI12627" s="80"/>
    </row>
    <row r="12628">
      <c r="AI12628" s="80"/>
    </row>
    <row r="12629">
      <c r="AI12629" s="80"/>
    </row>
    <row r="12630">
      <c r="AI12630" s="80"/>
    </row>
    <row r="12631">
      <c r="AI12631" s="80"/>
    </row>
    <row r="12632">
      <c r="AI12632" s="80"/>
    </row>
    <row r="12633">
      <c r="AI12633" s="80"/>
    </row>
    <row r="12634">
      <c r="AI12634" s="80"/>
    </row>
    <row r="12635">
      <c r="AI12635" s="80"/>
    </row>
    <row r="12636">
      <c r="AI12636" s="80"/>
    </row>
    <row r="12637">
      <c r="AI12637" s="80"/>
    </row>
    <row r="12638">
      <c r="AI12638" s="80"/>
    </row>
    <row r="12639">
      <c r="AI12639" s="80"/>
    </row>
    <row r="12640">
      <c r="AI12640" s="80"/>
    </row>
    <row r="12641">
      <c r="AI12641" s="80"/>
    </row>
    <row r="12642">
      <c r="AI12642" s="80"/>
    </row>
    <row r="12643">
      <c r="AI12643" s="80"/>
    </row>
    <row r="12644">
      <c r="AI12644" s="80"/>
    </row>
    <row r="12645">
      <c r="AI12645" s="80"/>
    </row>
    <row r="12646">
      <c r="AI12646" s="80"/>
    </row>
    <row r="12647">
      <c r="AI12647" s="80"/>
    </row>
    <row r="12648">
      <c r="AI12648" s="80"/>
    </row>
    <row r="12649">
      <c r="AI12649" s="80"/>
    </row>
    <row r="12650">
      <c r="AI12650" s="80"/>
    </row>
    <row r="12651">
      <c r="AI12651" s="80"/>
    </row>
    <row r="12652">
      <c r="AI12652" s="80"/>
    </row>
    <row r="12653">
      <c r="AI12653" s="80"/>
    </row>
    <row r="12654">
      <c r="AI12654" s="80"/>
    </row>
    <row r="12655">
      <c r="AI12655" s="80"/>
    </row>
    <row r="12656">
      <c r="AI12656" s="80"/>
    </row>
    <row r="12657">
      <c r="AI12657" s="80"/>
    </row>
    <row r="12658">
      <c r="AI12658" s="80"/>
    </row>
    <row r="12659">
      <c r="AI12659" s="80"/>
    </row>
    <row r="12660">
      <c r="AI12660" s="80"/>
    </row>
    <row r="12661">
      <c r="AI12661" s="80"/>
    </row>
    <row r="12662">
      <c r="AI12662" s="80"/>
    </row>
    <row r="12663">
      <c r="AI12663" s="80"/>
    </row>
    <row r="12664">
      <c r="AI12664" s="80"/>
    </row>
    <row r="12665">
      <c r="AI12665" s="80"/>
    </row>
    <row r="12666">
      <c r="AI12666" s="80"/>
    </row>
    <row r="12667">
      <c r="AI12667" s="80"/>
    </row>
    <row r="12668">
      <c r="AI12668" s="80"/>
    </row>
    <row r="12669">
      <c r="AI12669" s="80"/>
    </row>
    <row r="12670">
      <c r="AI12670" s="80"/>
    </row>
    <row r="12671">
      <c r="AI12671" s="80"/>
    </row>
    <row r="12672">
      <c r="AI12672" s="80"/>
    </row>
    <row r="12673">
      <c r="AI12673" s="80"/>
    </row>
    <row r="12674">
      <c r="AI12674" s="80"/>
    </row>
    <row r="12675">
      <c r="AI12675" s="80"/>
    </row>
    <row r="12676">
      <c r="AI12676" s="80"/>
    </row>
    <row r="12677">
      <c r="AI12677" s="80"/>
    </row>
    <row r="12678">
      <c r="AI12678" s="80"/>
    </row>
    <row r="12679">
      <c r="AI12679" s="80"/>
    </row>
    <row r="12680">
      <c r="AI12680" s="80"/>
    </row>
    <row r="12681">
      <c r="AI12681" s="80"/>
    </row>
    <row r="12682">
      <c r="AI12682" s="80"/>
    </row>
    <row r="12683">
      <c r="AI12683" s="80"/>
    </row>
    <row r="12684">
      <c r="AI12684" s="80"/>
    </row>
    <row r="12685">
      <c r="AI12685" s="80"/>
    </row>
    <row r="12686">
      <c r="AI12686" s="80"/>
    </row>
    <row r="12687">
      <c r="AI12687" s="80"/>
    </row>
    <row r="12688">
      <c r="AI12688" s="80"/>
    </row>
    <row r="12689">
      <c r="AI12689" s="80"/>
    </row>
    <row r="12690">
      <c r="AI12690" s="80"/>
    </row>
    <row r="12691">
      <c r="AI12691" s="80"/>
    </row>
    <row r="12692">
      <c r="AI12692" s="80"/>
    </row>
    <row r="12693">
      <c r="AI12693" s="80"/>
    </row>
    <row r="12694">
      <c r="AI12694" s="80"/>
    </row>
    <row r="12695">
      <c r="AI12695" s="80"/>
    </row>
    <row r="12696">
      <c r="AI12696" s="80"/>
    </row>
    <row r="12697">
      <c r="AI12697" s="80"/>
    </row>
    <row r="12698">
      <c r="AI12698" s="80"/>
    </row>
    <row r="12699">
      <c r="AI12699" s="80"/>
    </row>
    <row r="12700">
      <c r="AI12700" s="80"/>
    </row>
    <row r="12701">
      <c r="AI12701" s="80"/>
    </row>
    <row r="12702">
      <c r="AI12702" s="80"/>
    </row>
    <row r="12703">
      <c r="AI12703" s="80"/>
    </row>
    <row r="12704">
      <c r="AI12704" s="80"/>
    </row>
    <row r="12705">
      <c r="AI12705" s="80"/>
    </row>
    <row r="12706">
      <c r="AI12706" s="80"/>
    </row>
    <row r="12707">
      <c r="AI12707" s="80"/>
    </row>
    <row r="12708">
      <c r="AI12708" s="80"/>
    </row>
    <row r="12709">
      <c r="AI12709" s="80"/>
    </row>
    <row r="12710">
      <c r="AI12710" s="80"/>
    </row>
    <row r="12711">
      <c r="AI12711" s="80"/>
    </row>
    <row r="12712">
      <c r="AI12712" s="80"/>
    </row>
    <row r="12713">
      <c r="AI12713" s="80"/>
    </row>
    <row r="12714">
      <c r="AI12714" s="80"/>
    </row>
    <row r="12715">
      <c r="AI12715" s="80"/>
    </row>
    <row r="12716">
      <c r="AI12716" s="80"/>
    </row>
    <row r="12717">
      <c r="AI12717" s="80"/>
    </row>
    <row r="12718">
      <c r="AI12718" s="80"/>
    </row>
    <row r="12719">
      <c r="AI12719" s="80"/>
    </row>
    <row r="12720">
      <c r="AI12720" s="80"/>
    </row>
    <row r="12721">
      <c r="AI12721" s="80"/>
    </row>
    <row r="12722">
      <c r="AI12722" s="80"/>
    </row>
    <row r="12723">
      <c r="AI12723" s="80"/>
    </row>
    <row r="12724">
      <c r="AI12724" s="80"/>
    </row>
    <row r="12725">
      <c r="AI12725" s="80"/>
    </row>
    <row r="12726">
      <c r="AI12726" s="80"/>
    </row>
    <row r="12727">
      <c r="AI12727" s="80"/>
    </row>
    <row r="12728">
      <c r="AI12728" s="80"/>
    </row>
    <row r="12729">
      <c r="AI12729" s="80"/>
    </row>
    <row r="12730">
      <c r="AI12730" s="80"/>
    </row>
    <row r="12731">
      <c r="AI12731" s="80"/>
    </row>
    <row r="12732">
      <c r="AI12732" s="80"/>
    </row>
    <row r="12733">
      <c r="AI12733" s="80"/>
    </row>
    <row r="12734">
      <c r="AI12734" s="80"/>
    </row>
    <row r="12735">
      <c r="AI12735" s="80"/>
    </row>
    <row r="12736">
      <c r="AI12736" s="80"/>
    </row>
    <row r="12737">
      <c r="AI12737" s="80"/>
    </row>
    <row r="12738">
      <c r="AI12738" s="80"/>
    </row>
    <row r="12739">
      <c r="AI12739" s="80"/>
    </row>
    <row r="12740">
      <c r="AI12740" s="80"/>
    </row>
    <row r="12741">
      <c r="AI12741" s="80"/>
    </row>
    <row r="12742">
      <c r="AI12742" s="80"/>
    </row>
    <row r="12743">
      <c r="AI12743" s="80"/>
    </row>
    <row r="12744">
      <c r="AI12744" s="80"/>
    </row>
    <row r="12745">
      <c r="AI12745" s="80"/>
    </row>
    <row r="12746">
      <c r="AI12746" s="80"/>
    </row>
    <row r="12747">
      <c r="AI12747" s="80"/>
    </row>
    <row r="12748">
      <c r="AI12748" s="80"/>
    </row>
    <row r="12749">
      <c r="AI12749" s="80"/>
    </row>
    <row r="12750">
      <c r="AI12750" s="80"/>
    </row>
    <row r="12751">
      <c r="AI12751" s="80"/>
    </row>
    <row r="12752">
      <c r="AI12752" s="80"/>
    </row>
    <row r="12753">
      <c r="AI12753" s="80"/>
    </row>
    <row r="12754">
      <c r="AI12754" s="80"/>
    </row>
    <row r="12755">
      <c r="AI12755" s="80"/>
    </row>
    <row r="12756">
      <c r="AI12756" s="80"/>
    </row>
    <row r="12757">
      <c r="AI12757" s="80"/>
    </row>
    <row r="12758">
      <c r="AI12758" s="80"/>
    </row>
    <row r="12759">
      <c r="AI12759" s="80"/>
    </row>
    <row r="12760">
      <c r="AI12760" s="80"/>
    </row>
    <row r="12761">
      <c r="AI12761" s="80"/>
    </row>
    <row r="12762">
      <c r="AI12762" s="80"/>
    </row>
    <row r="12763">
      <c r="AI12763" s="80"/>
    </row>
    <row r="12764">
      <c r="AI12764" s="80"/>
    </row>
    <row r="12765">
      <c r="AI12765" s="80"/>
    </row>
    <row r="12766">
      <c r="AI12766" s="80"/>
    </row>
    <row r="12767">
      <c r="AI12767" s="80"/>
    </row>
    <row r="12768">
      <c r="AI12768" s="80"/>
    </row>
    <row r="12769">
      <c r="AI12769" s="80"/>
    </row>
    <row r="12770">
      <c r="AI12770" s="80"/>
    </row>
    <row r="12771">
      <c r="AI12771" s="80"/>
    </row>
    <row r="12772">
      <c r="AI12772" s="80"/>
    </row>
    <row r="12773">
      <c r="AI12773" s="80"/>
    </row>
    <row r="12774">
      <c r="AI12774" s="80"/>
    </row>
    <row r="12775">
      <c r="AI12775" s="80"/>
    </row>
    <row r="12776">
      <c r="AI12776" s="80"/>
    </row>
    <row r="12777">
      <c r="AI12777" s="80"/>
    </row>
    <row r="12778">
      <c r="AI12778" s="80"/>
    </row>
    <row r="12779">
      <c r="AI12779" s="80"/>
    </row>
    <row r="12780">
      <c r="AI12780" s="80"/>
    </row>
    <row r="12781">
      <c r="AI12781" s="80"/>
    </row>
    <row r="12782">
      <c r="AI12782" s="80"/>
    </row>
    <row r="12783">
      <c r="AI12783" s="80"/>
    </row>
    <row r="12784">
      <c r="AI12784" s="80"/>
    </row>
    <row r="12785">
      <c r="AI12785" s="80"/>
    </row>
    <row r="12786">
      <c r="AI12786" s="80"/>
    </row>
    <row r="12787">
      <c r="AI12787" s="80"/>
    </row>
    <row r="12788">
      <c r="AI12788" s="80"/>
    </row>
    <row r="12789">
      <c r="AI12789" s="80"/>
    </row>
    <row r="12790">
      <c r="AI12790" s="80"/>
    </row>
    <row r="12791">
      <c r="AI12791" s="80"/>
    </row>
    <row r="12792">
      <c r="AI12792" s="80"/>
    </row>
    <row r="12793">
      <c r="AI12793" s="80"/>
    </row>
    <row r="12794">
      <c r="AI12794" s="80"/>
    </row>
    <row r="12795">
      <c r="AI12795" s="80"/>
    </row>
    <row r="12796">
      <c r="AI12796" s="80"/>
    </row>
    <row r="12797">
      <c r="AI12797" s="80"/>
    </row>
    <row r="12798">
      <c r="AI12798" s="80"/>
    </row>
    <row r="12799">
      <c r="AI12799" s="80"/>
    </row>
    <row r="12800">
      <c r="AI12800" s="80"/>
    </row>
    <row r="12801">
      <c r="AI12801" s="80"/>
    </row>
    <row r="12802">
      <c r="AI12802" s="80"/>
    </row>
    <row r="12803">
      <c r="AI12803" s="80"/>
    </row>
    <row r="12804">
      <c r="AI12804" s="80"/>
    </row>
    <row r="12805">
      <c r="AI12805" s="80"/>
    </row>
    <row r="12806">
      <c r="AI12806" s="80"/>
    </row>
    <row r="12807">
      <c r="AI12807" s="80"/>
    </row>
    <row r="12808">
      <c r="AI12808" s="80"/>
    </row>
    <row r="12809">
      <c r="AI12809" s="80"/>
    </row>
    <row r="12810">
      <c r="AI12810" s="80"/>
    </row>
    <row r="12811">
      <c r="AI12811" s="80"/>
    </row>
    <row r="12812">
      <c r="AI12812" s="80"/>
    </row>
    <row r="12813">
      <c r="AI12813" s="80"/>
    </row>
    <row r="12814">
      <c r="AI12814" s="80"/>
    </row>
    <row r="12815">
      <c r="AI12815" s="80"/>
    </row>
    <row r="12816">
      <c r="AI12816" s="80"/>
    </row>
    <row r="12817">
      <c r="AI12817" s="80"/>
    </row>
    <row r="12818">
      <c r="AI12818" s="80"/>
    </row>
    <row r="12819">
      <c r="AI12819" s="80"/>
    </row>
    <row r="12820">
      <c r="AI12820" s="80"/>
    </row>
    <row r="12821">
      <c r="AI12821" s="80"/>
    </row>
    <row r="12822">
      <c r="AI12822" s="80"/>
    </row>
    <row r="12823">
      <c r="AI12823" s="80"/>
    </row>
    <row r="12824">
      <c r="AI12824" s="80"/>
    </row>
    <row r="12825">
      <c r="AI12825" s="80"/>
    </row>
    <row r="12826">
      <c r="AI12826" s="80"/>
    </row>
    <row r="12827">
      <c r="AI12827" s="80"/>
    </row>
    <row r="12828">
      <c r="AI12828" s="80"/>
    </row>
    <row r="12829">
      <c r="AI12829" s="80"/>
    </row>
    <row r="12830">
      <c r="AI12830" s="80"/>
    </row>
    <row r="12831">
      <c r="AI12831" s="80"/>
    </row>
    <row r="12832">
      <c r="AI12832" s="80"/>
    </row>
    <row r="12833">
      <c r="AI12833" s="80"/>
    </row>
    <row r="12834">
      <c r="AI12834" s="80"/>
    </row>
    <row r="12835">
      <c r="AI12835" s="80"/>
    </row>
    <row r="12836">
      <c r="AI12836" s="80"/>
    </row>
    <row r="12837">
      <c r="AI12837" s="80"/>
    </row>
    <row r="12838">
      <c r="AI12838" s="80"/>
    </row>
    <row r="12839">
      <c r="AI12839" s="80"/>
    </row>
    <row r="12840">
      <c r="AI12840" s="80"/>
    </row>
    <row r="12841">
      <c r="AI12841" s="80"/>
    </row>
    <row r="12842">
      <c r="AI12842" s="80"/>
    </row>
    <row r="12843">
      <c r="AI12843" s="80"/>
    </row>
    <row r="12844">
      <c r="AI12844" s="80"/>
    </row>
    <row r="12845">
      <c r="AI12845" s="80"/>
    </row>
    <row r="12846">
      <c r="AI12846" s="80"/>
    </row>
    <row r="12847">
      <c r="AI12847" s="80"/>
    </row>
    <row r="12848">
      <c r="AI12848" s="80"/>
    </row>
    <row r="12849">
      <c r="AI12849" s="80"/>
    </row>
    <row r="12850">
      <c r="AI12850" s="80"/>
    </row>
    <row r="12851">
      <c r="AI12851" s="80"/>
    </row>
    <row r="12852">
      <c r="AI12852" s="80"/>
    </row>
    <row r="12853">
      <c r="AI12853" s="80"/>
    </row>
    <row r="12854">
      <c r="AI12854" s="80"/>
    </row>
    <row r="12855">
      <c r="AI12855" s="80"/>
    </row>
    <row r="12856">
      <c r="AI12856" s="80"/>
    </row>
    <row r="12857">
      <c r="AI12857" s="80"/>
    </row>
    <row r="12858">
      <c r="AI12858" s="80"/>
    </row>
    <row r="12859">
      <c r="AI12859" s="80"/>
    </row>
    <row r="12860">
      <c r="AI12860" s="80"/>
    </row>
    <row r="12861">
      <c r="AI12861" s="80"/>
    </row>
    <row r="12862">
      <c r="AI12862" s="80"/>
    </row>
    <row r="12863">
      <c r="AI12863" s="80"/>
    </row>
    <row r="12864">
      <c r="AI12864" s="80"/>
    </row>
    <row r="12865">
      <c r="AI12865" s="80"/>
    </row>
    <row r="12866">
      <c r="AI12866" s="80"/>
    </row>
    <row r="12867">
      <c r="AI12867" s="80"/>
    </row>
    <row r="12868">
      <c r="AI12868" s="80"/>
    </row>
    <row r="12869">
      <c r="AI12869" s="80"/>
    </row>
    <row r="12870">
      <c r="AI12870" s="80"/>
    </row>
    <row r="12871">
      <c r="AI12871" s="80"/>
    </row>
    <row r="12872">
      <c r="AI12872" s="80"/>
    </row>
    <row r="12873">
      <c r="AI12873" s="80"/>
    </row>
    <row r="12874">
      <c r="AI12874" s="80"/>
    </row>
    <row r="12875">
      <c r="AI12875" s="80"/>
    </row>
    <row r="12876">
      <c r="AI12876" s="80"/>
    </row>
    <row r="12877">
      <c r="AI12877" s="80"/>
    </row>
    <row r="12878">
      <c r="AI12878" s="80"/>
    </row>
    <row r="12879">
      <c r="AI12879" s="80"/>
    </row>
    <row r="12880">
      <c r="AI12880" s="80"/>
    </row>
    <row r="12881">
      <c r="AI12881" s="80"/>
    </row>
    <row r="12882">
      <c r="AI12882" s="80"/>
    </row>
    <row r="12883">
      <c r="AI12883" s="80"/>
    </row>
    <row r="12884">
      <c r="AI12884" s="80"/>
    </row>
    <row r="12885">
      <c r="AI12885" s="80"/>
    </row>
    <row r="12886">
      <c r="AI12886" s="80"/>
    </row>
    <row r="12887">
      <c r="AI12887" s="80"/>
    </row>
    <row r="12888">
      <c r="AI12888" s="80"/>
    </row>
    <row r="12889">
      <c r="AI12889" s="80"/>
    </row>
    <row r="12890">
      <c r="AI12890" s="80"/>
    </row>
    <row r="12891">
      <c r="AI12891" s="80"/>
    </row>
    <row r="12892">
      <c r="AI12892" s="80"/>
    </row>
    <row r="12893">
      <c r="AI12893" s="80"/>
    </row>
    <row r="12894">
      <c r="AI12894" s="80"/>
    </row>
    <row r="12895">
      <c r="AI12895" s="80"/>
    </row>
    <row r="12896">
      <c r="AI12896" s="80"/>
    </row>
    <row r="12897">
      <c r="AI12897" s="80"/>
    </row>
    <row r="12898">
      <c r="AI12898" s="80"/>
    </row>
    <row r="12899">
      <c r="AI12899" s="80"/>
    </row>
    <row r="12900">
      <c r="AI12900" s="80"/>
    </row>
    <row r="12901">
      <c r="AI12901" s="80"/>
    </row>
    <row r="12902">
      <c r="AI12902" s="80"/>
    </row>
    <row r="12903">
      <c r="AI12903" s="80"/>
    </row>
    <row r="12904">
      <c r="AI12904" s="80"/>
    </row>
    <row r="12905">
      <c r="AI12905" s="80"/>
    </row>
    <row r="12906">
      <c r="AI12906" s="80"/>
    </row>
    <row r="12907">
      <c r="AI12907" s="80"/>
    </row>
    <row r="12908">
      <c r="AI12908" s="80"/>
    </row>
    <row r="12909">
      <c r="AI12909" s="80"/>
    </row>
    <row r="12910">
      <c r="AI12910" s="80"/>
    </row>
    <row r="12911">
      <c r="AI12911" s="80"/>
    </row>
    <row r="12912">
      <c r="AI12912" s="80"/>
    </row>
    <row r="12913">
      <c r="AI12913" s="80"/>
    </row>
    <row r="12914">
      <c r="AI12914" s="80"/>
    </row>
    <row r="12915">
      <c r="AI12915" s="80"/>
    </row>
    <row r="12916">
      <c r="AI12916" s="80"/>
    </row>
    <row r="12917">
      <c r="AI12917" s="80"/>
    </row>
    <row r="12918">
      <c r="AI12918" s="80"/>
    </row>
    <row r="12919">
      <c r="AI12919" s="80"/>
    </row>
    <row r="12920">
      <c r="AI12920" s="80"/>
    </row>
    <row r="12921">
      <c r="AI12921" s="80"/>
    </row>
    <row r="12922">
      <c r="AI12922" s="80"/>
    </row>
    <row r="12923">
      <c r="AI12923" s="80"/>
    </row>
    <row r="12924">
      <c r="AI12924" s="80"/>
    </row>
    <row r="12925">
      <c r="AI12925" s="80"/>
    </row>
    <row r="12926">
      <c r="AI12926" s="80"/>
    </row>
    <row r="12927">
      <c r="AI12927" s="80"/>
    </row>
    <row r="12928">
      <c r="AI12928" s="80"/>
    </row>
    <row r="12929">
      <c r="AI12929" s="80"/>
    </row>
    <row r="12930">
      <c r="AI12930" s="80"/>
    </row>
    <row r="12931">
      <c r="AI12931" s="80"/>
    </row>
    <row r="12932">
      <c r="AI12932" s="80"/>
    </row>
    <row r="12933">
      <c r="AI12933" s="80"/>
    </row>
    <row r="12934">
      <c r="AI12934" s="80"/>
    </row>
    <row r="12935">
      <c r="AI12935" s="80"/>
    </row>
    <row r="12936">
      <c r="AI12936" s="80"/>
    </row>
    <row r="12937">
      <c r="AI12937" s="80"/>
    </row>
    <row r="12938">
      <c r="AI12938" s="80"/>
    </row>
    <row r="12939">
      <c r="AI12939" s="80"/>
    </row>
    <row r="12940">
      <c r="AI12940" s="80"/>
    </row>
    <row r="12941">
      <c r="AI12941" s="80"/>
    </row>
    <row r="12942">
      <c r="AI12942" s="80"/>
    </row>
    <row r="12943">
      <c r="AI12943" s="80"/>
    </row>
    <row r="12944">
      <c r="AI12944" s="80"/>
    </row>
    <row r="12945">
      <c r="AI12945" s="80"/>
    </row>
    <row r="12946">
      <c r="AI12946" s="80"/>
    </row>
    <row r="12947">
      <c r="AI12947" s="80"/>
    </row>
    <row r="12948">
      <c r="AI12948" s="80"/>
    </row>
    <row r="12949">
      <c r="AI12949" s="80"/>
    </row>
    <row r="12950">
      <c r="AI12950" s="80"/>
    </row>
    <row r="12951">
      <c r="AI12951" s="80"/>
    </row>
    <row r="12952">
      <c r="AI12952" s="80"/>
    </row>
    <row r="12953">
      <c r="AI12953" s="80"/>
    </row>
    <row r="12954">
      <c r="AI12954" s="80"/>
    </row>
    <row r="12955">
      <c r="AI12955" s="80"/>
    </row>
    <row r="12956">
      <c r="AI12956" s="80"/>
    </row>
    <row r="12957">
      <c r="AI12957" s="80"/>
    </row>
    <row r="12958">
      <c r="AI12958" s="80"/>
    </row>
    <row r="12959">
      <c r="AI12959" s="80"/>
    </row>
    <row r="12960">
      <c r="AI12960" s="80"/>
    </row>
    <row r="12961">
      <c r="AI12961" s="80"/>
    </row>
    <row r="12962">
      <c r="AI12962" s="80"/>
    </row>
    <row r="12963">
      <c r="AI12963" s="80"/>
    </row>
    <row r="12964">
      <c r="AI12964" s="80"/>
    </row>
    <row r="12965">
      <c r="AI12965" s="80"/>
    </row>
    <row r="12966">
      <c r="AI12966" s="80"/>
    </row>
    <row r="12967">
      <c r="AI12967" s="80"/>
    </row>
    <row r="12968">
      <c r="AI12968" s="80"/>
    </row>
    <row r="12969">
      <c r="AI12969" s="80"/>
    </row>
    <row r="12970">
      <c r="AI12970" s="80"/>
    </row>
    <row r="12971">
      <c r="AI12971" s="80"/>
    </row>
    <row r="12972">
      <c r="AI12972" s="80"/>
    </row>
    <row r="12973">
      <c r="AI12973" s="80"/>
    </row>
    <row r="12974">
      <c r="AI12974" s="80"/>
    </row>
    <row r="12975">
      <c r="AI12975" s="80"/>
    </row>
    <row r="12976">
      <c r="AI12976" s="80"/>
    </row>
    <row r="12977">
      <c r="AI12977" s="80"/>
    </row>
    <row r="12978">
      <c r="AI12978" s="80"/>
    </row>
    <row r="12979">
      <c r="AI12979" s="80"/>
    </row>
    <row r="12980">
      <c r="AI12980" s="80"/>
    </row>
    <row r="12981">
      <c r="AI12981" s="80"/>
    </row>
    <row r="12982">
      <c r="AI12982" s="80"/>
    </row>
    <row r="12983">
      <c r="AI12983" s="80"/>
    </row>
    <row r="12984">
      <c r="AI12984" s="80"/>
    </row>
    <row r="12985">
      <c r="AI12985" s="80"/>
    </row>
    <row r="12986">
      <c r="AI12986" s="80"/>
    </row>
    <row r="12987">
      <c r="AI12987" s="80"/>
    </row>
    <row r="12988">
      <c r="AI12988" s="80"/>
    </row>
    <row r="12989">
      <c r="AI12989" s="80"/>
    </row>
    <row r="12990">
      <c r="AI12990" s="80"/>
    </row>
    <row r="12991">
      <c r="AI12991" s="80"/>
    </row>
    <row r="12992">
      <c r="AI12992" s="80"/>
    </row>
    <row r="12993">
      <c r="AI12993" s="80"/>
    </row>
    <row r="12994">
      <c r="AI12994" s="80"/>
    </row>
    <row r="12995">
      <c r="AI12995" s="80"/>
    </row>
    <row r="12996">
      <c r="AI12996" s="80"/>
    </row>
    <row r="12997">
      <c r="AI12997" s="80"/>
    </row>
    <row r="12998">
      <c r="AI12998" s="80"/>
    </row>
    <row r="12999">
      <c r="AI12999" s="80"/>
    </row>
    <row r="13000">
      <c r="AI13000" s="80"/>
    </row>
    <row r="13001">
      <c r="AI13001" s="80"/>
    </row>
    <row r="13002">
      <c r="AI13002" s="80"/>
    </row>
    <row r="13003">
      <c r="AI13003" s="80"/>
    </row>
    <row r="13004">
      <c r="AI13004" s="80"/>
    </row>
    <row r="13005">
      <c r="AI13005" s="80"/>
    </row>
    <row r="13006">
      <c r="AI13006" s="80"/>
    </row>
    <row r="13007">
      <c r="AI13007" s="80"/>
    </row>
    <row r="13008">
      <c r="AI13008" s="80"/>
    </row>
    <row r="13009">
      <c r="AI13009" s="80"/>
    </row>
    <row r="13010">
      <c r="AI13010" s="80"/>
    </row>
    <row r="13011">
      <c r="AI13011" s="80"/>
    </row>
    <row r="13012">
      <c r="AI13012" s="80"/>
    </row>
    <row r="13013">
      <c r="AI13013" s="80"/>
    </row>
    <row r="13014">
      <c r="AI13014" s="80"/>
    </row>
    <row r="13015">
      <c r="AI13015" s="80"/>
    </row>
    <row r="13016">
      <c r="AI13016" s="80"/>
    </row>
    <row r="13017">
      <c r="AI13017" s="80"/>
    </row>
    <row r="13018">
      <c r="AI13018" s="80"/>
    </row>
    <row r="13019">
      <c r="AI13019" s="80"/>
    </row>
    <row r="13020">
      <c r="AI13020" s="80"/>
    </row>
    <row r="13021">
      <c r="AI13021" s="80"/>
    </row>
    <row r="13022">
      <c r="AI13022" s="80"/>
    </row>
    <row r="13023">
      <c r="AI13023" s="80"/>
    </row>
    <row r="13024">
      <c r="AI13024" s="80"/>
    </row>
    <row r="13025">
      <c r="AI13025" s="80"/>
    </row>
    <row r="13026">
      <c r="AI13026" s="80"/>
    </row>
    <row r="13027">
      <c r="AI13027" s="80"/>
    </row>
    <row r="13028">
      <c r="AI13028" s="80"/>
    </row>
    <row r="13029">
      <c r="AI13029" s="80"/>
    </row>
    <row r="13030">
      <c r="AI13030" s="80"/>
    </row>
    <row r="13031">
      <c r="AI13031" s="80"/>
    </row>
    <row r="13032">
      <c r="AI13032" s="80"/>
    </row>
    <row r="13033">
      <c r="AI13033" s="80"/>
    </row>
    <row r="13034">
      <c r="AI13034" s="80"/>
    </row>
    <row r="13035">
      <c r="AI13035" s="80"/>
    </row>
    <row r="13036">
      <c r="AI13036" s="80"/>
    </row>
    <row r="13037">
      <c r="AI13037" s="80"/>
    </row>
    <row r="13038">
      <c r="AI13038" s="80"/>
    </row>
    <row r="13039">
      <c r="AI13039" s="80"/>
    </row>
    <row r="13040">
      <c r="AI13040" s="80"/>
    </row>
    <row r="13041">
      <c r="AI13041" s="80"/>
    </row>
    <row r="13042">
      <c r="AI13042" s="80"/>
    </row>
    <row r="13043">
      <c r="AI13043" s="80"/>
    </row>
    <row r="13044">
      <c r="AI13044" s="80"/>
    </row>
    <row r="13045">
      <c r="AI13045" s="80"/>
    </row>
    <row r="13046">
      <c r="AI13046" s="80"/>
    </row>
    <row r="13047">
      <c r="AI13047" s="80"/>
    </row>
    <row r="13048">
      <c r="AI13048" s="80"/>
    </row>
    <row r="13049">
      <c r="AI13049" s="80"/>
    </row>
    <row r="13050">
      <c r="AI13050" s="80"/>
    </row>
    <row r="13051">
      <c r="AI13051" s="80"/>
    </row>
    <row r="13052">
      <c r="AI13052" s="80"/>
    </row>
    <row r="13053">
      <c r="AI13053" s="80"/>
    </row>
    <row r="13054">
      <c r="AI13054" s="80"/>
    </row>
    <row r="13055">
      <c r="AI13055" s="80"/>
    </row>
    <row r="13056">
      <c r="AI13056" s="80"/>
    </row>
    <row r="13057">
      <c r="AI13057" s="80"/>
    </row>
    <row r="13058">
      <c r="AI13058" s="80"/>
    </row>
    <row r="13059">
      <c r="AI13059" s="80"/>
    </row>
    <row r="13060">
      <c r="AI13060" s="80"/>
    </row>
    <row r="13061">
      <c r="AI13061" s="80"/>
    </row>
    <row r="13062">
      <c r="AI13062" s="80"/>
    </row>
    <row r="13063">
      <c r="AI13063" s="80"/>
    </row>
    <row r="13064">
      <c r="AI13064" s="80"/>
    </row>
    <row r="13065">
      <c r="AI13065" s="80"/>
    </row>
    <row r="13066">
      <c r="AI13066" s="80"/>
    </row>
    <row r="13067">
      <c r="AI13067" s="80"/>
    </row>
    <row r="13068">
      <c r="AI13068" s="80"/>
    </row>
    <row r="13069">
      <c r="AI13069" s="80"/>
    </row>
    <row r="13070">
      <c r="AI13070" s="80"/>
    </row>
    <row r="13071">
      <c r="AI13071" s="80"/>
    </row>
    <row r="13072">
      <c r="AI13072" s="80"/>
    </row>
    <row r="13073">
      <c r="AI13073" s="80"/>
    </row>
    <row r="13074">
      <c r="AI13074" s="80"/>
    </row>
    <row r="13075">
      <c r="AI13075" s="80"/>
    </row>
    <row r="13076">
      <c r="AI13076" s="80"/>
    </row>
    <row r="13077">
      <c r="AI13077" s="80"/>
    </row>
    <row r="13078">
      <c r="AI13078" s="80"/>
    </row>
    <row r="13079">
      <c r="AI13079" s="80"/>
    </row>
    <row r="13080">
      <c r="AI13080" s="80"/>
    </row>
    <row r="13081">
      <c r="AI13081" s="80"/>
    </row>
    <row r="13082">
      <c r="AI13082" s="80"/>
    </row>
    <row r="13083">
      <c r="AI13083" s="80"/>
    </row>
    <row r="13084">
      <c r="AI13084" s="80"/>
    </row>
    <row r="13085">
      <c r="AI13085" s="80"/>
    </row>
    <row r="13086">
      <c r="AI13086" s="80"/>
    </row>
    <row r="13087">
      <c r="AI13087" s="80"/>
    </row>
    <row r="13088">
      <c r="AI13088" s="80"/>
    </row>
    <row r="13089">
      <c r="AI13089" s="80"/>
    </row>
    <row r="13090">
      <c r="AI13090" s="80"/>
    </row>
    <row r="13091">
      <c r="AI13091" s="80"/>
    </row>
    <row r="13092">
      <c r="AI13092" s="80"/>
    </row>
    <row r="13093">
      <c r="AI13093" s="80"/>
    </row>
    <row r="13094">
      <c r="AI13094" s="80"/>
    </row>
    <row r="13095">
      <c r="AI13095" s="80"/>
    </row>
    <row r="13096">
      <c r="AI13096" s="80"/>
    </row>
    <row r="13097">
      <c r="AI13097" s="80"/>
    </row>
    <row r="13098">
      <c r="AI13098" s="80"/>
    </row>
    <row r="13099">
      <c r="AI13099" s="80"/>
    </row>
    <row r="13100">
      <c r="AI13100" s="80"/>
    </row>
    <row r="13101">
      <c r="AI13101" s="80"/>
    </row>
    <row r="13102">
      <c r="AI13102" s="80"/>
    </row>
    <row r="13103">
      <c r="AI13103" s="80"/>
    </row>
    <row r="13104">
      <c r="AI13104" s="80"/>
    </row>
    <row r="13105">
      <c r="AI13105" s="80"/>
    </row>
    <row r="13106">
      <c r="AI13106" s="80"/>
    </row>
    <row r="13107">
      <c r="AI13107" s="80"/>
    </row>
    <row r="13108">
      <c r="AI13108" s="80"/>
    </row>
    <row r="13109">
      <c r="AI13109" s="80"/>
    </row>
    <row r="13110">
      <c r="AI13110" s="80"/>
    </row>
    <row r="13111">
      <c r="AI13111" s="80"/>
    </row>
    <row r="13112">
      <c r="AI13112" s="80"/>
    </row>
    <row r="13113">
      <c r="AI13113" s="80"/>
    </row>
    <row r="13114">
      <c r="AI13114" s="80"/>
    </row>
    <row r="13115">
      <c r="AI13115" s="80"/>
    </row>
    <row r="13116">
      <c r="AI13116" s="80"/>
    </row>
    <row r="13117">
      <c r="AI13117" s="80"/>
    </row>
    <row r="13118">
      <c r="AI13118" s="80"/>
    </row>
    <row r="13119">
      <c r="AI13119" s="80"/>
    </row>
    <row r="13120">
      <c r="AI13120" s="80"/>
    </row>
    <row r="13121">
      <c r="AI13121" s="80"/>
    </row>
    <row r="13122">
      <c r="AI13122" s="80"/>
    </row>
    <row r="13123">
      <c r="AI13123" s="80"/>
    </row>
    <row r="13124">
      <c r="AI13124" s="80"/>
    </row>
    <row r="13125">
      <c r="AI13125" s="80"/>
    </row>
    <row r="13126">
      <c r="AI13126" s="80"/>
    </row>
    <row r="13127">
      <c r="AI13127" s="80"/>
    </row>
    <row r="13128">
      <c r="AI13128" s="80"/>
    </row>
    <row r="13129">
      <c r="AI13129" s="80"/>
    </row>
    <row r="13130">
      <c r="AI13130" s="80"/>
    </row>
    <row r="13131">
      <c r="AI13131" s="80"/>
    </row>
    <row r="13132">
      <c r="AI13132" s="80"/>
    </row>
    <row r="13133">
      <c r="AI13133" s="80"/>
    </row>
    <row r="13134">
      <c r="AI13134" s="80"/>
    </row>
    <row r="13135">
      <c r="AI13135" s="80"/>
    </row>
    <row r="13136">
      <c r="AI13136" s="80"/>
    </row>
    <row r="13137">
      <c r="AI13137" s="80"/>
    </row>
    <row r="13138">
      <c r="AI13138" s="80"/>
    </row>
    <row r="13139">
      <c r="AI13139" s="80"/>
    </row>
    <row r="13140">
      <c r="AI13140" s="80"/>
    </row>
    <row r="13141">
      <c r="AI13141" s="80"/>
    </row>
    <row r="13142">
      <c r="AI13142" s="80"/>
    </row>
    <row r="13143">
      <c r="AI13143" s="80"/>
    </row>
    <row r="13144">
      <c r="AI13144" s="80"/>
    </row>
    <row r="13145">
      <c r="AI13145" s="80"/>
    </row>
    <row r="13146">
      <c r="AI13146" s="80"/>
    </row>
    <row r="13147">
      <c r="AI13147" s="80"/>
    </row>
    <row r="13148">
      <c r="AI13148" s="80"/>
    </row>
    <row r="13149">
      <c r="AI13149" s="80"/>
    </row>
    <row r="13150">
      <c r="AI13150" s="80"/>
    </row>
    <row r="13151">
      <c r="AI13151" s="80"/>
    </row>
    <row r="13152">
      <c r="AI13152" s="80"/>
    </row>
    <row r="13153">
      <c r="AI13153" s="80"/>
    </row>
    <row r="13154">
      <c r="AI13154" s="80"/>
    </row>
    <row r="13155">
      <c r="AI13155" s="80"/>
    </row>
    <row r="13156">
      <c r="AI13156" s="80"/>
    </row>
    <row r="13157">
      <c r="AI13157" s="80"/>
    </row>
    <row r="13158">
      <c r="AI13158" s="80"/>
    </row>
    <row r="13159">
      <c r="AI13159" s="80"/>
    </row>
    <row r="13160">
      <c r="AI13160" s="80"/>
    </row>
    <row r="13161">
      <c r="AI13161" s="80"/>
    </row>
    <row r="13162">
      <c r="AI13162" s="80"/>
    </row>
    <row r="13163">
      <c r="AI13163" s="80"/>
    </row>
    <row r="13164">
      <c r="AI13164" s="80"/>
    </row>
    <row r="13165">
      <c r="AI13165" s="80"/>
    </row>
    <row r="13166">
      <c r="AI13166" s="80"/>
    </row>
    <row r="13167">
      <c r="AI13167" s="80"/>
    </row>
    <row r="13168">
      <c r="AI13168" s="80"/>
    </row>
    <row r="13169">
      <c r="AI13169" s="80"/>
    </row>
    <row r="13170">
      <c r="AI13170" s="80"/>
    </row>
    <row r="13171">
      <c r="AI13171" s="80"/>
    </row>
    <row r="13172">
      <c r="AI13172" s="80"/>
    </row>
    <row r="13173">
      <c r="AI13173" s="80"/>
    </row>
    <row r="13174">
      <c r="AI13174" s="80"/>
    </row>
    <row r="13175">
      <c r="AI13175" s="80"/>
    </row>
    <row r="13176">
      <c r="AI13176" s="80"/>
    </row>
    <row r="13177">
      <c r="AI13177" s="80"/>
    </row>
    <row r="13178">
      <c r="AI13178" s="80"/>
    </row>
    <row r="13179">
      <c r="AI13179" s="80"/>
    </row>
    <row r="13180">
      <c r="AI13180" s="80"/>
    </row>
    <row r="13181">
      <c r="AI13181" s="80"/>
    </row>
    <row r="13182">
      <c r="AI13182" s="80"/>
    </row>
    <row r="13183">
      <c r="AI13183" s="80"/>
    </row>
    <row r="13184">
      <c r="AI13184" s="80"/>
    </row>
    <row r="13185">
      <c r="AI13185" s="80"/>
    </row>
    <row r="13186">
      <c r="AI13186" s="80"/>
    </row>
    <row r="13187">
      <c r="AI13187" s="80"/>
    </row>
    <row r="13188">
      <c r="AI13188" s="80"/>
    </row>
    <row r="13189">
      <c r="AI13189" s="80"/>
    </row>
    <row r="13190">
      <c r="AI13190" s="80"/>
    </row>
    <row r="13191">
      <c r="AI13191" s="80"/>
    </row>
    <row r="13192">
      <c r="AI13192" s="80"/>
    </row>
    <row r="13193">
      <c r="AI13193" s="80"/>
    </row>
    <row r="13194">
      <c r="AI13194" s="80"/>
    </row>
    <row r="13195">
      <c r="AI13195" s="80"/>
    </row>
    <row r="13196">
      <c r="AI13196" s="80"/>
    </row>
    <row r="13197">
      <c r="AI13197" s="80"/>
    </row>
    <row r="13198">
      <c r="AI13198" s="80"/>
    </row>
    <row r="13199">
      <c r="AI13199" s="80"/>
    </row>
    <row r="13200">
      <c r="AI13200" s="80"/>
    </row>
    <row r="13201">
      <c r="AI13201" s="80"/>
    </row>
    <row r="13202">
      <c r="AI13202" s="80"/>
    </row>
    <row r="13203">
      <c r="AI13203" s="80"/>
    </row>
    <row r="13204">
      <c r="AI13204" s="80"/>
    </row>
    <row r="13205">
      <c r="AI13205" s="80"/>
    </row>
    <row r="13206">
      <c r="AI13206" s="80"/>
    </row>
    <row r="13207">
      <c r="AI13207" s="80"/>
    </row>
    <row r="13208">
      <c r="AI13208" s="80"/>
    </row>
    <row r="13209">
      <c r="AI13209" s="80"/>
    </row>
    <row r="13210">
      <c r="AI13210" s="80"/>
    </row>
    <row r="13211">
      <c r="AI13211" s="80"/>
    </row>
    <row r="13212">
      <c r="AI13212" s="80"/>
    </row>
    <row r="13213">
      <c r="AI13213" s="80"/>
    </row>
    <row r="13214">
      <c r="AI13214" s="80"/>
    </row>
    <row r="13215">
      <c r="AI13215" s="80"/>
    </row>
    <row r="13216">
      <c r="AI13216" s="80"/>
    </row>
    <row r="13217">
      <c r="AI13217" s="80"/>
    </row>
    <row r="13218">
      <c r="AI13218" s="80"/>
    </row>
    <row r="13219">
      <c r="AI13219" s="80"/>
    </row>
    <row r="13220">
      <c r="AI13220" s="80"/>
    </row>
    <row r="13221">
      <c r="AI13221" s="80"/>
    </row>
    <row r="13222">
      <c r="AI13222" s="80"/>
    </row>
    <row r="13223">
      <c r="AI13223" s="80"/>
    </row>
    <row r="13224">
      <c r="AI13224" s="80"/>
    </row>
    <row r="13225">
      <c r="AI13225" s="80"/>
    </row>
    <row r="13226">
      <c r="AI13226" s="80"/>
    </row>
    <row r="13227">
      <c r="AI13227" s="80"/>
    </row>
    <row r="13228">
      <c r="AI13228" s="80"/>
    </row>
    <row r="13229">
      <c r="AI13229" s="80"/>
    </row>
    <row r="13230">
      <c r="AI13230" s="80"/>
    </row>
    <row r="13231">
      <c r="AI13231" s="80"/>
    </row>
    <row r="13232">
      <c r="AI13232" s="80"/>
    </row>
    <row r="13233">
      <c r="AI13233" s="80"/>
    </row>
    <row r="13234">
      <c r="AI13234" s="80"/>
    </row>
    <row r="13235">
      <c r="AI13235" s="80"/>
    </row>
    <row r="13236">
      <c r="AI13236" s="80"/>
    </row>
    <row r="13237">
      <c r="AI13237" s="80"/>
    </row>
    <row r="13238">
      <c r="AI13238" s="80"/>
    </row>
    <row r="13239">
      <c r="AI13239" s="80"/>
    </row>
    <row r="13240">
      <c r="AI13240" s="80"/>
    </row>
    <row r="13241">
      <c r="AI13241" s="80"/>
    </row>
    <row r="13242">
      <c r="AI13242" s="80"/>
    </row>
    <row r="13243">
      <c r="AI13243" s="80"/>
    </row>
    <row r="13244">
      <c r="AI13244" s="80"/>
    </row>
    <row r="13245">
      <c r="AI13245" s="80"/>
    </row>
    <row r="13246">
      <c r="AI13246" s="80"/>
    </row>
    <row r="13247">
      <c r="AI13247" s="80"/>
    </row>
    <row r="13248">
      <c r="AI13248" s="80"/>
    </row>
    <row r="13249">
      <c r="AI13249" s="80"/>
    </row>
    <row r="13250">
      <c r="AI13250" s="80"/>
    </row>
    <row r="13251">
      <c r="AI13251" s="80"/>
    </row>
    <row r="13252">
      <c r="AI13252" s="80"/>
    </row>
    <row r="13253">
      <c r="AI13253" s="80"/>
    </row>
    <row r="13254">
      <c r="AI13254" s="80"/>
    </row>
    <row r="13255">
      <c r="AI13255" s="80"/>
    </row>
    <row r="13256">
      <c r="AI13256" s="80"/>
    </row>
    <row r="13257">
      <c r="AI13257" s="80"/>
    </row>
    <row r="13258">
      <c r="AI13258" s="80"/>
    </row>
    <row r="13259">
      <c r="AI13259" s="80"/>
    </row>
    <row r="13260">
      <c r="AI13260" s="80"/>
    </row>
    <row r="13261">
      <c r="AI13261" s="80"/>
    </row>
    <row r="13262">
      <c r="AI13262" s="80"/>
    </row>
    <row r="13263">
      <c r="AI13263" s="80"/>
    </row>
    <row r="13264">
      <c r="AI13264" s="80"/>
    </row>
    <row r="13265">
      <c r="AI13265" s="80"/>
    </row>
    <row r="13266">
      <c r="AI13266" s="80"/>
    </row>
    <row r="13267">
      <c r="AI13267" s="80"/>
    </row>
    <row r="13268">
      <c r="AI13268" s="80"/>
    </row>
    <row r="13269">
      <c r="AI13269" s="80"/>
    </row>
    <row r="13270">
      <c r="AI13270" s="80"/>
    </row>
    <row r="13271">
      <c r="AI13271" s="80"/>
    </row>
    <row r="13272">
      <c r="AI13272" s="80"/>
    </row>
    <row r="13273">
      <c r="AI13273" s="80"/>
    </row>
    <row r="13274">
      <c r="AI13274" s="80"/>
    </row>
    <row r="13275">
      <c r="AI13275" s="80"/>
    </row>
    <row r="13276">
      <c r="AI13276" s="80"/>
    </row>
    <row r="13277">
      <c r="AI13277" s="80"/>
    </row>
    <row r="13278">
      <c r="AI13278" s="80"/>
    </row>
    <row r="13279">
      <c r="AI13279" s="80"/>
    </row>
    <row r="13280">
      <c r="AI13280" s="80"/>
    </row>
    <row r="13281">
      <c r="AI13281" s="80"/>
    </row>
    <row r="13282">
      <c r="AI13282" s="80"/>
    </row>
    <row r="13283">
      <c r="AI13283" s="80"/>
    </row>
    <row r="13284">
      <c r="AI13284" s="80"/>
    </row>
    <row r="13285">
      <c r="AI13285" s="80"/>
    </row>
    <row r="13286">
      <c r="AI13286" s="80"/>
    </row>
    <row r="13287">
      <c r="AI13287" s="80"/>
    </row>
    <row r="13288">
      <c r="AI13288" s="80"/>
    </row>
    <row r="13289">
      <c r="AI13289" s="80"/>
    </row>
    <row r="13290">
      <c r="AI13290" s="80"/>
    </row>
    <row r="13291">
      <c r="AI13291" s="80"/>
    </row>
    <row r="13292">
      <c r="AI13292" s="80"/>
    </row>
    <row r="13293">
      <c r="AI13293" s="80"/>
    </row>
    <row r="13294">
      <c r="AI13294" s="80"/>
    </row>
    <row r="13295">
      <c r="AI13295" s="80"/>
    </row>
    <row r="13296">
      <c r="AI13296" s="80"/>
    </row>
    <row r="13297">
      <c r="AI13297" s="80"/>
    </row>
    <row r="13298">
      <c r="AI13298" s="80"/>
    </row>
    <row r="13299">
      <c r="AI13299" s="80"/>
    </row>
    <row r="13300">
      <c r="AI13300" s="80"/>
    </row>
    <row r="13301">
      <c r="AI13301" s="80"/>
    </row>
    <row r="13302">
      <c r="AI13302" s="80"/>
    </row>
    <row r="13303">
      <c r="AI13303" s="80"/>
    </row>
    <row r="13304">
      <c r="AI13304" s="80"/>
    </row>
    <row r="13305">
      <c r="AI13305" s="80"/>
    </row>
    <row r="13306">
      <c r="AI13306" s="80"/>
    </row>
    <row r="13307">
      <c r="AI13307" s="80"/>
    </row>
    <row r="13308">
      <c r="AI13308" s="80"/>
    </row>
    <row r="13309">
      <c r="AI13309" s="80"/>
    </row>
    <row r="13310">
      <c r="AI13310" s="80"/>
    </row>
    <row r="13311">
      <c r="AI13311" s="80"/>
    </row>
    <row r="13312">
      <c r="AI13312" s="80"/>
    </row>
    <row r="13313">
      <c r="AI13313" s="80"/>
    </row>
    <row r="13314">
      <c r="AI13314" s="80"/>
    </row>
    <row r="13315">
      <c r="AI13315" s="80"/>
    </row>
    <row r="13316">
      <c r="AI13316" s="80"/>
    </row>
    <row r="13317">
      <c r="AI13317" s="80"/>
    </row>
    <row r="13318">
      <c r="AI13318" s="80"/>
    </row>
    <row r="13319">
      <c r="AI13319" s="80"/>
    </row>
    <row r="13320">
      <c r="AI13320" s="80"/>
    </row>
    <row r="13321">
      <c r="AI13321" s="80"/>
    </row>
    <row r="13322">
      <c r="AI13322" s="80"/>
    </row>
    <row r="13323">
      <c r="AI13323" s="80"/>
    </row>
    <row r="13324">
      <c r="AI13324" s="80"/>
    </row>
    <row r="13325">
      <c r="AI13325" s="80"/>
    </row>
    <row r="13326">
      <c r="AI13326" s="80"/>
    </row>
    <row r="13327">
      <c r="AI13327" s="80"/>
    </row>
    <row r="13328">
      <c r="AI13328" s="80"/>
    </row>
    <row r="13329">
      <c r="AI13329" s="80"/>
    </row>
    <row r="13330">
      <c r="AI13330" s="80"/>
    </row>
    <row r="13331">
      <c r="AI13331" s="80"/>
    </row>
    <row r="13332">
      <c r="AI13332" s="80"/>
    </row>
    <row r="13333">
      <c r="AI13333" s="80"/>
    </row>
    <row r="13334">
      <c r="AI13334" s="80"/>
    </row>
    <row r="13335">
      <c r="AI13335" s="80"/>
    </row>
    <row r="13336">
      <c r="AI13336" s="80"/>
    </row>
    <row r="13337">
      <c r="AI13337" s="80"/>
    </row>
    <row r="13338">
      <c r="AI13338" s="80"/>
    </row>
    <row r="13339">
      <c r="AI13339" s="80"/>
    </row>
    <row r="13340">
      <c r="AI13340" s="80"/>
    </row>
    <row r="13341">
      <c r="AI13341" s="80"/>
    </row>
    <row r="13342">
      <c r="AI13342" s="80"/>
    </row>
    <row r="13343">
      <c r="AI13343" s="80"/>
    </row>
    <row r="13344">
      <c r="AI13344" s="80"/>
    </row>
    <row r="13345">
      <c r="AI13345" s="80"/>
    </row>
    <row r="13346">
      <c r="AI13346" s="80"/>
    </row>
    <row r="13347">
      <c r="AI13347" s="80"/>
    </row>
    <row r="13348">
      <c r="AI13348" s="80"/>
    </row>
    <row r="13349">
      <c r="AI13349" s="80"/>
    </row>
    <row r="13350">
      <c r="AI13350" s="80"/>
    </row>
    <row r="13351">
      <c r="AI13351" s="80"/>
    </row>
    <row r="13352">
      <c r="AI13352" s="80"/>
    </row>
    <row r="13353">
      <c r="AI13353" s="80"/>
    </row>
    <row r="13354">
      <c r="AI13354" s="80"/>
    </row>
    <row r="13355">
      <c r="AI13355" s="80"/>
    </row>
    <row r="13356">
      <c r="AI13356" s="80"/>
    </row>
    <row r="13357">
      <c r="AI13357" s="80"/>
    </row>
    <row r="13358">
      <c r="AI13358" s="80"/>
    </row>
    <row r="13359">
      <c r="AI13359" s="80"/>
    </row>
    <row r="13360">
      <c r="AI13360" s="80"/>
    </row>
    <row r="13361">
      <c r="AI13361" s="80"/>
    </row>
    <row r="13362">
      <c r="AI13362" s="80"/>
    </row>
    <row r="13363">
      <c r="AI13363" s="80"/>
    </row>
    <row r="13364">
      <c r="AI13364" s="80"/>
    </row>
    <row r="13365">
      <c r="AI13365" s="80"/>
    </row>
    <row r="13366">
      <c r="AI13366" s="80"/>
    </row>
    <row r="13367">
      <c r="AI13367" s="80"/>
    </row>
    <row r="13368">
      <c r="AI13368" s="80"/>
    </row>
    <row r="13369">
      <c r="AI13369" s="80"/>
    </row>
    <row r="13370">
      <c r="AI13370" s="80"/>
    </row>
    <row r="13371">
      <c r="AI13371" s="80"/>
    </row>
    <row r="13372">
      <c r="AI13372" s="80"/>
    </row>
    <row r="13373">
      <c r="AI13373" s="80"/>
    </row>
    <row r="13374">
      <c r="AI13374" s="80"/>
    </row>
    <row r="13375">
      <c r="AI13375" s="80"/>
    </row>
    <row r="13376">
      <c r="AI13376" s="80"/>
    </row>
    <row r="13377">
      <c r="AI13377" s="80"/>
    </row>
    <row r="13378">
      <c r="AI13378" s="80"/>
    </row>
    <row r="13379">
      <c r="AI13379" s="80"/>
    </row>
    <row r="13380">
      <c r="AI13380" s="80"/>
    </row>
    <row r="13381">
      <c r="AI13381" s="80"/>
    </row>
    <row r="13382">
      <c r="AI13382" s="80"/>
    </row>
    <row r="13383">
      <c r="AI13383" s="80"/>
    </row>
    <row r="13384">
      <c r="AI13384" s="80"/>
    </row>
    <row r="13385">
      <c r="AI13385" s="80"/>
    </row>
    <row r="13386">
      <c r="AI13386" s="80"/>
    </row>
    <row r="13387">
      <c r="AI13387" s="80"/>
    </row>
    <row r="13388">
      <c r="AI13388" s="80"/>
    </row>
    <row r="13389">
      <c r="AI13389" s="80"/>
    </row>
    <row r="13390">
      <c r="AI13390" s="80"/>
    </row>
    <row r="13391">
      <c r="AI13391" s="80"/>
    </row>
    <row r="13392">
      <c r="AI13392" s="80"/>
    </row>
    <row r="13393">
      <c r="AI13393" s="80"/>
    </row>
    <row r="13394">
      <c r="AI13394" s="80"/>
    </row>
    <row r="13395">
      <c r="AI13395" s="80"/>
    </row>
    <row r="13396">
      <c r="AI13396" s="80"/>
    </row>
    <row r="13397">
      <c r="AI13397" s="80"/>
    </row>
    <row r="13398">
      <c r="AI13398" s="80"/>
    </row>
    <row r="13399">
      <c r="AI13399" s="80"/>
    </row>
    <row r="13400">
      <c r="AI13400" s="80"/>
    </row>
    <row r="13401">
      <c r="AI13401" s="80"/>
    </row>
    <row r="13402">
      <c r="AI13402" s="80"/>
    </row>
    <row r="13403">
      <c r="AI13403" s="80"/>
    </row>
    <row r="13404">
      <c r="AI13404" s="80"/>
    </row>
    <row r="13405">
      <c r="AI13405" s="80"/>
    </row>
    <row r="13406">
      <c r="AI13406" s="80"/>
    </row>
    <row r="13407">
      <c r="AI13407" s="80"/>
    </row>
    <row r="13408">
      <c r="AI13408" s="80"/>
    </row>
    <row r="13409">
      <c r="AI13409" s="80"/>
    </row>
    <row r="13410">
      <c r="AI13410" s="80"/>
    </row>
    <row r="13411">
      <c r="AI13411" s="80"/>
    </row>
    <row r="13412">
      <c r="AI13412" s="80"/>
    </row>
    <row r="13413">
      <c r="AI13413" s="80"/>
    </row>
    <row r="13414">
      <c r="AI13414" s="80"/>
    </row>
    <row r="13415">
      <c r="AI13415" s="80"/>
    </row>
    <row r="13416">
      <c r="AI13416" s="80"/>
    </row>
    <row r="13417">
      <c r="AI13417" s="80"/>
    </row>
    <row r="13418">
      <c r="AI13418" s="80"/>
    </row>
    <row r="13419">
      <c r="AI13419" s="80"/>
    </row>
    <row r="13420">
      <c r="AI13420" s="80"/>
    </row>
    <row r="13421">
      <c r="AI13421" s="80"/>
    </row>
    <row r="13422">
      <c r="AI13422" s="80"/>
    </row>
    <row r="13423">
      <c r="AI13423" s="80"/>
    </row>
    <row r="13424">
      <c r="AI13424" s="80"/>
    </row>
    <row r="13425">
      <c r="AI13425" s="80"/>
    </row>
    <row r="13426">
      <c r="AI13426" s="80"/>
    </row>
    <row r="13427">
      <c r="AI13427" s="80"/>
    </row>
    <row r="13428">
      <c r="AI13428" s="80"/>
    </row>
    <row r="13429">
      <c r="AI13429" s="80"/>
    </row>
    <row r="13430">
      <c r="AI13430" s="80"/>
    </row>
    <row r="13431">
      <c r="AI13431" s="80"/>
    </row>
    <row r="13432">
      <c r="AI13432" s="80"/>
    </row>
    <row r="13433">
      <c r="AI13433" s="80"/>
    </row>
    <row r="13434">
      <c r="AI13434" s="80"/>
    </row>
    <row r="13435">
      <c r="AI13435" s="80"/>
    </row>
    <row r="13436">
      <c r="AI13436" s="80"/>
    </row>
    <row r="13437">
      <c r="AI13437" s="80"/>
    </row>
    <row r="13438">
      <c r="AI13438" s="80"/>
    </row>
    <row r="13439">
      <c r="AI13439" s="80"/>
    </row>
    <row r="13440">
      <c r="AI13440" s="80"/>
    </row>
    <row r="13441">
      <c r="AI13441" s="80"/>
    </row>
    <row r="13442">
      <c r="AI13442" s="80"/>
    </row>
    <row r="13443">
      <c r="AI13443" s="80"/>
    </row>
    <row r="13444">
      <c r="AI13444" s="80"/>
    </row>
    <row r="13445">
      <c r="AI13445" s="80"/>
    </row>
    <row r="13446">
      <c r="AI13446" s="80"/>
    </row>
    <row r="13447">
      <c r="AI13447" s="80"/>
    </row>
    <row r="13448">
      <c r="AI13448" s="80"/>
    </row>
    <row r="13449">
      <c r="AI13449" s="80"/>
    </row>
    <row r="13450">
      <c r="AI13450" s="80"/>
    </row>
    <row r="13451">
      <c r="AI13451" s="80"/>
    </row>
    <row r="13452">
      <c r="AI13452" s="80"/>
    </row>
    <row r="13453">
      <c r="AI13453" s="80"/>
    </row>
    <row r="13454">
      <c r="AI13454" s="80"/>
    </row>
    <row r="13455">
      <c r="AI13455" s="80"/>
    </row>
    <row r="13456">
      <c r="AI13456" s="80"/>
    </row>
    <row r="13457">
      <c r="AI13457" s="80"/>
    </row>
    <row r="13458">
      <c r="AI13458" s="80"/>
    </row>
    <row r="13459">
      <c r="AI13459" s="80"/>
    </row>
    <row r="13460">
      <c r="AI13460" s="80"/>
    </row>
    <row r="13461">
      <c r="AI13461" s="80"/>
    </row>
    <row r="13462">
      <c r="AI13462" s="80"/>
    </row>
    <row r="13463">
      <c r="AI13463" s="80"/>
    </row>
    <row r="13464">
      <c r="AI13464" s="80"/>
    </row>
    <row r="13465">
      <c r="AI13465" s="80"/>
    </row>
    <row r="13466">
      <c r="AI13466" s="80"/>
    </row>
    <row r="13467">
      <c r="AI13467" s="80"/>
    </row>
    <row r="13468">
      <c r="AI13468" s="80"/>
    </row>
    <row r="13469">
      <c r="AI13469" s="80"/>
    </row>
    <row r="13470">
      <c r="AI13470" s="80"/>
    </row>
    <row r="13471">
      <c r="AI13471" s="80"/>
    </row>
    <row r="13472">
      <c r="AI13472" s="80"/>
    </row>
    <row r="13473">
      <c r="AI13473" s="80"/>
    </row>
    <row r="13474">
      <c r="AI13474" s="80"/>
    </row>
    <row r="13475">
      <c r="AI13475" s="80"/>
    </row>
    <row r="13476">
      <c r="AI13476" s="80"/>
    </row>
    <row r="13477">
      <c r="AI13477" s="80"/>
    </row>
    <row r="13478">
      <c r="AI13478" s="80"/>
    </row>
    <row r="13479">
      <c r="AI13479" s="80"/>
    </row>
    <row r="13480">
      <c r="AI13480" s="80"/>
    </row>
    <row r="13481">
      <c r="AI13481" s="80"/>
    </row>
    <row r="13482">
      <c r="AI13482" s="80"/>
    </row>
    <row r="13483">
      <c r="AI13483" s="80"/>
    </row>
    <row r="13484">
      <c r="AI13484" s="80"/>
    </row>
    <row r="13485">
      <c r="AI13485" s="80"/>
    </row>
    <row r="13486">
      <c r="AI13486" s="80"/>
    </row>
    <row r="13487">
      <c r="AI13487" s="80"/>
    </row>
    <row r="13488">
      <c r="AI13488" s="80"/>
    </row>
    <row r="13489">
      <c r="AI13489" s="80"/>
    </row>
    <row r="13490">
      <c r="AI13490" s="80"/>
    </row>
    <row r="13491">
      <c r="AI13491" s="80"/>
    </row>
    <row r="13492">
      <c r="AI13492" s="80"/>
    </row>
    <row r="13493">
      <c r="AI13493" s="80"/>
    </row>
    <row r="13494">
      <c r="AI13494" s="80"/>
    </row>
    <row r="13495">
      <c r="AI13495" s="80"/>
    </row>
    <row r="13496">
      <c r="AI13496" s="80"/>
    </row>
    <row r="13497">
      <c r="AI13497" s="80"/>
    </row>
    <row r="13498">
      <c r="AI13498" s="80"/>
    </row>
    <row r="13499">
      <c r="AI13499" s="80"/>
    </row>
    <row r="13500">
      <c r="AI13500" s="80"/>
    </row>
    <row r="13501">
      <c r="AI13501" s="80"/>
    </row>
    <row r="13502">
      <c r="AI13502" s="80"/>
    </row>
    <row r="13503">
      <c r="AI13503" s="80"/>
    </row>
    <row r="13504">
      <c r="AI13504" s="80"/>
    </row>
    <row r="13505">
      <c r="AI13505" s="80"/>
    </row>
    <row r="13506">
      <c r="AI13506" s="80"/>
    </row>
    <row r="13507">
      <c r="AI13507" s="80"/>
    </row>
    <row r="13508">
      <c r="AI13508" s="80"/>
    </row>
    <row r="13509">
      <c r="AI13509" s="80"/>
    </row>
    <row r="13510">
      <c r="AI13510" s="80"/>
    </row>
    <row r="13511">
      <c r="AI13511" s="80"/>
    </row>
    <row r="13512">
      <c r="AI13512" s="80"/>
    </row>
    <row r="13513">
      <c r="AI13513" s="80"/>
    </row>
    <row r="13514">
      <c r="AI13514" s="80"/>
    </row>
    <row r="13515">
      <c r="AI13515" s="80"/>
    </row>
    <row r="13516">
      <c r="AI13516" s="80"/>
    </row>
    <row r="13517">
      <c r="AI13517" s="80"/>
    </row>
    <row r="13518">
      <c r="AI13518" s="80"/>
    </row>
    <row r="13519">
      <c r="AI13519" s="80"/>
    </row>
    <row r="13520">
      <c r="AI13520" s="80"/>
    </row>
    <row r="13521">
      <c r="AI13521" s="80"/>
    </row>
    <row r="13522">
      <c r="AI13522" s="80"/>
    </row>
    <row r="13523">
      <c r="AI13523" s="80"/>
    </row>
    <row r="13524">
      <c r="AI13524" s="80"/>
    </row>
    <row r="13525">
      <c r="AI13525" s="80"/>
    </row>
    <row r="13526">
      <c r="AI13526" s="80"/>
    </row>
    <row r="13527">
      <c r="AI13527" s="80"/>
    </row>
    <row r="13528">
      <c r="AI13528" s="80"/>
    </row>
    <row r="13529">
      <c r="AI13529" s="80"/>
    </row>
    <row r="13530">
      <c r="AI13530" s="80"/>
    </row>
    <row r="13531">
      <c r="AI13531" s="80"/>
    </row>
    <row r="13532">
      <c r="AI13532" s="80"/>
    </row>
    <row r="13533">
      <c r="AI13533" s="80"/>
    </row>
    <row r="13534">
      <c r="AI13534" s="80"/>
    </row>
    <row r="13535">
      <c r="AI13535" s="80"/>
    </row>
    <row r="13536">
      <c r="AI13536" s="80"/>
    </row>
    <row r="13537">
      <c r="AI13537" s="80"/>
    </row>
    <row r="13538">
      <c r="AI13538" s="80"/>
    </row>
    <row r="13539">
      <c r="AI13539" s="80"/>
    </row>
    <row r="13540">
      <c r="AI13540" s="80"/>
    </row>
    <row r="13541">
      <c r="AI13541" s="80"/>
    </row>
    <row r="13542">
      <c r="AI13542" s="80"/>
    </row>
    <row r="13543">
      <c r="AI13543" s="80"/>
    </row>
    <row r="13544">
      <c r="AI13544" s="80"/>
    </row>
    <row r="13545">
      <c r="AI13545" s="80"/>
    </row>
    <row r="13546">
      <c r="AI13546" s="80"/>
    </row>
    <row r="13547">
      <c r="AI13547" s="80"/>
    </row>
    <row r="13548">
      <c r="AI13548" s="80"/>
    </row>
    <row r="13549">
      <c r="AI13549" s="80"/>
    </row>
    <row r="13550">
      <c r="AI13550" s="80"/>
    </row>
    <row r="13551">
      <c r="AI13551" s="80"/>
    </row>
    <row r="13552">
      <c r="AI13552" s="80"/>
    </row>
    <row r="13553">
      <c r="AI13553" s="80"/>
    </row>
    <row r="13554">
      <c r="AI13554" s="80"/>
    </row>
    <row r="13555">
      <c r="AI13555" s="80"/>
    </row>
    <row r="13556">
      <c r="AI13556" s="80"/>
    </row>
    <row r="13557">
      <c r="AI13557" s="80"/>
    </row>
    <row r="13558">
      <c r="AI13558" s="80"/>
    </row>
    <row r="13559">
      <c r="AI13559" s="80"/>
    </row>
    <row r="13560">
      <c r="AI13560" s="80"/>
    </row>
    <row r="13561">
      <c r="AI13561" s="80"/>
    </row>
    <row r="13562">
      <c r="AI13562" s="80"/>
    </row>
    <row r="13563">
      <c r="AI13563" s="80"/>
    </row>
    <row r="13564">
      <c r="AI13564" s="80"/>
    </row>
    <row r="13565">
      <c r="AI13565" s="80"/>
    </row>
    <row r="13566">
      <c r="AI13566" s="80"/>
    </row>
    <row r="13567">
      <c r="AI13567" s="80"/>
    </row>
    <row r="13568">
      <c r="AI13568" s="80"/>
    </row>
    <row r="13569">
      <c r="AI13569" s="80"/>
    </row>
    <row r="13570">
      <c r="AI13570" s="80"/>
    </row>
    <row r="13571">
      <c r="AI13571" s="80"/>
    </row>
    <row r="13572">
      <c r="AI13572" s="80"/>
    </row>
    <row r="13573">
      <c r="AI13573" s="80"/>
    </row>
    <row r="13574">
      <c r="AI13574" s="80"/>
    </row>
    <row r="13575">
      <c r="AI13575" s="80"/>
    </row>
    <row r="13576">
      <c r="AI13576" s="80"/>
    </row>
    <row r="13577">
      <c r="AI13577" s="80"/>
    </row>
    <row r="13578">
      <c r="AI13578" s="80"/>
    </row>
    <row r="13579">
      <c r="AI13579" s="80"/>
    </row>
    <row r="13580">
      <c r="AI13580" s="80"/>
    </row>
    <row r="13581">
      <c r="AI13581" s="80"/>
    </row>
    <row r="13582">
      <c r="AI13582" s="80"/>
    </row>
    <row r="13583">
      <c r="AI13583" s="80"/>
    </row>
    <row r="13584">
      <c r="AI13584" s="80"/>
    </row>
    <row r="13585">
      <c r="AI13585" s="80"/>
    </row>
    <row r="13586">
      <c r="AI13586" s="80"/>
    </row>
    <row r="13587">
      <c r="AI13587" s="80"/>
    </row>
    <row r="13588">
      <c r="AI13588" s="80"/>
    </row>
    <row r="13589">
      <c r="AI13589" s="80"/>
    </row>
    <row r="13590">
      <c r="AI13590" s="80"/>
    </row>
    <row r="13591">
      <c r="AI13591" s="80"/>
    </row>
    <row r="13592">
      <c r="AI13592" s="80"/>
    </row>
    <row r="13593">
      <c r="AI13593" s="80"/>
    </row>
    <row r="13594">
      <c r="AI13594" s="80"/>
    </row>
    <row r="13595">
      <c r="AI13595" s="80"/>
    </row>
    <row r="13596">
      <c r="AI13596" s="80"/>
    </row>
    <row r="13597">
      <c r="AI13597" s="80"/>
    </row>
    <row r="13598">
      <c r="AI13598" s="80"/>
    </row>
    <row r="13599">
      <c r="AI13599" s="80"/>
    </row>
    <row r="13600">
      <c r="AI13600" s="80"/>
    </row>
    <row r="13601">
      <c r="AI13601" s="80"/>
    </row>
    <row r="13602">
      <c r="AI13602" s="80"/>
    </row>
    <row r="13603">
      <c r="AI13603" s="80"/>
    </row>
    <row r="13604">
      <c r="AI13604" s="80"/>
    </row>
    <row r="13605">
      <c r="AI13605" s="80"/>
    </row>
    <row r="13606">
      <c r="AI13606" s="80"/>
    </row>
    <row r="13607">
      <c r="AI13607" s="80"/>
    </row>
    <row r="13608">
      <c r="AI13608" s="80"/>
    </row>
    <row r="13609">
      <c r="AI13609" s="80"/>
    </row>
    <row r="13610">
      <c r="AI13610" s="80"/>
    </row>
    <row r="13611">
      <c r="AI13611" s="80"/>
    </row>
    <row r="13612">
      <c r="AI13612" s="80"/>
    </row>
    <row r="13613">
      <c r="AI13613" s="80"/>
    </row>
    <row r="13614">
      <c r="AI13614" s="80"/>
    </row>
    <row r="13615">
      <c r="AI13615" s="80"/>
    </row>
    <row r="13616">
      <c r="AI13616" s="80"/>
    </row>
    <row r="13617">
      <c r="AI13617" s="80"/>
    </row>
    <row r="13618">
      <c r="AI13618" s="80"/>
    </row>
    <row r="13619">
      <c r="AI13619" s="80"/>
    </row>
    <row r="13620">
      <c r="AI13620" s="80"/>
    </row>
    <row r="13621">
      <c r="AI13621" s="80"/>
    </row>
    <row r="13622">
      <c r="AI13622" s="80"/>
    </row>
    <row r="13623">
      <c r="AI13623" s="80"/>
    </row>
    <row r="13624">
      <c r="AI13624" s="80"/>
    </row>
    <row r="13625">
      <c r="AI13625" s="80"/>
    </row>
    <row r="13626">
      <c r="AI13626" s="80"/>
    </row>
    <row r="13627">
      <c r="AI13627" s="80"/>
    </row>
    <row r="13628">
      <c r="AI13628" s="80"/>
    </row>
    <row r="13629">
      <c r="AI13629" s="80"/>
    </row>
    <row r="13630">
      <c r="AI13630" s="80"/>
    </row>
    <row r="13631">
      <c r="AI13631" s="80"/>
    </row>
    <row r="13632">
      <c r="AI13632" s="80"/>
    </row>
    <row r="13633">
      <c r="AI13633" s="80"/>
    </row>
    <row r="13634">
      <c r="AI13634" s="80"/>
    </row>
    <row r="13635">
      <c r="AI13635" s="80"/>
    </row>
    <row r="13636">
      <c r="AI13636" s="80"/>
    </row>
    <row r="13637">
      <c r="AI13637" s="80"/>
    </row>
    <row r="13638">
      <c r="AI13638" s="80"/>
    </row>
    <row r="13639">
      <c r="AI13639" s="80"/>
    </row>
    <row r="13640">
      <c r="AI13640" s="80"/>
    </row>
    <row r="13641">
      <c r="AI13641" s="80"/>
    </row>
    <row r="13642">
      <c r="AI13642" s="80"/>
    </row>
    <row r="13643">
      <c r="AI13643" s="80"/>
    </row>
    <row r="13644">
      <c r="AI13644" s="80"/>
    </row>
    <row r="13645">
      <c r="AI13645" s="80"/>
    </row>
    <row r="13646">
      <c r="AI13646" s="80"/>
    </row>
    <row r="13647">
      <c r="AI13647" s="80"/>
    </row>
    <row r="13648">
      <c r="AI13648" s="80"/>
    </row>
    <row r="13649">
      <c r="AI13649" s="80"/>
    </row>
    <row r="13650">
      <c r="AI13650" s="80"/>
    </row>
    <row r="13651">
      <c r="AI13651" s="80"/>
    </row>
    <row r="13652">
      <c r="AI13652" s="80"/>
    </row>
    <row r="13653">
      <c r="AI13653" s="80"/>
    </row>
    <row r="13654">
      <c r="AI13654" s="80"/>
    </row>
    <row r="13655">
      <c r="AI13655" s="80"/>
    </row>
    <row r="13656">
      <c r="AI13656" s="80"/>
    </row>
    <row r="13657">
      <c r="AI13657" s="80"/>
    </row>
    <row r="13658">
      <c r="AI13658" s="80"/>
    </row>
    <row r="13659">
      <c r="AI13659" s="80"/>
    </row>
    <row r="13660">
      <c r="AI13660" s="80"/>
    </row>
    <row r="13661">
      <c r="AI13661" s="80"/>
    </row>
    <row r="13662">
      <c r="AI13662" s="80"/>
    </row>
    <row r="13663">
      <c r="AI13663" s="80"/>
    </row>
    <row r="13664">
      <c r="AI13664" s="80"/>
    </row>
    <row r="13665">
      <c r="AI13665" s="80"/>
    </row>
    <row r="13666">
      <c r="AI13666" s="80"/>
    </row>
    <row r="13667">
      <c r="AI13667" s="80"/>
    </row>
    <row r="13668">
      <c r="AI13668" s="80"/>
    </row>
    <row r="13669">
      <c r="AI13669" s="80"/>
    </row>
    <row r="13670">
      <c r="AI13670" s="80"/>
    </row>
    <row r="13671">
      <c r="AI13671" s="80"/>
    </row>
    <row r="13672">
      <c r="AI13672" s="80"/>
    </row>
    <row r="13673">
      <c r="AI13673" s="80"/>
    </row>
    <row r="13674">
      <c r="AI13674" s="80"/>
    </row>
    <row r="13675">
      <c r="AI13675" s="80"/>
    </row>
    <row r="13676">
      <c r="AI13676" s="80"/>
    </row>
    <row r="13677">
      <c r="AI13677" s="80"/>
    </row>
    <row r="13678">
      <c r="AI13678" s="80"/>
    </row>
    <row r="13679">
      <c r="AI13679" s="80"/>
    </row>
    <row r="13680">
      <c r="AI13680" s="80"/>
    </row>
    <row r="13681">
      <c r="AI13681" s="80"/>
    </row>
    <row r="13682">
      <c r="AI13682" s="80"/>
    </row>
    <row r="13683">
      <c r="AI13683" s="80"/>
    </row>
    <row r="13684">
      <c r="AI13684" s="80"/>
    </row>
    <row r="13685">
      <c r="AI13685" s="80"/>
    </row>
    <row r="13686">
      <c r="AI13686" s="80"/>
    </row>
    <row r="13687">
      <c r="AI13687" s="80"/>
    </row>
    <row r="13688">
      <c r="AI13688" s="80"/>
    </row>
    <row r="13689">
      <c r="AI13689" s="80"/>
    </row>
    <row r="13690">
      <c r="AI13690" s="80"/>
    </row>
    <row r="13691">
      <c r="AI13691" s="80"/>
    </row>
    <row r="13692">
      <c r="AI13692" s="80"/>
    </row>
    <row r="13693">
      <c r="AI13693" s="80"/>
    </row>
    <row r="13694">
      <c r="AI13694" s="80"/>
    </row>
    <row r="13695">
      <c r="AI13695" s="80"/>
    </row>
    <row r="13696">
      <c r="AI13696" s="80"/>
    </row>
    <row r="13697">
      <c r="AI13697" s="80"/>
    </row>
    <row r="13698">
      <c r="AI13698" s="80"/>
    </row>
    <row r="13699">
      <c r="AI13699" s="80"/>
    </row>
    <row r="13700">
      <c r="AI13700" s="80"/>
    </row>
    <row r="13701">
      <c r="AI13701" s="80"/>
    </row>
    <row r="13702">
      <c r="AI13702" s="80"/>
    </row>
    <row r="13703">
      <c r="AI13703" s="80"/>
    </row>
    <row r="13704">
      <c r="AI13704" s="80"/>
    </row>
    <row r="13705">
      <c r="AI13705" s="80"/>
    </row>
    <row r="13706">
      <c r="AI13706" s="80"/>
    </row>
    <row r="13707">
      <c r="AI13707" s="80"/>
    </row>
    <row r="13708">
      <c r="AI13708" s="80"/>
    </row>
    <row r="13709">
      <c r="AI13709" s="80"/>
    </row>
    <row r="13710">
      <c r="AI13710" s="80"/>
    </row>
    <row r="13711">
      <c r="AI13711" s="80"/>
    </row>
    <row r="13712">
      <c r="AI13712" s="80"/>
    </row>
    <row r="13713">
      <c r="AI13713" s="80"/>
    </row>
    <row r="13714">
      <c r="AI13714" s="80"/>
    </row>
    <row r="13715">
      <c r="AI13715" s="80"/>
    </row>
    <row r="13716">
      <c r="AI13716" s="80"/>
    </row>
    <row r="13717">
      <c r="AI13717" s="80"/>
    </row>
    <row r="13718">
      <c r="AI13718" s="80"/>
    </row>
    <row r="13719">
      <c r="AI13719" s="80"/>
    </row>
    <row r="13720">
      <c r="AI13720" s="80"/>
    </row>
    <row r="13721">
      <c r="AI13721" s="80"/>
    </row>
    <row r="13722">
      <c r="AI13722" s="80"/>
    </row>
    <row r="13723">
      <c r="AI13723" s="80"/>
    </row>
    <row r="13724">
      <c r="AI13724" s="80"/>
    </row>
    <row r="13725">
      <c r="AI13725" s="80"/>
    </row>
    <row r="13726">
      <c r="AI13726" s="80"/>
    </row>
    <row r="13727">
      <c r="AI13727" s="80"/>
    </row>
    <row r="13728">
      <c r="AI13728" s="80"/>
    </row>
    <row r="13729">
      <c r="AI13729" s="80"/>
    </row>
    <row r="13730">
      <c r="AI13730" s="80"/>
    </row>
    <row r="13731">
      <c r="AI13731" s="80"/>
    </row>
    <row r="13732">
      <c r="AI13732" s="80"/>
    </row>
    <row r="13733">
      <c r="AI13733" s="80"/>
    </row>
    <row r="13734">
      <c r="AI13734" s="80"/>
    </row>
    <row r="13735">
      <c r="AI13735" s="80"/>
    </row>
    <row r="13736">
      <c r="AI13736" s="80"/>
    </row>
    <row r="13737">
      <c r="AI13737" s="80"/>
    </row>
    <row r="13738">
      <c r="AI13738" s="80"/>
    </row>
    <row r="13739">
      <c r="AI13739" s="80"/>
    </row>
    <row r="13740">
      <c r="AI13740" s="80"/>
    </row>
    <row r="13741">
      <c r="AI13741" s="80"/>
    </row>
    <row r="13742">
      <c r="AI13742" s="80"/>
    </row>
    <row r="13743">
      <c r="AI13743" s="80"/>
    </row>
    <row r="13744">
      <c r="AI13744" s="80"/>
    </row>
    <row r="13745">
      <c r="AI13745" s="80"/>
    </row>
    <row r="13746">
      <c r="AI13746" s="80"/>
    </row>
    <row r="13747">
      <c r="AI13747" s="80"/>
    </row>
    <row r="13748">
      <c r="AI13748" s="80"/>
    </row>
    <row r="13749">
      <c r="AI13749" s="80"/>
    </row>
    <row r="13750">
      <c r="AI13750" s="80"/>
    </row>
    <row r="13751">
      <c r="AI13751" s="80"/>
    </row>
    <row r="13752">
      <c r="AI13752" s="80"/>
    </row>
    <row r="13753">
      <c r="AI13753" s="80"/>
    </row>
    <row r="13754">
      <c r="AI13754" s="80"/>
    </row>
    <row r="13755">
      <c r="AI13755" s="80"/>
    </row>
    <row r="13756">
      <c r="AI13756" s="80"/>
    </row>
    <row r="13757">
      <c r="AI13757" s="80"/>
    </row>
    <row r="13758">
      <c r="AI13758" s="80"/>
    </row>
    <row r="13759">
      <c r="AI13759" s="80"/>
    </row>
    <row r="13760">
      <c r="AI13760" s="80"/>
    </row>
    <row r="13761">
      <c r="AI13761" s="80"/>
    </row>
    <row r="13762">
      <c r="AI13762" s="80"/>
    </row>
    <row r="13763">
      <c r="AI13763" s="80"/>
    </row>
    <row r="13764">
      <c r="AI13764" s="80"/>
    </row>
    <row r="13765">
      <c r="AI13765" s="80"/>
    </row>
    <row r="13766">
      <c r="AI13766" s="80"/>
    </row>
    <row r="13767">
      <c r="AI13767" s="80"/>
    </row>
    <row r="13768">
      <c r="AI13768" s="80"/>
    </row>
    <row r="13769">
      <c r="AI13769" s="80"/>
    </row>
    <row r="13770">
      <c r="AI13770" s="80"/>
    </row>
    <row r="13771">
      <c r="AI13771" s="80"/>
    </row>
    <row r="13772">
      <c r="AI13772" s="80"/>
    </row>
    <row r="13773">
      <c r="AI13773" s="80"/>
    </row>
    <row r="13774">
      <c r="AI13774" s="80"/>
    </row>
    <row r="13775">
      <c r="AI13775" s="80"/>
    </row>
    <row r="13776">
      <c r="AI13776" s="80"/>
    </row>
    <row r="13777">
      <c r="AI13777" s="80"/>
    </row>
    <row r="13778">
      <c r="AI13778" s="80"/>
    </row>
    <row r="13779">
      <c r="AI13779" s="80"/>
    </row>
    <row r="13780">
      <c r="AI13780" s="80"/>
    </row>
    <row r="13781">
      <c r="AI13781" s="80"/>
    </row>
    <row r="13782">
      <c r="AI13782" s="80"/>
    </row>
    <row r="13783">
      <c r="AI13783" s="80"/>
    </row>
    <row r="13784">
      <c r="AI13784" s="80"/>
    </row>
    <row r="13785">
      <c r="AI13785" s="80"/>
    </row>
    <row r="13786">
      <c r="AI13786" s="80"/>
    </row>
    <row r="13787">
      <c r="AI13787" s="80"/>
    </row>
    <row r="13788">
      <c r="AI13788" s="80"/>
    </row>
    <row r="13789">
      <c r="AI13789" s="80"/>
    </row>
    <row r="13790">
      <c r="AI13790" s="80"/>
    </row>
    <row r="13791">
      <c r="AI13791" s="80"/>
    </row>
    <row r="13792">
      <c r="AI13792" s="80"/>
    </row>
    <row r="13793">
      <c r="AI13793" s="80"/>
    </row>
    <row r="13794">
      <c r="AI13794" s="80"/>
    </row>
    <row r="13795">
      <c r="AI13795" s="80"/>
    </row>
    <row r="13796">
      <c r="AI13796" s="80"/>
    </row>
    <row r="13797">
      <c r="AI13797" s="80"/>
    </row>
    <row r="13798">
      <c r="AI13798" s="80"/>
    </row>
    <row r="13799">
      <c r="AI13799" s="80"/>
    </row>
    <row r="13800">
      <c r="AI13800" s="80"/>
    </row>
    <row r="13801">
      <c r="AI13801" s="80"/>
    </row>
    <row r="13802">
      <c r="AI13802" s="80"/>
    </row>
    <row r="13803">
      <c r="AI13803" s="80"/>
    </row>
    <row r="13804">
      <c r="AI13804" s="80"/>
    </row>
    <row r="13805">
      <c r="AI13805" s="80"/>
    </row>
    <row r="13806">
      <c r="AI13806" s="80"/>
    </row>
    <row r="13807">
      <c r="AI13807" s="80"/>
    </row>
    <row r="13808">
      <c r="AI13808" s="80"/>
    </row>
    <row r="13809">
      <c r="AI13809" s="80"/>
    </row>
    <row r="13810">
      <c r="AI13810" s="80"/>
    </row>
    <row r="13811">
      <c r="AI13811" s="80"/>
    </row>
    <row r="13812">
      <c r="AI13812" s="80"/>
    </row>
    <row r="13813">
      <c r="AI13813" s="80"/>
    </row>
    <row r="13814">
      <c r="AI13814" s="80"/>
    </row>
    <row r="13815">
      <c r="AI13815" s="80"/>
    </row>
    <row r="13816">
      <c r="AI13816" s="80"/>
    </row>
    <row r="13817">
      <c r="AI13817" s="80"/>
    </row>
    <row r="13818">
      <c r="AI13818" s="80"/>
    </row>
    <row r="13819">
      <c r="AI13819" s="80"/>
    </row>
    <row r="13820">
      <c r="AI13820" s="80"/>
    </row>
    <row r="13821">
      <c r="AI13821" s="80"/>
    </row>
    <row r="13822">
      <c r="AI13822" s="80"/>
    </row>
    <row r="13823">
      <c r="AI13823" s="80"/>
    </row>
    <row r="13824">
      <c r="AI13824" s="80"/>
    </row>
    <row r="13825">
      <c r="AI13825" s="80"/>
    </row>
    <row r="13826">
      <c r="AI13826" s="80"/>
    </row>
    <row r="13827">
      <c r="AI13827" s="80"/>
    </row>
    <row r="13828">
      <c r="AI13828" s="80"/>
    </row>
    <row r="13829">
      <c r="AI13829" s="80"/>
    </row>
    <row r="13830">
      <c r="AI13830" s="80"/>
    </row>
    <row r="13831">
      <c r="AI13831" s="80"/>
    </row>
    <row r="13832">
      <c r="AI13832" s="80"/>
    </row>
    <row r="13833">
      <c r="AI13833" s="80"/>
    </row>
    <row r="13834">
      <c r="AI13834" s="80"/>
    </row>
    <row r="13835">
      <c r="AI13835" s="80"/>
    </row>
    <row r="13836">
      <c r="AI13836" s="80"/>
    </row>
    <row r="13837">
      <c r="AI13837" s="80"/>
    </row>
    <row r="13838">
      <c r="AI13838" s="80"/>
    </row>
    <row r="13839">
      <c r="AI13839" s="80"/>
    </row>
    <row r="13840">
      <c r="AI13840" s="80"/>
    </row>
    <row r="13841">
      <c r="AI13841" s="80"/>
    </row>
    <row r="13842">
      <c r="AI13842" s="80"/>
    </row>
    <row r="13843">
      <c r="AI13843" s="80"/>
    </row>
    <row r="13844">
      <c r="AI13844" s="80"/>
    </row>
    <row r="13845">
      <c r="AI13845" s="80"/>
    </row>
    <row r="13846">
      <c r="AI13846" s="80"/>
    </row>
    <row r="13847">
      <c r="AI13847" s="80"/>
    </row>
    <row r="13848">
      <c r="AI13848" s="80"/>
    </row>
    <row r="13849">
      <c r="AI13849" s="80"/>
    </row>
    <row r="13850">
      <c r="AI13850" s="80"/>
    </row>
    <row r="13851">
      <c r="AI13851" s="80"/>
    </row>
    <row r="13852">
      <c r="AI13852" s="80"/>
    </row>
    <row r="13853">
      <c r="AI13853" s="80"/>
    </row>
    <row r="13854">
      <c r="AI13854" s="80"/>
    </row>
    <row r="13855">
      <c r="AI13855" s="80"/>
    </row>
    <row r="13856">
      <c r="AI13856" s="80"/>
    </row>
    <row r="13857">
      <c r="AI13857" s="80"/>
    </row>
    <row r="13858">
      <c r="AI13858" s="80"/>
    </row>
    <row r="13859">
      <c r="AI13859" s="80"/>
    </row>
    <row r="13860">
      <c r="AI13860" s="80"/>
    </row>
    <row r="13861">
      <c r="AI13861" s="80"/>
    </row>
    <row r="13862">
      <c r="AI13862" s="80"/>
    </row>
    <row r="13863">
      <c r="AI13863" s="80"/>
    </row>
    <row r="13864">
      <c r="AI13864" s="80"/>
    </row>
    <row r="13865">
      <c r="AI13865" s="80"/>
    </row>
    <row r="13866">
      <c r="AI13866" s="80"/>
    </row>
    <row r="13867">
      <c r="AI13867" s="80"/>
    </row>
    <row r="13868">
      <c r="AI13868" s="80"/>
    </row>
    <row r="13869">
      <c r="AI13869" s="80"/>
    </row>
    <row r="13870">
      <c r="AI13870" s="80"/>
    </row>
    <row r="13871">
      <c r="AI13871" s="80"/>
    </row>
    <row r="13872">
      <c r="AI13872" s="80"/>
    </row>
    <row r="13873">
      <c r="AI13873" s="80"/>
    </row>
    <row r="13874">
      <c r="AI13874" s="80"/>
    </row>
    <row r="13875">
      <c r="AI13875" s="80"/>
    </row>
    <row r="13876">
      <c r="AI13876" s="80"/>
    </row>
    <row r="13877">
      <c r="AI13877" s="80"/>
    </row>
    <row r="13878">
      <c r="AI13878" s="80"/>
    </row>
    <row r="13879">
      <c r="AI13879" s="80"/>
    </row>
    <row r="13880">
      <c r="AI13880" s="80"/>
    </row>
    <row r="13881">
      <c r="AI13881" s="80"/>
    </row>
    <row r="13882">
      <c r="AI13882" s="80"/>
    </row>
    <row r="13883">
      <c r="AI13883" s="80"/>
    </row>
    <row r="13884">
      <c r="AI13884" s="80"/>
    </row>
    <row r="13885">
      <c r="AI13885" s="80"/>
    </row>
    <row r="13886">
      <c r="AI13886" s="80"/>
    </row>
    <row r="13887">
      <c r="AI13887" s="80"/>
    </row>
    <row r="13888">
      <c r="AI13888" s="80"/>
    </row>
    <row r="13889">
      <c r="AI13889" s="80"/>
    </row>
    <row r="13890">
      <c r="AI13890" s="80"/>
    </row>
    <row r="13891">
      <c r="AI13891" s="80"/>
    </row>
    <row r="13892">
      <c r="AI13892" s="80"/>
    </row>
    <row r="13893">
      <c r="AI13893" s="80"/>
    </row>
    <row r="13894">
      <c r="AI13894" s="80"/>
    </row>
    <row r="13895">
      <c r="AI13895" s="80"/>
    </row>
    <row r="13896">
      <c r="AI13896" s="80"/>
    </row>
    <row r="13897">
      <c r="AI13897" s="80"/>
    </row>
    <row r="13898">
      <c r="AI13898" s="80"/>
    </row>
    <row r="13899">
      <c r="AI13899" s="80"/>
    </row>
    <row r="13900">
      <c r="AI13900" s="80"/>
    </row>
    <row r="13901">
      <c r="AI13901" s="80"/>
    </row>
    <row r="13902">
      <c r="AI13902" s="80"/>
    </row>
    <row r="13903">
      <c r="AI13903" s="80"/>
    </row>
    <row r="13904">
      <c r="AI13904" s="80"/>
    </row>
    <row r="13905">
      <c r="AI13905" s="80"/>
    </row>
    <row r="13906">
      <c r="AI13906" s="80"/>
    </row>
    <row r="13907">
      <c r="AI13907" s="80"/>
    </row>
    <row r="13908">
      <c r="AI13908" s="80"/>
    </row>
    <row r="13909">
      <c r="AI13909" s="80"/>
    </row>
    <row r="13910">
      <c r="AI13910" s="80"/>
    </row>
    <row r="13911">
      <c r="AI13911" s="80"/>
    </row>
    <row r="13912">
      <c r="AI13912" s="80"/>
    </row>
    <row r="13913">
      <c r="AI13913" s="80"/>
    </row>
    <row r="13914">
      <c r="AI13914" s="80"/>
    </row>
    <row r="13915">
      <c r="AI13915" s="80"/>
    </row>
    <row r="13916">
      <c r="AI13916" s="80"/>
    </row>
    <row r="13917">
      <c r="AI13917" s="80"/>
    </row>
    <row r="13918">
      <c r="AI13918" s="80"/>
    </row>
    <row r="13919">
      <c r="AI13919" s="80"/>
    </row>
    <row r="13920">
      <c r="AI13920" s="80"/>
    </row>
    <row r="13921">
      <c r="AI13921" s="80"/>
    </row>
    <row r="13922">
      <c r="AI13922" s="80"/>
    </row>
    <row r="13923">
      <c r="AI13923" s="80"/>
    </row>
    <row r="13924">
      <c r="AI13924" s="80"/>
    </row>
    <row r="13925">
      <c r="AI13925" s="80"/>
    </row>
    <row r="13926">
      <c r="AI13926" s="80"/>
    </row>
    <row r="13927">
      <c r="AI13927" s="80"/>
    </row>
    <row r="13928">
      <c r="AI13928" s="80"/>
    </row>
    <row r="13929">
      <c r="AI13929" s="80"/>
    </row>
    <row r="13930">
      <c r="AI13930" s="80"/>
    </row>
    <row r="13931">
      <c r="AI13931" s="80"/>
    </row>
    <row r="13932">
      <c r="AI13932" s="80"/>
    </row>
    <row r="13933">
      <c r="AI13933" s="80"/>
    </row>
    <row r="13934">
      <c r="AI13934" s="80"/>
    </row>
    <row r="13935">
      <c r="AI13935" s="80"/>
    </row>
    <row r="13936">
      <c r="AI13936" s="80"/>
    </row>
    <row r="13937">
      <c r="AI13937" s="80"/>
    </row>
    <row r="13938">
      <c r="AI13938" s="80"/>
    </row>
    <row r="13939">
      <c r="AI13939" s="80"/>
    </row>
    <row r="13940">
      <c r="AI13940" s="80"/>
    </row>
    <row r="13941">
      <c r="AI13941" s="80"/>
    </row>
    <row r="13942">
      <c r="AI13942" s="80"/>
    </row>
    <row r="13943">
      <c r="AI13943" s="80"/>
    </row>
    <row r="13944">
      <c r="AI13944" s="80"/>
    </row>
    <row r="13945">
      <c r="AI13945" s="80"/>
    </row>
    <row r="13946">
      <c r="AI13946" s="80"/>
    </row>
    <row r="13947">
      <c r="AI13947" s="80"/>
    </row>
    <row r="13948">
      <c r="AI13948" s="80"/>
    </row>
    <row r="13949">
      <c r="AI13949" s="80"/>
    </row>
    <row r="13950">
      <c r="AI13950" s="80"/>
    </row>
    <row r="13951">
      <c r="AI13951" s="80"/>
    </row>
    <row r="13952">
      <c r="AI13952" s="80"/>
    </row>
    <row r="13953">
      <c r="AI13953" s="80"/>
    </row>
    <row r="13954">
      <c r="AI13954" s="80"/>
    </row>
    <row r="13955">
      <c r="AI13955" s="80"/>
    </row>
    <row r="13956">
      <c r="AI13956" s="80"/>
    </row>
    <row r="13957">
      <c r="AI13957" s="80"/>
    </row>
    <row r="13958">
      <c r="AI13958" s="80"/>
    </row>
    <row r="13959">
      <c r="AI13959" s="80"/>
    </row>
    <row r="13960">
      <c r="AI13960" s="80"/>
    </row>
    <row r="13961">
      <c r="AI13961" s="80"/>
    </row>
    <row r="13962">
      <c r="AI13962" s="80"/>
    </row>
    <row r="13963">
      <c r="AI13963" s="80"/>
    </row>
    <row r="13964">
      <c r="AI13964" s="80"/>
    </row>
    <row r="13965">
      <c r="AI13965" s="80"/>
    </row>
    <row r="13966">
      <c r="AI13966" s="80"/>
    </row>
    <row r="13967">
      <c r="AI13967" s="80"/>
    </row>
    <row r="13968">
      <c r="AI13968" s="80"/>
    </row>
    <row r="13969">
      <c r="AI13969" s="80"/>
    </row>
    <row r="13970">
      <c r="AI13970" s="80"/>
    </row>
    <row r="13971">
      <c r="AI13971" s="80"/>
    </row>
    <row r="13972">
      <c r="AI13972" s="80"/>
    </row>
    <row r="13973">
      <c r="AI13973" s="80"/>
    </row>
    <row r="13974">
      <c r="AI13974" s="80"/>
    </row>
    <row r="13975">
      <c r="AI13975" s="80"/>
    </row>
    <row r="13976">
      <c r="AI13976" s="80"/>
    </row>
    <row r="13977">
      <c r="AI13977" s="80"/>
    </row>
    <row r="13978">
      <c r="AI13978" s="80"/>
    </row>
    <row r="13979">
      <c r="AI13979" s="80"/>
    </row>
    <row r="13980">
      <c r="AI13980" s="80"/>
    </row>
    <row r="13981">
      <c r="AI13981" s="80"/>
    </row>
    <row r="13982">
      <c r="AI13982" s="80"/>
    </row>
    <row r="13983">
      <c r="AI13983" s="80"/>
    </row>
    <row r="13984">
      <c r="AI13984" s="80"/>
    </row>
    <row r="13985">
      <c r="AI13985" s="80"/>
    </row>
    <row r="13986">
      <c r="AI13986" s="80"/>
    </row>
    <row r="13987">
      <c r="AI13987" s="80"/>
    </row>
    <row r="13988">
      <c r="AI13988" s="80"/>
    </row>
    <row r="13989">
      <c r="AI13989" s="80"/>
    </row>
    <row r="13990">
      <c r="AI13990" s="80"/>
    </row>
    <row r="13991">
      <c r="AI13991" s="80"/>
    </row>
    <row r="13992">
      <c r="AI13992" s="80"/>
    </row>
    <row r="13993">
      <c r="AI13993" s="80"/>
    </row>
    <row r="13994">
      <c r="AI13994" s="80"/>
    </row>
    <row r="13995">
      <c r="AI13995" s="80"/>
    </row>
    <row r="13996">
      <c r="AI13996" s="80"/>
    </row>
    <row r="13997">
      <c r="AI13997" s="80"/>
    </row>
    <row r="13998">
      <c r="AI13998" s="80"/>
    </row>
    <row r="13999">
      <c r="AI13999" s="80"/>
    </row>
    <row r="14000">
      <c r="AI14000" s="80"/>
    </row>
    <row r="14001">
      <c r="AI14001" s="80"/>
    </row>
    <row r="14002">
      <c r="AI14002" s="80"/>
    </row>
    <row r="14003">
      <c r="AI14003" s="80"/>
    </row>
    <row r="14004">
      <c r="AI14004" s="80"/>
    </row>
    <row r="14005">
      <c r="AI14005" s="80"/>
    </row>
    <row r="14006">
      <c r="AI14006" s="80"/>
    </row>
    <row r="14007">
      <c r="AI14007" s="80"/>
    </row>
    <row r="14008">
      <c r="AI14008" s="80"/>
    </row>
    <row r="14009">
      <c r="AI14009" s="80"/>
    </row>
    <row r="14010">
      <c r="AI14010" s="80"/>
    </row>
    <row r="14011">
      <c r="AI14011" s="80"/>
    </row>
    <row r="14012">
      <c r="AI14012" s="80"/>
    </row>
    <row r="14013">
      <c r="AI14013" s="80"/>
    </row>
    <row r="14014">
      <c r="AI14014" s="80"/>
    </row>
    <row r="14015">
      <c r="AI14015" s="80"/>
    </row>
    <row r="14016">
      <c r="AI14016" s="80"/>
    </row>
    <row r="14017">
      <c r="AI14017" s="80"/>
    </row>
    <row r="14018">
      <c r="AI14018" s="80"/>
    </row>
    <row r="14019">
      <c r="AI14019" s="80"/>
    </row>
    <row r="14020">
      <c r="AI14020" s="80"/>
    </row>
    <row r="14021">
      <c r="AI14021" s="80"/>
    </row>
    <row r="14022">
      <c r="AI14022" s="80"/>
    </row>
    <row r="14023">
      <c r="AI14023" s="80"/>
    </row>
    <row r="14024">
      <c r="AI14024" s="80"/>
    </row>
    <row r="14025">
      <c r="AI14025" s="80"/>
    </row>
    <row r="14026">
      <c r="AI14026" s="80"/>
    </row>
    <row r="14027">
      <c r="AI14027" s="80"/>
    </row>
    <row r="14028">
      <c r="AI14028" s="80"/>
    </row>
    <row r="14029">
      <c r="AI14029" s="80"/>
    </row>
    <row r="14030">
      <c r="AI14030" s="80"/>
    </row>
    <row r="14031">
      <c r="AI14031" s="80"/>
    </row>
    <row r="14032">
      <c r="AI14032" s="80"/>
    </row>
    <row r="14033">
      <c r="AI14033" s="80"/>
    </row>
    <row r="14034">
      <c r="AI14034" s="80"/>
    </row>
    <row r="14035">
      <c r="AI14035" s="80"/>
    </row>
    <row r="14036">
      <c r="AI14036" s="80"/>
    </row>
    <row r="14037">
      <c r="AI14037" s="80"/>
    </row>
    <row r="14038">
      <c r="AI14038" s="80"/>
    </row>
    <row r="14039">
      <c r="AI14039" s="80"/>
    </row>
    <row r="14040">
      <c r="AI14040" s="80"/>
    </row>
    <row r="14041">
      <c r="AI14041" s="80"/>
    </row>
    <row r="14042">
      <c r="AI14042" s="80"/>
    </row>
    <row r="14043">
      <c r="AI14043" s="80"/>
    </row>
    <row r="14044">
      <c r="AI14044" s="80"/>
    </row>
    <row r="14045">
      <c r="AI14045" s="80"/>
    </row>
    <row r="14046">
      <c r="AI14046" s="80"/>
    </row>
    <row r="14047">
      <c r="AI14047" s="80"/>
    </row>
    <row r="14048">
      <c r="AI14048" s="80"/>
    </row>
    <row r="14049">
      <c r="AI14049" s="80"/>
    </row>
    <row r="14050">
      <c r="AI14050" s="80"/>
    </row>
    <row r="14051">
      <c r="AI14051" s="80"/>
    </row>
    <row r="14052">
      <c r="AI14052" s="80"/>
    </row>
    <row r="14053">
      <c r="AI14053" s="80"/>
    </row>
    <row r="14054">
      <c r="AI14054" s="80"/>
    </row>
    <row r="14055">
      <c r="AI14055" s="80"/>
    </row>
    <row r="14056">
      <c r="AI14056" s="80"/>
    </row>
    <row r="14057">
      <c r="AI14057" s="80"/>
    </row>
    <row r="14058">
      <c r="AI14058" s="80"/>
    </row>
    <row r="14059">
      <c r="AI14059" s="80"/>
    </row>
    <row r="14060">
      <c r="AI14060" s="80"/>
    </row>
    <row r="14061">
      <c r="AI14061" s="80"/>
    </row>
    <row r="14062">
      <c r="AI14062" s="80"/>
    </row>
    <row r="14063">
      <c r="AI14063" s="80"/>
    </row>
    <row r="14064">
      <c r="AI14064" s="80"/>
    </row>
    <row r="14065">
      <c r="AI14065" s="80"/>
    </row>
    <row r="14066">
      <c r="AI14066" s="80"/>
    </row>
    <row r="14067">
      <c r="AI14067" s="80"/>
    </row>
    <row r="14068">
      <c r="AI14068" s="80"/>
    </row>
    <row r="14069">
      <c r="AI14069" s="80"/>
    </row>
    <row r="14070">
      <c r="AI14070" s="80"/>
    </row>
    <row r="14071">
      <c r="AI14071" s="80"/>
    </row>
    <row r="14072">
      <c r="AI14072" s="80"/>
    </row>
    <row r="14073">
      <c r="AI14073" s="80"/>
    </row>
    <row r="14074">
      <c r="AI14074" s="80"/>
    </row>
    <row r="14075">
      <c r="AI14075" s="80"/>
    </row>
    <row r="14076">
      <c r="AI14076" s="80"/>
    </row>
    <row r="14077">
      <c r="AI14077" s="80"/>
    </row>
    <row r="14078">
      <c r="AI14078" s="80"/>
    </row>
    <row r="14079">
      <c r="AI14079" s="80"/>
    </row>
    <row r="14080">
      <c r="AI14080" s="80"/>
    </row>
    <row r="14081">
      <c r="AI14081" s="80"/>
    </row>
    <row r="14082">
      <c r="AI14082" s="80"/>
    </row>
    <row r="14083">
      <c r="AI14083" s="80"/>
    </row>
    <row r="14084">
      <c r="AI14084" s="80"/>
    </row>
    <row r="14085">
      <c r="AI14085" s="80"/>
    </row>
    <row r="14086">
      <c r="AI14086" s="80"/>
    </row>
    <row r="14087">
      <c r="AI14087" s="80"/>
    </row>
    <row r="14088">
      <c r="AI14088" s="80"/>
    </row>
    <row r="14089">
      <c r="AI14089" s="80"/>
    </row>
    <row r="14090">
      <c r="AI14090" s="80"/>
    </row>
    <row r="14091">
      <c r="AI14091" s="80"/>
    </row>
    <row r="14092">
      <c r="AI14092" s="80"/>
    </row>
    <row r="14093">
      <c r="AI14093" s="80"/>
    </row>
    <row r="14094">
      <c r="AI14094" s="80"/>
    </row>
    <row r="14095">
      <c r="AI14095" s="80"/>
    </row>
    <row r="14096">
      <c r="AI14096" s="80"/>
    </row>
    <row r="14097">
      <c r="AI14097" s="80"/>
    </row>
    <row r="14098">
      <c r="AI14098" s="80"/>
    </row>
    <row r="14099">
      <c r="AI14099" s="80"/>
    </row>
    <row r="14100">
      <c r="AI14100" s="80"/>
    </row>
    <row r="14101">
      <c r="AI14101" s="80"/>
    </row>
    <row r="14102">
      <c r="AI14102" s="80"/>
    </row>
    <row r="14103">
      <c r="AI14103" s="80"/>
    </row>
    <row r="14104">
      <c r="AI14104" s="80"/>
    </row>
    <row r="14105">
      <c r="AI14105" s="80"/>
    </row>
    <row r="14106">
      <c r="AI14106" s="80"/>
    </row>
    <row r="14107">
      <c r="AI14107" s="80"/>
    </row>
    <row r="14108">
      <c r="AI14108" s="80"/>
    </row>
    <row r="14109">
      <c r="AI14109" s="80"/>
    </row>
    <row r="14110">
      <c r="AI14110" s="80"/>
    </row>
    <row r="14111">
      <c r="AI14111" s="80"/>
    </row>
    <row r="14112">
      <c r="AI14112" s="80"/>
    </row>
    <row r="14113">
      <c r="AI14113" s="80"/>
    </row>
    <row r="14114">
      <c r="AI14114" s="80"/>
    </row>
    <row r="14115">
      <c r="AI14115" s="80"/>
    </row>
    <row r="14116">
      <c r="AI14116" s="80"/>
    </row>
    <row r="14117">
      <c r="AI14117" s="80"/>
    </row>
    <row r="14118">
      <c r="AI14118" s="80"/>
    </row>
    <row r="14119">
      <c r="AI14119" s="80"/>
    </row>
    <row r="14120">
      <c r="AI14120" s="80"/>
    </row>
    <row r="14121">
      <c r="AI14121" s="80"/>
    </row>
    <row r="14122">
      <c r="AI14122" s="80"/>
    </row>
    <row r="14123">
      <c r="AI14123" s="80"/>
    </row>
    <row r="14124">
      <c r="AI14124" s="80"/>
    </row>
    <row r="14125">
      <c r="AI14125" s="80"/>
    </row>
    <row r="14126">
      <c r="AI14126" s="80"/>
    </row>
    <row r="14127">
      <c r="AI14127" s="80"/>
    </row>
    <row r="14128">
      <c r="AI14128" s="80"/>
    </row>
    <row r="14129">
      <c r="AI14129" s="80"/>
    </row>
    <row r="14130">
      <c r="AI14130" s="80"/>
    </row>
    <row r="14131">
      <c r="AI14131" s="80"/>
    </row>
    <row r="14132">
      <c r="AI14132" s="80"/>
    </row>
    <row r="14133">
      <c r="AI14133" s="80"/>
    </row>
    <row r="14134">
      <c r="AI14134" s="80"/>
    </row>
    <row r="14135">
      <c r="AI14135" s="80"/>
    </row>
    <row r="14136">
      <c r="AI14136" s="80"/>
    </row>
    <row r="14137">
      <c r="AI14137" s="80"/>
    </row>
    <row r="14138">
      <c r="AI14138" s="80"/>
    </row>
    <row r="14139">
      <c r="AI14139" s="80"/>
    </row>
    <row r="14140">
      <c r="AI14140" s="80"/>
    </row>
    <row r="14141">
      <c r="AI14141" s="80"/>
    </row>
    <row r="14142">
      <c r="AI14142" s="80"/>
    </row>
    <row r="14143">
      <c r="AI14143" s="80"/>
    </row>
    <row r="14144">
      <c r="AI14144" s="80"/>
    </row>
    <row r="14145">
      <c r="AI14145" s="80"/>
    </row>
    <row r="14146">
      <c r="AI14146" s="80"/>
    </row>
    <row r="14147">
      <c r="AI14147" s="80"/>
    </row>
    <row r="14148">
      <c r="AI14148" s="80"/>
    </row>
    <row r="14149">
      <c r="AI14149" s="80"/>
    </row>
    <row r="14150">
      <c r="AI14150" s="80"/>
    </row>
    <row r="14151">
      <c r="AI14151" s="80"/>
    </row>
    <row r="14152">
      <c r="AI14152" s="80"/>
    </row>
    <row r="14153">
      <c r="AI14153" s="80"/>
    </row>
    <row r="14154">
      <c r="AI14154" s="80"/>
    </row>
    <row r="14155">
      <c r="AI14155" s="80"/>
    </row>
    <row r="14156">
      <c r="AI14156" s="80"/>
    </row>
    <row r="14157">
      <c r="AI14157" s="80"/>
    </row>
    <row r="14158">
      <c r="AI14158" s="80"/>
    </row>
    <row r="14159">
      <c r="AI14159" s="80"/>
    </row>
    <row r="14160">
      <c r="AI14160" s="80"/>
    </row>
    <row r="14161">
      <c r="AI14161" s="80"/>
    </row>
    <row r="14162">
      <c r="AI14162" s="80"/>
    </row>
    <row r="14163">
      <c r="AI14163" s="80"/>
    </row>
    <row r="14164">
      <c r="AI14164" s="80"/>
    </row>
    <row r="14165">
      <c r="AI14165" s="80"/>
    </row>
    <row r="14166">
      <c r="AI14166" s="80"/>
    </row>
    <row r="14167">
      <c r="AI14167" s="80"/>
    </row>
    <row r="14168">
      <c r="AI14168" s="80"/>
    </row>
    <row r="14169">
      <c r="AI14169" s="80"/>
    </row>
    <row r="14170">
      <c r="AI14170" s="80"/>
    </row>
    <row r="14171">
      <c r="AI14171" s="80"/>
    </row>
    <row r="14172">
      <c r="AI14172" s="80"/>
    </row>
    <row r="14173">
      <c r="AI14173" s="80"/>
    </row>
    <row r="14174">
      <c r="AI14174" s="80"/>
    </row>
    <row r="14175">
      <c r="AI14175" s="80"/>
    </row>
    <row r="14176">
      <c r="AI14176" s="80"/>
    </row>
    <row r="14177">
      <c r="AI14177" s="80"/>
    </row>
    <row r="14178">
      <c r="AI14178" s="80"/>
    </row>
    <row r="14179">
      <c r="AI14179" s="80"/>
    </row>
    <row r="14180">
      <c r="AI14180" s="80"/>
    </row>
    <row r="14181">
      <c r="AI14181" s="80"/>
    </row>
    <row r="14182">
      <c r="AI14182" s="80"/>
    </row>
    <row r="14183">
      <c r="AI14183" s="80"/>
    </row>
    <row r="14184">
      <c r="AI14184" s="80"/>
    </row>
    <row r="14185">
      <c r="AI14185" s="80"/>
    </row>
    <row r="14186">
      <c r="AI14186" s="80"/>
    </row>
    <row r="14187">
      <c r="AI14187" s="80"/>
    </row>
    <row r="14188">
      <c r="AI14188" s="80"/>
    </row>
    <row r="14189">
      <c r="AI14189" s="80"/>
    </row>
    <row r="14190">
      <c r="AI14190" s="80"/>
    </row>
    <row r="14191">
      <c r="AI14191" s="80"/>
    </row>
    <row r="14192">
      <c r="AI14192" s="80"/>
    </row>
    <row r="14193">
      <c r="AI14193" s="80"/>
    </row>
    <row r="14194">
      <c r="AI14194" s="80"/>
    </row>
    <row r="14195">
      <c r="AI14195" s="80"/>
    </row>
    <row r="14196">
      <c r="AI14196" s="80"/>
    </row>
    <row r="14197">
      <c r="AI14197" s="80"/>
    </row>
    <row r="14198">
      <c r="AI14198" s="80"/>
    </row>
    <row r="14199">
      <c r="AI14199" s="80"/>
    </row>
    <row r="14200">
      <c r="AI14200" s="80"/>
    </row>
    <row r="14201">
      <c r="AI14201" s="80"/>
    </row>
    <row r="14202">
      <c r="AI14202" s="80"/>
    </row>
    <row r="14203">
      <c r="AI14203" s="80"/>
    </row>
    <row r="14204">
      <c r="AI14204" s="80"/>
    </row>
    <row r="14205">
      <c r="AI14205" s="80"/>
    </row>
    <row r="14206">
      <c r="AI14206" s="80"/>
    </row>
    <row r="14207">
      <c r="AI14207" s="80"/>
    </row>
    <row r="14208">
      <c r="AI14208" s="80"/>
    </row>
    <row r="14209">
      <c r="AI14209" s="80"/>
    </row>
    <row r="14210">
      <c r="AI14210" s="80"/>
    </row>
    <row r="14211">
      <c r="AI14211" s="80"/>
    </row>
    <row r="14212">
      <c r="AI14212" s="80"/>
    </row>
    <row r="14213">
      <c r="AI14213" s="80"/>
    </row>
    <row r="14214">
      <c r="AI14214" s="80"/>
    </row>
    <row r="14215">
      <c r="AI14215" s="80"/>
    </row>
    <row r="14216">
      <c r="AI14216" s="80"/>
    </row>
    <row r="14217">
      <c r="AI14217" s="80"/>
    </row>
    <row r="14218">
      <c r="AI14218" s="80"/>
    </row>
    <row r="14219">
      <c r="AI14219" s="80"/>
    </row>
    <row r="14220">
      <c r="AI14220" s="80"/>
    </row>
    <row r="14221">
      <c r="AI14221" s="80"/>
    </row>
    <row r="14222">
      <c r="AI14222" s="80"/>
    </row>
    <row r="14223">
      <c r="AI14223" s="80"/>
    </row>
    <row r="14224">
      <c r="AI14224" s="80"/>
    </row>
    <row r="14225">
      <c r="AI14225" s="80"/>
    </row>
    <row r="14226">
      <c r="AI14226" s="80"/>
    </row>
    <row r="14227">
      <c r="AI14227" s="80"/>
    </row>
    <row r="14228">
      <c r="AI14228" s="80"/>
    </row>
    <row r="14229">
      <c r="AI14229" s="80"/>
    </row>
    <row r="14230">
      <c r="AI14230" s="80"/>
    </row>
    <row r="14231">
      <c r="AI14231" s="80"/>
    </row>
    <row r="14232">
      <c r="AI14232" s="80"/>
    </row>
    <row r="14233">
      <c r="AI14233" s="80"/>
    </row>
    <row r="14234">
      <c r="AI14234" s="80"/>
    </row>
    <row r="14235">
      <c r="AI14235" s="80"/>
    </row>
    <row r="14236">
      <c r="AI14236" s="80"/>
    </row>
    <row r="14237">
      <c r="AI14237" s="80"/>
    </row>
    <row r="14238">
      <c r="AI14238" s="80"/>
    </row>
    <row r="14239">
      <c r="AI14239" s="80"/>
    </row>
    <row r="14240">
      <c r="AI14240" s="80"/>
    </row>
    <row r="14241">
      <c r="AI14241" s="80"/>
    </row>
    <row r="14242">
      <c r="AI14242" s="80"/>
    </row>
    <row r="14243">
      <c r="AI14243" s="80"/>
    </row>
    <row r="14244">
      <c r="AI14244" s="80"/>
    </row>
    <row r="14245">
      <c r="AI14245" s="80"/>
    </row>
    <row r="14246">
      <c r="AI14246" s="80"/>
    </row>
    <row r="14247">
      <c r="AI14247" s="80"/>
    </row>
    <row r="14248">
      <c r="AI14248" s="80"/>
    </row>
    <row r="14249">
      <c r="AI14249" s="80"/>
    </row>
    <row r="14250">
      <c r="AI14250" s="80"/>
    </row>
    <row r="14251">
      <c r="AI14251" s="80"/>
    </row>
    <row r="14252">
      <c r="AI14252" s="80"/>
    </row>
    <row r="14253">
      <c r="AI14253" s="80"/>
    </row>
    <row r="14254">
      <c r="AI14254" s="80"/>
    </row>
    <row r="14255">
      <c r="AI14255" s="80"/>
    </row>
    <row r="14256">
      <c r="AI14256" s="80"/>
    </row>
    <row r="14257">
      <c r="AI14257" s="80"/>
    </row>
    <row r="14258">
      <c r="AI14258" s="80"/>
    </row>
    <row r="14259">
      <c r="AI14259" s="80"/>
    </row>
    <row r="14260">
      <c r="AI14260" s="80"/>
    </row>
    <row r="14261">
      <c r="AI14261" s="80"/>
    </row>
    <row r="14262">
      <c r="AI14262" s="80"/>
    </row>
    <row r="14263">
      <c r="AI14263" s="80"/>
    </row>
    <row r="14264">
      <c r="AI14264" s="80"/>
    </row>
    <row r="14265">
      <c r="AI14265" s="80"/>
    </row>
    <row r="14266">
      <c r="AI14266" s="80"/>
    </row>
    <row r="14267">
      <c r="AI14267" s="80"/>
    </row>
    <row r="14268">
      <c r="AI14268" s="80"/>
    </row>
    <row r="14269">
      <c r="AI14269" s="80"/>
    </row>
    <row r="14270">
      <c r="AI14270" s="80"/>
    </row>
    <row r="14271">
      <c r="AI14271" s="80"/>
    </row>
    <row r="14272">
      <c r="AI14272" s="80"/>
    </row>
    <row r="14273">
      <c r="AI14273" s="80"/>
    </row>
    <row r="14274">
      <c r="AI14274" s="80"/>
    </row>
    <row r="14275">
      <c r="AI14275" s="80"/>
    </row>
    <row r="14276">
      <c r="AI14276" s="80"/>
    </row>
    <row r="14277">
      <c r="AI14277" s="80"/>
    </row>
    <row r="14278">
      <c r="AI14278" s="80"/>
    </row>
    <row r="14279">
      <c r="AI14279" s="80"/>
    </row>
    <row r="14280">
      <c r="AI14280" s="80"/>
    </row>
    <row r="14281">
      <c r="AI14281" s="80"/>
    </row>
    <row r="14282">
      <c r="AI14282" s="80"/>
    </row>
    <row r="14283">
      <c r="AI14283" s="80"/>
    </row>
    <row r="14284">
      <c r="AI14284" s="80"/>
    </row>
    <row r="14285">
      <c r="AI14285" s="80"/>
    </row>
    <row r="14286">
      <c r="AI14286" s="80"/>
    </row>
    <row r="14287">
      <c r="AI14287" s="80"/>
    </row>
    <row r="14288">
      <c r="AI14288" s="80"/>
    </row>
    <row r="14289">
      <c r="AI14289" s="80"/>
    </row>
    <row r="14290">
      <c r="AI14290" s="80"/>
    </row>
    <row r="14291">
      <c r="AI14291" s="80"/>
    </row>
    <row r="14292">
      <c r="AI14292" s="80"/>
    </row>
    <row r="14293">
      <c r="AI14293" s="80"/>
    </row>
    <row r="14294">
      <c r="AI14294" s="80"/>
    </row>
    <row r="14295">
      <c r="AI14295" s="80"/>
    </row>
    <row r="14296">
      <c r="AI14296" s="80"/>
    </row>
    <row r="14297">
      <c r="AI14297" s="80"/>
    </row>
    <row r="14298">
      <c r="AI14298" s="80"/>
    </row>
    <row r="14299">
      <c r="AI14299" s="80"/>
    </row>
    <row r="14300">
      <c r="AI14300" s="80"/>
    </row>
    <row r="14301">
      <c r="AI14301" s="80"/>
    </row>
    <row r="14302">
      <c r="AI14302" s="80"/>
    </row>
    <row r="14303">
      <c r="AI14303" s="80"/>
    </row>
    <row r="14304">
      <c r="AI14304" s="80"/>
    </row>
    <row r="14305">
      <c r="AI14305" s="80"/>
    </row>
    <row r="14306">
      <c r="AI14306" s="80"/>
    </row>
    <row r="14307">
      <c r="AI14307" s="80"/>
    </row>
    <row r="14308">
      <c r="AI14308" s="80"/>
    </row>
    <row r="14309">
      <c r="AI14309" s="80"/>
    </row>
    <row r="14310">
      <c r="AI14310" s="80"/>
    </row>
    <row r="14311">
      <c r="AI14311" s="80"/>
    </row>
    <row r="14312">
      <c r="AI14312" s="80"/>
    </row>
    <row r="14313">
      <c r="AI14313" s="80"/>
    </row>
    <row r="14314">
      <c r="AI14314" s="80"/>
    </row>
    <row r="14315">
      <c r="AI14315" s="80"/>
    </row>
    <row r="14316">
      <c r="AI14316" s="80"/>
    </row>
    <row r="14317">
      <c r="AI14317" s="80"/>
    </row>
    <row r="14318">
      <c r="AI14318" s="80"/>
    </row>
    <row r="14319">
      <c r="AI14319" s="80"/>
    </row>
    <row r="14320">
      <c r="AI14320" s="80"/>
    </row>
    <row r="14321">
      <c r="AI14321" s="80"/>
    </row>
    <row r="14322">
      <c r="AI14322" s="80"/>
    </row>
    <row r="14323">
      <c r="AI14323" s="80"/>
    </row>
    <row r="14324">
      <c r="AI14324" s="80"/>
    </row>
    <row r="14325">
      <c r="AI14325" s="80"/>
    </row>
    <row r="14326">
      <c r="AI14326" s="80"/>
    </row>
    <row r="14327">
      <c r="AI14327" s="80"/>
    </row>
    <row r="14328">
      <c r="AI14328" s="80"/>
    </row>
    <row r="14329">
      <c r="AI14329" s="80"/>
    </row>
    <row r="14330">
      <c r="AI14330" s="80"/>
    </row>
    <row r="14331">
      <c r="AI14331" s="80"/>
    </row>
    <row r="14332">
      <c r="AI14332" s="80"/>
    </row>
    <row r="14333">
      <c r="AI14333" s="80"/>
    </row>
    <row r="14334">
      <c r="AI14334" s="80"/>
    </row>
    <row r="14335">
      <c r="AI14335" s="80"/>
    </row>
    <row r="14336">
      <c r="AI14336" s="80"/>
    </row>
    <row r="14337">
      <c r="AI14337" s="80"/>
    </row>
    <row r="14338">
      <c r="AI14338" s="80"/>
    </row>
    <row r="14339">
      <c r="AI14339" s="80"/>
    </row>
    <row r="14340">
      <c r="AI14340" s="80"/>
    </row>
    <row r="14341">
      <c r="AI14341" s="80"/>
    </row>
    <row r="14342">
      <c r="AI14342" s="80"/>
    </row>
    <row r="14343">
      <c r="AI14343" s="80"/>
    </row>
    <row r="14344">
      <c r="AI14344" s="80"/>
    </row>
    <row r="14345">
      <c r="AI14345" s="80"/>
    </row>
    <row r="14346">
      <c r="AI14346" s="80"/>
    </row>
    <row r="14347">
      <c r="AI14347" s="80"/>
    </row>
    <row r="14348">
      <c r="AI14348" s="80"/>
    </row>
    <row r="14349">
      <c r="AI14349" s="80"/>
    </row>
    <row r="14350">
      <c r="AI14350" s="80"/>
    </row>
    <row r="14351">
      <c r="AI14351" s="80"/>
    </row>
    <row r="14352">
      <c r="AI14352" s="80"/>
    </row>
    <row r="14353">
      <c r="AI14353" s="80"/>
    </row>
    <row r="14354">
      <c r="AI14354" s="80"/>
    </row>
    <row r="14355">
      <c r="AI14355" s="80"/>
    </row>
    <row r="14356">
      <c r="AI14356" s="80"/>
    </row>
    <row r="14357">
      <c r="AI14357" s="80"/>
    </row>
    <row r="14358">
      <c r="AI14358" s="80"/>
    </row>
    <row r="14359">
      <c r="AI14359" s="80"/>
    </row>
    <row r="14360">
      <c r="AI14360" s="80"/>
    </row>
    <row r="14361">
      <c r="AI14361" s="80"/>
    </row>
    <row r="14362">
      <c r="AI14362" s="80"/>
    </row>
    <row r="14363">
      <c r="AI14363" s="80"/>
    </row>
    <row r="14364">
      <c r="AI14364" s="80"/>
    </row>
    <row r="14365">
      <c r="AI14365" s="80"/>
    </row>
    <row r="14366">
      <c r="AI14366" s="80"/>
    </row>
    <row r="14367">
      <c r="AI14367" s="80"/>
    </row>
    <row r="14368">
      <c r="AI14368" s="80"/>
    </row>
    <row r="14369">
      <c r="AI14369" s="80"/>
    </row>
    <row r="14370">
      <c r="AI14370" s="80"/>
    </row>
    <row r="14371">
      <c r="AI14371" s="80"/>
    </row>
    <row r="14372">
      <c r="AI14372" s="80"/>
    </row>
    <row r="14373">
      <c r="AI14373" s="80"/>
    </row>
    <row r="14374">
      <c r="AI14374" s="80"/>
    </row>
    <row r="14375">
      <c r="AI14375" s="80"/>
    </row>
    <row r="14376">
      <c r="AI14376" s="80"/>
    </row>
    <row r="14377">
      <c r="AI14377" s="80"/>
    </row>
    <row r="14378">
      <c r="AI14378" s="80"/>
    </row>
    <row r="14379">
      <c r="AI14379" s="80"/>
    </row>
    <row r="14380">
      <c r="AI14380" s="80"/>
    </row>
    <row r="14381">
      <c r="AI14381" s="80"/>
    </row>
    <row r="14382">
      <c r="AI14382" s="80"/>
    </row>
    <row r="14383">
      <c r="AI14383" s="80"/>
    </row>
    <row r="14384">
      <c r="AI14384" s="80"/>
    </row>
    <row r="14385">
      <c r="AI14385" s="80"/>
    </row>
    <row r="14386">
      <c r="AI14386" s="80"/>
    </row>
    <row r="14387">
      <c r="AI14387" s="80"/>
    </row>
    <row r="14388">
      <c r="AI14388" s="80"/>
    </row>
    <row r="14389">
      <c r="AI14389" s="80"/>
    </row>
    <row r="14390">
      <c r="AI14390" s="80"/>
    </row>
    <row r="14391">
      <c r="AI14391" s="80"/>
    </row>
    <row r="14392">
      <c r="AI14392" s="80"/>
    </row>
    <row r="14393">
      <c r="AI14393" s="80"/>
    </row>
    <row r="14394">
      <c r="AI14394" s="80"/>
    </row>
    <row r="14395">
      <c r="AI14395" s="80"/>
    </row>
    <row r="14396">
      <c r="AI14396" s="80"/>
    </row>
    <row r="14397">
      <c r="AI14397" s="80"/>
    </row>
    <row r="14398">
      <c r="AI14398" s="80"/>
    </row>
    <row r="14399">
      <c r="AI14399" s="80"/>
    </row>
    <row r="14400">
      <c r="AI14400" s="80"/>
    </row>
    <row r="14401">
      <c r="AI14401" s="80"/>
    </row>
    <row r="14402">
      <c r="AI14402" s="80"/>
    </row>
    <row r="14403">
      <c r="AI14403" s="80"/>
    </row>
    <row r="14404">
      <c r="AI14404" s="80"/>
    </row>
    <row r="14405">
      <c r="AI14405" s="80"/>
    </row>
    <row r="14406">
      <c r="AI14406" s="80"/>
    </row>
    <row r="14407">
      <c r="AI14407" s="80"/>
    </row>
    <row r="14408">
      <c r="AI14408" s="80"/>
    </row>
    <row r="14409">
      <c r="AI14409" s="80"/>
    </row>
    <row r="14410">
      <c r="AI14410" s="80"/>
    </row>
    <row r="14411">
      <c r="AI14411" s="80"/>
    </row>
    <row r="14412">
      <c r="AI14412" s="80"/>
    </row>
    <row r="14413">
      <c r="AI14413" s="80"/>
    </row>
    <row r="14414">
      <c r="AI14414" s="80"/>
    </row>
    <row r="14415">
      <c r="AI14415" s="80"/>
    </row>
    <row r="14416">
      <c r="AI14416" s="80"/>
    </row>
    <row r="14417">
      <c r="AI14417" s="80"/>
    </row>
    <row r="14418">
      <c r="AI14418" s="80"/>
    </row>
    <row r="14419">
      <c r="AI14419" s="80"/>
    </row>
    <row r="14420">
      <c r="AI14420" s="80"/>
    </row>
    <row r="14421">
      <c r="AI14421" s="80"/>
    </row>
    <row r="14422">
      <c r="AI14422" s="80"/>
    </row>
    <row r="14423">
      <c r="AI14423" s="80"/>
    </row>
    <row r="14424">
      <c r="AI14424" s="80"/>
    </row>
    <row r="14425">
      <c r="AI14425" s="80"/>
    </row>
    <row r="14426">
      <c r="AI14426" s="80"/>
    </row>
    <row r="14427">
      <c r="AI14427" s="80"/>
    </row>
    <row r="14428">
      <c r="AI14428" s="80"/>
    </row>
    <row r="14429">
      <c r="AI14429" s="80"/>
    </row>
    <row r="14430">
      <c r="AI14430" s="80"/>
    </row>
    <row r="14431">
      <c r="AI14431" s="80"/>
    </row>
    <row r="14432">
      <c r="AI14432" s="80"/>
    </row>
    <row r="14433">
      <c r="AI14433" s="80"/>
    </row>
    <row r="14434">
      <c r="AI14434" s="80"/>
    </row>
    <row r="14435">
      <c r="AI14435" s="80"/>
    </row>
    <row r="14436">
      <c r="AI14436" s="80"/>
    </row>
    <row r="14437">
      <c r="AI14437" s="80"/>
    </row>
    <row r="14438">
      <c r="AI14438" s="80"/>
    </row>
    <row r="14439">
      <c r="AI14439" s="80"/>
    </row>
    <row r="14440">
      <c r="AI14440" s="80"/>
    </row>
    <row r="14441">
      <c r="AI14441" s="80"/>
    </row>
    <row r="14442">
      <c r="AI14442" s="80"/>
    </row>
    <row r="14443">
      <c r="AI14443" s="80"/>
    </row>
    <row r="14444">
      <c r="AI14444" s="80"/>
    </row>
    <row r="14445">
      <c r="AI14445" s="80"/>
    </row>
    <row r="14446">
      <c r="AI14446" s="80"/>
    </row>
    <row r="14447">
      <c r="AI14447" s="80"/>
    </row>
    <row r="14448">
      <c r="AI14448" s="80"/>
    </row>
    <row r="14449">
      <c r="AI14449" s="80"/>
    </row>
    <row r="14450">
      <c r="AI14450" s="80"/>
    </row>
    <row r="14451">
      <c r="AI14451" s="80"/>
    </row>
    <row r="14452">
      <c r="AI14452" s="80"/>
    </row>
    <row r="14453">
      <c r="AI14453" s="80"/>
    </row>
    <row r="14454">
      <c r="AI14454" s="80"/>
    </row>
    <row r="14455">
      <c r="AI14455" s="80"/>
    </row>
    <row r="14456">
      <c r="AI14456" s="80"/>
    </row>
    <row r="14457">
      <c r="AI14457" s="80"/>
    </row>
    <row r="14458">
      <c r="AI14458" s="80"/>
    </row>
    <row r="14459">
      <c r="AI14459" s="80"/>
    </row>
    <row r="14460">
      <c r="AI14460" s="80"/>
    </row>
    <row r="14461">
      <c r="AI14461" s="80"/>
    </row>
    <row r="14462">
      <c r="AI14462" s="80"/>
    </row>
    <row r="14463">
      <c r="AI14463" s="80"/>
    </row>
    <row r="14464">
      <c r="AI14464" s="80"/>
    </row>
    <row r="14465">
      <c r="AI14465" s="80"/>
    </row>
    <row r="14466">
      <c r="AI14466" s="80"/>
    </row>
    <row r="14467">
      <c r="AI14467" s="80"/>
    </row>
    <row r="14468">
      <c r="AI14468" s="80"/>
    </row>
    <row r="14469">
      <c r="AI14469" s="80"/>
    </row>
    <row r="14470">
      <c r="AI14470" s="80"/>
    </row>
    <row r="14471">
      <c r="AI14471" s="80"/>
    </row>
    <row r="14472">
      <c r="AI14472" s="80"/>
    </row>
    <row r="14473">
      <c r="AI14473" s="80"/>
    </row>
    <row r="14474">
      <c r="AI14474" s="80"/>
    </row>
    <row r="14475">
      <c r="AI14475" s="80"/>
    </row>
    <row r="14476">
      <c r="AI14476" s="80"/>
    </row>
    <row r="14477">
      <c r="AI14477" s="80"/>
    </row>
    <row r="14478">
      <c r="AI14478" s="80"/>
    </row>
    <row r="14479">
      <c r="AI14479" s="80"/>
    </row>
    <row r="14480">
      <c r="AI14480" s="80"/>
    </row>
    <row r="14481">
      <c r="AI14481" s="80"/>
    </row>
    <row r="14482">
      <c r="AI14482" s="80"/>
    </row>
    <row r="14483">
      <c r="AI14483" s="80"/>
    </row>
    <row r="14484">
      <c r="AI14484" s="80"/>
    </row>
    <row r="14485">
      <c r="AI14485" s="80"/>
    </row>
    <row r="14486">
      <c r="AI14486" s="80"/>
    </row>
    <row r="14487">
      <c r="AI14487" s="80"/>
    </row>
    <row r="14488">
      <c r="AI14488" s="80"/>
    </row>
    <row r="14489">
      <c r="AI14489" s="80"/>
    </row>
    <row r="14490">
      <c r="AI14490" s="80"/>
    </row>
    <row r="14491">
      <c r="AI14491" s="80"/>
    </row>
    <row r="14492">
      <c r="AI14492" s="80"/>
    </row>
    <row r="14493">
      <c r="AI14493" s="80"/>
    </row>
    <row r="14494">
      <c r="AI14494" s="80"/>
    </row>
    <row r="14495">
      <c r="AI14495" s="80"/>
    </row>
    <row r="14496">
      <c r="AI14496" s="80"/>
    </row>
    <row r="14497">
      <c r="AI14497" s="80"/>
    </row>
    <row r="14498">
      <c r="AI14498" s="80"/>
    </row>
    <row r="14499">
      <c r="AI14499" s="80"/>
    </row>
    <row r="14500">
      <c r="AI14500" s="80"/>
    </row>
    <row r="14501">
      <c r="AI14501" s="80"/>
    </row>
    <row r="14502">
      <c r="AI14502" s="80"/>
    </row>
    <row r="14503">
      <c r="AI14503" s="80"/>
    </row>
    <row r="14504">
      <c r="AI14504" s="80"/>
    </row>
    <row r="14505">
      <c r="AI14505" s="80"/>
    </row>
    <row r="14506">
      <c r="AI14506" s="80"/>
    </row>
    <row r="14507">
      <c r="AI14507" s="80"/>
    </row>
    <row r="14508">
      <c r="AI14508" s="80"/>
    </row>
    <row r="14509">
      <c r="AI14509" s="80"/>
    </row>
    <row r="14510">
      <c r="AI14510" s="80"/>
    </row>
    <row r="14511">
      <c r="AI14511" s="80"/>
    </row>
    <row r="14512">
      <c r="AI14512" s="80"/>
    </row>
    <row r="14513">
      <c r="AI14513" s="80"/>
    </row>
    <row r="14514">
      <c r="AI14514" s="80"/>
    </row>
    <row r="14515">
      <c r="AI14515" s="80"/>
    </row>
    <row r="14516">
      <c r="AI14516" s="80"/>
    </row>
    <row r="14517">
      <c r="AI14517" s="80"/>
    </row>
    <row r="14518">
      <c r="AI14518" s="80"/>
    </row>
    <row r="14519">
      <c r="AI14519" s="80"/>
    </row>
    <row r="14520">
      <c r="AI14520" s="80"/>
    </row>
    <row r="14521">
      <c r="AI14521" s="80"/>
    </row>
    <row r="14522">
      <c r="AI14522" s="80"/>
    </row>
    <row r="14523">
      <c r="AI14523" s="80"/>
    </row>
    <row r="14524">
      <c r="AI14524" s="80"/>
    </row>
    <row r="14525">
      <c r="AI14525" s="80"/>
    </row>
    <row r="14526">
      <c r="AI14526" s="80"/>
    </row>
    <row r="14527">
      <c r="AI14527" s="80"/>
    </row>
    <row r="14528">
      <c r="AI14528" s="80"/>
    </row>
    <row r="14529">
      <c r="AI14529" s="80"/>
    </row>
    <row r="14530">
      <c r="AI14530" s="80"/>
    </row>
    <row r="14531">
      <c r="AI14531" s="80"/>
    </row>
    <row r="14532">
      <c r="AI14532" s="80"/>
    </row>
    <row r="14533">
      <c r="AI14533" s="80"/>
    </row>
    <row r="14534">
      <c r="AI14534" s="80"/>
    </row>
    <row r="14535">
      <c r="AI14535" s="80"/>
    </row>
    <row r="14536">
      <c r="AI14536" s="80"/>
    </row>
    <row r="14537">
      <c r="AI14537" s="80"/>
    </row>
    <row r="14538">
      <c r="AI14538" s="80"/>
    </row>
    <row r="14539">
      <c r="AI14539" s="80"/>
    </row>
    <row r="14540">
      <c r="AI14540" s="80"/>
    </row>
    <row r="14541">
      <c r="AI14541" s="80"/>
    </row>
    <row r="14542">
      <c r="AI14542" s="80"/>
    </row>
    <row r="14543">
      <c r="AI14543" s="80"/>
    </row>
    <row r="14544">
      <c r="AI14544" s="80"/>
    </row>
    <row r="14545">
      <c r="AI14545" s="80"/>
    </row>
    <row r="14546">
      <c r="AI14546" s="80"/>
    </row>
    <row r="14547">
      <c r="AI14547" s="80"/>
    </row>
    <row r="14548">
      <c r="AI14548" s="80"/>
    </row>
    <row r="14549">
      <c r="AI14549" s="80"/>
    </row>
    <row r="14550">
      <c r="AI14550" s="80"/>
    </row>
    <row r="14551">
      <c r="AI14551" s="80"/>
    </row>
    <row r="14552">
      <c r="AI14552" s="80"/>
    </row>
    <row r="14553">
      <c r="AI14553" s="80"/>
    </row>
    <row r="14554">
      <c r="AI14554" s="80"/>
    </row>
    <row r="14555">
      <c r="AI14555" s="80"/>
    </row>
    <row r="14556">
      <c r="AI14556" s="80"/>
    </row>
    <row r="14557">
      <c r="AI14557" s="80"/>
    </row>
    <row r="14558">
      <c r="AI14558" s="80"/>
    </row>
    <row r="14559">
      <c r="AI14559" s="80"/>
    </row>
    <row r="14560">
      <c r="AI14560" s="80"/>
    </row>
    <row r="14561">
      <c r="AI14561" s="80"/>
    </row>
    <row r="14562">
      <c r="AI14562" s="80"/>
    </row>
    <row r="14563">
      <c r="AI14563" s="80"/>
    </row>
    <row r="14564">
      <c r="AI14564" s="80"/>
    </row>
    <row r="14565">
      <c r="AI14565" s="80"/>
    </row>
    <row r="14566">
      <c r="AI14566" s="80"/>
    </row>
    <row r="14567">
      <c r="AI14567" s="80"/>
    </row>
    <row r="14568">
      <c r="AI14568" s="80"/>
    </row>
    <row r="14569">
      <c r="AI14569" s="80"/>
    </row>
    <row r="14570">
      <c r="AI14570" s="80"/>
    </row>
    <row r="14571">
      <c r="AI14571" s="80"/>
    </row>
    <row r="14572">
      <c r="AI14572" s="80"/>
    </row>
    <row r="14573">
      <c r="AI14573" s="80"/>
    </row>
    <row r="14574">
      <c r="AI14574" s="80"/>
    </row>
    <row r="14575">
      <c r="AI14575" s="80"/>
    </row>
    <row r="14576">
      <c r="AI14576" s="80"/>
    </row>
    <row r="14577">
      <c r="AI14577" s="80"/>
    </row>
    <row r="14578">
      <c r="AI14578" s="80"/>
    </row>
    <row r="14579">
      <c r="AI14579" s="80"/>
    </row>
    <row r="14580">
      <c r="AI14580" s="80"/>
    </row>
    <row r="14581">
      <c r="AI14581" s="80"/>
    </row>
    <row r="14582">
      <c r="AI14582" s="80"/>
    </row>
    <row r="14583">
      <c r="AI14583" s="80"/>
    </row>
    <row r="14584">
      <c r="AI14584" s="80"/>
    </row>
    <row r="14585">
      <c r="AI14585" s="80"/>
    </row>
    <row r="14586">
      <c r="AI14586" s="80"/>
    </row>
    <row r="14587">
      <c r="AI14587" s="80"/>
    </row>
    <row r="14588">
      <c r="AI14588" s="80"/>
    </row>
    <row r="14589">
      <c r="AI14589" s="80"/>
    </row>
    <row r="14590">
      <c r="AI14590" s="80"/>
    </row>
    <row r="14591">
      <c r="AI14591" s="80"/>
    </row>
    <row r="14592">
      <c r="AI14592" s="80"/>
    </row>
    <row r="14593">
      <c r="AI14593" s="80"/>
    </row>
    <row r="14594">
      <c r="AI14594" s="80"/>
    </row>
    <row r="14595">
      <c r="AI14595" s="80"/>
    </row>
    <row r="14596">
      <c r="AI14596" s="80"/>
    </row>
    <row r="14597">
      <c r="AI14597" s="80"/>
    </row>
    <row r="14598">
      <c r="AI14598" s="80"/>
    </row>
    <row r="14599">
      <c r="AI14599" s="80"/>
    </row>
    <row r="14600">
      <c r="AI14600" s="80"/>
    </row>
    <row r="14601">
      <c r="AI14601" s="80"/>
    </row>
    <row r="14602">
      <c r="AI14602" s="80"/>
    </row>
    <row r="14603">
      <c r="AI14603" s="80"/>
    </row>
    <row r="14604">
      <c r="AI14604" s="80"/>
    </row>
    <row r="14605">
      <c r="AI14605" s="80"/>
    </row>
    <row r="14606">
      <c r="AI14606" s="80"/>
    </row>
    <row r="14607">
      <c r="AI14607" s="80"/>
    </row>
    <row r="14608">
      <c r="AI14608" s="80"/>
    </row>
    <row r="14609">
      <c r="AI14609" s="80"/>
    </row>
    <row r="14610">
      <c r="AI14610" s="80"/>
    </row>
    <row r="14611">
      <c r="AI14611" s="80"/>
    </row>
    <row r="14612">
      <c r="AI14612" s="80"/>
    </row>
    <row r="14613">
      <c r="AI14613" s="80"/>
    </row>
    <row r="14614">
      <c r="AI14614" s="80"/>
    </row>
    <row r="14615">
      <c r="AI14615" s="80"/>
    </row>
    <row r="14616">
      <c r="AI14616" s="80"/>
    </row>
    <row r="14617">
      <c r="AI14617" s="80"/>
    </row>
    <row r="14618">
      <c r="AI14618" s="80"/>
    </row>
    <row r="14619">
      <c r="AI14619" s="80"/>
    </row>
    <row r="14620">
      <c r="AI14620" s="80"/>
    </row>
    <row r="14621">
      <c r="AI14621" s="80"/>
    </row>
    <row r="14622">
      <c r="AI14622" s="80"/>
    </row>
    <row r="14623">
      <c r="AI14623" s="80"/>
    </row>
    <row r="14624">
      <c r="AI14624" s="80"/>
    </row>
    <row r="14625">
      <c r="AI14625" s="80"/>
    </row>
    <row r="14626">
      <c r="AI14626" s="80"/>
    </row>
    <row r="14627">
      <c r="AI14627" s="80"/>
    </row>
    <row r="14628">
      <c r="AI14628" s="80"/>
    </row>
    <row r="14629">
      <c r="AI14629" s="80"/>
    </row>
    <row r="14630">
      <c r="AI14630" s="80"/>
    </row>
    <row r="14631">
      <c r="AI14631" s="80"/>
    </row>
    <row r="14632">
      <c r="AI14632" s="80"/>
    </row>
    <row r="14633">
      <c r="AI14633" s="80"/>
    </row>
    <row r="14634">
      <c r="AI14634" s="80"/>
    </row>
    <row r="14635">
      <c r="AI14635" s="80"/>
    </row>
    <row r="14636">
      <c r="AI14636" s="80"/>
    </row>
    <row r="14637">
      <c r="AI14637" s="80"/>
    </row>
    <row r="14638">
      <c r="AI14638" s="80"/>
    </row>
    <row r="14639">
      <c r="AI14639" s="80"/>
    </row>
    <row r="14640">
      <c r="AI14640" s="80"/>
    </row>
    <row r="14641">
      <c r="AI14641" s="80"/>
    </row>
    <row r="14642">
      <c r="AI14642" s="80"/>
    </row>
    <row r="14643">
      <c r="AI14643" s="80"/>
    </row>
    <row r="14644">
      <c r="AI14644" s="80"/>
    </row>
    <row r="14645">
      <c r="AI14645" s="80"/>
    </row>
    <row r="14646">
      <c r="AI14646" s="80"/>
    </row>
    <row r="14647">
      <c r="AI14647" s="80"/>
    </row>
    <row r="14648">
      <c r="AI14648" s="80"/>
    </row>
    <row r="14649">
      <c r="AI14649" s="80"/>
    </row>
    <row r="14650">
      <c r="AI14650" s="80"/>
    </row>
    <row r="14651">
      <c r="AI14651" s="80"/>
    </row>
    <row r="14652">
      <c r="AI14652" s="80"/>
    </row>
    <row r="14653">
      <c r="AI14653" s="80"/>
    </row>
    <row r="14654">
      <c r="AI14654" s="80"/>
    </row>
    <row r="14655">
      <c r="AI14655" s="80"/>
    </row>
    <row r="14656">
      <c r="AI14656" s="80"/>
    </row>
    <row r="14657">
      <c r="AI14657" s="80"/>
    </row>
    <row r="14658">
      <c r="AI14658" s="80"/>
    </row>
    <row r="14659">
      <c r="AI14659" s="80"/>
    </row>
    <row r="14660">
      <c r="AI14660" s="80"/>
    </row>
    <row r="14661">
      <c r="AI14661" s="80"/>
    </row>
    <row r="14662">
      <c r="AI14662" s="80"/>
    </row>
    <row r="14663">
      <c r="AI14663" s="80"/>
    </row>
    <row r="14664">
      <c r="AI14664" s="80"/>
    </row>
    <row r="14665">
      <c r="AI14665" s="80"/>
    </row>
    <row r="14666">
      <c r="AI14666" s="80"/>
    </row>
    <row r="14667">
      <c r="AI14667" s="80"/>
    </row>
    <row r="14668">
      <c r="AI14668" s="80"/>
    </row>
    <row r="14669">
      <c r="AI14669" s="80"/>
    </row>
    <row r="14670">
      <c r="AI14670" s="80"/>
    </row>
    <row r="14671">
      <c r="AI14671" s="80"/>
    </row>
    <row r="14672">
      <c r="AI14672" s="80"/>
    </row>
    <row r="14673">
      <c r="AI14673" s="80"/>
    </row>
    <row r="14674">
      <c r="AI14674" s="80"/>
    </row>
    <row r="14675">
      <c r="AI14675" s="80"/>
    </row>
    <row r="14676">
      <c r="AI14676" s="80"/>
    </row>
    <row r="14677">
      <c r="AI14677" s="80"/>
    </row>
    <row r="14678">
      <c r="AI14678" s="80"/>
    </row>
    <row r="14679">
      <c r="AI14679" s="80"/>
    </row>
    <row r="14680">
      <c r="AI14680" s="80"/>
    </row>
    <row r="14681">
      <c r="AI14681" s="80"/>
    </row>
    <row r="14682">
      <c r="AI14682" s="80"/>
    </row>
    <row r="14683">
      <c r="AI14683" s="80"/>
    </row>
    <row r="14684">
      <c r="AI14684" s="80"/>
    </row>
    <row r="14685">
      <c r="AI14685" s="80"/>
    </row>
    <row r="14686">
      <c r="AI14686" s="80"/>
    </row>
    <row r="14687">
      <c r="AI14687" s="80"/>
    </row>
    <row r="14688">
      <c r="AI14688" s="80"/>
    </row>
    <row r="14689">
      <c r="AI14689" s="80"/>
    </row>
    <row r="14690">
      <c r="AI14690" s="80"/>
    </row>
    <row r="14691">
      <c r="AI14691" s="80"/>
    </row>
    <row r="14692">
      <c r="AI14692" s="80"/>
    </row>
    <row r="14693">
      <c r="AI14693" s="80"/>
    </row>
    <row r="14694">
      <c r="AI14694" s="80"/>
    </row>
    <row r="14695">
      <c r="AI14695" s="80"/>
    </row>
    <row r="14696">
      <c r="AI14696" s="80"/>
    </row>
    <row r="14697">
      <c r="AI14697" s="80"/>
    </row>
    <row r="14698">
      <c r="AI14698" s="80"/>
    </row>
    <row r="14699">
      <c r="AI14699" s="80"/>
    </row>
    <row r="14700">
      <c r="AI14700" s="80"/>
    </row>
    <row r="14701">
      <c r="AI14701" s="80"/>
    </row>
    <row r="14702">
      <c r="AI14702" s="80"/>
    </row>
    <row r="14703">
      <c r="AI14703" s="80"/>
    </row>
    <row r="14704">
      <c r="AI14704" s="80"/>
    </row>
    <row r="14705">
      <c r="AI14705" s="80"/>
    </row>
    <row r="14706">
      <c r="AI14706" s="80"/>
    </row>
    <row r="14707">
      <c r="AI14707" s="80"/>
    </row>
    <row r="14708">
      <c r="AI14708" s="80"/>
    </row>
    <row r="14709">
      <c r="AI14709" s="80"/>
    </row>
    <row r="14710">
      <c r="AI14710" s="80"/>
    </row>
    <row r="14711">
      <c r="AI14711" s="80"/>
    </row>
    <row r="14712">
      <c r="AI14712" s="80"/>
    </row>
    <row r="14713">
      <c r="AI14713" s="80"/>
    </row>
    <row r="14714">
      <c r="AI14714" s="80"/>
    </row>
    <row r="14715">
      <c r="AI14715" s="80"/>
    </row>
    <row r="14716">
      <c r="AI14716" s="80"/>
    </row>
    <row r="14717">
      <c r="AI14717" s="80"/>
    </row>
    <row r="14718">
      <c r="AI14718" s="80"/>
    </row>
    <row r="14719">
      <c r="AI14719" s="80"/>
    </row>
    <row r="14720">
      <c r="AI14720" s="80"/>
    </row>
    <row r="14721">
      <c r="AI14721" s="80"/>
    </row>
    <row r="14722">
      <c r="AI14722" s="80"/>
    </row>
    <row r="14723">
      <c r="AI14723" s="80"/>
    </row>
    <row r="14724">
      <c r="AI14724" s="80"/>
    </row>
    <row r="14725">
      <c r="AI14725" s="80"/>
    </row>
    <row r="14726">
      <c r="AI14726" s="80"/>
    </row>
    <row r="14727">
      <c r="AI14727" s="80"/>
    </row>
    <row r="14728">
      <c r="AI14728" s="80"/>
    </row>
    <row r="14729">
      <c r="AI14729" s="80"/>
    </row>
    <row r="14730">
      <c r="AI14730" s="80"/>
    </row>
    <row r="14731">
      <c r="AI14731" s="80"/>
    </row>
    <row r="14732">
      <c r="AI14732" s="80"/>
    </row>
    <row r="14733">
      <c r="AI14733" s="80"/>
    </row>
    <row r="14734">
      <c r="AI14734" s="80"/>
    </row>
    <row r="14735">
      <c r="AI14735" s="80"/>
    </row>
    <row r="14736">
      <c r="AI14736" s="80"/>
    </row>
    <row r="14737">
      <c r="AI14737" s="80"/>
    </row>
    <row r="14738">
      <c r="AI14738" s="80"/>
    </row>
    <row r="14739">
      <c r="AI14739" s="80"/>
    </row>
    <row r="14740">
      <c r="AI14740" s="80"/>
    </row>
    <row r="14741">
      <c r="AI14741" s="80"/>
    </row>
    <row r="14742">
      <c r="AI14742" s="80"/>
    </row>
    <row r="14743">
      <c r="AI14743" s="80"/>
    </row>
    <row r="14744">
      <c r="AI14744" s="80"/>
    </row>
    <row r="14745">
      <c r="AI14745" s="80"/>
    </row>
    <row r="14746">
      <c r="AI14746" s="80"/>
    </row>
    <row r="14747">
      <c r="AI14747" s="80"/>
    </row>
    <row r="14748">
      <c r="AI14748" s="80"/>
    </row>
    <row r="14749">
      <c r="AI14749" s="80"/>
    </row>
    <row r="14750">
      <c r="AI14750" s="80"/>
    </row>
    <row r="14751">
      <c r="AI14751" s="80"/>
    </row>
    <row r="14752">
      <c r="AI14752" s="80"/>
    </row>
    <row r="14753">
      <c r="AI14753" s="80"/>
    </row>
    <row r="14754">
      <c r="AI14754" s="80"/>
    </row>
    <row r="14755">
      <c r="AI14755" s="80"/>
    </row>
    <row r="14756">
      <c r="AI14756" s="80"/>
    </row>
    <row r="14757">
      <c r="AI14757" s="80"/>
    </row>
    <row r="14758">
      <c r="AI14758" s="80"/>
    </row>
    <row r="14759">
      <c r="AI14759" s="80"/>
    </row>
    <row r="14760">
      <c r="AI14760" s="80"/>
    </row>
    <row r="14761">
      <c r="AI14761" s="80"/>
    </row>
    <row r="14762">
      <c r="AI14762" s="80"/>
    </row>
    <row r="14763">
      <c r="AI14763" s="80"/>
    </row>
    <row r="14764">
      <c r="AI14764" s="80"/>
    </row>
    <row r="14765">
      <c r="AI14765" s="80"/>
    </row>
    <row r="14766">
      <c r="AI14766" s="80"/>
    </row>
    <row r="14767">
      <c r="AI14767" s="80"/>
    </row>
    <row r="14768">
      <c r="AI14768" s="80"/>
    </row>
    <row r="14769">
      <c r="AI14769" s="80"/>
    </row>
    <row r="14770">
      <c r="AI14770" s="80"/>
    </row>
    <row r="14771">
      <c r="AI14771" s="80"/>
    </row>
    <row r="14772">
      <c r="AI14772" s="80"/>
    </row>
    <row r="14773">
      <c r="AI14773" s="80"/>
    </row>
    <row r="14774">
      <c r="AI14774" s="80"/>
    </row>
    <row r="14775">
      <c r="AI14775" s="80"/>
    </row>
    <row r="14776">
      <c r="AI14776" s="80"/>
    </row>
    <row r="14777">
      <c r="AI14777" s="80"/>
    </row>
    <row r="14778">
      <c r="AI14778" s="80"/>
    </row>
    <row r="14779">
      <c r="AI14779" s="80"/>
    </row>
    <row r="14780">
      <c r="AI14780" s="80"/>
    </row>
    <row r="14781">
      <c r="AI14781" s="80"/>
    </row>
    <row r="14782">
      <c r="AI14782" s="80"/>
    </row>
    <row r="14783">
      <c r="AI14783" s="80"/>
    </row>
    <row r="14784">
      <c r="AI14784" s="80"/>
    </row>
    <row r="14785">
      <c r="AI14785" s="80"/>
    </row>
    <row r="14786">
      <c r="AI14786" s="80"/>
    </row>
    <row r="14787">
      <c r="AI14787" s="80"/>
    </row>
    <row r="14788">
      <c r="AI14788" s="80"/>
    </row>
    <row r="14789">
      <c r="AI14789" s="80"/>
    </row>
    <row r="14790">
      <c r="AI14790" s="80"/>
    </row>
    <row r="14791">
      <c r="AI14791" s="80"/>
    </row>
    <row r="14792">
      <c r="AI14792" s="80"/>
    </row>
    <row r="14793">
      <c r="AI14793" s="80"/>
    </row>
    <row r="14794">
      <c r="AI14794" s="80"/>
    </row>
    <row r="14795">
      <c r="AI14795" s="80"/>
    </row>
    <row r="14796">
      <c r="AI14796" s="80"/>
    </row>
    <row r="14797">
      <c r="AI14797" s="80"/>
    </row>
    <row r="14798">
      <c r="AI14798" s="80"/>
    </row>
    <row r="14799">
      <c r="AI14799" s="80"/>
    </row>
    <row r="14800">
      <c r="AI14800" s="80"/>
    </row>
    <row r="14801">
      <c r="AI14801" s="80"/>
    </row>
    <row r="14802">
      <c r="AI14802" s="80"/>
    </row>
    <row r="14803">
      <c r="AI14803" s="80"/>
    </row>
    <row r="14804">
      <c r="AI14804" s="80"/>
    </row>
    <row r="14805">
      <c r="AI14805" s="80"/>
    </row>
    <row r="14806">
      <c r="AI14806" s="80"/>
    </row>
    <row r="14807">
      <c r="AI14807" s="80"/>
    </row>
    <row r="14808">
      <c r="AI14808" s="80"/>
    </row>
    <row r="14809">
      <c r="AI14809" s="80"/>
    </row>
    <row r="14810">
      <c r="AI14810" s="80"/>
    </row>
    <row r="14811">
      <c r="AI14811" s="80"/>
    </row>
    <row r="14812">
      <c r="AI14812" s="80"/>
    </row>
    <row r="14813">
      <c r="AI14813" s="80"/>
    </row>
    <row r="14814">
      <c r="AI14814" s="80"/>
    </row>
    <row r="14815">
      <c r="AI14815" s="80"/>
    </row>
    <row r="14816">
      <c r="AI14816" s="80"/>
    </row>
    <row r="14817">
      <c r="AI14817" s="80"/>
    </row>
    <row r="14818">
      <c r="AI14818" s="80"/>
    </row>
    <row r="14819">
      <c r="AI14819" s="80"/>
    </row>
    <row r="14820">
      <c r="AI14820" s="80"/>
    </row>
    <row r="14821">
      <c r="AI14821" s="80"/>
    </row>
    <row r="14822">
      <c r="AI14822" s="80"/>
    </row>
    <row r="14823">
      <c r="AI14823" s="80"/>
    </row>
    <row r="14824">
      <c r="AI14824" s="80"/>
    </row>
    <row r="14825">
      <c r="AI14825" s="80"/>
    </row>
    <row r="14826">
      <c r="AI14826" s="80"/>
    </row>
    <row r="14827">
      <c r="AI14827" s="80"/>
    </row>
    <row r="14828">
      <c r="AI14828" s="80"/>
    </row>
    <row r="14829">
      <c r="AI14829" s="80"/>
    </row>
    <row r="14830">
      <c r="AI14830" s="80"/>
    </row>
    <row r="14831">
      <c r="AI14831" s="80"/>
    </row>
    <row r="14832">
      <c r="AI14832" s="80"/>
    </row>
    <row r="14833">
      <c r="AI14833" s="80"/>
    </row>
    <row r="14834">
      <c r="AI14834" s="80"/>
    </row>
    <row r="14835">
      <c r="AI14835" s="80"/>
    </row>
    <row r="14836">
      <c r="AI14836" s="80"/>
    </row>
    <row r="14837">
      <c r="AI14837" s="80"/>
    </row>
    <row r="14838">
      <c r="AI14838" s="80"/>
    </row>
    <row r="14839">
      <c r="AI14839" s="80"/>
    </row>
    <row r="14840">
      <c r="AI14840" s="80"/>
    </row>
    <row r="14841">
      <c r="AI14841" s="80"/>
    </row>
    <row r="14842">
      <c r="AI14842" s="80"/>
    </row>
    <row r="14843">
      <c r="AI14843" s="80"/>
    </row>
    <row r="14844">
      <c r="AI14844" s="80"/>
    </row>
    <row r="14845">
      <c r="AI14845" s="80"/>
    </row>
    <row r="14846">
      <c r="AI14846" s="80"/>
    </row>
    <row r="14847">
      <c r="AI14847" s="80"/>
    </row>
    <row r="14848">
      <c r="AI14848" s="80"/>
    </row>
    <row r="14849">
      <c r="AI14849" s="80"/>
    </row>
    <row r="14850">
      <c r="AI14850" s="80"/>
    </row>
    <row r="14851">
      <c r="AI14851" s="80"/>
    </row>
    <row r="14852">
      <c r="AI14852" s="80"/>
    </row>
    <row r="14853">
      <c r="AI14853" s="80"/>
    </row>
    <row r="14854">
      <c r="AI14854" s="80"/>
    </row>
    <row r="14855">
      <c r="AI14855" s="80"/>
    </row>
    <row r="14856">
      <c r="AI14856" s="80"/>
    </row>
    <row r="14857">
      <c r="AI14857" s="80"/>
    </row>
    <row r="14858">
      <c r="AI14858" s="80"/>
    </row>
    <row r="14859">
      <c r="AI14859" s="80"/>
    </row>
    <row r="14860">
      <c r="AI14860" s="80"/>
    </row>
    <row r="14861">
      <c r="AI14861" s="80"/>
    </row>
    <row r="14862">
      <c r="AI14862" s="80"/>
    </row>
    <row r="14863">
      <c r="AI14863" s="80"/>
    </row>
    <row r="14864">
      <c r="AI14864" s="80"/>
    </row>
    <row r="14865">
      <c r="AI14865" s="80"/>
    </row>
    <row r="14866">
      <c r="AI14866" s="80"/>
    </row>
    <row r="14867">
      <c r="AI14867" s="80"/>
    </row>
    <row r="14868">
      <c r="AI14868" s="80"/>
    </row>
    <row r="14869">
      <c r="AI14869" s="80"/>
    </row>
    <row r="14870">
      <c r="AI14870" s="80"/>
    </row>
    <row r="14871">
      <c r="AI14871" s="80"/>
    </row>
    <row r="14872">
      <c r="AI14872" s="80"/>
    </row>
    <row r="14873">
      <c r="AI14873" s="80"/>
    </row>
    <row r="14874">
      <c r="AI14874" s="80"/>
    </row>
    <row r="14875">
      <c r="AI14875" s="80"/>
    </row>
    <row r="14876">
      <c r="AI14876" s="80"/>
    </row>
    <row r="14877">
      <c r="AI14877" s="80"/>
    </row>
    <row r="14878">
      <c r="AI14878" s="80"/>
    </row>
    <row r="14879">
      <c r="AI14879" s="80"/>
    </row>
    <row r="14880">
      <c r="AI14880" s="80"/>
    </row>
    <row r="14881">
      <c r="AI14881" s="80"/>
    </row>
    <row r="14882">
      <c r="AI14882" s="80"/>
    </row>
    <row r="14883">
      <c r="AI14883" s="80"/>
    </row>
    <row r="14884">
      <c r="AI14884" s="80"/>
    </row>
    <row r="14885">
      <c r="AI14885" s="80"/>
    </row>
    <row r="14886">
      <c r="AI14886" s="80"/>
    </row>
    <row r="14887">
      <c r="AI14887" s="80"/>
    </row>
    <row r="14888">
      <c r="AI14888" s="80"/>
    </row>
    <row r="14889">
      <c r="AI14889" s="80"/>
    </row>
    <row r="14890">
      <c r="AI14890" s="80"/>
    </row>
    <row r="14891">
      <c r="AI14891" s="80"/>
    </row>
    <row r="14892">
      <c r="AI14892" s="80"/>
    </row>
    <row r="14893">
      <c r="AI14893" s="80"/>
    </row>
    <row r="14894">
      <c r="AI14894" s="80"/>
    </row>
    <row r="14895">
      <c r="AI14895" s="80"/>
    </row>
    <row r="14896">
      <c r="AI14896" s="80"/>
    </row>
    <row r="14897">
      <c r="AI14897" s="80"/>
    </row>
    <row r="14898">
      <c r="AI14898" s="80"/>
    </row>
    <row r="14899">
      <c r="AI14899" s="80"/>
    </row>
    <row r="14900">
      <c r="AI14900" s="80"/>
    </row>
    <row r="14901">
      <c r="AI14901" s="80"/>
    </row>
    <row r="14902">
      <c r="AI14902" s="80"/>
    </row>
    <row r="14903">
      <c r="AI14903" s="80"/>
    </row>
    <row r="14904">
      <c r="AI14904" s="80"/>
    </row>
    <row r="14905">
      <c r="AI14905" s="80"/>
    </row>
    <row r="14906">
      <c r="AI14906" s="80"/>
    </row>
    <row r="14907">
      <c r="AI14907" s="80"/>
    </row>
    <row r="14908">
      <c r="AI14908" s="80"/>
    </row>
    <row r="14909">
      <c r="AI14909" s="80"/>
    </row>
    <row r="14910">
      <c r="AI14910" s="80"/>
    </row>
    <row r="14911">
      <c r="AI14911" s="80"/>
    </row>
    <row r="14912">
      <c r="AI14912" s="80"/>
    </row>
    <row r="14913">
      <c r="AI14913" s="80"/>
    </row>
    <row r="14914">
      <c r="AI14914" s="80"/>
    </row>
    <row r="14915">
      <c r="AI14915" s="80"/>
    </row>
    <row r="14916">
      <c r="AI14916" s="80"/>
    </row>
    <row r="14917">
      <c r="AI14917" s="80"/>
    </row>
    <row r="14918">
      <c r="AI14918" s="80"/>
    </row>
    <row r="14919">
      <c r="AI14919" s="80"/>
    </row>
    <row r="14920">
      <c r="AI14920" s="80"/>
    </row>
    <row r="14921">
      <c r="AI14921" s="80"/>
    </row>
    <row r="14922">
      <c r="AI14922" s="80"/>
    </row>
    <row r="14923">
      <c r="AI14923" s="80"/>
    </row>
    <row r="14924">
      <c r="AI14924" s="80"/>
    </row>
    <row r="14925">
      <c r="AI14925" s="80"/>
    </row>
    <row r="14926">
      <c r="AI14926" s="80"/>
    </row>
    <row r="14927">
      <c r="AI14927" s="80"/>
    </row>
    <row r="14928">
      <c r="AI14928" s="80"/>
    </row>
    <row r="14929">
      <c r="AI14929" s="80"/>
    </row>
    <row r="14930">
      <c r="AI14930" s="80"/>
    </row>
    <row r="14931">
      <c r="AI14931" s="80"/>
    </row>
    <row r="14932">
      <c r="AI14932" s="80"/>
    </row>
    <row r="14933">
      <c r="AI14933" s="80"/>
    </row>
    <row r="14934">
      <c r="AI14934" s="80"/>
    </row>
    <row r="14935">
      <c r="AI14935" s="80"/>
    </row>
    <row r="14936">
      <c r="AI14936" s="80"/>
    </row>
    <row r="14937">
      <c r="AI14937" s="80"/>
    </row>
    <row r="14938">
      <c r="AI14938" s="80"/>
    </row>
    <row r="14939">
      <c r="AI14939" s="80"/>
    </row>
    <row r="14940">
      <c r="AI14940" s="80"/>
    </row>
    <row r="14941">
      <c r="AI14941" s="80"/>
    </row>
    <row r="14942">
      <c r="AI14942" s="80"/>
    </row>
    <row r="14943">
      <c r="AI14943" s="80"/>
    </row>
    <row r="14944">
      <c r="AI14944" s="80"/>
    </row>
    <row r="14945">
      <c r="AI14945" s="80"/>
    </row>
    <row r="14946">
      <c r="AI14946" s="80"/>
    </row>
    <row r="14947">
      <c r="AI14947" s="80"/>
    </row>
    <row r="14948">
      <c r="AI14948" s="80"/>
    </row>
    <row r="14949">
      <c r="AI14949" s="80"/>
    </row>
    <row r="14950">
      <c r="AI14950" s="80"/>
    </row>
    <row r="14951">
      <c r="AI14951" s="80"/>
    </row>
    <row r="14952">
      <c r="AI14952" s="80"/>
    </row>
    <row r="14953">
      <c r="AI14953" s="80"/>
    </row>
    <row r="14954">
      <c r="AI14954" s="80"/>
    </row>
    <row r="14955">
      <c r="AI14955" s="80"/>
    </row>
    <row r="14956">
      <c r="AI14956" s="80"/>
    </row>
    <row r="14957">
      <c r="AI14957" s="80"/>
    </row>
    <row r="14958">
      <c r="AI14958" s="80"/>
    </row>
    <row r="14959">
      <c r="AI14959" s="80"/>
    </row>
    <row r="14960">
      <c r="AI14960" s="80"/>
    </row>
    <row r="14961">
      <c r="AI14961" s="80"/>
    </row>
    <row r="14962">
      <c r="AI14962" s="80"/>
    </row>
    <row r="14963">
      <c r="AI14963" s="80"/>
    </row>
    <row r="14964">
      <c r="AI14964" s="80"/>
    </row>
    <row r="14965">
      <c r="AI14965" s="80"/>
    </row>
    <row r="14966">
      <c r="AI14966" s="80"/>
    </row>
    <row r="14967">
      <c r="AI14967" s="80"/>
    </row>
    <row r="14968">
      <c r="AI14968" s="80"/>
    </row>
    <row r="14969">
      <c r="AI14969" s="80"/>
    </row>
    <row r="14970">
      <c r="AI14970" s="80"/>
    </row>
    <row r="14971">
      <c r="AI14971" s="80"/>
    </row>
    <row r="14972">
      <c r="AI14972" s="80"/>
    </row>
    <row r="14973">
      <c r="AI14973" s="80"/>
    </row>
    <row r="14974">
      <c r="AI14974" s="80"/>
    </row>
    <row r="14975">
      <c r="AI14975" s="80"/>
    </row>
    <row r="14976">
      <c r="AI14976" s="80"/>
    </row>
    <row r="14977">
      <c r="AI14977" s="80"/>
    </row>
    <row r="14978">
      <c r="AI14978" s="80"/>
    </row>
    <row r="14979">
      <c r="AI14979" s="80"/>
    </row>
    <row r="14980">
      <c r="AI14980" s="80"/>
    </row>
    <row r="14981">
      <c r="AI14981" s="80"/>
    </row>
    <row r="14982">
      <c r="AI14982" s="80"/>
    </row>
    <row r="14983">
      <c r="AI14983" s="80"/>
    </row>
    <row r="14984">
      <c r="AI14984" s="80"/>
    </row>
    <row r="14985">
      <c r="AI14985" s="80"/>
    </row>
    <row r="14986">
      <c r="AI14986" s="80"/>
    </row>
    <row r="14987">
      <c r="AI14987" s="80"/>
    </row>
    <row r="14988">
      <c r="AI14988" s="80"/>
    </row>
    <row r="14989">
      <c r="AI14989" s="80"/>
    </row>
    <row r="14990">
      <c r="AI14990" s="80"/>
    </row>
    <row r="14991">
      <c r="AI14991" s="80"/>
    </row>
    <row r="14992">
      <c r="AI14992" s="80"/>
    </row>
    <row r="14993">
      <c r="AI14993" s="80"/>
    </row>
    <row r="14994">
      <c r="AI14994" s="80"/>
    </row>
    <row r="14995">
      <c r="AI14995" s="80"/>
    </row>
    <row r="14996">
      <c r="AI14996" s="80"/>
    </row>
    <row r="14997">
      <c r="AI14997" s="80"/>
    </row>
    <row r="14998">
      <c r="AI14998" s="80"/>
    </row>
    <row r="14999">
      <c r="AI14999" s="80"/>
    </row>
    <row r="15000">
      <c r="AI15000" s="80"/>
    </row>
    <row r="15001">
      <c r="AI15001" s="80"/>
    </row>
    <row r="15002">
      <c r="AI15002" s="80"/>
    </row>
    <row r="15003">
      <c r="AI15003" s="80"/>
    </row>
    <row r="15004">
      <c r="AI15004" s="80"/>
    </row>
    <row r="15005">
      <c r="AI15005" s="80"/>
    </row>
    <row r="15006">
      <c r="AI15006" s="80"/>
    </row>
    <row r="15007">
      <c r="AI15007" s="80"/>
    </row>
    <row r="15008">
      <c r="AI15008" s="80"/>
    </row>
    <row r="15009">
      <c r="AI15009" s="80"/>
    </row>
    <row r="15010">
      <c r="AI15010" s="80"/>
    </row>
    <row r="15011">
      <c r="AI15011" s="80"/>
    </row>
    <row r="15012">
      <c r="AI15012" s="80"/>
    </row>
    <row r="15013">
      <c r="AI15013" s="80"/>
    </row>
    <row r="15014">
      <c r="AI15014" s="80"/>
    </row>
    <row r="15015">
      <c r="AI15015" s="80"/>
    </row>
    <row r="15016">
      <c r="AI15016" s="80"/>
    </row>
    <row r="15017">
      <c r="AI15017" s="80"/>
    </row>
    <row r="15018">
      <c r="AI15018" s="80"/>
    </row>
    <row r="15019">
      <c r="AI15019" s="80"/>
    </row>
    <row r="15020">
      <c r="AI15020" s="80"/>
    </row>
    <row r="15021">
      <c r="AI15021" s="80"/>
    </row>
    <row r="15022">
      <c r="AI15022" s="80"/>
    </row>
    <row r="15023">
      <c r="AI15023" s="80"/>
    </row>
    <row r="15024">
      <c r="AI15024" s="80"/>
    </row>
    <row r="15025">
      <c r="AI15025" s="80"/>
    </row>
    <row r="15026">
      <c r="AI15026" s="80"/>
    </row>
    <row r="15027">
      <c r="AI15027" s="80"/>
    </row>
    <row r="15028">
      <c r="AI15028" s="80"/>
    </row>
    <row r="15029">
      <c r="AI15029" s="80"/>
    </row>
    <row r="15030">
      <c r="AI15030" s="80"/>
    </row>
    <row r="15031">
      <c r="AI15031" s="80"/>
    </row>
    <row r="15032">
      <c r="AI15032" s="80"/>
    </row>
    <row r="15033">
      <c r="AI15033" s="80"/>
    </row>
    <row r="15034">
      <c r="AI15034" s="80"/>
    </row>
    <row r="15035">
      <c r="AI15035" s="80"/>
    </row>
    <row r="15036">
      <c r="AI15036" s="80"/>
    </row>
    <row r="15037">
      <c r="AI15037" s="80"/>
    </row>
    <row r="15038">
      <c r="AI15038" s="80"/>
    </row>
    <row r="15039">
      <c r="AI15039" s="80"/>
    </row>
    <row r="15040">
      <c r="AI15040" s="80"/>
    </row>
    <row r="15041">
      <c r="AI15041" s="80"/>
    </row>
    <row r="15042">
      <c r="AI15042" s="80"/>
    </row>
    <row r="15043">
      <c r="AI15043" s="80"/>
    </row>
    <row r="15044">
      <c r="AI15044" s="80"/>
    </row>
    <row r="15045">
      <c r="AI15045" s="80"/>
    </row>
    <row r="15046">
      <c r="AI15046" s="80"/>
    </row>
    <row r="15047">
      <c r="AI15047" s="80"/>
    </row>
    <row r="15048">
      <c r="AI15048" s="80"/>
    </row>
    <row r="15049">
      <c r="AI15049" s="80"/>
    </row>
    <row r="15050">
      <c r="AI15050" s="80"/>
    </row>
    <row r="15051">
      <c r="AI15051" s="80"/>
    </row>
    <row r="15052">
      <c r="AI15052" s="80"/>
    </row>
    <row r="15053">
      <c r="AI15053" s="80"/>
    </row>
    <row r="15054">
      <c r="AI15054" s="80"/>
    </row>
    <row r="15055">
      <c r="AI15055" s="80"/>
    </row>
    <row r="15056">
      <c r="AI15056" s="80"/>
    </row>
    <row r="15057">
      <c r="AI15057" s="80"/>
    </row>
    <row r="15058">
      <c r="AI15058" s="80"/>
    </row>
    <row r="15059">
      <c r="AI15059" s="80"/>
    </row>
    <row r="15060">
      <c r="AI15060" s="80"/>
    </row>
    <row r="15061">
      <c r="AI15061" s="80"/>
    </row>
    <row r="15062">
      <c r="AI15062" s="80"/>
    </row>
    <row r="15063">
      <c r="AI15063" s="80"/>
    </row>
    <row r="15064">
      <c r="AI15064" s="80"/>
    </row>
    <row r="15065">
      <c r="AI15065" s="80"/>
    </row>
    <row r="15066">
      <c r="AI15066" s="80"/>
    </row>
    <row r="15067">
      <c r="AI15067" s="80"/>
    </row>
    <row r="15068">
      <c r="AI15068" s="80"/>
    </row>
    <row r="15069">
      <c r="AI15069" s="80"/>
    </row>
    <row r="15070">
      <c r="AI15070" s="80"/>
    </row>
    <row r="15071">
      <c r="AI15071" s="80"/>
    </row>
    <row r="15072">
      <c r="AI15072" s="80"/>
    </row>
    <row r="15073">
      <c r="AI15073" s="80"/>
    </row>
    <row r="15074">
      <c r="AI15074" s="80"/>
    </row>
    <row r="15075">
      <c r="AI15075" s="80"/>
    </row>
    <row r="15076">
      <c r="AI15076" s="80"/>
    </row>
    <row r="15077">
      <c r="AI15077" s="80"/>
    </row>
    <row r="15078">
      <c r="AI15078" s="80"/>
    </row>
    <row r="15079">
      <c r="AI15079" s="80"/>
    </row>
    <row r="15080">
      <c r="AI15080" s="80"/>
    </row>
    <row r="15081">
      <c r="AI15081" s="80"/>
    </row>
    <row r="15082">
      <c r="AI15082" s="80"/>
    </row>
    <row r="15083">
      <c r="AI15083" s="80"/>
    </row>
    <row r="15084">
      <c r="AI15084" s="80"/>
    </row>
    <row r="15085">
      <c r="AI15085" s="80"/>
    </row>
    <row r="15086">
      <c r="AI15086" s="80"/>
    </row>
    <row r="15087">
      <c r="AI15087" s="80"/>
    </row>
    <row r="15088">
      <c r="AI15088" s="80"/>
    </row>
    <row r="15089">
      <c r="AI15089" s="80"/>
    </row>
    <row r="15090">
      <c r="AI15090" s="80"/>
    </row>
    <row r="15091">
      <c r="AI15091" s="80"/>
    </row>
    <row r="15092">
      <c r="AI15092" s="80"/>
    </row>
    <row r="15093">
      <c r="AI15093" s="80"/>
    </row>
    <row r="15094">
      <c r="AI15094" s="80"/>
    </row>
    <row r="15095">
      <c r="AI15095" s="80"/>
    </row>
    <row r="15096">
      <c r="AI15096" s="80"/>
    </row>
    <row r="15097">
      <c r="AI15097" s="80"/>
    </row>
    <row r="15098">
      <c r="AI15098" s="80"/>
    </row>
    <row r="15099">
      <c r="AI15099" s="80"/>
    </row>
    <row r="15100">
      <c r="AI15100" s="80"/>
    </row>
    <row r="15101">
      <c r="AI15101" s="80"/>
    </row>
    <row r="15102">
      <c r="AI15102" s="80"/>
    </row>
    <row r="15103">
      <c r="AI15103" s="80"/>
    </row>
    <row r="15104">
      <c r="AI15104" s="80"/>
    </row>
    <row r="15105">
      <c r="AI15105" s="80"/>
    </row>
    <row r="15106">
      <c r="AI15106" s="80"/>
    </row>
    <row r="15107">
      <c r="AI15107" s="80"/>
    </row>
    <row r="15108">
      <c r="AI15108" s="80"/>
    </row>
    <row r="15109">
      <c r="AI15109" s="80"/>
    </row>
    <row r="15110">
      <c r="AI15110" s="80"/>
    </row>
    <row r="15111">
      <c r="AI15111" s="80"/>
    </row>
    <row r="15112">
      <c r="AI15112" s="80"/>
    </row>
    <row r="15113">
      <c r="AI15113" s="80"/>
    </row>
    <row r="15114">
      <c r="AI15114" s="80"/>
    </row>
    <row r="15115">
      <c r="AI15115" s="80"/>
    </row>
    <row r="15116">
      <c r="AI15116" s="80"/>
    </row>
    <row r="15117">
      <c r="AI15117" s="80"/>
    </row>
    <row r="15118">
      <c r="AI15118" s="80"/>
    </row>
    <row r="15119">
      <c r="AI15119" s="80"/>
    </row>
    <row r="15120">
      <c r="AI15120" s="80"/>
    </row>
    <row r="15121">
      <c r="AI15121" s="80"/>
    </row>
    <row r="15122">
      <c r="AI15122" s="80"/>
    </row>
    <row r="15123">
      <c r="AI15123" s="80"/>
    </row>
    <row r="15124">
      <c r="AI15124" s="80"/>
    </row>
    <row r="15125">
      <c r="AI15125" s="80"/>
    </row>
    <row r="15126">
      <c r="AI15126" s="80"/>
    </row>
    <row r="15127">
      <c r="AI15127" s="80"/>
    </row>
    <row r="15128">
      <c r="AI15128" s="80"/>
    </row>
    <row r="15129">
      <c r="AI15129" s="80"/>
    </row>
    <row r="15130">
      <c r="AI15130" s="80"/>
    </row>
    <row r="15131">
      <c r="AI15131" s="80"/>
    </row>
    <row r="15132">
      <c r="AI15132" s="80"/>
    </row>
    <row r="15133">
      <c r="AI15133" s="80"/>
    </row>
    <row r="15134">
      <c r="AI15134" s="80"/>
    </row>
    <row r="15135">
      <c r="AI15135" s="80"/>
    </row>
    <row r="15136">
      <c r="AI15136" s="80"/>
    </row>
    <row r="15137">
      <c r="AI15137" s="80"/>
    </row>
    <row r="15138">
      <c r="AI15138" s="80"/>
    </row>
    <row r="15139">
      <c r="AI15139" s="80"/>
    </row>
    <row r="15140">
      <c r="AI15140" s="80"/>
    </row>
    <row r="15141">
      <c r="AI15141" s="80"/>
    </row>
    <row r="15142">
      <c r="AI15142" s="80"/>
    </row>
    <row r="15143">
      <c r="AI15143" s="80"/>
    </row>
    <row r="15144">
      <c r="AI15144" s="80"/>
    </row>
    <row r="15145">
      <c r="AI15145" s="80"/>
    </row>
    <row r="15146">
      <c r="AI15146" s="80"/>
    </row>
    <row r="15147">
      <c r="AI15147" s="80"/>
    </row>
    <row r="15148">
      <c r="AI15148" s="80"/>
    </row>
    <row r="15149">
      <c r="AI15149" s="80"/>
    </row>
    <row r="15150">
      <c r="AI15150" s="80"/>
    </row>
    <row r="15151">
      <c r="AI15151" s="80"/>
    </row>
    <row r="15152">
      <c r="AI15152" s="80"/>
    </row>
    <row r="15153">
      <c r="AI15153" s="80"/>
    </row>
    <row r="15154">
      <c r="AI15154" s="80"/>
    </row>
    <row r="15155">
      <c r="AI15155" s="80"/>
    </row>
    <row r="15156">
      <c r="AI15156" s="80"/>
    </row>
    <row r="15157">
      <c r="AI15157" s="80"/>
    </row>
    <row r="15158">
      <c r="AI15158" s="80"/>
    </row>
    <row r="15159">
      <c r="AI15159" s="80"/>
    </row>
    <row r="15160">
      <c r="AI15160" s="80"/>
    </row>
    <row r="15161">
      <c r="AI15161" s="80"/>
    </row>
    <row r="15162">
      <c r="AI15162" s="80"/>
    </row>
    <row r="15163">
      <c r="AI15163" s="80"/>
    </row>
    <row r="15164">
      <c r="AI15164" s="80"/>
    </row>
    <row r="15165">
      <c r="AI15165" s="80"/>
    </row>
    <row r="15166">
      <c r="AI15166" s="80"/>
    </row>
    <row r="15167">
      <c r="AI15167" s="80"/>
    </row>
    <row r="15168">
      <c r="AI15168" s="80"/>
    </row>
    <row r="15169">
      <c r="AI15169" s="80"/>
    </row>
    <row r="15170">
      <c r="AI15170" s="80"/>
    </row>
    <row r="15171">
      <c r="AI15171" s="80"/>
    </row>
    <row r="15172">
      <c r="AI15172" s="80"/>
    </row>
    <row r="15173">
      <c r="AI15173" s="80"/>
    </row>
    <row r="15174">
      <c r="AI15174" s="80"/>
    </row>
    <row r="15175">
      <c r="AI15175" s="80"/>
    </row>
    <row r="15176">
      <c r="AI15176" s="80"/>
    </row>
    <row r="15177">
      <c r="AI15177" s="80"/>
    </row>
    <row r="15178">
      <c r="AI15178" s="80"/>
    </row>
    <row r="15179">
      <c r="AI15179" s="80"/>
    </row>
    <row r="15180">
      <c r="AI15180" s="80"/>
    </row>
    <row r="15181">
      <c r="AI15181" s="80"/>
    </row>
    <row r="15182">
      <c r="AI15182" s="80"/>
    </row>
    <row r="15183">
      <c r="AI15183" s="80"/>
    </row>
    <row r="15184">
      <c r="AI15184" s="80"/>
    </row>
    <row r="15185">
      <c r="AI15185" s="80"/>
    </row>
    <row r="15186">
      <c r="AI15186" s="80"/>
    </row>
    <row r="15187">
      <c r="AI15187" s="80"/>
    </row>
    <row r="15188">
      <c r="AI15188" s="80"/>
    </row>
    <row r="15189">
      <c r="AI15189" s="80"/>
    </row>
    <row r="15190">
      <c r="AI15190" s="80"/>
    </row>
    <row r="15191">
      <c r="AI15191" s="80"/>
    </row>
    <row r="15192">
      <c r="AI15192" s="80"/>
    </row>
    <row r="15193">
      <c r="AI15193" s="80"/>
    </row>
    <row r="15194">
      <c r="AI15194" s="80"/>
    </row>
    <row r="15195">
      <c r="AI15195" s="80"/>
    </row>
    <row r="15196">
      <c r="AI15196" s="80"/>
    </row>
    <row r="15197">
      <c r="AI15197" s="80"/>
    </row>
    <row r="15198">
      <c r="AI15198" s="80"/>
    </row>
    <row r="15199">
      <c r="AI15199" s="80"/>
    </row>
    <row r="15200">
      <c r="AI15200" s="80"/>
    </row>
    <row r="15201">
      <c r="AI15201" s="80"/>
    </row>
    <row r="15202">
      <c r="AI15202" s="80"/>
    </row>
    <row r="15203">
      <c r="AI15203" s="80"/>
    </row>
    <row r="15204">
      <c r="AI15204" s="80"/>
    </row>
    <row r="15205">
      <c r="AI15205" s="80"/>
    </row>
    <row r="15206">
      <c r="AI15206" s="80"/>
    </row>
    <row r="15207">
      <c r="AI15207" s="80"/>
    </row>
    <row r="15208">
      <c r="AI15208" s="80"/>
    </row>
    <row r="15209">
      <c r="AI15209" s="80"/>
    </row>
    <row r="15210">
      <c r="AI15210" s="80"/>
    </row>
    <row r="15211">
      <c r="AI15211" s="80"/>
    </row>
    <row r="15212">
      <c r="AI15212" s="80"/>
    </row>
    <row r="15213">
      <c r="AI15213" s="80"/>
    </row>
    <row r="15214">
      <c r="AI15214" s="80"/>
    </row>
    <row r="15215">
      <c r="AI15215" s="80"/>
    </row>
    <row r="15216">
      <c r="AI15216" s="80"/>
    </row>
    <row r="15217">
      <c r="AI15217" s="80"/>
    </row>
    <row r="15218">
      <c r="AI15218" s="80"/>
    </row>
    <row r="15219">
      <c r="AI15219" s="80"/>
    </row>
    <row r="15220">
      <c r="AI15220" s="80"/>
    </row>
    <row r="15221">
      <c r="AI15221" s="80"/>
    </row>
    <row r="15222">
      <c r="AI15222" s="80"/>
    </row>
    <row r="15223">
      <c r="AI15223" s="80"/>
    </row>
    <row r="15224">
      <c r="AI15224" s="80"/>
    </row>
    <row r="15225">
      <c r="AI15225" s="80"/>
    </row>
    <row r="15226">
      <c r="AI15226" s="80"/>
    </row>
    <row r="15227">
      <c r="AI15227" s="80"/>
    </row>
    <row r="15228">
      <c r="AI15228" s="80"/>
    </row>
    <row r="15229">
      <c r="AI15229" s="80"/>
    </row>
    <row r="15230">
      <c r="AI15230" s="80"/>
    </row>
    <row r="15231">
      <c r="AI15231" s="80"/>
    </row>
    <row r="15232">
      <c r="AI15232" s="80"/>
    </row>
    <row r="15233">
      <c r="AI15233" s="80"/>
    </row>
    <row r="15234">
      <c r="AI15234" s="80"/>
    </row>
    <row r="15235">
      <c r="AI15235" s="80"/>
    </row>
    <row r="15236">
      <c r="AI15236" s="80"/>
    </row>
    <row r="15237">
      <c r="AI15237" s="80"/>
    </row>
    <row r="15238">
      <c r="AI15238" s="80"/>
    </row>
    <row r="15239">
      <c r="AI15239" s="80"/>
    </row>
    <row r="15240">
      <c r="AI15240" s="80"/>
    </row>
    <row r="15241">
      <c r="AI15241" s="80"/>
    </row>
    <row r="15242">
      <c r="AI15242" s="80"/>
    </row>
    <row r="15243">
      <c r="AI15243" s="80"/>
    </row>
    <row r="15244">
      <c r="AI15244" s="80"/>
    </row>
    <row r="15245">
      <c r="AI15245" s="80"/>
    </row>
    <row r="15246">
      <c r="AI15246" s="80"/>
    </row>
    <row r="15247">
      <c r="AI15247" s="80"/>
    </row>
    <row r="15248">
      <c r="AI15248" s="80"/>
    </row>
    <row r="15249">
      <c r="AI15249" s="80"/>
    </row>
    <row r="15250">
      <c r="AI15250" s="80"/>
    </row>
    <row r="15251">
      <c r="AI15251" s="80"/>
    </row>
    <row r="15252">
      <c r="AI15252" s="80"/>
    </row>
    <row r="15253">
      <c r="AI15253" s="80"/>
    </row>
    <row r="15254">
      <c r="AI15254" s="80"/>
    </row>
    <row r="15255">
      <c r="AI15255" s="80"/>
    </row>
    <row r="15256">
      <c r="AI15256" s="80"/>
    </row>
    <row r="15257">
      <c r="AI15257" s="80"/>
    </row>
    <row r="15258">
      <c r="AI15258" s="80"/>
    </row>
    <row r="15259">
      <c r="AI15259" s="80"/>
    </row>
    <row r="15260">
      <c r="AI15260" s="80"/>
    </row>
    <row r="15261">
      <c r="AI15261" s="80"/>
    </row>
    <row r="15262">
      <c r="AI15262" s="80"/>
    </row>
    <row r="15263">
      <c r="AI15263" s="80"/>
    </row>
    <row r="15264">
      <c r="AI15264" s="80"/>
    </row>
    <row r="15265">
      <c r="AI15265" s="80"/>
    </row>
    <row r="15266">
      <c r="AI15266" s="80"/>
    </row>
    <row r="15267">
      <c r="AI15267" s="80"/>
    </row>
    <row r="15268">
      <c r="AI15268" s="80"/>
    </row>
    <row r="15269">
      <c r="AI15269" s="80"/>
    </row>
    <row r="15270">
      <c r="AI15270" s="80"/>
    </row>
    <row r="15271">
      <c r="AI15271" s="80"/>
    </row>
    <row r="15272">
      <c r="AI15272" s="80"/>
    </row>
    <row r="15273">
      <c r="AI15273" s="80"/>
    </row>
    <row r="15274">
      <c r="AI15274" s="80"/>
    </row>
    <row r="15275">
      <c r="AI15275" s="80"/>
    </row>
    <row r="15276">
      <c r="AI15276" s="80"/>
    </row>
    <row r="15277">
      <c r="AI15277" s="80"/>
    </row>
    <row r="15278">
      <c r="AI15278" s="80"/>
    </row>
    <row r="15279">
      <c r="AI15279" s="80"/>
    </row>
    <row r="15280">
      <c r="AI15280" s="80"/>
    </row>
    <row r="15281">
      <c r="AI15281" s="80"/>
    </row>
    <row r="15282">
      <c r="AI15282" s="80"/>
    </row>
    <row r="15283">
      <c r="AI15283" s="80"/>
    </row>
    <row r="15284">
      <c r="AI15284" s="80"/>
    </row>
    <row r="15285">
      <c r="AI15285" s="80"/>
    </row>
    <row r="15286">
      <c r="AI15286" s="80"/>
    </row>
    <row r="15287">
      <c r="AI15287" s="80"/>
    </row>
    <row r="15288">
      <c r="AI15288" s="80"/>
    </row>
    <row r="15289">
      <c r="AI15289" s="80"/>
    </row>
    <row r="15290">
      <c r="AI15290" s="80"/>
    </row>
    <row r="15291">
      <c r="AI15291" s="80"/>
    </row>
    <row r="15292">
      <c r="AI15292" s="80"/>
    </row>
    <row r="15293">
      <c r="AI15293" s="80"/>
    </row>
    <row r="15294">
      <c r="AI15294" s="80"/>
    </row>
    <row r="15295">
      <c r="AI15295" s="80"/>
    </row>
    <row r="15296">
      <c r="AI15296" s="80"/>
    </row>
    <row r="15297">
      <c r="AI15297" s="80"/>
    </row>
    <row r="15298">
      <c r="AI15298" s="80"/>
    </row>
    <row r="15299">
      <c r="AI15299" s="80"/>
    </row>
    <row r="15300">
      <c r="AI15300" s="80"/>
    </row>
    <row r="15301">
      <c r="AI15301" s="80"/>
    </row>
    <row r="15302">
      <c r="AI15302" s="80"/>
    </row>
    <row r="15303">
      <c r="AI15303" s="80"/>
    </row>
    <row r="15304">
      <c r="AI15304" s="80"/>
    </row>
    <row r="15305">
      <c r="AI15305" s="80"/>
    </row>
    <row r="15306">
      <c r="AI15306" s="80"/>
    </row>
    <row r="15307">
      <c r="AI15307" s="80"/>
    </row>
    <row r="15308">
      <c r="AI15308" s="80"/>
    </row>
    <row r="15309">
      <c r="AI15309" s="80"/>
    </row>
    <row r="15310">
      <c r="AI15310" s="80"/>
    </row>
    <row r="15311">
      <c r="AI15311" s="80"/>
    </row>
    <row r="15312">
      <c r="AI15312" s="80"/>
    </row>
    <row r="15313">
      <c r="AI15313" s="80"/>
    </row>
    <row r="15314">
      <c r="AI15314" s="80"/>
    </row>
    <row r="15315">
      <c r="AI15315" s="80"/>
    </row>
    <row r="15316">
      <c r="AI15316" s="80"/>
    </row>
    <row r="15317">
      <c r="AI15317" s="80"/>
    </row>
    <row r="15318">
      <c r="AI15318" s="80"/>
    </row>
    <row r="15319">
      <c r="AI15319" s="80"/>
    </row>
    <row r="15320">
      <c r="AI15320" s="80"/>
    </row>
    <row r="15321">
      <c r="AI15321" s="80"/>
    </row>
    <row r="15322">
      <c r="AI15322" s="80"/>
    </row>
    <row r="15323">
      <c r="AI15323" s="80"/>
    </row>
    <row r="15324">
      <c r="AI15324" s="80"/>
    </row>
    <row r="15325">
      <c r="AI15325" s="80"/>
    </row>
    <row r="15326">
      <c r="AI15326" s="80"/>
    </row>
    <row r="15327">
      <c r="AI15327" s="80"/>
    </row>
    <row r="15328">
      <c r="AI15328" s="80"/>
    </row>
    <row r="15329">
      <c r="AI15329" s="80"/>
    </row>
    <row r="15330">
      <c r="AI15330" s="80"/>
    </row>
    <row r="15331">
      <c r="AI15331" s="80"/>
    </row>
    <row r="15332">
      <c r="AI15332" s="80"/>
    </row>
    <row r="15333">
      <c r="AI15333" s="80"/>
    </row>
    <row r="15334">
      <c r="AI15334" s="80"/>
    </row>
    <row r="15335">
      <c r="AI15335" s="80"/>
    </row>
    <row r="15336">
      <c r="AI15336" s="80"/>
    </row>
    <row r="15337">
      <c r="AI15337" s="80"/>
    </row>
    <row r="15338">
      <c r="AI15338" s="80"/>
    </row>
    <row r="15339">
      <c r="AI15339" s="80"/>
    </row>
    <row r="15340">
      <c r="AI15340" s="80"/>
    </row>
    <row r="15341">
      <c r="AI15341" s="80"/>
    </row>
    <row r="15342">
      <c r="AI15342" s="80"/>
    </row>
    <row r="15343">
      <c r="AI15343" s="80"/>
    </row>
    <row r="15344">
      <c r="AI15344" s="80"/>
    </row>
    <row r="15345">
      <c r="AI15345" s="80"/>
    </row>
    <row r="15346">
      <c r="AI15346" s="80"/>
    </row>
    <row r="15347">
      <c r="AI15347" s="80"/>
    </row>
    <row r="15348">
      <c r="AI15348" s="80"/>
    </row>
    <row r="15349">
      <c r="AI15349" s="80"/>
    </row>
    <row r="15350">
      <c r="AI15350" s="80"/>
    </row>
    <row r="15351">
      <c r="AI15351" s="80"/>
    </row>
    <row r="15352">
      <c r="AI15352" s="80"/>
    </row>
    <row r="15353">
      <c r="AI15353" s="80"/>
    </row>
    <row r="15354">
      <c r="AI15354" s="80"/>
    </row>
    <row r="15355">
      <c r="AI15355" s="80"/>
    </row>
    <row r="15356">
      <c r="AI15356" s="80"/>
    </row>
    <row r="15357">
      <c r="AI15357" s="80"/>
    </row>
    <row r="15358">
      <c r="AI15358" s="80"/>
    </row>
    <row r="15359">
      <c r="AI15359" s="80"/>
    </row>
    <row r="15360">
      <c r="AI15360" s="80"/>
    </row>
    <row r="15361">
      <c r="AI15361" s="80"/>
    </row>
    <row r="15362">
      <c r="AI15362" s="80"/>
    </row>
    <row r="15363">
      <c r="AI15363" s="80"/>
    </row>
    <row r="15364">
      <c r="AI15364" s="80"/>
    </row>
    <row r="15365">
      <c r="AI15365" s="80"/>
    </row>
    <row r="15366">
      <c r="AI15366" s="80"/>
    </row>
    <row r="15367">
      <c r="AI15367" s="80"/>
    </row>
    <row r="15368">
      <c r="AI15368" s="80"/>
    </row>
    <row r="15369">
      <c r="AI15369" s="80"/>
    </row>
    <row r="15370">
      <c r="AI15370" s="80"/>
    </row>
    <row r="15371">
      <c r="AI15371" s="80"/>
    </row>
    <row r="15372">
      <c r="AI15372" s="80"/>
    </row>
    <row r="15373">
      <c r="AI15373" s="80"/>
    </row>
    <row r="15374">
      <c r="AI15374" s="80"/>
    </row>
    <row r="15375">
      <c r="AI15375" s="80"/>
    </row>
    <row r="15376">
      <c r="AI15376" s="80"/>
    </row>
    <row r="15377">
      <c r="AI15377" s="80"/>
    </row>
    <row r="15378">
      <c r="AI15378" s="80"/>
    </row>
    <row r="15379">
      <c r="AI15379" s="80"/>
    </row>
    <row r="15380">
      <c r="AI15380" s="80"/>
    </row>
    <row r="15381">
      <c r="AI15381" s="80"/>
    </row>
    <row r="15382">
      <c r="AI15382" s="80"/>
    </row>
    <row r="15383">
      <c r="AI15383" s="80"/>
    </row>
    <row r="15384">
      <c r="AI15384" s="80"/>
    </row>
    <row r="15385">
      <c r="AI15385" s="80"/>
    </row>
    <row r="15386">
      <c r="AI15386" s="80"/>
    </row>
    <row r="15387">
      <c r="AI15387" s="80"/>
    </row>
    <row r="15388">
      <c r="AI15388" s="80"/>
    </row>
    <row r="15389">
      <c r="AI15389" s="80"/>
    </row>
    <row r="15390">
      <c r="AI15390" s="80"/>
    </row>
    <row r="15391">
      <c r="AI15391" s="80"/>
    </row>
    <row r="15392">
      <c r="AI15392" s="80"/>
    </row>
    <row r="15393">
      <c r="AI15393" s="80"/>
    </row>
    <row r="15394">
      <c r="AI15394" s="80"/>
    </row>
    <row r="15395">
      <c r="AI15395" s="80"/>
    </row>
    <row r="15396">
      <c r="AI15396" s="80"/>
    </row>
    <row r="15397">
      <c r="AI15397" s="80"/>
    </row>
    <row r="15398">
      <c r="AI15398" s="80"/>
    </row>
    <row r="15399">
      <c r="AI15399" s="80"/>
    </row>
    <row r="15400">
      <c r="AI15400" s="80"/>
    </row>
    <row r="15401">
      <c r="AI15401" s="80"/>
    </row>
    <row r="15402">
      <c r="AI15402" s="80"/>
    </row>
    <row r="15403">
      <c r="AI15403" s="80"/>
    </row>
    <row r="15404">
      <c r="AI15404" s="80"/>
    </row>
    <row r="15405">
      <c r="AI15405" s="80"/>
    </row>
    <row r="15406">
      <c r="AI15406" s="80"/>
    </row>
    <row r="15407">
      <c r="AI15407" s="80"/>
    </row>
    <row r="15408">
      <c r="AI15408" s="80"/>
    </row>
    <row r="15409">
      <c r="AI15409" s="80"/>
    </row>
    <row r="15410">
      <c r="AI15410" s="80"/>
    </row>
    <row r="15411">
      <c r="AI15411" s="80"/>
    </row>
    <row r="15412">
      <c r="AI15412" s="80"/>
    </row>
    <row r="15413">
      <c r="AI15413" s="80"/>
    </row>
    <row r="15414">
      <c r="AI15414" s="80"/>
    </row>
    <row r="15415">
      <c r="AI15415" s="80"/>
    </row>
    <row r="15416">
      <c r="AI15416" s="80"/>
    </row>
    <row r="15417">
      <c r="AI15417" s="80"/>
    </row>
    <row r="15418">
      <c r="AI15418" s="80"/>
    </row>
    <row r="15419">
      <c r="AI15419" s="80"/>
    </row>
    <row r="15420">
      <c r="AI15420" s="80"/>
    </row>
    <row r="15421">
      <c r="AI15421" s="80"/>
    </row>
    <row r="15422">
      <c r="AI15422" s="80"/>
    </row>
    <row r="15423">
      <c r="AI15423" s="80"/>
    </row>
    <row r="15424">
      <c r="AI15424" s="80"/>
    </row>
    <row r="15425">
      <c r="AI15425" s="80"/>
    </row>
    <row r="15426">
      <c r="AI15426" s="80"/>
    </row>
    <row r="15427">
      <c r="AI15427" s="80"/>
    </row>
    <row r="15428">
      <c r="AI15428" s="80"/>
    </row>
    <row r="15429">
      <c r="AI15429" s="80"/>
    </row>
    <row r="15430">
      <c r="AI15430" s="80"/>
    </row>
    <row r="15431">
      <c r="AI15431" s="80"/>
    </row>
    <row r="15432">
      <c r="AI15432" s="80"/>
    </row>
    <row r="15433">
      <c r="AI15433" s="80"/>
    </row>
    <row r="15434">
      <c r="AI15434" s="80"/>
    </row>
    <row r="15435">
      <c r="AI15435" s="80"/>
    </row>
    <row r="15436">
      <c r="AI15436" s="80"/>
    </row>
    <row r="15437">
      <c r="AI15437" s="80"/>
    </row>
    <row r="15438">
      <c r="AI15438" s="80"/>
    </row>
    <row r="15439">
      <c r="AI15439" s="80"/>
    </row>
    <row r="15440">
      <c r="AI15440" s="80"/>
    </row>
    <row r="15441">
      <c r="AI15441" s="80"/>
    </row>
    <row r="15442">
      <c r="AI15442" s="80"/>
    </row>
    <row r="15443">
      <c r="AI15443" s="80"/>
    </row>
    <row r="15444">
      <c r="AI15444" s="80"/>
    </row>
    <row r="15445">
      <c r="AI15445" s="80"/>
    </row>
    <row r="15446">
      <c r="AI15446" s="80"/>
    </row>
    <row r="15447">
      <c r="AI15447" s="80"/>
    </row>
    <row r="15448">
      <c r="AI15448" s="80"/>
    </row>
    <row r="15449">
      <c r="AI15449" s="80"/>
    </row>
    <row r="15450">
      <c r="AI15450" s="80"/>
    </row>
    <row r="15451">
      <c r="AI15451" s="80"/>
    </row>
    <row r="15452">
      <c r="AI15452" s="80"/>
    </row>
    <row r="15453">
      <c r="AI15453" s="80"/>
    </row>
    <row r="15454">
      <c r="AI15454" s="80"/>
    </row>
    <row r="15455">
      <c r="AI15455" s="80"/>
    </row>
    <row r="15456">
      <c r="AI15456" s="80"/>
    </row>
    <row r="15457">
      <c r="AI15457" s="80"/>
    </row>
    <row r="15458">
      <c r="AI15458" s="80"/>
    </row>
    <row r="15459">
      <c r="AI15459" s="80"/>
    </row>
    <row r="15460">
      <c r="AI15460" s="80"/>
    </row>
    <row r="15461">
      <c r="AI15461" s="80"/>
    </row>
    <row r="15462">
      <c r="AI15462" s="80"/>
    </row>
    <row r="15463">
      <c r="AI15463" s="80"/>
    </row>
    <row r="15464">
      <c r="AI15464" s="80"/>
    </row>
    <row r="15465">
      <c r="AI15465" s="80"/>
    </row>
    <row r="15466">
      <c r="AI15466" s="80"/>
    </row>
    <row r="15467">
      <c r="AI15467" s="80"/>
    </row>
    <row r="15468">
      <c r="AI15468" s="80"/>
    </row>
    <row r="15469">
      <c r="AI15469" s="80"/>
    </row>
    <row r="15470">
      <c r="AI15470" s="80"/>
    </row>
    <row r="15471">
      <c r="AI15471" s="80"/>
    </row>
    <row r="15472">
      <c r="AI15472" s="80"/>
    </row>
    <row r="15473">
      <c r="AI15473" s="80"/>
    </row>
    <row r="15474">
      <c r="AI15474" s="80"/>
    </row>
    <row r="15475">
      <c r="AI15475" s="80"/>
    </row>
    <row r="15476">
      <c r="AI15476" s="80"/>
    </row>
    <row r="15477">
      <c r="AI15477" s="80"/>
    </row>
    <row r="15478">
      <c r="AI15478" s="80"/>
    </row>
    <row r="15479">
      <c r="AI15479" s="80"/>
    </row>
    <row r="15480">
      <c r="AI15480" s="80"/>
    </row>
    <row r="15481">
      <c r="AI15481" s="80"/>
    </row>
    <row r="15482">
      <c r="AI15482" s="80"/>
    </row>
    <row r="15483">
      <c r="AI15483" s="80"/>
    </row>
    <row r="15484">
      <c r="AI15484" s="80"/>
    </row>
    <row r="15485">
      <c r="AI15485" s="80"/>
    </row>
    <row r="15486">
      <c r="AI15486" s="80"/>
    </row>
    <row r="15487">
      <c r="AI15487" s="80"/>
    </row>
    <row r="15488">
      <c r="AI15488" s="80"/>
    </row>
    <row r="15489">
      <c r="AI15489" s="80"/>
    </row>
    <row r="15490">
      <c r="AI15490" s="80"/>
    </row>
    <row r="15491">
      <c r="AI15491" s="80"/>
    </row>
    <row r="15492">
      <c r="AI15492" s="80"/>
    </row>
    <row r="15493">
      <c r="AI15493" s="80"/>
    </row>
    <row r="15494">
      <c r="AI15494" s="80"/>
    </row>
    <row r="15495">
      <c r="AI15495" s="80"/>
    </row>
    <row r="15496">
      <c r="AI15496" s="80"/>
    </row>
    <row r="15497">
      <c r="AI15497" s="80"/>
    </row>
    <row r="15498">
      <c r="AI15498" s="80"/>
    </row>
    <row r="15499">
      <c r="AI15499" s="80"/>
    </row>
    <row r="15500">
      <c r="AI15500" s="80"/>
    </row>
    <row r="15501">
      <c r="AI15501" s="80"/>
    </row>
    <row r="15502">
      <c r="AI15502" s="80"/>
    </row>
    <row r="15503">
      <c r="AI15503" s="80"/>
    </row>
    <row r="15504">
      <c r="AI15504" s="80"/>
    </row>
    <row r="15505">
      <c r="AI15505" s="80"/>
    </row>
    <row r="15506">
      <c r="AI15506" s="80"/>
    </row>
    <row r="15507">
      <c r="AI15507" s="80"/>
    </row>
    <row r="15508">
      <c r="AI15508" s="80"/>
    </row>
    <row r="15509">
      <c r="AI15509" s="80"/>
    </row>
    <row r="15510">
      <c r="AI15510" s="80"/>
    </row>
    <row r="15511">
      <c r="AI15511" s="80"/>
    </row>
    <row r="15512">
      <c r="AI15512" s="80"/>
    </row>
    <row r="15513">
      <c r="AI15513" s="80"/>
    </row>
    <row r="15514">
      <c r="AI15514" s="80"/>
    </row>
    <row r="15515">
      <c r="AI15515" s="80"/>
    </row>
    <row r="15516">
      <c r="AI15516" s="80"/>
    </row>
    <row r="15517">
      <c r="AI15517" s="80"/>
    </row>
    <row r="15518">
      <c r="AI15518" s="80"/>
    </row>
    <row r="15519">
      <c r="AI15519" s="80"/>
    </row>
    <row r="15520">
      <c r="AI15520" s="80"/>
    </row>
    <row r="15521">
      <c r="AI15521" s="80"/>
    </row>
    <row r="15522">
      <c r="AI15522" s="80"/>
    </row>
    <row r="15523">
      <c r="AI15523" s="80"/>
    </row>
    <row r="15524">
      <c r="AI15524" s="80"/>
    </row>
    <row r="15525">
      <c r="AI15525" s="80"/>
    </row>
    <row r="15526">
      <c r="AI15526" s="80"/>
    </row>
    <row r="15527">
      <c r="AI15527" s="80"/>
    </row>
    <row r="15528">
      <c r="AI15528" s="80"/>
    </row>
    <row r="15529">
      <c r="AI15529" s="80"/>
    </row>
    <row r="15530">
      <c r="AI15530" s="80"/>
    </row>
    <row r="15531">
      <c r="AI15531" s="80"/>
    </row>
    <row r="15532">
      <c r="AI15532" s="80"/>
    </row>
    <row r="15533">
      <c r="AI15533" s="80"/>
    </row>
    <row r="15534">
      <c r="AI15534" s="80"/>
    </row>
    <row r="15535">
      <c r="AI15535" s="80"/>
    </row>
    <row r="15536">
      <c r="AI15536" s="80"/>
    </row>
    <row r="15537">
      <c r="AI15537" s="80"/>
    </row>
    <row r="15538">
      <c r="AI15538" s="80"/>
    </row>
    <row r="15539">
      <c r="AI15539" s="80"/>
    </row>
    <row r="15540">
      <c r="AI15540" s="80"/>
    </row>
    <row r="15541">
      <c r="AI15541" s="80"/>
    </row>
    <row r="15542">
      <c r="AI15542" s="80"/>
    </row>
    <row r="15543">
      <c r="AI15543" s="80"/>
    </row>
    <row r="15544">
      <c r="AI15544" s="80"/>
    </row>
    <row r="15545">
      <c r="AI15545" s="80"/>
    </row>
    <row r="15546">
      <c r="AI15546" s="80"/>
    </row>
    <row r="15547">
      <c r="AI15547" s="80"/>
    </row>
    <row r="15548">
      <c r="AI15548" s="80"/>
    </row>
    <row r="15549">
      <c r="AI15549" s="80"/>
    </row>
    <row r="15550">
      <c r="AI15550" s="80"/>
    </row>
    <row r="15551">
      <c r="AI15551" s="80"/>
    </row>
    <row r="15552">
      <c r="AI15552" s="80"/>
    </row>
    <row r="15553">
      <c r="AI15553" s="80"/>
    </row>
    <row r="15554">
      <c r="AI15554" s="80"/>
    </row>
    <row r="15555">
      <c r="AI15555" s="80"/>
    </row>
    <row r="15556">
      <c r="AI15556" s="80"/>
    </row>
    <row r="15557">
      <c r="AI15557" s="80"/>
    </row>
    <row r="15558">
      <c r="AI15558" s="80"/>
    </row>
    <row r="15559">
      <c r="AI15559" s="80"/>
    </row>
    <row r="15560">
      <c r="AI15560" s="80"/>
    </row>
    <row r="15561">
      <c r="AI15561" s="80"/>
    </row>
    <row r="15562">
      <c r="AI15562" s="80"/>
    </row>
    <row r="15563">
      <c r="AI15563" s="80"/>
    </row>
    <row r="15564">
      <c r="AI15564" s="80"/>
    </row>
    <row r="15565">
      <c r="AI15565" s="80"/>
    </row>
    <row r="15566">
      <c r="AI15566" s="80"/>
    </row>
    <row r="15567">
      <c r="AI15567" s="80"/>
    </row>
    <row r="15568">
      <c r="AI15568" s="80"/>
    </row>
    <row r="15569">
      <c r="AI15569" s="80"/>
    </row>
    <row r="15570">
      <c r="AI15570" s="80"/>
    </row>
    <row r="15571">
      <c r="AI15571" s="80"/>
    </row>
    <row r="15572">
      <c r="AI15572" s="80"/>
    </row>
    <row r="15573">
      <c r="AI15573" s="80"/>
    </row>
    <row r="15574">
      <c r="AI15574" s="80"/>
    </row>
    <row r="15575">
      <c r="AI15575" s="80"/>
    </row>
    <row r="15576">
      <c r="AI15576" s="80"/>
    </row>
    <row r="15577">
      <c r="AI15577" s="80"/>
    </row>
    <row r="15578">
      <c r="AI15578" s="80"/>
    </row>
    <row r="15579">
      <c r="AI15579" s="80"/>
    </row>
    <row r="15580">
      <c r="AI15580" s="80"/>
    </row>
    <row r="15581">
      <c r="AI15581" s="80"/>
    </row>
    <row r="15582">
      <c r="AI15582" s="80"/>
    </row>
    <row r="15583">
      <c r="AI15583" s="80"/>
    </row>
    <row r="15584">
      <c r="AI15584" s="80"/>
    </row>
    <row r="15585">
      <c r="AI15585" s="80"/>
    </row>
    <row r="15586">
      <c r="AI15586" s="80"/>
    </row>
    <row r="15587">
      <c r="AI15587" s="80"/>
    </row>
    <row r="15588">
      <c r="AI15588" s="80"/>
    </row>
    <row r="15589">
      <c r="AI15589" s="80"/>
    </row>
    <row r="15590">
      <c r="AI15590" s="80"/>
    </row>
    <row r="15591">
      <c r="AI15591" s="80"/>
    </row>
    <row r="15592">
      <c r="AI15592" s="80"/>
    </row>
    <row r="15593">
      <c r="AI15593" s="80"/>
    </row>
    <row r="15594">
      <c r="AI15594" s="80"/>
    </row>
    <row r="15595">
      <c r="AI15595" s="80"/>
    </row>
    <row r="15596">
      <c r="AI15596" s="80"/>
    </row>
    <row r="15597">
      <c r="AI15597" s="80"/>
    </row>
    <row r="15598">
      <c r="AI15598" s="80"/>
    </row>
    <row r="15599">
      <c r="AI15599" s="80"/>
    </row>
    <row r="15600">
      <c r="AI15600" s="80"/>
    </row>
    <row r="15601">
      <c r="AI15601" s="80"/>
    </row>
    <row r="15602">
      <c r="AI15602" s="80"/>
    </row>
    <row r="15603">
      <c r="AI15603" s="80"/>
    </row>
    <row r="15604">
      <c r="AI15604" s="80"/>
    </row>
    <row r="15605">
      <c r="AI15605" s="80"/>
    </row>
    <row r="15606">
      <c r="AI15606" s="80"/>
    </row>
    <row r="15607">
      <c r="AI15607" s="80"/>
    </row>
    <row r="15608">
      <c r="AI15608" s="80"/>
    </row>
    <row r="15609">
      <c r="AI15609" s="80"/>
    </row>
    <row r="15610">
      <c r="AI15610" s="80"/>
    </row>
    <row r="15611">
      <c r="AI15611" s="80"/>
    </row>
    <row r="15612">
      <c r="AI15612" s="80"/>
    </row>
    <row r="15613">
      <c r="AI15613" s="80"/>
    </row>
    <row r="15614">
      <c r="AI15614" s="80"/>
    </row>
    <row r="15615">
      <c r="AI15615" s="80"/>
    </row>
    <row r="15616">
      <c r="AI15616" s="80"/>
    </row>
    <row r="15617">
      <c r="AI15617" s="80"/>
    </row>
    <row r="15618">
      <c r="AI15618" s="80"/>
    </row>
    <row r="15619">
      <c r="AI15619" s="80"/>
    </row>
    <row r="15620">
      <c r="AI15620" s="80"/>
    </row>
    <row r="15621">
      <c r="AI15621" s="80"/>
    </row>
    <row r="15622">
      <c r="AI15622" s="80"/>
    </row>
    <row r="15623">
      <c r="AI15623" s="80"/>
    </row>
    <row r="15624">
      <c r="AI15624" s="80"/>
    </row>
    <row r="15625">
      <c r="AI15625" s="80"/>
    </row>
    <row r="15626">
      <c r="AI15626" s="80"/>
    </row>
    <row r="15627">
      <c r="AI15627" s="80"/>
    </row>
    <row r="15628">
      <c r="AI15628" s="80"/>
    </row>
    <row r="15629">
      <c r="AI15629" s="80"/>
    </row>
    <row r="15630">
      <c r="AI15630" s="80"/>
    </row>
    <row r="15631">
      <c r="AI15631" s="80"/>
    </row>
    <row r="15632">
      <c r="AI15632" s="80"/>
    </row>
    <row r="15633">
      <c r="AI15633" s="80"/>
    </row>
    <row r="15634">
      <c r="AI15634" s="80"/>
    </row>
    <row r="15635">
      <c r="AI15635" s="80"/>
    </row>
    <row r="15636">
      <c r="AI15636" s="80"/>
    </row>
    <row r="15637">
      <c r="AI15637" s="80"/>
    </row>
    <row r="15638">
      <c r="AI15638" s="80"/>
    </row>
    <row r="15639">
      <c r="AI15639" s="80"/>
    </row>
    <row r="15640">
      <c r="AI15640" s="80"/>
    </row>
    <row r="15641">
      <c r="AI15641" s="80"/>
    </row>
    <row r="15642">
      <c r="AI15642" s="80"/>
    </row>
    <row r="15643">
      <c r="AI15643" s="80"/>
    </row>
    <row r="15644">
      <c r="AI15644" s="80"/>
    </row>
    <row r="15645">
      <c r="AI15645" s="80"/>
    </row>
    <row r="15646">
      <c r="AI15646" s="80"/>
    </row>
    <row r="15647">
      <c r="AI15647" s="80"/>
    </row>
    <row r="15648">
      <c r="AI15648" s="80"/>
    </row>
    <row r="15649">
      <c r="AI15649" s="80"/>
    </row>
    <row r="15650">
      <c r="AI15650" s="80"/>
    </row>
    <row r="15651">
      <c r="AI15651" s="80"/>
    </row>
    <row r="15652">
      <c r="AI15652" s="80"/>
    </row>
    <row r="15653">
      <c r="AI15653" s="80"/>
    </row>
    <row r="15654">
      <c r="AI15654" s="80"/>
    </row>
    <row r="15655">
      <c r="AI15655" s="80"/>
    </row>
    <row r="15656">
      <c r="AI15656" s="80"/>
    </row>
    <row r="15657">
      <c r="AI15657" s="80"/>
    </row>
    <row r="15658">
      <c r="AI15658" s="80"/>
    </row>
    <row r="15659">
      <c r="AI15659" s="80"/>
    </row>
    <row r="15660">
      <c r="AI15660" s="80"/>
    </row>
    <row r="15661">
      <c r="AI15661" s="80"/>
    </row>
    <row r="15662">
      <c r="AI15662" s="80"/>
    </row>
    <row r="15663">
      <c r="AI15663" s="80"/>
    </row>
    <row r="15664">
      <c r="AI15664" s="80"/>
    </row>
    <row r="15665">
      <c r="AI15665" s="80"/>
    </row>
    <row r="15666">
      <c r="AI15666" s="80"/>
    </row>
    <row r="15667">
      <c r="AI15667" s="80"/>
    </row>
    <row r="15668">
      <c r="AI15668" s="80"/>
    </row>
    <row r="15669">
      <c r="AI15669" s="80"/>
    </row>
    <row r="15670">
      <c r="AI15670" s="80"/>
    </row>
    <row r="15671">
      <c r="AI15671" s="80"/>
    </row>
    <row r="15672">
      <c r="AI15672" s="80"/>
    </row>
    <row r="15673">
      <c r="AI15673" s="80"/>
    </row>
    <row r="15674">
      <c r="AI15674" s="80"/>
    </row>
    <row r="15675">
      <c r="AI15675" s="80"/>
    </row>
    <row r="15676">
      <c r="AI15676" s="80"/>
    </row>
    <row r="15677">
      <c r="AI15677" s="80"/>
    </row>
    <row r="15678">
      <c r="AI15678" s="80"/>
    </row>
    <row r="15679">
      <c r="AI15679" s="80"/>
    </row>
    <row r="15680">
      <c r="AI15680" s="80"/>
    </row>
    <row r="15681">
      <c r="AI15681" s="80"/>
    </row>
    <row r="15682">
      <c r="AI15682" s="80"/>
    </row>
    <row r="15683">
      <c r="AI15683" s="80"/>
    </row>
    <row r="15684">
      <c r="AI15684" s="80"/>
    </row>
    <row r="15685">
      <c r="AI15685" s="80"/>
    </row>
    <row r="15686">
      <c r="AI15686" s="80"/>
    </row>
    <row r="15687">
      <c r="AI15687" s="80"/>
    </row>
    <row r="15688">
      <c r="AI15688" s="80"/>
    </row>
    <row r="15689">
      <c r="AI15689" s="80"/>
    </row>
    <row r="15690">
      <c r="AI15690" s="80"/>
    </row>
    <row r="15691">
      <c r="AI15691" s="80"/>
    </row>
    <row r="15692">
      <c r="AI15692" s="80"/>
    </row>
    <row r="15693">
      <c r="AI15693" s="80"/>
    </row>
    <row r="15694">
      <c r="AI15694" s="80"/>
    </row>
    <row r="15695">
      <c r="AI15695" s="80"/>
    </row>
    <row r="15696">
      <c r="AI15696" s="80"/>
    </row>
    <row r="15697">
      <c r="AI15697" s="80"/>
    </row>
    <row r="15698">
      <c r="AI15698" s="80"/>
    </row>
    <row r="15699">
      <c r="AI15699" s="80"/>
    </row>
    <row r="15700">
      <c r="AI15700" s="80"/>
    </row>
    <row r="15701">
      <c r="AI15701" s="80"/>
    </row>
    <row r="15702">
      <c r="AI15702" s="80"/>
    </row>
    <row r="15703">
      <c r="AI15703" s="80"/>
    </row>
    <row r="15704">
      <c r="AI15704" s="80"/>
    </row>
    <row r="15705">
      <c r="AI15705" s="80"/>
    </row>
    <row r="15706">
      <c r="AI15706" s="80"/>
    </row>
    <row r="15707">
      <c r="AI15707" s="80"/>
    </row>
    <row r="15708">
      <c r="AI15708" s="80"/>
    </row>
    <row r="15709">
      <c r="AI15709" s="80"/>
    </row>
    <row r="15710">
      <c r="AI15710" s="80"/>
    </row>
    <row r="15711">
      <c r="AI15711" s="80"/>
    </row>
    <row r="15712">
      <c r="AI15712" s="80"/>
    </row>
    <row r="15713">
      <c r="AI15713" s="80"/>
    </row>
    <row r="15714">
      <c r="AI15714" s="80"/>
    </row>
    <row r="15715">
      <c r="AI15715" s="80"/>
    </row>
    <row r="15716">
      <c r="AI15716" s="80"/>
    </row>
    <row r="15717">
      <c r="AI15717" s="80"/>
    </row>
    <row r="15718">
      <c r="AI15718" s="80"/>
    </row>
    <row r="15719">
      <c r="AI15719" s="80"/>
    </row>
    <row r="15720">
      <c r="AI15720" s="80"/>
    </row>
    <row r="15721">
      <c r="AI15721" s="80"/>
    </row>
    <row r="15722">
      <c r="AI15722" s="80"/>
    </row>
    <row r="15723">
      <c r="AI15723" s="80"/>
    </row>
    <row r="15724">
      <c r="AI15724" s="80"/>
    </row>
    <row r="15725">
      <c r="AI15725" s="80"/>
    </row>
    <row r="15726">
      <c r="AI15726" s="80"/>
    </row>
    <row r="15727">
      <c r="AI15727" s="80"/>
    </row>
    <row r="15728">
      <c r="AI15728" s="80"/>
    </row>
    <row r="15729">
      <c r="AI15729" s="80"/>
    </row>
    <row r="15730">
      <c r="AI15730" s="80"/>
    </row>
    <row r="15731">
      <c r="AI15731" s="80"/>
    </row>
    <row r="15732">
      <c r="AI15732" s="80"/>
    </row>
    <row r="15733">
      <c r="AI15733" s="80"/>
    </row>
    <row r="15734">
      <c r="AI15734" s="80"/>
    </row>
    <row r="15735">
      <c r="AI15735" s="80"/>
    </row>
    <row r="15736">
      <c r="AI15736" s="80"/>
    </row>
    <row r="15737">
      <c r="AI15737" s="80"/>
    </row>
    <row r="15738">
      <c r="AI15738" s="80"/>
    </row>
    <row r="15739">
      <c r="AI15739" s="80"/>
    </row>
    <row r="15740">
      <c r="AI15740" s="80"/>
    </row>
    <row r="15741">
      <c r="AI15741" s="80"/>
    </row>
    <row r="15742">
      <c r="AI15742" s="80"/>
    </row>
    <row r="15743">
      <c r="AI15743" s="80"/>
    </row>
    <row r="15744">
      <c r="AI15744" s="80"/>
    </row>
    <row r="15745">
      <c r="AI15745" s="80"/>
    </row>
    <row r="15746">
      <c r="AI15746" s="80"/>
    </row>
    <row r="15747">
      <c r="AI15747" s="80"/>
    </row>
    <row r="15748">
      <c r="AI15748" s="80"/>
    </row>
    <row r="15749">
      <c r="AI15749" s="80"/>
    </row>
    <row r="15750">
      <c r="AI15750" s="80"/>
    </row>
    <row r="15751">
      <c r="AI15751" s="80"/>
    </row>
    <row r="15752">
      <c r="AI15752" s="80"/>
    </row>
    <row r="15753">
      <c r="AI15753" s="80"/>
    </row>
    <row r="15754">
      <c r="AI15754" s="80"/>
    </row>
    <row r="15755">
      <c r="AI15755" s="80"/>
    </row>
    <row r="15756">
      <c r="AI15756" s="80"/>
    </row>
    <row r="15757">
      <c r="AI15757" s="80"/>
    </row>
    <row r="15758">
      <c r="AI15758" s="80"/>
    </row>
    <row r="15759">
      <c r="AI15759" s="80"/>
    </row>
    <row r="15760">
      <c r="AI15760" s="80"/>
    </row>
    <row r="15761">
      <c r="AI15761" s="80"/>
    </row>
    <row r="15762">
      <c r="AI15762" s="80"/>
    </row>
    <row r="15763">
      <c r="AI15763" s="80"/>
    </row>
    <row r="15764">
      <c r="AI15764" s="80"/>
    </row>
    <row r="15765">
      <c r="AI15765" s="80"/>
    </row>
    <row r="15766">
      <c r="AI15766" s="80"/>
    </row>
    <row r="15767">
      <c r="AI15767" s="80"/>
    </row>
    <row r="15768">
      <c r="AI15768" s="80"/>
    </row>
    <row r="15769">
      <c r="AI15769" s="80"/>
    </row>
    <row r="15770">
      <c r="AI15770" s="80"/>
    </row>
    <row r="15771">
      <c r="AI15771" s="80"/>
    </row>
    <row r="15772">
      <c r="AI15772" s="80"/>
    </row>
    <row r="15773">
      <c r="AI15773" s="80"/>
    </row>
    <row r="15774">
      <c r="AI15774" s="80"/>
    </row>
    <row r="15775">
      <c r="AI15775" s="80"/>
    </row>
    <row r="15776">
      <c r="AI15776" s="80"/>
    </row>
    <row r="15777">
      <c r="AI15777" s="80"/>
    </row>
    <row r="15778">
      <c r="AI15778" s="80"/>
    </row>
    <row r="15779">
      <c r="AI15779" s="80"/>
    </row>
    <row r="15780">
      <c r="AI15780" s="80"/>
    </row>
    <row r="15781">
      <c r="AI15781" s="80"/>
    </row>
    <row r="15782">
      <c r="AI15782" s="80"/>
    </row>
    <row r="15783">
      <c r="AI15783" s="80"/>
    </row>
    <row r="15784">
      <c r="AI15784" s="80"/>
    </row>
    <row r="15785">
      <c r="AI15785" s="80"/>
    </row>
    <row r="15786">
      <c r="AI15786" s="80"/>
    </row>
    <row r="15787">
      <c r="AI15787" s="80"/>
    </row>
    <row r="15788">
      <c r="AI15788" s="80"/>
    </row>
    <row r="15789">
      <c r="AI15789" s="80"/>
    </row>
    <row r="15790">
      <c r="AI15790" s="80"/>
    </row>
    <row r="15791">
      <c r="AI15791" s="80"/>
    </row>
    <row r="15792">
      <c r="AI15792" s="80"/>
    </row>
    <row r="15793">
      <c r="AI15793" s="80"/>
    </row>
    <row r="15794">
      <c r="AI15794" s="80"/>
    </row>
    <row r="15795">
      <c r="AI15795" s="80"/>
    </row>
    <row r="15796">
      <c r="AI15796" s="80"/>
    </row>
    <row r="15797">
      <c r="AI15797" s="80"/>
    </row>
    <row r="15798">
      <c r="AI15798" s="80"/>
    </row>
    <row r="15799">
      <c r="AI15799" s="80"/>
    </row>
    <row r="15800">
      <c r="AI15800" s="80"/>
    </row>
    <row r="15801">
      <c r="AI15801" s="80"/>
    </row>
    <row r="15802">
      <c r="AI15802" s="80"/>
    </row>
    <row r="15803">
      <c r="AI15803" s="80"/>
    </row>
    <row r="15804">
      <c r="AI15804" s="80"/>
    </row>
    <row r="15805">
      <c r="AI15805" s="80"/>
    </row>
    <row r="15806">
      <c r="AI15806" s="80"/>
    </row>
    <row r="15807">
      <c r="AI15807" s="80"/>
    </row>
    <row r="15808">
      <c r="AI15808" s="80"/>
    </row>
    <row r="15809">
      <c r="AI15809" s="80"/>
    </row>
    <row r="15810">
      <c r="AI15810" s="80"/>
    </row>
    <row r="15811">
      <c r="AI15811" s="80"/>
    </row>
    <row r="15812">
      <c r="AI15812" s="80"/>
    </row>
    <row r="15813">
      <c r="AI15813" s="80"/>
    </row>
    <row r="15814">
      <c r="AI15814" s="80"/>
    </row>
    <row r="15815">
      <c r="AI15815" s="80"/>
    </row>
    <row r="15816">
      <c r="AI15816" s="80"/>
    </row>
    <row r="15817">
      <c r="AI15817" s="80"/>
    </row>
    <row r="15818">
      <c r="AI15818" s="80"/>
    </row>
    <row r="15819">
      <c r="AI15819" s="80"/>
    </row>
    <row r="15820">
      <c r="AI15820" s="80"/>
    </row>
    <row r="15821">
      <c r="AI15821" s="80"/>
    </row>
    <row r="15822">
      <c r="AI15822" s="80"/>
    </row>
    <row r="15823">
      <c r="AI15823" s="80"/>
    </row>
    <row r="15824">
      <c r="AI15824" s="80"/>
    </row>
    <row r="15825">
      <c r="AI15825" s="80"/>
    </row>
    <row r="15826">
      <c r="AI15826" s="80"/>
    </row>
    <row r="15827">
      <c r="AI15827" s="80"/>
    </row>
    <row r="15828">
      <c r="AI15828" s="80"/>
    </row>
    <row r="15829">
      <c r="AI15829" s="80"/>
    </row>
    <row r="15830">
      <c r="AI15830" s="80"/>
    </row>
    <row r="15831">
      <c r="AI15831" s="80"/>
    </row>
    <row r="15832">
      <c r="AI15832" s="80"/>
    </row>
    <row r="15833">
      <c r="AI15833" s="80"/>
    </row>
    <row r="15834">
      <c r="AI15834" s="80"/>
    </row>
    <row r="15835">
      <c r="AI15835" s="80"/>
    </row>
    <row r="15836">
      <c r="AI15836" s="80"/>
    </row>
    <row r="15837">
      <c r="AI15837" s="80"/>
    </row>
    <row r="15838">
      <c r="AI15838" s="80"/>
    </row>
    <row r="15839">
      <c r="AI15839" s="80"/>
    </row>
    <row r="15840">
      <c r="AI15840" s="80"/>
    </row>
    <row r="15841">
      <c r="AI15841" s="80"/>
    </row>
    <row r="15842">
      <c r="AI15842" s="80"/>
    </row>
    <row r="15843">
      <c r="AI15843" s="80"/>
    </row>
    <row r="15844">
      <c r="AI15844" s="80"/>
    </row>
    <row r="15845">
      <c r="AI15845" s="80"/>
    </row>
    <row r="15846">
      <c r="AI15846" s="80"/>
    </row>
    <row r="15847">
      <c r="AI15847" s="80"/>
    </row>
    <row r="15848">
      <c r="AI15848" s="80"/>
    </row>
    <row r="15849">
      <c r="AI15849" s="80"/>
    </row>
    <row r="15850">
      <c r="AI15850" s="80"/>
    </row>
    <row r="15851">
      <c r="AI15851" s="80"/>
    </row>
    <row r="15852">
      <c r="AI15852" s="80"/>
    </row>
    <row r="15853">
      <c r="AI15853" s="80"/>
    </row>
    <row r="15854">
      <c r="AI15854" s="80"/>
    </row>
    <row r="15855">
      <c r="AI15855" s="80"/>
    </row>
    <row r="15856">
      <c r="AI15856" s="80"/>
    </row>
    <row r="15857">
      <c r="AI15857" s="80"/>
    </row>
    <row r="15858">
      <c r="AI15858" s="80"/>
    </row>
    <row r="15859">
      <c r="AI15859" s="80"/>
    </row>
    <row r="15860">
      <c r="AI15860" s="80"/>
    </row>
    <row r="15861">
      <c r="AI15861" s="80"/>
    </row>
    <row r="15862">
      <c r="AI15862" s="80"/>
    </row>
    <row r="15863">
      <c r="AI15863" s="80"/>
    </row>
    <row r="15864">
      <c r="AI15864" s="80"/>
    </row>
    <row r="15865">
      <c r="AI15865" s="80"/>
    </row>
    <row r="15866">
      <c r="AI15866" s="80"/>
    </row>
    <row r="15867">
      <c r="AI15867" s="80"/>
    </row>
    <row r="15868">
      <c r="AI15868" s="80"/>
    </row>
    <row r="15869">
      <c r="AI15869" s="80"/>
    </row>
    <row r="15870">
      <c r="AI15870" s="80"/>
    </row>
    <row r="15871">
      <c r="AI15871" s="80"/>
    </row>
    <row r="15872">
      <c r="AI15872" s="80"/>
    </row>
    <row r="15873">
      <c r="AI15873" s="80"/>
    </row>
    <row r="15874">
      <c r="AI15874" s="80"/>
    </row>
    <row r="15875">
      <c r="AI15875" s="80"/>
    </row>
    <row r="15876">
      <c r="AI15876" s="80"/>
    </row>
    <row r="15877">
      <c r="AI15877" s="80"/>
    </row>
    <row r="15878">
      <c r="AI15878" s="80"/>
    </row>
    <row r="15879">
      <c r="AI15879" s="80"/>
    </row>
    <row r="15880">
      <c r="AI15880" s="80"/>
    </row>
    <row r="15881">
      <c r="AI15881" s="80"/>
    </row>
    <row r="15882">
      <c r="AI15882" s="80"/>
    </row>
    <row r="15883">
      <c r="AI15883" s="80"/>
    </row>
    <row r="15884">
      <c r="AI15884" s="80"/>
    </row>
    <row r="15885">
      <c r="AI15885" s="80"/>
    </row>
    <row r="15886">
      <c r="AI15886" s="80"/>
    </row>
    <row r="15887">
      <c r="AI15887" s="80"/>
    </row>
    <row r="15888">
      <c r="AI15888" s="80"/>
    </row>
    <row r="15889">
      <c r="AI15889" s="80"/>
    </row>
    <row r="15890">
      <c r="AI15890" s="80"/>
    </row>
    <row r="15891">
      <c r="AI15891" s="80"/>
    </row>
    <row r="15892">
      <c r="AI15892" s="80"/>
    </row>
    <row r="15893">
      <c r="AI15893" s="80"/>
    </row>
    <row r="15894">
      <c r="AI15894" s="80"/>
    </row>
    <row r="15895">
      <c r="AI15895" s="80"/>
    </row>
    <row r="15896">
      <c r="AI15896" s="80"/>
    </row>
    <row r="15897">
      <c r="AI15897" s="80"/>
    </row>
    <row r="15898">
      <c r="AI15898" s="80"/>
    </row>
    <row r="15899">
      <c r="AI15899" s="80"/>
    </row>
    <row r="15900">
      <c r="AI15900" s="80"/>
    </row>
    <row r="15901">
      <c r="AI15901" s="80"/>
    </row>
    <row r="15902">
      <c r="AI15902" s="80"/>
    </row>
    <row r="15903">
      <c r="AI15903" s="80"/>
    </row>
    <row r="15904">
      <c r="AI15904" s="80"/>
    </row>
    <row r="15905">
      <c r="AI15905" s="80"/>
    </row>
    <row r="15906">
      <c r="AI15906" s="80"/>
    </row>
    <row r="15907">
      <c r="AI15907" s="80"/>
    </row>
    <row r="15908">
      <c r="AI15908" s="80"/>
    </row>
    <row r="15909">
      <c r="AI15909" s="80"/>
    </row>
    <row r="15910">
      <c r="AI15910" s="80"/>
    </row>
    <row r="15911">
      <c r="AI15911" s="80"/>
    </row>
    <row r="15912">
      <c r="AI15912" s="80"/>
    </row>
    <row r="15913">
      <c r="AI15913" s="80"/>
    </row>
    <row r="15914">
      <c r="AI15914" s="80"/>
    </row>
    <row r="15915">
      <c r="AI15915" s="80"/>
    </row>
    <row r="15916">
      <c r="AI15916" s="80"/>
    </row>
    <row r="15917">
      <c r="AI15917" s="80"/>
    </row>
    <row r="15918">
      <c r="AI15918" s="80"/>
    </row>
    <row r="15919">
      <c r="AI15919" s="80"/>
    </row>
    <row r="15920">
      <c r="AI15920" s="80"/>
    </row>
    <row r="15921">
      <c r="AI15921" s="80"/>
    </row>
    <row r="15922">
      <c r="AI15922" s="80"/>
    </row>
    <row r="15923">
      <c r="AI15923" s="80"/>
    </row>
    <row r="15924">
      <c r="AI15924" s="80"/>
    </row>
    <row r="15925">
      <c r="AI15925" s="80"/>
    </row>
    <row r="15926">
      <c r="AI15926" s="80"/>
    </row>
    <row r="15927">
      <c r="AI15927" s="80"/>
    </row>
    <row r="15928">
      <c r="AI15928" s="80"/>
    </row>
    <row r="15929">
      <c r="AI15929" s="80"/>
    </row>
    <row r="15930">
      <c r="AI15930" s="80"/>
    </row>
    <row r="15931">
      <c r="AI15931" s="80"/>
    </row>
    <row r="15932">
      <c r="AI15932" s="80"/>
    </row>
    <row r="15933">
      <c r="AI15933" s="80"/>
    </row>
    <row r="15934">
      <c r="AI15934" s="80"/>
    </row>
    <row r="15935">
      <c r="AI15935" s="80"/>
    </row>
    <row r="15936">
      <c r="AI15936" s="80"/>
    </row>
    <row r="15937">
      <c r="AI15937" s="80"/>
    </row>
    <row r="15938">
      <c r="AI15938" s="80"/>
    </row>
    <row r="15939">
      <c r="AI15939" s="80"/>
    </row>
    <row r="15940">
      <c r="AI15940" s="80"/>
    </row>
    <row r="15941">
      <c r="AI15941" s="80"/>
    </row>
    <row r="15942">
      <c r="AI15942" s="80"/>
    </row>
    <row r="15943">
      <c r="AI15943" s="80"/>
    </row>
    <row r="15944">
      <c r="AI15944" s="80"/>
    </row>
    <row r="15945">
      <c r="AI15945" s="80"/>
    </row>
    <row r="15946">
      <c r="AI15946" s="80"/>
    </row>
    <row r="15947">
      <c r="AI15947" s="80"/>
    </row>
    <row r="15948">
      <c r="AI15948" s="80"/>
    </row>
    <row r="15949">
      <c r="AI15949" s="80"/>
    </row>
    <row r="15950">
      <c r="AI15950" s="80"/>
    </row>
    <row r="15951">
      <c r="AI15951" s="80"/>
    </row>
    <row r="15952">
      <c r="AI15952" s="80"/>
    </row>
    <row r="15953">
      <c r="AI15953" s="80"/>
    </row>
    <row r="15954">
      <c r="AI15954" s="80"/>
    </row>
    <row r="15955">
      <c r="AI15955" s="80"/>
    </row>
    <row r="15956">
      <c r="AI15956" s="80"/>
    </row>
    <row r="15957">
      <c r="AI15957" s="80"/>
    </row>
    <row r="15958">
      <c r="AI15958" s="80"/>
    </row>
    <row r="15959">
      <c r="AI15959" s="80"/>
    </row>
    <row r="15960">
      <c r="AI15960" s="80"/>
    </row>
    <row r="15961">
      <c r="AI15961" s="80"/>
    </row>
    <row r="15962">
      <c r="AI15962" s="80"/>
    </row>
    <row r="15963">
      <c r="AI15963" s="80"/>
    </row>
    <row r="15964">
      <c r="AI15964" s="80"/>
    </row>
    <row r="15965">
      <c r="AI15965" s="80"/>
    </row>
    <row r="15966">
      <c r="AI15966" s="80"/>
    </row>
    <row r="15967">
      <c r="AI15967" s="80"/>
    </row>
    <row r="15968">
      <c r="AI15968" s="80"/>
    </row>
    <row r="15969">
      <c r="AI15969" s="80"/>
    </row>
    <row r="15970">
      <c r="AI15970" s="80"/>
    </row>
    <row r="15971">
      <c r="AI15971" s="80"/>
    </row>
    <row r="15972">
      <c r="AI15972" s="80"/>
    </row>
    <row r="15973">
      <c r="AI15973" s="80"/>
    </row>
    <row r="15974">
      <c r="AI15974" s="80"/>
    </row>
    <row r="15975">
      <c r="AI15975" s="80"/>
    </row>
    <row r="15976">
      <c r="AI15976" s="80"/>
    </row>
    <row r="15977">
      <c r="AI15977" s="80"/>
    </row>
    <row r="15978">
      <c r="AI15978" s="80"/>
    </row>
    <row r="15979">
      <c r="AI15979" s="80"/>
    </row>
    <row r="15980">
      <c r="AI15980" s="80"/>
    </row>
    <row r="15981">
      <c r="AI15981" s="80"/>
    </row>
    <row r="15982">
      <c r="AI15982" s="80"/>
    </row>
    <row r="15983">
      <c r="AI15983" s="80"/>
    </row>
    <row r="15984">
      <c r="AI15984" s="80"/>
    </row>
    <row r="15985">
      <c r="AI15985" s="80"/>
    </row>
    <row r="15986">
      <c r="AI15986" s="80"/>
    </row>
    <row r="15987">
      <c r="AI15987" s="80"/>
    </row>
    <row r="15988">
      <c r="AI15988" s="80"/>
    </row>
    <row r="15989">
      <c r="AI15989" s="80"/>
    </row>
    <row r="15990">
      <c r="AI15990" s="80"/>
    </row>
    <row r="15991">
      <c r="AI15991" s="80"/>
    </row>
    <row r="15992">
      <c r="AI15992" s="80"/>
    </row>
    <row r="15993">
      <c r="AI15993" s="80"/>
    </row>
    <row r="15994">
      <c r="AI15994" s="80"/>
    </row>
    <row r="15995">
      <c r="AI15995" s="80"/>
    </row>
    <row r="15996">
      <c r="AI15996" s="80"/>
    </row>
    <row r="15997">
      <c r="AI15997" s="80"/>
    </row>
    <row r="15998">
      <c r="AI15998" s="80"/>
    </row>
    <row r="15999">
      <c r="AI15999" s="80"/>
    </row>
    <row r="16000">
      <c r="AI16000" s="80"/>
    </row>
    <row r="16001">
      <c r="AI16001" s="80"/>
    </row>
    <row r="16002">
      <c r="AI16002" s="80"/>
    </row>
    <row r="16003">
      <c r="AI16003" s="80"/>
    </row>
    <row r="16004">
      <c r="AI16004" s="80"/>
    </row>
    <row r="16005">
      <c r="AI16005" s="80"/>
    </row>
    <row r="16006">
      <c r="AI16006" s="80"/>
    </row>
    <row r="16007">
      <c r="AI16007" s="80"/>
    </row>
    <row r="16008">
      <c r="AI16008" s="80"/>
    </row>
    <row r="16009">
      <c r="AI16009" s="80"/>
    </row>
    <row r="16010">
      <c r="AI16010" s="80"/>
    </row>
    <row r="16011">
      <c r="AI16011" s="80"/>
    </row>
    <row r="16012">
      <c r="AI16012" s="80"/>
    </row>
    <row r="16013">
      <c r="AI16013" s="80"/>
    </row>
    <row r="16014">
      <c r="AI16014" s="80"/>
    </row>
    <row r="16015">
      <c r="AI16015" s="80"/>
    </row>
    <row r="16016">
      <c r="AI16016" s="80"/>
    </row>
    <row r="16017">
      <c r="AI16017" s="80"/>
    </row>
    <row r="16018">
      <c r="AI16018" s="80"/>
    </row>
    <row r="16019">
      <c r="AI16019" s="80"/>
    </row>
    <row r="16020">
      <c r="AI16020" s="80"/>
    </row>
    <row r="16021">
      <c r="AI16021" s="80"/>
    </row>
    <row r="16022">
      <c r="AI16022" s="80"/>
    </row>
    <row r="16023">
      <c r="AI16023" s="80"/>
    </row>
    <row r="16024">
      <c r="AI16024" s="80"/>
    </row>
    <row r="16025">
      <c r="AI16025" s="80"/>
    </row>
    <row r="16026">
      <c r="AI16026" s="80"/>
    </row>
    <row r="16027">
      <c r="AI16027" s="80"/>
    </row>
    <row r="16028">
      <c r="AI16028" s="80"/>
    </row>
    <row r="16029">
      <c r="AI16029" s="80"/>
    </row>
    <row r="16030">
      <c r="AI16030" s="80"/>
    </row>
    <row r="16031">
      <c r="AI16031" s="80"/>
    </row>
    <row r="16032">
      <c r="AI16032" s="80"/>
    </row>
    <row r="16033">
      <c r="AI16033" s="80"/>
    </row>
    <row r="16034">
      <c r="AI16034" s="80"/>
    </row>
    <row r="16035">
      <c r="AI16035" s="80"/>
    </row>
    <row r="16036">
      <c r="AI16036" s="80"/>
    </row>
    <row r="16037">
      <c r="AI16037" s="80"/>
    </row>
    <row r="16038">
      <c r="AI16038" s="80"/>
    </row>
    <row r="16039">
      <c r="AI16039" s="80"/>
    </row>
    <row r="16040">
      <c r="AI16040" s="80"/>
    </row>
    <row r="16041">
      <c r="AI16041" s="80"/>
    </row>
    <row r="16042">
      <c r="AI16042" s="80"/>
    </row>
    <row r="16043">
      <c r="AI16043" s="80"/>
    </row>
    <row r="16044">
      <c r="AI16044" s="80"/>
    </row>
    <row r="16045">
      <c r="AI16045" s="80"/>
    </row>
    <row r="16046">
      <c r="AI16046" s="80"/>
    </row>
    <row r="16047">
      <c r="AI16047" s="80"/>
    </row>
    <row r="16048">
      <c r="AI16048" s="80"/>
    </row>
    <row r="16049">
      <c r="AI16049" s="80"/>
    </row>
    <row r="16050">
      <c r="AI16050" s="80"/>
    </row>
    <row r="16051">
      <c r="AI16051" s="80"/>
    </row>
    <row r="16052">
      <c r="AI16052" s="80"/>
    </row>
    <row r="16053">
      <c r="AI16053" s="80"/>
    </row>
    <row r="16054">
      <c r="AI16054" s="80"/>
    </row>
    <row r="16055">
      <c r="AI16055" s="80"/>
    </row>
    <row r="16056">
      <c r="AI16056" s="80"/>
    </row>
    <row r="16057">
      <c r="AI16057" s="80"/>
    </row>
    <row r="16058">
      <c r="AI16058" s="80"/>
    </row>
    <row r="16059">
      <c r="AI16059" s="80"/>
    </row>
    <row r="16060">
      <c r="AI16060" s="80"/>
    </row>
    <row r="16061">
      <c r="AI16061" s="80"/>
    </row>
    <row r="16062">
      <c r="AI16062" s="80"/>
    </row>
    <row r="16063">
      <c r="AI16063" s="80"/>
    </row>
    <row r="16064">
      <c r="AI16064" s="80"/>
    </row>
    <row r="16065">
      <c r="AI16065" s="80"/>
    </row>
    <row r="16066">
      <c r="AI16066" s="80"/>
    </row>
    <row r="16067">
      <c r="AI16067" s="80"/>
    </row>
    <row r="16068">
      <c r="AI16068" s="80"/>
    </row>
    <row r="16069">
      <c r="AI16069" s="80"/>
    </row>
    <row r="16070">
      <c r="AI16070" s="80"/>
    </row>
    <row r="16071">
      <c r="AI16071" s="80"/>
    </row>
    <row r="16072">
      <c r="AI16072" s="80"/>
    </row>
    <row r="16073">
      <c r="AI16073" s="80"/>
    </row>
    <row r="16074">
      <c r="AI16074" s="80"/>
    </row>
    <row r="16075">
      <c r="AI16075" s="80"/>
    </row>
    <row r="16076">
      <c r="AI16076" s="80"/>
    </row>
    <row r="16077">
      <c r="AI16077" s="80"/>
    </row>
    <row r="16078">
      <c r="AI16078" s="80"/>
    </row>
    <row r="16079">
      <c r="AI16079" s="80"/>
    </row>
    <row r="16080">
      <c r="AI16080" s="80"/>
    </row>
    <row r="16081">
      <c r="AI16081" s="80"/>
    </row>
    <row r="16082">
      <c r="AI16082" s="80"/>
    </row>
    <row r="16083">
      <c r="AI16083" s="80"/>
    </row>
    <row r="16084">
      <c r="AI16084" s="80"/>
    </row>
    <row r="16085">
      <c r="AI16085" s="80"/>
    </row>
    <row r="16086">
      <c r="AI16086" s="80"/>
    </row>
    <row r="16087">
      <c r="AI16087" s="80"/>
    </row>
    <row r="16088">
      <c r="AI16088" s="80"/>
    </row>
    <row r="16089">
      <c r="AI16089" s="80"/>
    </row>
    <row r="16090">
      <c r="AI16090" s="80"/>
    </row>
    <row r="16091">
      <c r="AI16091" s="80"/>
    </row>
    <row r="16092">
      <c r="AI16092" s="80"/>
    </row>
    <row r="16093">
      <c r="AI16093" s="80"/>
    </row>
    <row r="16094">
      <c r="AI16094" s="80"/>
    </row>
    <row r="16095">
      <c r="AI16095" s="80"/>
    </row>
    <row r="16096">
      <c r="AI16096" s="80"/>
    </row>
    <row r="16097">
      <c r="AI16097" s="80"/>
    </row>
    <row r="16098">
      <c r="AI16098" s="80"/>
    </row>
    <row r="16099">
      <c r="AI16099" s="80"/>
    </row>
    <row r="16100">
      <c r="AI16100" s="80"/>
    </row>
    <row r="16101">
      <c r="AI16101" s="80"/>
    </row>
    <row r="16102">
      <c r="AI16102" s="80"/>
    </row>
    <row r="16103">
      <c r="AI16103" s="80"/>
    </row>
    <row r="16104">
      <c r="AI16104" s="80"/>
    </row>
    <row r="16105">
      <c r="AI16105" s="80"/>
    </row>
    <row r="16106">
      <c r="AI16106" s="80"/>
    </row>
    <row r="16107">
      <c r="AI16107" s="80"/>
    </row>
    <row r="16108">
      <c r="AI16108" s="80"/>
    </row>
    <row r="16109">
      <c r="AI16109" s="80"/>
    </row>
    <row r="16110">
      <c r="AI16110" s="80"/>
    </row>
    <row r="16111">
      <c r="AI16111" s="80"/>
    </row>
    <row r="16112">
      <c r="AI16112" s="80"/>
    </row>
    <row r="16113">
      <c r="AI16113" s="80"/>
    </row>
    <row r="16114">
      <c r="AI16114" s="80"/>
    </row>
    <row r="16115">
      <c r="AI16115" s="80"/>
    </row>
    <row r="16116">
      <c r="AI16116" s="80"/>
    </row>
    <row r="16117">
      <c r="AI16117" s="80"/>
    </row>
    <row r="16118">
      <c r="AI16118" s="80"/>
    </row>
    <row r="16119">
      <c r="AI16119" s="80"/>
    </row>
    <row r="16120">
      <c r="AI16120" s="80"/>
    </row>
    <row r="16121">
      <c r="AI16121" s="80"/>
    </row>
    <row r="16122">
      <c r="AI16122" s="80"/>
    </row>
    <row r="16123">
      <c r="AI16123" s="80"/>
    </row>
    <row r="16124">
      <c r="AI16124" s="80"/>
    </row>
    <row r="16125">
      <c r="AI16125" s="80"/>
    </row>
    <row r="16126">
      <c r="AI16126" s="80"/>
    </row>
    <row r="16127">
      <c r="AI16127" s="80"/>
    </row>
    <row r="16128">
      <c r="AI16128" s="80"/>
    </row>
    <row r="16129">
      <c r="AI16129" s="80"/>
    </row>
    <row r="16130">
      <c r="AI16130" s="80"/>
    </row>
    <row r="16131">
      <c r="AI16131" s="80"/>
    </row>
    <row r="16132">
      <c r="AI16132" s="80"/>
    </row>
    <row r="16133">
      <c r="AI16133" s="80"/>
    </row>
    <row r="16134">
      <c r="AI16134" s="80"/>
    </row>
    <row r="16135">
      <c r="AI16135" s="80"/>
    </row>
    <row r="16136">
      <c r="AI16136" s="80"/>
    </row>
    <row r="16137">
      <c r="AI16137" s="80"/>
    </row>
    <row r="16138">
      <c r="AI16138" s="80"/>
    </row>
    <row r="16139">
      <c r="AI16139" s="80"/>
    </row>
    <row r="16140">
      <c r="AI16140" s="80"/>
    </row>
    <row r="16141">
      <c r="AI16141" s="80"/>
    </row>
    <row r="16142">
      <c r="AI16142" s="80"/>
    </row>
    <row r="16143">
      <c r="AI16143" s="80"/>
    </row>
    <row r="16144">
      <c r="AI16144" s="80"/>
    </row>
    <row r="16145">
      <c r="AI16145" s="80"/>
    </row>
    <row r="16146">
      <c r="AI16146" s="80"/>
    </row>
    <row r="16147">
      <c r="AI16147" s="80"/>
    </row>
    <row r="16148">
      <c r="AI16148" s="80"/>
    </row>
    <row r="16149">
      <c r="AI16149" s="80"/>
    </row>
    <row r="16150">
      <c r="AI16150" s="80"/>
    </row>
    <row r="16151">
      <c r="AI16151" s="80"/>
    </row>
    <row r="16152">
      <c r="AI16152" s="80"/>
    </row>
    <row r="16153">
      <c r="AI16153" s="80"/>
    </row>
    <row r="16154">
      <c r="AI16154" s="80"/>
    </row>
    <row r="16155">
      <c r="AI16155" s="80"/>
    </row>
    <row r="16156">
      <c r="AI16156" s="80"/>
    </row>
    <row r="16157">
      <c r="AI16157" s="80"/>
    </row>
    <row r="16158">
      <c r="AI16158" s="80"/>
    </row>
    <row r="16159">
      <c r="AI16159" s="80"/>
    </row>
    <row r="16160">
      <c r="AI16160" s="80"/>
    </row>
    <row r="16161">
      <c r="AI16161" s="80"/>
    </row>
    <row r="16162">
      <c r="AI16162" s="80"/>
    </row>
    <row r="16163">
      <c r="AI16163" s="80"/>
    </row>
    <row r="16164">
      <c r="AI16164" s="80"/>
    </row>
    <row r="16165">
      <c r="AI16165" s="80"/>
    </row>
    <row r="16166">
      <c r="AI16166" s="80"/>
    </row>
    <row r="16167">
      <c r="AI16167" s="80"/>
    </row>
    <row r="16168">
      <c r="AI16168" s="80"/>
    </row>
    <row r="16169">
      <c r="AI16169" s="80"/>
    </row>
    <row r="16170">
      <c r="AI16170" s="80"/>
    </row>
    <row r="16171">
      <c r="AI16171" s="80"/>
    </row>
    <row r="16172">
      <c r="AI16172" s="80"/>
    </row>
    <row r="16173">
      <c r="AI16173" s="80"/>
    </row>
    <row r="16174">
      <c r="AI16174" s="80"/>
    </row>
    <row r="16175">
      <c r="AI16175" s="80"/>
    </row>
    <row r="16176">
      <c r="AI16176" s="80"/>
    </row>
    <row r="16177">
      <c r="AI16177" s="80"/>
    </row>
    <row r="16178">
      <c r="AI16178" s="80"/>
    </row>
    <row r="16179">
      <c r="AI16179" s="80"/>
    </row>
    <row r="16180">
      <c r="AI16180" s="80"/>
    </row>
    <row r="16181">
      <c r="AI16181" s="80"/>
    </row>
    <row r="16182">
      <c r="AI16182" s="80"/>
    </row>
    <row r="16183">
      <c r="AI16183" s="80"/>
    </row>
    <row r="16184">
      <c r="AI16184" s="80"/>
    </row>
    <row r="16185">
      <c r="AI16185" s="80"/>
    </row>
    <row r="16186">
      <c r="AI16186" s="80"/>
    </row>
    <row r="16187">
      <c r="AI16187" s="80"/>
    </row>
    <row r="16188">
      <c r="AI16188" s="80"/>
    </row>
    <row r="16189">
      <c r="AI16189" s="80"/>
    </row>
    <row r="16190">
      <c r="AI16190" s="80"/>
    </row>
    <row r="16191">
      <c r="AI16191" s="80"/>
    </row>
    <row r="16192">
      <c r="AI16192" s="80"/>
    </row>
    <row r="16193">
      <c r="AI16193" s="80"/>
    </row>
    <row r="16194">
      <c r="AI16194" s="80"/>
    </row>
    <row r="16195">
      <c r="AI16195" s="80"/>
    </row>
    <row r="16196">
      <c r="AI16196" s="80"/>
    </row>
    <row r="16197">
      <c r="AI16197" s="80"/>
    </row>
    <row r="16198">
      <c r="AI16198" s="80"/>
    </row>
    <row r="16199">
      <c r="AI16199" s="80"/>
    </row>
    <row r="16200">
      <c r="AI16200" s="80"/>
    </row>
    <row r="16201">
      <c r="AI16201" s="80"/>
    </row>
    <row r="16202">
      <c r="AI16202" s="80"/>
    </row>
    <row r="16203">
      <c r="AI16203" s="80"/>
    </row>
    <row r="16204">
      <c r="AI16204" s="80"/>
    </row>
    <row r="16205">
      <c r="AI16205" s="80"/>
    </row>
    <row r="16206">
      <c r="AI16206" s="80"/>
    </row>
    <row r="16207">
      <c r="AI16207" s="80"/>
    </row>
    <row r="16208">
      <c r="AI16208" s="80"/>
    </row>
    <row r="16209">
      <c r="AI16209" s="80"/>
    </row>
    <row r="16210">
      <c r="AI16210" s="80"/>
    </row>
    <row r="16211">
      <c r="AI16211" s="80"/>
    </row>
    <row r="16212">
      <c r="AI16212" s="80"/>
    </row>
    <row r="16213">
      <c r="AI16213" s="80"/>
    </row>
    <row r="16214">
      <c r="AI16214" s="80"/>
    </row>
    <row r="16215">
      <c r="AI16215" s="80"/>
    </row>
    <row r="16216">
      <c r="AI16216" s="80"/>
    </row>
    <row r="16217">
      <c r="AI16217" s="80"/>
    </row>
    <row r="16218">
      <c r="AI16218" s="80"/>
    </row>
    <row r="16219">
      <c r="AI16219" s="80"/>
    </row>
    <row r="16220">
      <c r="AI16220" s="80"/>
    </row>
    <row r="16221">
      <c r="AI16221" s="80"/>
    </row>
    <row r="16222">
      <c r="AI16222" s="80"/>
    </row>
    <row r="16223">
      <c r="AI16223" s="80"/>
    </row>
    <row r="16224">
      <c r="AI16224" s="80"/>
    </row>
    <row r="16225">
      <c r="AI16225" s="80"/>
    </row>
    <row r="16226">
      <c r="AI16226" s="80"/>
    </row>
    <row r="16227">
      <c r="AI16227" s="80"/>
    </row>
    <row r="16228">
      <c r="AI16228" s="80"/>
    </row>
    <row r="16229">
      <c r="AI16229" s="80"/>
    </row>
    <row r="16230">
      <c r="AI16230" s="80"/>
    </row>
    <row r="16231">
      <c r="AI16231" s="80"/>
    </row>
    <row r="16232">
      <c r="AI16232" s="80"/>
    </row>
    <row r="16233">
      <c r="AI16233" s="80"/>
    </row>
    <row r="16234">
      <c r="AI16234" s="80"/>
    </row>
    <row r="16235">
      <c r="AI16235" s="80"/>
    </row>
    <row r="16236">
      <c r="AI16236" s="80"/>
    </row>
    <row r="16237">
      <c r="AI16237" s="80"/>
    </row>
    <row r="16238">
      <c r="AI16238" s="80"/>
    </row>
    <row r="16239">
      <c r="AI16239" s="80"/>
    </row>
    <row r="16240">
      <c r="AI16240" s="80"/>
    </row>
    <row r="16241">
      <c r="AI16241" s="80"/>
    </row>
    <row r="16242">
      <c r="AI16242" s="80"/>
    </row>
    <row r="16243">
      <c r="AI16243" s="80"/>
    </row>
    <row r="16244">
      <c r="AI16244" s="80"/>
    </row>
    <row r="16245">
      <c r="AI16245" s="80"/>
    </row>
    <row r="16246">
      <c r="AI16246" s="80"/>
    </row>
    <row r="16247">
      <c r="AI16247" s="80"/>
    </row>
    <row r="16248">
      <c r="AI16248" s="80"/>
    </row>
    <row r="16249">
      <c r="AI16249" s="80"/>
    </row>
    <row r="16250">
      <c r="AI16250" s="80"/>
    </row>
    <row r="16251">
      <c r="AI16251" s="80"/>
    </row>
    <row r="16252">
      <c r="AI16252" s="80"/>
    </row>
    <row r="16253">
      <c r="AI16253" s="80"/>
    </row>
    <row r="16254">
      <c r="AI16254" s="80"/>
    </row>
    <row r="16255">
      <c r="AI16255" s="80"/>
    </row>
    <row r="16256">
      <c r="AI16256" s="80"/>
    </row>
    <row r="16257">
      <c r="AI16257" s="80"/>
    </row>
    <row r="16258">
      <c r="AI16258" s="80"/>
    </row>
    <row r="16259">
      <c r="AI16259" s="80"/>
    </row>
    <row r="16260">
      <c r="AI16260" s="80"/>
    </row>
    <row r="16261">
      <c r="AI16261" s="80"/>
    </row>
    <row r="16262">
      <c r="AI16262" s="80"/>
    </row>
    <row r="16263">
      <c r="AI16263" s="80"/>
    </row>
    <row r="16264">
      <c r="AI16264" s="80"/>
    </row>
    <row r="16265">
      <c r="AI16265" s="80"/>
    </row>
    <row r="16266">
      <c r="AI16266" s="80"/>
    </row>
    <row r="16267">
      <c r="AI16267" s="80"/>
    </row>
    <row r="16268">
      <c r="AI16268" s="80"/>
    </row>
    <row r="16269">
      <c r="AI16269" s="80"/>
    </row>
    <row r="16270">
      <c r="AI16270" s="80"/>
    </row>
    <row r="16271">
      <c r="AI16271" s="80"/>
    </row>
    <row r="16272">
      <c r="AI16272" s="80"/>
    </row>
    <row r="16273">
      <c r="AI16273" s="80"/>
    </row>
    <row r="16274">
      <c r="AI16274" s="80"/>
    </row>
    <row r="16275">
      <c r="AI16275" s="80"/>
    </row>
    <row r="16276">
      <c r="AI16276" s="80"/>
    </row>
    <row r="16277">
      <c r="AI16277" s="80"/>
    </row>
    <row r="16278">
      <c r="AI16278" s="80"/>
    </row>
    <row r="16279">
      <c r="AI16279" s="80"/>
    </row>
    <row r="16280">
      <c r="AI16280" s="80"/>
    </row>
    <row r="16281">
      <c r="AI16281" s="80"/>
    </row>
    <row r="16282">
      <c r="AI16282" s="80"/>
    </row>
    <row r="16283">
      <c r="AI16283" s="80"/>
    </row>
    <row r="16284">
      <c r="AI16284" s="80"/>
    </row>
    <row r="16285">
      <c r="AI16285" s="80"/>
    </row>
    <row r="16286">
      <c r="AI16286" s="80"/>
    </row>
    <row r="16287">
      <c r="AI16287" s="80"/>
    </row>
    <row r="16288">
      <c r="AI16288" s="80"/>
    </row>
    <row r="16289">
      <c r="AI16289" s="80"/>
    </row>
    <row r="16290">
      <c r="AI16290" s="80"/>
    </row>
    <row r="16291">
      <c r="AI16291" s="80"/>
    </row>
    <row r="16292">
      <c r="AI16292" s="80"/>
    </row>
    <row r="16293">
      <c r="AI16293" s="80"/>
    </row>
    <row r="16294">
      <c r="AI16294" s="80"/>
    </row>
    <row r="16295">
      <c r="AI16295" s="80"/>
    </row>
    <row r="16296">
      <c r="AI16296" s="80"/>
    </row>
    <row r="16297">
      <c r="AI16297" s="80"/>
    </row>
    <row r="16298">
      <c r="AI16298" s="80"/>
    </row>
    <row r="16299">
      <c r="AI16299" s="80"/>
    </row>
    <row r="16300">
      <c r="AI16300" s="80"/>
    </row>
    <row r="16301">
      <c r="AI16301" s="80"/>
    </row>
    <row r="16302">
      <c r="AI16302" s="80"/>
    </row>
    <row r="16303">
      <c r="AI16303" s="80"/>
    </row>
    <row r="16304">
      <c r="AI16304" s="80"/>
    </row>
    <row r="16305">
      <c r="AI16305" s="80"/>
    </row>
    <row r="16306">
      <c r="AI16306" s="80"/>
    </row>
    <row r="16307">
      <c r="AI16307" s="80"/>
    </row>
    <row r="16308">
      <c r="AI16308" s="80"/>
    </row>
    <row r="16309">
      <c r="AI16309" s="80"/>
    </row>
    <row r="16310">
      <c r="AI16310" s="80"/>
    </row>
    <row r="16311">
      <c r="AI16311" s="80"/>
    </row>
    <row r="16312">
      <c r="AI16312" s="80"/>
    </row>
    <row r="16313">
      <c r="AI16313" s="80"/>
    </row>
    <row r="16314">
      <c r="AI16314" s="80"/>
    </row>
    <row r="16315">
      <c r="AI16315" s="80"/>
    </row>
    <row r="16316">
      <c r="AI16316" s="80"/>
    </row>
    <row r="16317">
      <c r="AI16317" s="80"/>
    </row>
    <row r="16318">
      <c r="AI16318" s="80"/>
    </row>
    <row r="16319">
      <c r="AI16319" s="80"/>
    </row>
    <row r="16320">
      <c r="AI16320" s="80"/>
    </row>
    <row r="16321">
      <c r="AI16321" s="80"/>
    </row>
    <row r="16322">
      <c r="AI16322" s="80"/>
    </row>
    <row r="16323">
      <c r="AI16323" s="80"/>
    </row>
    <row r="16324">
      <c r="AI16324" s="80"/>
    </row>
    <row r="16325">
      <c r="AI16325" s="80"/>
    </row>
    <row r="16326">
      <c r="AI16326" s="80"/>
    </row>
    <row r="16327">
      <c r="AI16327" s="80"/>
    </row>
    <row r="16328">
      <c r="AI16328" s="80"/>
    </row>
    <row r="16329">
      <c r="AI16329" s="80"/>
    </row>
    <row r="16330">
      <c r="AI16330" s="80"/>
    </row>
    <row r="16331">
      <c r="AI16331" s="80"/>
    </row>
    <row r="16332">
      <c r="AI16332" s="80"/>
    </row>
    <row r="16333">
      <c r="AI16333" s="80"/>
    </row>
    <row r="16334">
      <c r="AI16334" s="80"/>
    </row>
    <row r="16335">
      <c r="AI16335" s="80"/>
    </row>
    <row r="16336">
      <c r="AI16336" s="80"/>
    </row>
    <row r="16337">
      <c r="AI16337" s="80"/>
    </row>
    <row r="16338">
      <c r="AI16338" s="80"/>
    </row>
    <row r="16339">
      <c r="AI16339" s="80"/>
    </row>
    <row r="16340">
      <c r="AI16340" s="80"/>
    </row>
    <row r="16341">
      <c r="AI16341" s="80"/>
    </row>
    <row r="16342">
      <c r="AI16342" s="80"/>
    </row>
    <row r="16343">
      <c r="AI16343" s="80"/>
    </row>
    <row r="16344">
      <c r="AI16344" s="80"/>
    </row>
    <row r="16345">
      <c r="AI16345" s="80"/>
    </row>
    <row r="16346">
      <c r="AI16346" s="80"/>
    </row>
    <row r="16347">
      <c r="AI16347" s="80"/>
    </row>
    <row r="16348">
      <c r="AI16348" s="80"/>
    </row>
    <row r="16349">
      <c r="AI16349" s="80"/>
    </row>
    <row r="16350">
      <c r="AI16350" s="80"/>
    </row>
    <row r="16351">
      <c r="AI16351" s="80"/>
    </row>
    <row r="16352">
      <c r="AI16352" s="80"/>
    </row>
    <row r="16353">
      <c r="AI16353" s="80"/>
    </row>
    <row r="16354">
      <c r="AI16354" s="80"/>
    </row>
    <row r="16355">
      <c r="AI16355" s="80"/>
    </row>
    <row r="16356">
      <c r="AI16356" s="80"/>
    </row>
    <row r="16357">
      <c r="AI16357" s="80"/>
    </row>
    <row r="16358">
      <c r="AI16358" s="80"/>
    </row>
    <row r="16359">
      <c r="AI16359" s="80"/>
    </row>
    <row r="16360">
      <c r="AI16360" s="80"/>
    </row>
    <row r="16361">
      <c r="AI16361" s="80"/>
    </row>
    <row r="16362">
      <c r="AI16362" s="80"/>
    </row>
    <row r="16363">
      <c r="AI16363" s="80"/>
    </row>
    <row r="16364">
      <c r="AI16364" s="80"/>
    </row>
    <row r="16365">
      <c r="AI16365" s="80"/>
    </row>
    <row r="16366">
      <c r="AI16366" s="80"/>
    </row>
    <row r="16367">
      <c r="AI16367" s="80"/>
    </row>
    <row r="16368">
      <c r="AI16368" s="80"/>
    </row>
    <row r="16369">
      <c r="AI16369" s="80"/>
    </row>
    <row r="16370">
      <c r="AI16370" s="80"/>
    </row>
    <row r="16371">
      <c r="AI16371" s="80"/>
    </row>
    <row r="16372">
      <c r="AI16372" s="80"/>
    </row>
    <row r="16373">
      <c r="AI16373" s="80"/>
    </row>
    <row r="16374">
      <c r="AI16374" s="80"/>
    </row>
    <row r="16375">
      <c r="AI16375" s="80"/>
    </row>
    <row r="16376">
      <c r="AI16376" s="80"/>
    </row>
    <row r="16377">
      <c r="AI16377" s="80"/>
    </row>
    <row r="16378">
      <c r="AI16378" s="80"/>
    </row>
    <row r="16379">
      <c r="AI16379" s="80"/>
    </row>
    <row r="16380">
      <c r="AI16380" s="80"/>
    </row>
    <row r="16381">
      <c r="AI16381" s="80"/>
    </row>
    <row r="16382">
      <c r="AI16382" s="80"/>
    </row>
    <row r="16383">
      <c r="AI16383" s="80"/>
    </row>
    <row r="16384">
      <c r="AI16384" s="80"/>
    </row>
    <row r="16385">
      <c r="AI16385" s="80"/>
    </row>
    <row r="16386">
      <c r="AI16386" s="80"/>
    </row>
    <row r="16387">
      <c r="AI16387" s="80"/>
    </row>
    <row r="16388">
      <c r="AI16388" s="80"/>
    </row>
    <row r="16389">
      <c r="AI16389" s="80"/>
    </row>
    <row r="16390">
      <c r="AI16390" s="80"/>
    </row>
    <row r="16391">
      <c r="AI16391" s="80"/>
    </row>
    <row r="16392">
      <c r="AI16392" s="80"/>
    </row>
    <row r="16393">
      <c r="AI16393" s="80"/>
    </row>
    <row r="16394">
      <c r="AI16394" s="80"/>
    </row>
    <row r="16395">
      <c r="AI16395" s="80"/>
    </row>
    <row r="16396">
      <c r="AI16396" s="80"/>
    </row>
    <row r="16397">
      <c r="AI16397" s="80"/>
    </row>
    <row r="16398">
      <c r="AI16398" s="80"/>
    </row>
    <row r="16399">
      <c r="AI16399" s="80"/>
    </row>
    <row r="16400">
      <c r="AI16400" s="80"/>
    </row>
    <row r="16401">
      <c r="AI16401" s="80"/>
    </row>
    <row r="16402">
      <c r="AI16402" s="80"/>
    </row>
    <row r="16403">
      <c r="AI16403" s="80"/>
    </row>
    <row r="16404">
      <c r="AI16404" s="80"/>
    </row>
    <row r="16405">
      <c r="AI16405" s="80"/>
    </row>
    <row r="16406">
      <c r="AI16406" s="80"/>
    </row>
    <row r="16407">
      <c r="AI16407" s="80"/>
    </row>
    <row r="16408">
      <c r="AI16408" s="80"/>
    </row>
    <row r="16409">
      <c r="AI16409" s="80"/>
    </row>
    <row r="16410">
      <c r="AI16410" s="80"/>
    </row>
    <row r="16411">
      <c r="AI16411" s="80"/>
    </row>
    <row r="16412">
      <c r="AI16412" s="80"/>
    </row>
    <row r="16413">
      <c r="AI16413" s="80"/>
    </row>
    <row r="16414">
      <c r="AI16414" s="80"/>
    </row>
    <row r="16415">
      <c r="AI16415" s="80"/>
    </row>
    <row r="16416">
      <c r="AI16416" s="80"/>
    </row>
    <row r="16417">
      <c r="AI16417" s="80"/>
    </row>
    <row r="16418">
      <c r="AI16418" s="80"/>
    </row>
    <row r="16419">
      <c r="AI16419" s="80"/>
    </row>
    <row r="16420">
      <c r="AI16420" s="80"/>
    </row>
    <row r="16421">
      <c r="AI16421" s="80"/>
    </row>
    <row r="16422">
      <c r="AI16422" s="80"/>
    </row>
    <row r="16423">
      <c r="AI16423" s="80"/>
    </row>
    <row r="16424">
      <c r="AI16424" s="80"/>
    </row>
    <row r="16425">
      <c r="AI16425" s="80"/>
    </row>
    <row r="16426">
      <c r="AI16426" s="80"/>
    </row>
    <row r="16427">
      <c r="AI16427" s="80"/>
    </row>
    <row r="16428">
      <c r="AI16428" s="80"/>
    </row>
    <row r="16429">
      <c r="AI16429" s="80"/>
    </row>
    <row r="16430">
      <c r="AI16430" s="80"/>
    </row>
    <row r="16431">
      <c r="AI16431" s="80"/>
    </row>
    <row r="16432">
      <c r="AI16432" s="80"/>
    </row>
    <row r="16433">
      <c r="AI16433" s="80"/>
    </row>
    <row r="16434">
      <c r="AI16434" s="80"/>
    </row>
    <row r="16435">
      <c r="AI16435" s="80"/>
    </row>
    <row r="16436">
      <c r="AI16436" s="80"/>
    </row>
    <row r="16437">
      <c r="AI16437" s="80"/>
    </row>
    <row r="16438">
      <c r="AI16438" s="80"/>
    </row>
    <row r="16439">
      <c r="AI16439" s="80"/>
    </row>
    <row r="16440">
      <c r="AI16440" s="80"/>
    </row>
    <row r="16441">
      <c r="AI16441" s="80"/>
    </row>
    <row r="16442">
      <c r="AI16442" s="80"/>
    </row>
    <row r="16443">
      <c r="AI16443" s="80"/>
    </row>
    <row r="16444">
      <c r="AI16444" s="80"/>
    </row>
    <row r="16445">
      <c r="AI16445" s="80"/>
    </row>
    <row r="16446">
      <c r="AI16446" s="80"/>
    </row>
    <row r="16447">
      <c r="AI16447" s="80"/>
    </row>
    <row r="16448">
      <c r="AI16448" s="80"/>
    </row>
    <row r="16449">
      <c r="AI16449" s="80"/>
    </row>
    <row r="16450">
      <c r="AI16450" s="80"/>
    </row>
    <row r="16451">
      <c r="AI16451" s="80"/>
    </row>
    <row r="16452">
      <c r="AI16452" s="80"/>
    </row>
    <row r="16453">
      <c r="AI16453" s="80"/>
    </row>
    <row r="16454">
      <c r="AI16454" s="80"/>
    </row>
    <row r="16455">
      <c r="AI16455" s="80"/>
    </row>
    <row r="16456">
      <c r="AI16456" s="80"/>
    </row>
    <row r="16457">
      <c r="AI16457" s="80"/>
    </row>
    <row r="16458">
      <c r="AI16458" s="80"/>
    </row>
    <row r="16459">
      <c r="AI16459" s="80"/>
    </row>
    <row r="16460">
      <c r="AI16460" s="80"/>
    </row>
    <row r="16461">
      <c r="AI16461" s="80"/>
    </row>
    <row r="16462">
      <c r="AI16462" s="80"/>
    </row>
    <row r="16463">
      <c r="AI16463" s="80"/>
    </row>
    <row r="16464">
      <c r="AI16464" s="80"/>
    </row>
    <row r="16465">
      <c r="AI16465" s="80"/>
    </row>
    <row r="16466">
      <c r="AI16466" s="80"/>
    </row>
    <row r="16467">
      <c r="AI16467" s="80"/>
    </row>
    <row r="16468">
      <c r="AI16468" s="80"/>
    </row>
    <row r="16469">
      <c r="AI16469" s="80"/>
    </row>
    <row r="16470">
      <c r="AI16470" s="80"/>
    </row>
    <row r="16471">
      <c r="AI16471" s="80"/>
    </row>
    <row r="16472">
      <c r="AI16472" s="80"/>
    </row>
    <row r="16473">
      <c r="AI16473" s="80"/>
    </row>
    <row r="16474">
      <c r="AI16474" s="80"/>
    </row>
    <row r="16475">
      <c r="AI16475" s="80"/>
    </row>
    <row r="16476">
      <c r="AI16476" s="80"/>
    </row>
    <row r="16477">
      <c r="AI16477" s="80"/>
    </row>
    <row r="16478">
      <c r="AI16478" s="80"/>
    </row>
    <row r="16479">
      <c r="AI16479" s="80"/>
    </row>
    <row r="16480">
      <c r="AI16480" s="80"/>
    </row>
    <row r="16481">
      <c r="AI16481" s="80"/>
    </row>
    <row r="16482">
      <c r="AI16482" s="80"/>
    </row>
    <row r="16483">
      <c r="AI16483" s="80"/>
    </row>
    <row r="16484">
      <c r="AI16484" s="80"/>
    </row>
    <row r="16485">
      <c r="AI16485" s="80"/>
    </row>
    <row r="16486">
      <c r="AI16486" s="80"/>
    </row>
    <row r="16487">
      <c r="AI16487" s="80"/>
    </row>
    <row r="16488">
      <c r="AI16488" s="80"/>
    </row>
    <row r="16489">
      <c r="AI16489" s="80"/>
    </row>
    <row r="16490">
      <c r="AI16490" s="80"/>
    </row>
    <row r="16491">
      <c r="AI16491" s="80"/>
    </row>
    <row r="16492">
      <c r="AI16492" s="80"/>
    </row>
    <row r="16493">
      <c r="AI16493" s="80"/>
    </row>
    <row r="16494">
      <c r="AI16494" s="80"/>
    </row>
    <row r="16495">
      <c r="AI16495" s="80"/>
    </row>
    <row r="16496">
      <c r="AI16496" s="80"/>
    </row>
    <row r="16497">
      <c r="AI16497" s="80"/>
    </row>
    <row r="16498">
      <c r="AI16498" s="80"/>
    </row>
    <row r="16499">
      <c r="AI16499" s="80"/>
    </row>
    <row r="16500">
      <c r="AI16500" s="80"/>
    </row>
    <row r="16501">
      <c r="AI16501" s="80"/>
    </row>
    <row r="16502">
      <c r="AI16502" s="80"/>
    </row>
    <row r="16503">
      <c r="AI16503" s="80"/>
    </row>
    <row r="16504">
      <c r="AI16504" s="80"/>
    </row>
    <row r="16505">
      <c r="AI16505" s="80"/>
    </row>
    <row r="16506">
      <c r="AI16506" s="80"/>
    </row>
    <row r="16507">
      <c r="AI16507" s="80"/>
    </row>
    <row r="16508">
      <c r="AI16508" s="80"/>
    </row>
    <row r="16509">
      <c r="AI16509" s="80"/>
    </row>
    <row r="16510">
      <c r="AI16510" s="80"/>
    </row>
    <row r="16511">
      <c r="AI16511" s="80"/>
    </row>
    <row r="16512">
      <c r="AI16512" s="80"/>
    </row>
    <row r="16513">
      <c r="AI16513" s="80"/>
    </row>
    <row r="16514">
      <c r="AI16514" s="80"/>
    </row>
    <row r="16515">
      <c r="AI16515" s="80"/>
    </row>
    <row r="16516">
      <c r="AI16516" s="80"/>
    </row>
    <row r="16517">
      <c r="AI16517" s="80"/>
    </row>
    <row r="16518">
      <c r="AI16518" s="80"/>
    </row>
    <row r="16519">
      <c r="AI16519" s="80"/>
    </row>
    <row r="16520">
      <c r="AI16520" s="80"/>
    </row>
    <row r="16521">
      <c r="AI16521" s="80"/>
    </row>
    <row r="16522">
      <c r="AI16522" s="80"/>
    </row>
    <row r="16523">
      <c r="AI16523" s="80"/>
    </row>
    <row r="16524">
      <c r="AI16524" s="80"/>
    </row>
    <row r="16525">
      <c r="AI16525" s="80"/>
    </row>
    <row r="16526">
      <c r="AI16526" s="80"/>
    </row>
    <row r="16527">
      <c r="AI16527" s="80"/>
    </row>
    <row r="16528">
      <c r="AI16528" s="80"/>
    </row>
    <row r="16529">
      <c r="AI16529" s="80"/>
    </row>
    <row r="16530">
      <c r="AI16530" s="80"/>
    </row>
    <row r="16531">
      <c r="AI16531" s="80"/>
    </row>
    <row r="16532">
      <c r="AI16532" s="80"/>
    </row>
    <row r="16533">
      <c r="AI16533" s="80"/>
    </row>
    <row r="16534">
      <c r="AI16534" s="80"/>
    </row>
    <row r="16535">
      <c r="AI16535" s="80"/>
    </row>
    <row r="16536">
      <c r="AI16536" s="80"/>
    </row>
    <row r="16537">
      <c r="AI16537" s="80"/>
    </row>
    <row r="16538">
      <c r="AI16538" s="80"/>
    </row>
    <row r="16539">
      <c r="AI16539" s="80"/>
    </row>
    <row r="16540">
      <c r="AI16540" s="80"/>
    </row>
    <row r="16541">
      <c r="AI16541" s="80"/>
    </row>
    <row r="16542">
      <c r="AI16542" s="80"/>
    </row>
    <row r="16543">
      <c r="AI16543" s="80"/>
    </row>
    <row r="16544">
      <c r="AI16544" s="80"/>
    </row>
    <row r="16545">
      <c r="AI16545" s="80"/>
    </row>
    <row r="16546">
      <c r="AI16546" s="80"/>
    </row>
    <row r="16547">
      <c r="AI16547" s="80"/>
    </row>
    <row r="16548">
      <c r="AI16548" s="80"/>
    </row>
    <row r="16549">
      <c r="AI16549" s="80"/>
    </row>
    <row r="16550">
      <c r="AI16550" s="80"/>
    </row>
    <row r="16551">
      <c r="AI16551" s="80"/>
    </row>
    <row r="16552">
      <c r="AI16552" s="80"/>
    </row>
    <row r="16553">
      <c r="AI16553" s="80"/>
    </row>
    <row r="16554">
      <c r="AI16554" s="80"/>
    </row>
    <row r="16555">
      <c r="AI16555" s="80"/>
    </row>
    <row r="16556">
      <c r="AI16556" s="80"/>
    </row>
    <row r="16557">
      <c r="AI16557" s="80"/>
    </row>
    <row r="16558">
      <c r="AI16558" s="80"/>
    </row>
    <row r="16559">
      <c r="AI16559" s="80"/>
    </row>
    <row r="16560">
      <c r="AI16560" s="80"/>
    </row>
    <row r="16561">
      <c r="AI16561" s="80"/>
    </row>
    <row r="16562">
      <c r="AI16562" s="80"/>
    </row>
    <row r="16563">
      <c r="AI16563" s="80"/>
    </row>
    <row r="16564">
      <c r="AI16564" s="80"/>
    </row>
    <row r="16565">
      <c r="AI16565" s="80"/>
    </row>
    <row r="16566">
      <c r="AI16566" s="80"/>
    </row>
    <row r="16567">
      <c r="AI16567" s="80"/>
    </row>
    <row r="16568">
      <c r="AI16568" s="80"/>
    </row>
    <row r="16569">
      <c r="AI16569" s="80"/>
    </row>
    <row r="16570">
      <c r="AI16570" s="80"/>
    </row>
    <row r="16571">
      <c r="AI16571" s="80"/>
    </row>
    <row r="16572">
      <c r="AI16572" s="80"/>
    </row>
    <row r="16573">
      <c r="AI16573" s="80"/>
    </row>
    <row r="16574">
      <c r="AI16574" s="80"/>
    </row>
    <row r="16575">
      <c r="AI16575" s="80"/>
    </row>
    <row r="16576">
      <c r="AI16576" s="80"/>
    </row>
    <row r="16577">
      <c r="AI16577" s="80"/>
    </row>
    <row r="16578">
      <c r="AI16578" s="80"/>
    </row>
    <row r="16579">
      <c r="AI16579" s="80"/>
    </row>
    <row r="16580">
      <c r="AI16580" s="80"/>
    </row>
    <row r="16581">
      <c r="AI16581" s="80"/>
    </row>
    <row r="16582">
      <c r="AI16582" s="80"/>
    </row>
    <row r="16583">
      <c r="AI16583" s="80"/>
    </row>
    <row r="16584">
      <c r="AI16584" s="80"/>
    </row>
    <row r="16585">
      <c r="AI16585" s="80"/>
    </row>
    <row r="16586">
      <c r="AI16586" s="80"/>
    </row>
    <row r="16587">
      <c r="AI16587" s="80"/>
    </row>
    <row r="16588">
      <c r="AI16588" s="80"/>
    </row>
    <row r="16589">
      <c r="AI16589" s="80"/>
    </row>
    <row r="16590">
      <c r="AI16590" s="80"/>
    </row>
    <row r="16591">
      <c r="AI16591" s="80"/>
    </row>
    <row r="16592">
      <c r="AI16592" s="80"/>
    </row>
    <row r="16593">
      <c r="AI16593" s="80"/>
    </row>
    <row r="16594">
      <c r="AI16594" s="80"/>
    </row>
    <row r="16595">
      <c r="AI16595" s="80"/>
    </row>
    <row r="16596">
      <c r="AI16596" s="80"/>
    </row>
    <row r="16597">
      <c r="AI16597" s="80"/>
    </row>
    <row r="16598">
      <c r="AI16598" s="80"/>
    </row>
    <row r="16599">
      <c r="AI16599" s="80"/>
    </row>
    <row r="16600">
      <c r="AI16600" s="80"/>
    </row>
    <row r="16601">
      <c r="AI16601" s="80"/>
    </row>
    <row r="16602">
      <c r="AI16602" s="80"/>
    </row>
    <row r="16603">
      <c r="AI16603" s="80"/>
    </row>
    <row r="16604">
      <c r="AI16604" s="80"/>
    </row>
    <row r="16605">
      <c r="AI16605" s="80"/>
    </row>
    <row r="16606">
      <c r="AI16606" s="80"/>
    </row>
    <row r="16607">
      <c r="AI16607" s="80"/>
    </row>
    <row r="16608">
      <c r="AI16608" s="80"/>
    </row>
    <row r="16609">
      <c r="AI16609" s="80"/>
    </row>
    <row r="16610">
      <c r="AI16610" s="80"/>
    </row>
    <row r="16611">
      <c r="AI16611" s="80"/>
    </row>
    <row r="16612">
      <c r="AI16612" s="80"/>
    </row>
    <row r="16613">
      <c r="AI16613" s="80"/>
    </row>
    <row r="16614">
      <c r="AI16614" s="80"/>
    </row>
    <row r="16615">
      <c r="AI16615" s="80"/>
    </row>
    <row r="16616">
      <c r="AI16616" s="80"/>
    </row>
    <row r="16617">
      <c r="AI16617" s="80"/>
    </row>
    <row r="16618">
      <c r="AI16618" s="80"/>
    </row>
    <row r="16619">
      <c r="AI16619" s="80"/>
    </row>
    <row r="16620">
      <c r="AI16620" s="80"/>
    </row>
    <row r="16621">
      <c r="AI16621" s="80"/>
    </row>
    <row r="16622">
      <c r="AI16622" s="80"/>
    </row>
    <row r="16623">
      <c r="AI16623" s="80"/>
    </row>
    <row r="16624">
      <c r="AI16624" s="80"/>
    </row>
    <row r="16625">
      <c r="AI16625" s="80"/>
    </row>
    <row r="16626">
      <c r="AI16626" s="80"/>
    </row>
    <row r="16627">
      <c r="AI16627" s="80"/>
    </row>
    <row r="16628">
      <c r="AI16628" s="80"/>
    </row>
    <row r="16629">
      <c r="AI16629" s="80"/>
    </row>
    <row r="16630">
      <c r="AI16630" s="80"/>
    </row>
    <row r="16631">
      <c r="AI16631" s="80"/>
    </row>
    <row r="16632">
      <c r="AI16632" s="80"/>
    </row>
    <row r="16633">
      <c r="AI16633" s="80"/>
    </row>
    <row r="16634">
      <c r="AI16634" s="80"/>
    </row>
    <row r="16635">
      <c r="AI16635" s="80"/>
    </row>
    <row r="16636">
      <c r="AI16636" s="80"/>
    </row>
    <row r="16637">
      <c r="AI16637" s="80"/>
    </row>
    <row r="16638">
      <c r="AI16638" s="80"/>
    </row>
    <row r="16639">
      <c r="AI16639" s="80"/>
    </row>
    <row r="16640">
      <c r="AI16640" s="80"/>
    </row>
    <row r="16641">
      <c r="AI16641" s="80"/>
    </row>
    <row r="16642">
      <c r="AI16642" s="80"/>
    </row>
    <row r="16643">
      <c r="AI16643" s="80"/>
    </row>
    <row r="16644">
      <c r="AI16644" s="80"/>
    </row>
    <row r="16645">
      <c r="AI16645" s="80"/>
    </row>
    <row r="16646">
      <c r="AI16646" s="80"/>
    </row>
    <row r="16647">
      <c r="AI16647" s="80"/>
    </row>
    <row r="16648">
      <c r="AI16648" s="80"/>
    </row>
    <row r="16649">
      <c r="AI16649" s="80"/>
    </row>
    <row r="16650">
      <c r="AI16650" s="80"/>
    </row>
    <row r="16651">
      <c r="AI16651" s="80"/>
    </row>
    <row r="16652">
      <c r="AI16652" s="80"/>
    </row>
    <row r="16653">
      <c r="AI16653" s="80"/>
    </row>
    <row r="16654">
      <c r="AI16654" s="80"/>
    </row>
    <row r="16655">
      <c r="AI16655" s="80"/>
    </row>
    <row r="16656">
      <c r="AI16656" s="80"/>
    </row>
    <row r="16657">
      <c r="AI16657" s="80"/>
    </row>
    <row r="16658">
      <c r="AI16658" s="80"/>
    </row>
    <row r="16659">
      <c r="AI16659" s="80"/>
    </row>
    <row r="16660">
      <c r="AI16660" s="80"/>
    </row>
    <row r="16661">
      <c r="AI16661" s="80"/>
    </row>
    <row r="16662">
      <c r="AI16662" s="80"/>
    </row>
    <row r="16663">
      <c r="AI16663" s="80"/>
    </row>
    <row r="16664">
      <c r="AI16664" s="80"/>
    </row>
    <row r="16665">
      <c r="AI16665" s="80"/>
    </row>
    <row r="16666">
      <c r="AI16666" s="80"/>
    </row>
    <row r="16667">
      <c r="AI16667" s="80"/>
    </row>
    <row r="16668">
      <c r="AI16668" s="80"/>
    </row>
    <row r="16669">
      <c r="AI16669" s="80"/>
    </row>
    <row r="16670">
      <c r="AI16670" s="80"/>
    </row>
    <row r="16671">
      <c r="AI16671" s="80"/>
    </row>
    <row r="16672">
      <c r="AI16672" s="80"/>
    </row>
    <row r="16673">
      <c r="AI16673" s="80"/>
    </row>
    <row r="16674">
      <c r="AI16674" s="80"/>
    </row>
    <row r="16675">
      <c r="AI16675" s="80"/>
    </row>
    <row r="16676">
      <c r="AI16676" s="80"/>
    </row>
    <row r="16677">
      <c r="AI16677" s="80"/>
    </row>
    <row r="16678">
      <c r="AI16678" s="80"/>
    </row>
    <row r="16679">
      <c r="AI16679" s="80"/>
    </row>
    <row r="16680">
      <c r="AI16680" s="80"/>
    </row>
    <row r="16681">
      <c r="AI16681" s="80"/>
    </row>
    <row r="16682">
      <c r="AI16682" s="80"/>
    </row>
    <row r="16683">
      <c r="AI16683" s="80"/>
    </row>
    <row r="16684">
      <c r="AI16684" s="80"/>
    </row>
    <row r="16685">
      <c r="AI16685" s="80"/>
    </row>
    <row r="16686">
      <c r="AI16686" s="80"/>
    </row>
    <row r="16687">
      <c r="AI16687" s="80"/>
    </row>
    <row r="16688">
      <c r="AI16688" s="80"/>
    </row>
    <row r="16689">
      <c r="AI16689" s="80"/>
    </row>
    <row r="16690">
      <c r="AI16690" s="80"/>
    </row>
    <row r="16691">
      <c r="AI16691" s="80"/>
    </row>
    <row r="16692">
      <c r="AI16692" s="80"/>
    </row>
    <row r="16693">
      <c r="AI16693" s="80"/>
    </row>
    <row r="16694">
      <c r="AI16694" s="80"/>
    </row>
    <row r="16695">
      <c r="AI16695" s="80"/>
    </row>
    <row r="16696">
      <c r="AI16696" s="80"/>
    </row>
    <row r="16697">
      <c r="AI16697" s="80"/>
    </row>
    <row r="16698">
      <c r="AI16698" s="80"/>
    </row>
    <row r="16699">
      <c r="AI16699" s="80"/>
    </row>
    <row r="16700">
      <c r="AI16700" s="80"/>
    </row>
    <row r="16701">
      <c r="AI16701" s="80"/>
    </row>
    <row r="16702">
      <c r="AI16702" s="80"/>
    </row>
    <row r="16703">
      <c r="AI16703" s="80"/>
    </row>
    <row r="16704">
      <c r="AI16704" s="80"/>
    </row>
    <row r="16705">
      <c r="AI16705" s="80"/>
    </row>
    <row r="16706">
      <c r="AI16706" s="80"/>
    </row>
    <row r="16707">
      <c r="AI16707" s="80"/>
    </row>
    <row r="16708">
      <c r="AI16708" s="80"/>
    </row>
    <row r="16709">
      <c r="AI16709" s="80"/>
    </row>
    <row r="16710">
      <c r="AI16710" s="80"/>
    </row>
    <row r="16711">
      <c r="AI16711" s="80"/>
    </row>
    <row r="16712">
      <c r="AI16712" s="80"/>
    </row>
    <row r="16713">
      <c r="AI16713" s="80"/>
    </row>
    <row r="16714">
      <c r="AI16714" s="80"/>
    </row>
    <row r="16715">
      <c r="AI16715" s="80"/>
    </row>
    <row r="16716">
      <c r="AI16716" s="80"/>
    </row>
    <row r="16717">
      <c r="AI16717" s="80"/>
    </row>
    <row r="16718">
      <c r="AI16718" s="80"/>
    </row>
    <row r="16719">
      <c r="AI16719" s="80"/>
    </row>
    <row r="16720">
      <c r="AI16720" s="80"/>
    </row>
    <row r="16721">
      <c r="AI16721" s="80"/>
    </row>
    <row r="16722">
      <c r="AI16722" s="80"/>
    </row>
    <row r="16723">
      <c r="AI16723" s="80"/>
    </row>
    <row r="16724">
      <c r="AI16724" s="80"/>
    </row>
    <row r="16725">
      <c r="AI16725" s="80"/>
    </row>
    <row r="16726">
      <c r="AI16726" s="80"/>
    </row>
    <row r="16727">
      <c r="AI16727" s="80"/>
    </row>
    <row r="16728">
      <c r="AI16728" s="80"/>
    </row>
    <row r="16729">
      <c r="AI16729" s="80"/>
    </row>
    <row r="16730">
      <c r="AI16730" s="80"/>
    </row>
    <row r="16731">
      <c r="AI16731" s="80"/>
    </row>
    <row r="16732">
      <c r="AI16732" s="80"/>
    </row>
    <row r="16733">
      <c r="AI16733" s="80"/>
    </row>
    <row r="16734">
      <c r="AI16734" s="80"/>
    </row>
    <row r="16735">
      <c r="AI16735" s="80"/>
    </row>
    <row r="16736">
      <c r="AI16736" s="80"/>
    </row>
    <row r="16737">
      <c r="AI16737" s="80"/>
    </row>
    <row r="16738">
      <c r="AI16738" s="80"/>
    </row>
    <row r="16739">
      <c r="AI16739" s="80"/>
    </row>
    <row r="16740">
      <c r="AI16740" s="80"/>
    </row>
    <row r="16741">
      <c r="AI16741" s="80"/>
    </row>
    <row r="16742">
      <c r="AI16742" s="80"/>
    </row>
    <row r="16743">
      <c r="AI16743" s="80"/>
    </row>
    <row r="16744">
      <c r="AI16744" s="80"/>
    </row>
    <row r="16745">
      <c r="AI16745" s="80"/>
    </row>
    <row r="16746">
      <c r="AI16746" s="80"/>
    </row>
    <row r="16747">
      <c r="AI16747" s="80"/>
    </row>
    <row r="16748">
      <c r="AI16748" s="80"/>
    </row>
    <row r="16749">
      <c r="AI16749" s="80"/>
    </row>
    <row r="16750">
      <c r="AI16750" s="80"/>
    </row>
    <row r="16751">
      <c r="AI16751" s="80"/>
    </row>
    <row r="16752">
      <c r="AI16752" s="80"/>
    </row>
    <row r="16753">
      <c r="AI16753" s="80"/>
    </row>
    <row r="16754">
      <c r="AI16754" s="80"/>
    </row>
    <row r="16755">
      <c r="AI16755" s="80"/>
    </row>
    <row r="16756">
      <c r="AI16756" s="80"/>
    </row>
    <row r="16757">
      <c r="AI16757" s="80"/>
    </row>
    <row r="16758">
      <c r="AI16758" s="80"/>
    </row>
    <row r="16759">
      <c r="AI16759" s="80"/>
    </row>
    <row r="16760">
      <c r="AI16760" s="80"/>
    </row>
    <row r="16761">
      <c r="AI16761" s="80"/>
    </row>
    <row r="16762">
      <c r="AI16762" s="80"/>
    </row>
    <row r="16763">
      <c r="AI16763" s="80"/>
    </row>
    <row r="16764">
      <c r="AI16764" s="80"/>
    </row>
    <row r="16765">
      <c r="AI16765" s="80"/>
    </row>
    <row r="16766">
      <c r="AI16766" s="80"/>
    </row>
    <row r="16767">
      <c r="AI16767" s="80"/>
    </row>
    <row r="16768">
      <c r="AI16768" s="80"/>
    </row>
    <row r="16769">
      <c r="AI16769" s="80"/>
    </row>
    <row r="16770">
      <c r="AI16770" s="80"/>
    </row>
    <row r="16771">
      <c r="AI16771" s="80"/>
    </row>
    <row r="16772">
      <c r="AI16772" s="80"/>
    </row>
    <row r="16773">
      <c r="AI16773" s="80"/>
    </row>
    <row r="16774">
      <c r="AI16774" s="80"/>
    </row>
    <row r="16775">
      <c r="AI16775" s="80"/>
    </row>
    <row r="16776">
      <c r="AI16776" s="80"/>
    </row>
    <row r="16777">
      <c r="AI16777" s="80"/>
    </row>
    <row r="16778">
      <c r="AI16778" s="80"/>
    </row>
    <row r="16779">
      <c r="AI16779" s="80"/>
    </row>
    <row r="16780">
      <c r="AI16780" s="80"/>
    </row>
    <row r="16781">
      <c r="AI16781" s="80"/>
    </row>
    <row r="16782">
      <c r="AI16782" s="80"/>
    </row>
    <row r="16783">
      <c r="AI16783" s="80"/>
    </row>
    <row r="16784">
      <c r="AI16784" s="80"/>
    </row>
    <row r="16785">
      <c r="AI16785" s="80"/>
    </row>
    <row r="16786">
      <c r="AI16786" s="80"/>
    </row>
    <row r="16787">
      <c r="AI16787" s="80"/>
    </row>
    <row r="16788">
      <c r="AI16788" s="80"/>
    </row>
    <row r="16789">
      <c r="AI16789" s="80"/>
    </row>
    <row r="16790">
      <c r="AI16790" s="80"/>
    </row>
    <row r="16791">
      <c r="AI16791" s="80"/>
    </row>
    <row r="16792">
      <c r="AI16792" s="80"/>
    </row>
    <row r="16793">
      <c r="AI16793" s="80"/>
    </row>
    <row r="16794">
      <c r="AI16794" s="80"/>
    </row>
    <row r="16795">
      <c r="AI16795" s="80"/>
    </row>
    <row r="16796">
      <c r="AI16796" s="80"/>
    </row>
    <row r="16797">
      <c r="AI16797" s="80"/>
    </row>
    <row r="16798">
      <c r="AI16798" s="80"/>
    </row>
    <row r="16799">
      <c r="AI16799" s="80"/>
    </row>
    <row r="16800">
      <c r="AI16800" s="80"/>
    </row>
    <row r="16801">
      <c r="AI16801" s="80"/>
    </row>
    <row r="16802">
      <c r="AI16802" s="80"/>
    </row>
    <row r="16803">
      <c r="AI16803" s="80"/>
    </row>
    <row r="16804">
      <c r="AI16804" s="80"/>
    </row>
    <row r="16805">
      <c r="AI16805" s="80"/>
    </row>
    <row r="16806">
      <c r="AI16806" s="80"/>
    </row>
    <row r="16807">
      <c r="AI16807" s="80"/>
    </row>
    <row r="16808">
      <c r="AI16808" s="80"/>
    </row>
    <row r="16809">
      <c r="AI16809" s="80"/>
    </row>
    <row r="16810">
      <c r="AI16810" s="80"/>
    </row>
    <row r="16811">
      <c r="AI16811" s="80"/>
    </row>
    <row r="16812">
      <c r="AI16812" s="80"/>
    </row>
    <row r="16813">
      <c r="AI16813" s="80"/>
    </row>
    <row r="16814">
      <c r="AI16814" s="80"/>
    </row>
    <row r="16815">
      <c r="AI16815" s="80"/>
    </row>
    <row r="16816">
      <c r="AI16816" s="80"/>
    </row>
    <row r="16817">
      <c r="AI16817" s="80"/>
    </row>
    <row r="16818">
      <c r="AI16818" s="80"/>
    </row>
    <row r="16819">
      <c r="AI16819" s="80"/>
    </row>
    <row r="16820">
      <c r="AI16820" s="80"/>
    </row>
    <row r="16821">
      <c r="AI16821" s="80"/>
    </row>
    <row r="16822">
      <c r="AI16822" s="80"/>
    </row>
    <row r="16823">
      <c r="AI16823" s="80"/>
    </row>
    <row r="16824">
      <c r="AI16824" s="80"/>
    </row>
    <row r="16825">
      <c r="AI16825" s="80"/>
    </row>
    <row r="16826">
      <c r="AI16826" s="80"/>
    </row>
    <row r="16827">
      <c r="AI16827" s="80"/>
    </row>
    <row r="16828">
      <c r="AI16828" s="80"/>
    </row>
    <row r="16829">
      <c r="AI16829" s="80"/>
    </row>
    <row r="16830">
      <c r="AI16830" s="80"/>
    </row>
    <row r="16831">
      <c r="AI16831" s="80"/>
    </row>
    <row r="16832">
      <c r="AI16832" s="80"/>
    </row>
    <row r="16833">
      <c r="AI16833" s="80"/>
    </row>
    <row r="16834">
      <c r="AI16834" s="80"/>
    </row>
    <row r="16835">
      <c r="AI16835" s="80"/>
    </row>
    <row r="16836">
      <c r="AI16836" s="80"/>
    </row>
    <row r="16837">
      <c r="AI16837" s="80"/>
    </row>
    <row r="16838">
      <c r="AI16838" s="80"/>
    </row>
    <row r="16839">
      <c r="AI16839" s="80"/>
    </row>
    <row r="16840">
      <c r="AI16840" s="80"/>
    </row>
    <row r="16841">
      <c r="AI16841" s="80"/>
    </row>
    <row r="16842">
      <c r="AI16842" s="80"/>
    </row>
    <row r="16843">
      <c r="AI16843" s="80"/>
    </row>
    <row r="16844">
      <c r="AI16844" s="80"/>
    </row>
    <row r="16845">
      <c r="AI16845" s="80"/>
    </row>
    <row r="16846">
      <c r="AI16846" s="80"/>
    </row>
    <row r="16847">
      <c r="AI16847" s="80"/>
    </row>
    <row r="16848">
      <c r="AI16848" s="80"/>
    </row>
    <row r="16849">
      <c r="AI16849" s="80"/>
    </row>
    <row r="16850">
      <c r="AI16850" s="80"/>
    </row>
    <row r="16851">
      <c r="AI16851" s="80"/>
    </row>
    <row r="16852">
      <c r="AI16852" s="80"/>
    </row>
    <row r="16853">
      <c r="AI16853" s="80"/>
    </row>
    <row r="16854">
      <c r="AI16854" s="80"/>
    </row>
    <row r="16855">
      <c r="AI16855" s="80"/>
    </row>
    <row r="16856">
      <c r="AI16856" s="80"/>
    </row>
    <row r="16857">
      <c r="AI16857" s="80"/>
    </row>
    <row r="16858">
      <c r="AI16858" s="80"/>
    </row>
    <row r="16859">
      <c r="AI16859" s="80"/>
    </row>
    <row r="16860">
      <c r="AI16860" s="80"/>
    </row>
    <row r="16861">
      <c r="AI16861" s="80"/>
    </row>
    <row r="16862">
      <c r="AI16862" s="80"/>
    </row>
    <row r="16863">
      <c r="AI16863" s="80"/>
    </row>
    <row r="16864">
      <c r="AI16864" s="80"/>
    </row>
    <row r="16865">
      <c r="AI16865" s="80"/>
    </row>
    <row r="16866">
      <c r="AI16866" s="80"/>
    </row>
    <row r="16867">
      <c r="AI16867" s="80"/>
    </row>
    <row r="16868">
      <c r="AI16868" s="80"/>
    </row>
    <row r="16869">
      <c r="AI16869" s="80"/>
    </row>
    <row r="16870">
      <c r="AI16870" s="80"/>
    </row>
    <row r="16871">
      <c r="AI16871" s="80"/>
    </row>
    <row r="16872">
      <c r="AI16872" s="80"/>
    </row>
    <row r="16873">
      <c r="AI16873" s="80"/>
    </row>
    <row r="16874">
      <c r="AI16874" s="80"/>
    </row>
    <row r="16875">
      <c r="AI16875" s="80"/>
    </row>
    <row r="16876">
      <c r="AI16876" s="80"/>
    </row>
    <row r="16877">
      <c r="AI16877" s="80"/>
    </row>
    <row r="16878">
      <c r="AI16878" s="80"/>
    </row>
    <row r="16879">
      <c r="AI16879" s="80"/>
    </row>
    <row r="16880">
      <c r="AI16880" s="80"/>
    </row>
    <row r="16881">
      <c r="AI16881" s="80"/>
    </row>
    <row r="16882">
      <c r="AI16882" s="80"/>
    </row>
    <row r="16883">
      <c r="AI16883" s="80"/>
    </row>
    <row r="16884">
      <c r="AI16884" s="80"/>
    </row>
    <row r="16885">
      <c r="AI16885" s="80"/>
    </row>
    <row r="16886">
      <c r="AI16886" s="80"/>
    </row>
    <row r="16887">
      <c r="AI16887" s="80"/>
    </row>
    <row r="16888">
      <c r="AI16888" s="80"/>
    </row>
    <row r="16889">
      <c r="AI16889" s="80"/>
    </row>
    <row r="16890">
      <c r="AI16890" s="80"/>
    </row>
    <row r="16891">
      <c r="AI16891" s="80"/>
    </row>
    <row r="16892">
      <c r="AI16892" s="80"/>
    </row>
    <row r="16893">
      <c r="AI16893" s="80"/>
    </row>
    <row r="16894">
      <c r="AI16894" s="80"/>
    </row>
    <row r="16895">
      <c r="AI16895" s="80"/>
    </row>
    <row r="16896">
      <c r="AI16896" s="80"/>
    </row>
    <row r="16897">
      <c r="AI16897" s="80"/>
    </row>
    <row r="16898">
      <c r="AI16898" s="80"/>
    </row>
    <row r="16899">
      <c r="AI16899" s="80"/>
    </row>
    <row r="16900">
      <c r="AI16900" s="80"/>
    </row>
    <row r="16901">
      <c r="AI16901" s="80"/>
    </row>
    <row r="16902">
      <c r="AI16902" s="80"/>
    </row>
    <row r="16903">
      <c r="AI16903" s="80"/>
    </row>
    <row r="16904">
      <c r="AI16904" s="80"/>
    </row>
    <row r="16905">
      <c r="AI16905" s="80"/>
    </row>
    <row r="16906">
      <c r="AI16906" s="80"/>
    </row>
    <row r="16907">
      <c r="AI16907" s="80"/>
    </row>
    <row r="16908">
      <c r="AI16908" s="80"/>
    </row>
    <row r="16909">
      <c r="AI16909" s="80"/>
    </row>
    <row r="16910">
      <c r="AI16910" s="80"/>
    </row>
    <row r="16911">
      <c r="AI16911" s="80"/>
    </row>
    <row r="16912">
      <c r="AI16912" s="80"/>
    </row>
    <row r="16913">
      <c r="AI16913" s="80"/>
    </row>
    <row r="16914">
      <c r="AI16914" s="80"/>
    </row>
    <row r="16915">
      <c r="AI16915" s="80"/>
    </row>
    <row r="16916">
      <c r="AI16916" s="80"/>
    </row>
    <row r="16917">
      <c r="AI16917" s="80"/>
    </row>
    <row r="16918">
      <c r="AI16918" s="80"/>
    </row>
    <row r="16919">
      <c r="AI16919" s="80"/>
    </row>
    <row r="16920">
      <c r="AI16920" s="80"/>
    </row>
    <row r="16921">
      <c r="AI16921" s="80"/>
    </row>
    <row r="16922">
      <c r="AI16922" s="80"/>
    </row>
    <row r="16923">
      <c r="AI16923" s="80"/>
    </row>
    <row r="16924">
      <c r="AI16924" s="80"/>
    </row>
    <row r="16925">
      <c r="AI16925" s="80"/>
    </row>
    <row r="16926">
      <c r="AI16926" s="80"/>
    </row>
    <row r="16927">
      <c r="AI16927" s="80"/>
    </row>
    <row r="16928">
      <c r="AI16928" s="80"/>
    </row>
    <row r="16929">
      <c r="AI16929" s="80"/>
    </row>
    <row r="16930">
      <c r="AI16930" s="80"/>
    </row>
    <row r="16931">
      <c r="AI16931" s="80"/>
    </row>
    <row r="16932">
      <c r="AI16932" s="80"/>
    </row>
    <row r="16933">
      <c r="AI16933" s="80"/>
    </row>
    <row r="16934">
      <c r="AI16934" s="80"/>
    </row>
    <row r="16935">
      <c r="AI16935" s="80"/>
    </row>
    <row r="16936">
      <c r="AI16936" s="80"/>
    </row>
    <row r="16937">
      <c r="AI16937" s="80"/>
    </row>
    <row r="16938">
      <c r="AI16938" s="80"/>
    </row>
    <row r="16939">
      <c r="AI16939" s="80"/>
    </row>
    <row r="16940">
      <c r="AI16940" s="80"/>
    </row>
    <row r="16941">
      <c r="AI16941" s="80"/>
    </row>
    <row r="16942">
      <c r="AI16942" s="80"/>
    </row>
    <row r="16943">
      <c r="AI16943" s="80"/>
    </row>
    <row r="16944">
      <c r="AI16944" s="80"/>
    </row>
    <row r="16945">
      <c r="AI16945" s="80"/>
    </row>
    <row r="16946">
      <c r="AI16946" s="80"/>
    </row>
    <row r="16947">
      <c r="AI16947" s="80"/>
    </row>
    <row r="16948">
      <c r="AI16948" s="80"/>
    </row>
    <row r="16949">
      <c r="AI16949" s="80"/>
    </row>
    <row r="16950">
      <c r="AI16950" s="80"/>
    </row>
    <row r="16951">
      <c r="AI16951" s="80"/>
    </row>
    <row r="16952">
      <c r="AI16952" s="80"/>
    </row>
    <row r="16953">
      <c r="AI16953" s="80"/>
    </row>
    <row r="16954">
      <c r="AI16954" s="80"/>
    </row>
    <row r="16955">
      <c r="AI16955" s="80"/>
    </row>
    <row r="16956">
      <c r="AI16956" s="80"/>
    </row>
    <row r="16957">
      <c r="AI16957" s="80"/>
    </row>
    <row r="16958">
      <c r="AI16958" s="80"/>
    </row>
    <row r="16959">
      <c r="AI16959" s="80"/>
    </row>
    <row r="16960">
      <c r="AI16960" s="80"/>
    </row>
    <row r="16961">
      <c r="AI16961" s="80"/>
    </row>
    <row r="16962">
      <c r="AI16962" s="80"/>
    </row>
    <row r="16963">
      <c r="AI16963" s="80"/>
    </row>
    <row r="16964">
      <c r="AI16964" s="80"/>
    </row>
    <row r="16965">
      <c r="AI16965" s="80"/>
    </row>
    <row r="16966">
      <c r="AI16966" s="80"/>
    </row>
    <row r="16967">
      <c r="AI16967" s="80"/>
    </row>
    <row r="16968">
      <c r="AI16968" s="80"/>
    </row>
    <row r="16969">
      <c r="AI16969" s="80"/>
    </row>
    <row r="16970">
      <c r="AI16970" s="80"/>
    </row>
    <row r="16971">
      <c r="AI16971" s="80"/>
    </row>
    <row r="16972">
      <c r="AI16972" s="80"/>
    </row>
    <row r="16973">
      <c r="AI16973" s="80"/>
    </row>
    <row r="16974">
      <c r="AI16974" s="80"/>
    </row>
    <row r="16975">
      <c r="AI16975" s="80"/>
    </row>
    <row r="16976">
      <c r="AI16976" s="80"/>
    </row>
    <row r="16977">
      <c r="AI16977" s="80"/>
    </row>
    <row r="16978">
      <c r="AI16978" s="80"/>
    </row>
    <row r="16979">
      <c r="AI16979" s="80"/>
    </row>
    <row r="16980">
      <c r="AI16980" s="80"/>
    </row>
    <row r="16981">
      <c r="AI16981" s="80"/>
    </row>
    <row r="16982">
      <c r="AI16982" s="80"/>
    </row>
    <row r="16983">
      <c r="AI16983" s="80"/>
    </row>
    <row r="16984">
      <c r="AI16984" s="80"/>
    </row>
    <row r="16985">
      <c r="AI16985" s="80"/>
    </row>
    <row r="16986">
      <c r="AI16986" s="80"/>
    </row>
    <row r="16987">
      <c r="AI16987" s="80"/>
    </row>
    <row r="16988">
      <c r="AI16988" s="80"/>
    </row>
    <row r="16989">
      <c r="AI16989" s="80"/>
    </row>
    <row r="16990">
      <c r="AI16990" s="80"/>
    </row>
    <row r="16991">
      <c r="AI16991" s="80"/>
    </row>
    <row r="16992">
      <c r="AI16992" s="80"/>
    </row>
    <row r="16993">
      <c r="AI16993" s="80"/>
    </row>
    <row r="16994">
      <c r="AI16994" s="80"/>
    </row>
    <row r="16995">
      <c r="AI16995" s="80"/>
    </row>
    <row r="16996">
      <c r="AI16996" s="80"/>
    </row>
    <row r="16997">
      <c r="AI16997" s="80"/>
    </row>
    <row r="16998">
      <c r="AI16998" s="80"/>
    </row>
    <row r="16999">
      <c r="AI16999" s="80"/>
    </row>
    <row r="17000">
      <c r="AI17000" s="80"/>
    </row>
    <row r="17001">
      <c r="AI17001" s="80"/>
    </row>
    <row r="17002">
      <c r="AI17002" s="80"/>
    </row>
    <row r="17003">
      <c r="AI17003" s="80"/>
    </row>
    <row r="17004">
      <c r="AI17004" s="80"/>
    </row>
    <row r="17005">
      <c r="AI17005" s="80"/>
    </row>
    <row r="17006">
      <c r="AI17006" s="80"/>
    </row>
    <row r="17007">
      <c r="AI17007" s="80"/>
    </row>
    <row r="17008">
      <c r="AI17008" s="80"/>
    </row>
    <row r="17009">
      <c r="AI17009" s="80"/>
    </row>
    <row r="17010">
      <c r="AI17010" s="80"/>
    </row>
    <row r="17011">
      <c r="AI17011" s="80"/>
    </row>
    <row r="17012">
      <c r="AI17012" s="80"/>
    </row>
    <row r="17013">
      <c r="AI17013" s="80"/>
    </row>
    <row r="17014">
      <c r="AI17014" s="80"/>
    </row>
    <row r="17015">
      <c r="AI17015" s="80"/>
    </row>
    <row r="17016">
      <c r="AI17016" s="80"/>
    </row>
    <row r="17017">
      <c r="AI17017" s="80"/>
    </row>
    <row r="17018">
      <c r="AI17018" s="80"/>
    </row>
    <row r="17019">
      <c r="AI17019" s="80"/>
    </row>
    <row r="17020">
      <c r="AI17020" s="80"/>
    </row>
    <row r="17021">
      <c r="AI17021" s="80"/>
    </row>
    <row r="17022">
      <c r="AI17022" s="80"/>
    </row>
    <row r="17023">
      <c r="AI17023" s="80"/>
    </row>
    <row r="17024">
      <c r="AI17024" s="80"/>
    </row>
    <row r="17025">
      <c r="AI17025" s="80"/>
    </row>
    <row r="17026">
      <c r="AI17026" s="80"/>
    </row>
    <row r="17027">
      <c r="AI17027" s="80"/>
    </row>
    <row r="17028">
      <c r="AI17028" s="80"/>
    </row>
    <row r="17029">
      <c r="AI17029" s="80"/>
    </row>
    <row r="17030">
      <c r="AI17030" s="80"/>
    </row>
    <row r="17031">
      <c r="AI17031" s="80"/>
    </row>
    <row r="17032">
      <c r="AI17032" s="80"/>
    </row>
    <row r="17033">
      <c r="AI17033" s="80"/>
    </row>
    <row r="17034">
      <c r="AI17034" s="80"/>
    </row>
    <row r="17035">
      <c r="AI17035" s="80"/>
    </row>
    <row r="17036">
      <c r="AI17036" s="80"/>
    </row>
    <row r="17037">
      <c r="AI17037" s="80"/>
    </row>
    <row r="17038">
      <c r="AI17038" s="80"/>
    </row>
    <row r="17039">
      <c r="AI17039" s="80"/>
    </row>
    <row r="17040">
      <c r="AI17040" s="80"/>
    </row>
    <row r="17041">
      <c r="AI17041" s="80"/>
    </row>
    <row r="17042">
      <c r="AI17042" s="80"/>
    </row>
    <row r="17043">
      <c r="AI17043" s="80"/>
    </row>
    <row r="17044">
      <c r="AI17044" s="80"/>
    </row>
    <row r="17045">
      <c r="AI17045" s="80"/>
    </row>
    <row r="17046">
      <c r="AI17046" s="80"/>
    </row>
    <row r="17047">
      <c r="AI17047" s="80"/>
    </row>
    <row r="17048">
      <c r="AI17048" s="80"/>
    </row>
    <row r="17049">
      <c r="AI17049" s="80"/>
    </row>
    <row r="17050">
      <c r="AI17050" s="80"/>
    </row>
    <row r="17051">
      <c r="AI17051" s="80"/>
    </row>
    <row r="17052">
      <c r="AI17052" s="80"/>
    </row>
    <row r="17053">
      <c r="AI17053" s="80"/>
    </row>
    <row r="17054">
      <c r="AI17054" s="80"/>
    </row>
    <row r="17055">
      <c r="AI17055" s="80"/>
    </row>
    <row r="17056">
      <c r="AI17056" s="80"/>
    </row>
    <row r="17057">
      <c r="AI17057" s="80"/>
    </row>
    <row r="17058">
      <c r="AI17058" s="80"/>
    </row>
    <row r="17059">
      <c r="AI17059" s="80"/>
    </row>
    <row r="17060">
      <c r="AI17060" s="80"/>
    </row>
    <row r="17061">
      <c r="AI17061" s="80"/>
    </row>
    <row r="17062">
      <c r="AI17062" s="80"/>
    </row>
    <row r="17063">
      <c r="AI17063" s="80"/>
    </row>
    <row r="17064">
      <c r="AI17064" s="80"/>
    </row>
    <row r="17065">
      <c r="AI17065" s="80"/>
    </row>
    <row r="17066">
      <c r="AI17066" s="80"/>
    </row>
    <row r="17067">
      <c r="AI17067" s="80"/>
    </row>
    <row r="17068">
      <c r="AI17068" s="80"/>
    </row>
    <row r="17069">
      <c r="AI17069" s="80"/>
    </row>
    <row r="17070">
      <c r="AI17070" s="80"/>
    </row>
    <row r="17071">
      <c r="AI17071" s="80"/>
    </row>
    <row r="17072">
      <c r="AI17072" s="80"/>
    </row>
    <row r="17073">
      <c r="AI17073" s="80"/>
    </row>
    <row r="17074">
      <c r="AI17074" s="80"/>
    </row>
    <row r="17075">
      <c r="AI17075" s="80"/>
    </row>
    <row r="17076">
      <c r="AI17076" s="80"/>
    </row>
    <row r="17077">
      <c r="AI17077" s="80"/>
    </row>
    <row r="17078">
      <c r="AI17078" s="80"/>
    </row>
    <row r="17079">
      <c r="AI17079" s="80"/>
    </row>
    <row r="17080">
      <c r="AI17080" s="80"/>
    </row>
    <row r="17081">
      <c r="AI17081" s="80"/>
    </row>
    <row r="17082">
      <c r="AI17082" s="80"/>
    </row>
    <row r="17083">
      <c r="AI17083" s="80"/>
    </row>
    <row r="17084">
      <c r="AI17084" s="80"/>
    </row>
    <row r="17085">
      <c r="AI17085" s="80"/>
    </row>
    <row r="17086">
      <c r="AI17086" s="80"/>
    </row>
    <row r="17087">
      <c r="AI17087" s="80"/>
    </row>
    <row r="17088">
      <c r="AI17088" s="80"/>
    </row>
    <row r="17089">
      <c r="AI17089" s="80"/>
    </row>
    <row r="17090">
      <c r="AI17090" s="80"/>
    </row>
    <row r="17091">
      <c r="AI17091" s="80"/>
    </row>
    <row r="17092">
      <c r="AI17092" s="80"/>
    </row>
    <row r="17093">
      <c r="AI17093" s="80"/>
    </row>
    <row r="17094">
      <c r="AI17094" s="80"/>
    </row>
    <row r="17095">
      <c r="AI17095" s="80"/>
    </row>
    <row r="17096">
      <c r="AI17096" s="80"/>
    </row>
    <row r="17097">
      <c r="AI17097" s="80"/>
    </row>
    <row r="17098">
      <c r="AI17098" s="80"/>
    </row>
    <row r="17099">
      <c r="AI17099" s="80"/>
    </row>
    <row r="17100">
      <c r="AI17100" s="80"/>
    </row>
    <row r="17101">
      <c r="AI17101" s="80"/>
    </row>
    <row r="17102">
      <c r="AI17102" s="80"/>
    </row>
    <row r="17103">
      <c r="AI17103" s="80"/>
    </row>
    <row r="17104">
      <c r="AI17104" s="80"/>
    </row>
    <row r="17105">
      <c r="AI17105" s="80"/>
    </row>
    <row r="17106">
      <c r="AI17106" s="80"/>
    </row>
    <row r="17107">
      <c r="AI17107" s="80"/>
    </row>
    <row r="17108">
      <c r="AI17108" s="80"/>
    </row>
    <row r="17109">
      <c r="AI17109" s="80"/>
    </row>
    <row r="17110">
      <c r="AI17110" s="80"/>
    </row>
    <row r="17111">
      <c r="AI17111" s="80"/>
    </row>
    <row r="17112">
      <c r="AI17112" s="80"/>
    </row>
    <row r="17113">
      <c r="AI17113" s="80"/>
    </row>
    <row r="17114">
      <c r="AI17114" s="80"/>
    </row>
    <row r="17115">
      <c r="AI17115" s="80"/>
    </row>
    <row r="17116">
      <c r="AI17116" s="80"/>
    </row>
    <row r="17117">
      <c r="AI17117" s="80"/>
    </row>
    <row r="17118">
      <c r="AI17118" s="80"/>
    </row>
    <row r="17119">
      <c r="AI17119" s="80"/>
    </row>
    <row r="17120">
      <c r="AI17120" s="80"/>
    </row>
    <row r="17121">
      <c r="AI17121" s="80"/>
    </row>
    <row r="17122">
      <c r="AI17122" s="80"/>
    </row>
    <row r="17123">
      <c r="AI17123" s="80"/>
    </row>
    <row r="17124">
      <c r="AI17124" s="80"/>
    </row>
    <row r="17125">
      <c r="AI17125" s="80"/>
    </row>
    <row r="17126">
      <c r="AI17126" s="80"/>
    </row>
    <row r="17127">
      <c r="AI17127" s="80"/>
    </row>
    <row r="17128">
      <c r="AI17128" s="80"/>
    </row>
    <row r="17129">
      <c r="AI17129" s="80"/>
    </row>
    <row r="17130">
      <c r="AI17130" s="80"/>
    </row>
    <row r="17131">
      <c r="AI17131" s="80"/>
    </row>
    <row r="17132">
      <c r="AI17132" s="80"/>
    </row>
    <row r="17133">
      <c r="AI17133" s="80"/>
    </row>
    <row r="17134">
      <c r="AI17134" s="80"/>
    </row>
    <row r="17135">
      <c r="AI17135" s="80"/>
    </row>
    <row r="17136">
      <c r="AI17136" s="80"/>
    </row>
    <row r="17137">
      <c r="AI17137" s="80"/>
    </row>
    <row r="17138">
      <c r="AI17138" s="80"/>
    </row>
    <row r="17139">
      <c r="AI17139" s="80"/>
    </row>
    <row r="17140">
      <c r="AI17140" s="80"/>
    </row>
    <row r="17141">
      <c r="AI17141" s="80"/>
    </row>
    <row r="17142">
      <c r="AI17142" s="80"/>
    </row>
    <row r="17143">
      <c r="AI17143" s="80"/>
    </row>
    <row r="17144">
      <c r="AI17144" s="80"/>
    </row>
    <row r="17145">
      <c r="AI17145" s="80"/>
    </row>
    <row r="17146">
      <c r="AI17146" s="80"/>
    </row>
    <row r="17147">
      <c r="AI17147" s="80"/>
    </row>
    <row r="17148">
      <c r="AI17148" s="80"/>
    </row>
    <row r="17149">
      <c r="AI17149" s="80"/>
    </row>
    <row r="17150">
      <c r="AI17150" s="80"/>
    </row>
    <row r="17151">
      <c r="AI17151" s="80"/>
    </row>
    <row r="17152">
      <c r="AI17152" s="80"/>
    </row>
    <row r="17153">
      <c r="AI17153" s="80"/>
    </row>
    <row r="17154">
      <c r="AI17154" s="80"/>
    </row>
    <row r="17155">
      <c r="AI17155" s="80"/>
    </row>
    <row r="17156">
      <c r="AI17156" s="80"/>
    </row>
    <row r="17157">
      <c r="AI17157" s="80"/>
    </row>
    <row r="17158">
      <c r="AI17158" s="80"/>
    </row>
    <row r="17159">
      <c r="AI17159" s="80"/>
    </row>
    <row r="17160">
      <c r="AI17160" s="80"/>
    </row>
    <row r="17161">
      <c r="AI17161" s="80"/>
    </row>
    <row r="17162">
      <c r="AI17162" s="80"/>
    </row>
    <row r="17163">
      <c r="AI17163" s="80"/>
    </row>
    <row r="17164">
      <c r="AI17164" s="80"/>
    </row>
    <row r="17165">
      <c r="AI17165" s="80"/>
    </row>
    <row r="17166">
      <c r="AI17166" s="80"/>
    </row>
    <row r="17167">
      <c r="AI17167" s="80"/>
    </row>
    <row r="17168">
      <c r="AI17168" s="80"/>
    </row>
    <row r="17169">
      <c r="AI17169" s="80"/>
    </row>
    <row r="17170">
      <c r="AI17170" s="80"/>
    </row>
    <row r="17171">
      <c r="AI17171" s="80"/>
    </row>
    <row r="17172">
      <c r="AI17172" s="80"/>
    </row>
    <row r="17173">
      <c r="AI17173" s="80"/>
    </row>
    <row r="17174">
      <c r="AI17174" s="80"/>
    </row>
    <row r="17175">
      <c r="AI17175" s="80"/>
    </row>
    <row r="17176">
      <c r="AI17176" s="80"/>
    </row>
    <row r="17177">
      <c r="AI17177" s="80"/>
    </row>
    <row r="17178">
      <c r="AI17178" s="80"/>
    </row>
    <row r="17179">
      <c r="AI17179" s="80"/>
    </row>
    <row r="17180">
      <c r="AI17180" s="80"/>
    </row>
    <row r="17181">
      <c r="AI17181" s="80"/>
    </row>
    <row r="17182">
      <c r="AI17182" s="80"/>
    </row>
    <row r="17183">
      <c r="AI17183" s="80"/>
    </row>
    <row r="17184">
      <c r="AI17184" s="80"/>
    </row>
    <row r="17185">
      <c r="AI17185" s="80"/>
    </row>
    <row r="17186">
      <c r="AI17186" s="80"/>
    </row>
    <row r="17187">
      <c r="AI17187" s="80"/>
    </row>
    <row r="17188">
      <c r="AI17188" s="80"/>
    </row>
    <row r="17189">
      <c r="AI17189" s="80"/>
    </row>
    <row r="17190">
      <c r="AI17190" s="80"/>
    </row>
    <row r="17191">
      <c r="AI17191" s="80"/>
    </row>
    <row r="17192">
      <c r="AI17192" s="80"/>
    </row>
    <row r="17193">
      <c r="AI17193" s="80"/>
    </row>
    <row r="17194">
      <c r="AI17194" s="80"/>
    </row>
    <row r="17195">
      <c r="AI17195" s="80"/>
    </row>
    <row r="17196">
      <c r="AI17196" s="80"/>
    </row>
    <row r="17197">
      <c r="AI17197" s="80"/>
    </row>
    <row r="17198">
      <c r="AI17198" s="80"/>
    </row>
    <row r="17199">
      <c r="AI17199" s="80"/>
    </row>
    <row r="17200">
      <c r="AI17200" s="80"/>
    </row>
    <row r="17201">
      <c r="AI17201" s="80"/>
    </row>
    <row r="17202">
      <c r="AI17202" s="80"/>
    </row>
    <row r="17203">
      <c r="AI17203" s="80"/>
    </row>
    <row r="17204">
      <c r="AI17204" s="80"/>
    </row>
    <row r="17205">
      <c r="AI17205" s="80"/>
    </row>
    <row r="17206">
      <c r="AI17206" s="80"/>
    </row>
    <row r="17207">
      <c r="AI17207" s="80"/>
    </row>
    <row r="17208">
      <c r="AI17208" s="80"/>
    </row>
    <row r="17209">
      <c r="AI17209" s="80"/>
    </row>
    <row r="17210">
      <c r="AI17210" s="80"/>
    </row>
    <row r="17211">
      <c r="AI17211" s="80"/>
    </row>
    <row r="17212">
      <c r="AI17212" s="80"/>
    </row>
    <row r="17213">
      <c r="AI17213" s="80"/>
    </row>
    <row r="17214">
      <c r="AI17214" s="80"/>
    </row>
    <row r="17215">
      <c r="AI17215" s="80"/>
    </row>
    <row r="17216">
      <c r="AI17216" s="80"/>
    </row>
    <row r="17217">
      <c r="AI17217" s="80"/>
    </row>
    <row r="17218">
      <c r="AI17218" s="80"/>
    </row>
    <row r="17219">
      <c r="AI17219" s="80"/>
    </row>
    <row r="17220">
      <c r="AI17220" s="80"/>
    </row>
    <row r="17221">
      <c r="AI17221" s="80"/>
    </row>
    <row r="17222">
      <c r="AI17222" s="80"/>
    </row>
    <row r="17223">
      <c r="AI17223" s="80"/>
    </row>
    <row r="17224">
      <c r="AI17224" s="80"/>
    </row>
    <row r="17225">
      <c r="AI17225" s="80"/>
    </row>
    <row r="17226">
      <c r="AI17226" s="80"/>
    </row>
    <row r="17227">
      <c r="AI17227" s="80"/>
    </row>
    <row r="17228">
      <c r="AI17228" s="80"/>
    </row>
    <row r="17229">
      <c r="AI17229" s="80"/>
    </row>
    <row r="17230">
      <c r="AI17230" s="80"/>
    </row>
    <row r="17231">
      <c r="AI17231" s="80"/>
    </row>
    <row r="17232">
      <c r="AI17232" s="80"/>
    </row>
    <row r="17233">
      <c r="AI17233" s="80"/>
    </row>
    <row r="17234">
      <c r="AI17234" s="80"/>
    </row>
    <row r="17235">
      <c r="AI17235" s="80"/>
    </row>
    <row r="17236">
      <c r="AI17236" s="80"/>
    </row>
    <row r="17237">
      <c r="AI17237" s="80"/>
    </row>
    <row r="17238">
      <c r="AI17238" s="80"/>
    </row>
    <row r="17239">
      <c r="AI17239" s="80"/>
    </row>
    <row r="17240">
      <c r="AI17240" s="80"/>
    </row>
    <row r="17241">
      <c r="AI17241" s="80"/>
    </row>
    <row r="17242">
      <c r="AI17242" s="80"/>
    </row>
    <row r="17243">
      <c r="AI17243" s="80"/>
    </row>
    <row r="17244">
      <c r="AI17244" s="80"/>
    </row>
    <row r="17245">
      <c r="AI17245" s="80"/>
    </row>
    <row r="17246">
      <c r="AI17246" s="80"/>
    </row>
    <row r="17247">
      <c r="AI17247" s="80"/>
    </row>
    <row r="17248">
      <c r="AI17248" s="80"/>
    </row>
    <row r="17249">
      <c r="AI17249" s="80"/>
    </row>
    <row r="17250">
      <c r="AI17250" s="80"/>
    </row>
    <row r="17251">
      <c r="AI17251" s="80"/>
    </row>
    <row r="17252">
      <c r="AI17252" s="80"/>
    </row>
    <row r="17253">
      <c r="AI17253" s="80"/>
    </row>
    <row r="17254">
      <c r="AI17254" s="80"/>
    </row>
    <row r="17255">
      <c r="AI17255" s="80"/>
    </row>
    <row r="17256">
      <c r="AI17256" s="80"/>
    </row>
    <row r="17257">
      <c r="AI17257" s="80"/>
    </row>
    <row r="17258">
      <c r="AI17258" s="80"/>
    </row>
    <row r="17259">
      <c r="AI17259" s="80"/>
    </row>
    <row r="17260">
      <c r="AI17260" s="80"/>
    </row>
    <row r="17261">
      <c r="AI17261" s="80"/>
    </row>
    <row r="17262">
      <c r="AI17262" s="80"/>
    </row>
    <row r="17263">
      <c r="AI17263" s="80"/>
    </row>
    <row r="17264">
      <c r="AI17264" s="80"/>
    </row>
    <row r="17265">
      <c r="AI17265" s="80"/>
    </row>
    <row r="17266">
      <c r="AI17266" s="80"/>
    </row>
    <row r="17267">
      <c r="AI17267" s="80"/>
    </row>
    <row r="17268">
      <c r="AI17268" s="80"/>
    </row>
    <row r="17269">
      <c r="AI17269" s="80"/>
    </row>
    <row r="17270">
      <c r="AI17270" s="80"/>
    </row>
    <row r="17271">
      <c r="AI17271" s="80"/>
    </row>
    <row r="17272">
      <c r="AI17272" s="80"/>
    </row>
    <row r="17273">
      <c r="AI17273" s="80"/>
    </row>
    <row r="17274">
      <c r="AI17274" s="80"/>
    </row>
    <row r="17275">
      <c r="AI17275" s="80"/>
    </row>
    <row r="17276">
      <c r="AI17276" s="80"/>
    </row>
    <row r="17277">
      <c r="AI17277" s="80"/>
    </row>
    <row r="17278">
      <c r="AI17278" s="80"/>
    </row>
    <row r="17279">
      <c r="AI17279" s="80"/>
    </row>
    <row r="17280">
      <c r="AI17280" s="80"/>
    </row>
    <row r="17281">
      <c r="AI17281" s="80"/>
    </row>
    <row r="17282">
      <c r="AI17282" s="80"/>
    </row>
    <row r="17283">
      <c r="AI17283" s="80"/>
    </row>
    <row r="17284">
      <c r="AI17284" s="80"/>
    </row>
    <row r="17285">
      <c r="AI17285" s="80"/>
    </row>
    <row r="17286">
      <c r="AI17286" s="80"/>
    </row>
    <row r="17287">
      <c r="AI17287" s="80"/>
    </row>
    <row r="17288">
      <c r="AI17288" s="80"/>
    </row>
    <row r="17289">
      <c r="AI17289" s="80"/>
    </row>
    <row r="17290">
      <c r="AI17290" s="80"/>
    </row>
    <row r="17291">
      <c r="AI17291" s="80"/>
    </row>
    <row r="17292">
      <c r="AI17292" s="80"/>
    </row>
    <row r="17293">
      <c r="AI17293" s="80"/>
    </row>
    <row r="17294">
      <c r="AI17294" s="80"/>
    </row>
    <row r="17295">
      <c r="AI17295" s="80"/>
    </row>
    <row r="17296">
      <c r="AI17296" s="80"/>
    </row>
    <row r="17297">
      <c r="AI17297" s="80"/>
    </row>
    <row r="17298">
      <c r="AI17298" s="80"/>
    </row>
    <row r="17299">
      <c r="AI17299" s="80"/>
    </row>
    <row r="17300">
      <c r="AI17300" s="80"/>
    </row>
    <row r="17301">
      <c r="AI17301" s="80"/>
    </row>
    <row r="17302">
      <c r="AI17302" s="80"/>
    </row>
    <row r="17303">
      <c r="AI17303" s="80"/>
    </row>
    <row r="17304">
      <c r="AI17304" s="80"/>
    </row>
    <row r="17305">
      <c r="AI17305" s="80"/>
    </row>
    <row r="17306">
      <c r="AI17306" s="80"/>
    </row>
    <row r="17307">
      <c r="AI17307" s="80"/>
    </row>
    <row r="17308">
      <c r="AI17308" s="80"/>
    </row>
    <row r="17309">
      <c r="AI17309" s="80"/>
    </row>
    <row r="17310">
      <c r="AI17310" s="80"/>
    </row>
    <row r="17311">
      <c r="AI17311" s="80"/>
    </row>
    <row r="17312">
      <c r="AI17312" s="80"/>
    </row>
    <row r="17313">
      <c r="AI17313" s="80"/>
    </row>
    <row r="17314">
      <c r="AI17314" s="80"/>
    </row>
    <row r="17315">
      <c r="AI17315" s="80"/>
    </row>
    <row r="17316">
      <c r="AI17316" s="80"/>
    </row>
    <row r="17317">
      <c r="AI17317" s="80"/>
    </row>
    <row r="17318">
      <c r="AI17318" s="80"/>
    </row>
    <row r="17319">
      <c r="AI17319" s="80"/>
    </row>
    <row r="17320">
      <c r="AI17320" s="80"/>
    </row>
    <row r="17321">
      <c r="AI17321" s="80"/>
    </row>
    <row r="17322">
      <c r="AI17322" s="80"/>
    </row>
    <row r="17323">
      <c r="AI17323" s="80"/>
    </row>
    <row r="17324">
      <c r="AI17324" s="80"/>
    </row>
    <row r="17325">
      <c r="AI17325" s="80"/>
    </row>
    <row r="17326">
      <c r="AI17326" s="80"/>
    </row>
    <row r="17327">
      <c r="AI17327" s="80"/>
    </row>
    <row r="17328">
      <c r="AI17328" s="80"/>
    </row>
    <row r="17329">
      <c r="AI17329" s="80"/>
    </row>
    <row r="17330">
      <c r="AI17330" s="80"/>
    </row>
    <row r="17331">
      <c r="AI17331" s="80"/>
    </row>
    <row r="17332">
      <c r="AI17332" s="80"/>
    </row>
    <row r="17333">
      <c r="AI17333" s="80"/>
    </row>
    <row r="17334">
      <c r="AI17334" s="80"/>
    </row>
    <row r="17335">
      <c r="AI17335" s="80"/>
    </row>
    <row r="17336">
      <c r="AI17336" s="80"/>
    </row>
    <row r="17337">
      <c r="AI17337" s="80"/>
    </row>
    <row r="17338">
      <c r="AI17338" s="80"/>
    </row>
    <row r="17339">
      <c r="AI17339" s="80"/>
    </row>
    <row r="17340">
      <c r="AI17340" s="80"/>
    </row>
    <row r="17341">
      <c r="AI17341" s="80"/>
    </row>
    <row r="17342">
      <c r="AI17342" s="80"/>
    </row>
    <row r="17343">
      <c r="AI17343" s="80"/>
    </row>
    <row r="17344">
      <c r="AI17344" s="80"/>
    </row>
    <row r="17345">
      <c r="AI17345" s="80"/>
    </row>
    <row r="17346">
      <c r="AI17346" s="80"/>
    </row>
    <row r="17347">
      <c r="AI17347" s="80"/>
    </row>
    <row r="17348">
      <c r="AI17348" s="80"/>
    </row>
    <row r="17349">
      <c r="AI17349" s="80"/>
    </row>
    <row r="17350">
      <c r="AI17350" s="80"/>
    </row>
    <row r="17351">
      <c r="AI17351" s="80"/>
    </row>
    <row r="17352">
      <c r="AI17352" s="80"/>
    </row>
    <row r="17353">
      <c r="AI17353" s="80"/>
    </row>
    <row r="17354">
      <c r="AI17354" s="80"/>
    </row>
    <row r="17355">
      <c r="AI17355" s="80"/>
    </row>
    <row r="17356">
      <c r="AI17356" s="80"/>
    </row>
    <row r="17357">
      <c r="AI17357" s="80"/>
    </row>
    <row r="17358">
      <c r="AI17358" s="80"/>
    </row>
    <row r="17359">
      <c r="AI17359" s="80"/>
    </row>
    <row r="17360">
      <c r="AI17360" s="80"/>
    </row>
    <row r="17361">
      <c r="AI17361" s="80"/>
    </row>
    <row r="17362">
      <c r="AI17362" s="80"/>
    </row>
    <row r="17363">
      <c r="AI17363" s="80"/>
    </row>
    <row r="17364">
      <c r="AI17364" s="80"/>
    </row>
    <row r="17365">
      <c r="AI17365" s="80"/>
    </row>
    <row r="17366">
      <c r="AI17366" s="80"/>
    </row>
    <row r="17367">
      <c r="AI17367" s="80"/>
    </row>
    <row r="17368">
      <c r="AI17368" s="80"/>
    </row>
    <row r="17369">
      <c r="AI17369" s="80"/>
    </row>
    <row r="17370">
      <c r="AI17370" s="80"/>
    </row>
    <row r="17371">
      <c r="AI17371" s="80"/>
    </row>
    <row r="17372">
      <c r="AI17372" s="80"/>
    </row>
    <row r="17373">
      <c r="AI17373" s="80"/>
    </row>
    <row r="17374">
      <c r="AI17374" s="80"/>
    </row>
    <row r="17375">
      <c r="AI17375" s="80"/>
    </row>
    <row r="17376">
      <c r="AI17376" s="80"/>
    </row>
    <row r="17377">
      <c r="AI17377" s="80"/>
    </row>
    <row r="17378">
      <c r="AI17378" s="80"/>
    </row>
    <row r="17379">
      <c r="AI17379" s="80"/>
    </row>
    <row r="17380">
      <c r="AI17380" s="80"/>
    </row>
    <row r="17381">
      <c r="AI17381" s="80"/>
    </row>
    <row r="17382">
      <c r="AI17382" s="80"/>
    </row>
    <row r="17383">
      <c r="AI17383" s="80"/>
    </row>
    <row r="17384">
      <c r="AI17384" s="80"/>
    </row>
    <row r="17385">
      <c r="AI17385" s="80"/>
    </row>
    <row r="17386">
      <c r="AI17386" s="80"/>
    </row>
    <row r="17387">
      <c r="AI17387" s="80"/>
    </row>
    <row r="17388">
      <c r="AI17388" s="80"/>
    </row>
    <row r="17389">
      <c r="AI17389" s="80"/>
    </row>
    <row r="17390">
      <c r="AI17390" s="80"/>
    </row>
    <row r="17391">
      <c r="AI17391" s="80"/>
    </row>
    <row r="17392">
      <c r="AI17392" s="80"/>
    </row>
    <row r="17393">
      <c r="AI17393" s="80"/>
    </row>
    <row r="17394">
      <c r="AI17394" s="80"/>
    </row>
    <row r="17395">
      <c r="AI17395" s="80"/>
    </row>
    <row r="17396">
      <c r="AI17396" s="80"/>
    </row>
    <row r="17397">
      <c r="AI17397" s="80"/>
    </row>
    <row r="17398">
      <c r="AI17398" s="80"/>
    </row>
    <row r="17399">
      <c r="AI17399" s="80"/>
    </row>
    <row r="17400">
      <c r="AI17400" s="80"/>
    </row>
    <row r="17401">
      <c r="AI17401" s="80"/>
    </row>
    <row r="17402">
      <c r="AI17402" s="80"/>
    </row>
    <row r="17403">
      <c r="AI17403" s="80"/>
    </row>
    <row r="17404">
      <c r="AI17404" s="80"/>
    </row>
    <row r="17405">
      <c r="AI17405" s="80"/>
    </row>
    <row r="17406">
      <c r="AI17406" s="80"/>
    </row>
    <row r="17407">
      <c r="AI17407" s="80"/>
    </row>
    <row r="17408">
      <c r="AI17408" s="80"/>
    </row>
    <row r="17409">
      <c r="AI17409" s="80"/>
    </row>
    <row r="17410">
      <c r="AI17410" s="80"/>
    </row>
    <row r="17411">
      <c r="AI17411" s="80"/>
    </row>
    <row r="17412">
      <c r="AI17412" s="80"/>
    </row>
    <row r="17413">
      <c r="AI17413" s="80"/>
    </row>
    <row r="17414">
      <c r="AI17414" s="80"/>
    </row>
    <row r="17415">
      <c r="AI17415" s="80"/>
    </row>
    <row r="17416">
      <c r="AI17416" s="80"/>
    </row>
    <row r="17417">
      <c r="AI17417" s="80"/>
    </row>
    <row r="17418">
      <c r="AI17418" s="80"/>
    </row>
    <row r="17419">
      <c r="AI17419" s="80"/>
    </row>
    <row r="17420">
      <c r="AI17420" s="80"/>
    </row>
    <row r="17421">
      <c r="AI17421" s="80"/>
    </row>
    <row r="17422">
      <c r="AI17422" s="80"/>
    </row>
    <row r="17423">
      <c r="AI17423" s="80"/>
    </row>
    <row r="17424">
      <c r="AI17424" s="80"/>
    </row>
    <row r="17425">
      <c r="AI17425" s="80"/>
    </row>
    <row r="17426">
      <c r="AI17426" s="80"/>
    </row>
    <row r="17427">
      <c r="AI17427" s="80"/>
    </row>
    <row r="17428">
      <c r="AI17428" s="80"/>
    </row>
    <row r="17429">
      <c r="AI17429" s="80"/>
    </row>
    <row r="17430">
      <c r="AI17430" s="80"/>
    </row>
    <row r="17431">
      <c r="AI17431" s="80"/>
    </row>
    <row r="17432">
      <c r="AI17432" s="80"/>
    </row>
    <row r="17433">
      <c r="AI17433" s="80"/>
    </row>
    <row r="17434">
      <c r="AI17434" s="80"/>
    </row>
    <row r="17435">
      <c r="AI17435" s="80"/>
    </row>
    <row r="17436">
      <c r="AI17436" s="80"/>
    </row>
    <row r="17437">
      <c r="AI17437" s="80"/>
    </row>
    <row r="17438">
      <c r="AI17438" s="80"/>
    </row>
    <row r="17439">
      <c r="AI17439" s="80"/>
    </row>
    <row r="17440">
      <c r="AI17440" s="80"/>
    </row>
    <row r="17441">
      <c r="AI17441" s="80"/>
    </row>
    <row r="17442">
      <c r="AI17442" s="80"/>
    </row>
    <row r="17443">
      <c r="AI17443" s="80"/>
    </row>
    <row r="17444">
      <c r="AI17444" s="80"/>
    </row>
    <row r="17445">
      <c r="AI17445" s="80"/>
    </row>
    <row r="17446">
      <c r="AI17446" s="80"/>
    </row>
    <row r="17447">
      <c r="AI17447" s="80"/>
    </row>
    <row r="17448">
      <c r="AI17448" s="80"/>
    </row>
    <row r="17449">
      <c r="AI17449" s="80"/>
    </row>
    <row r="17450">
      <c r="AI17450" s="80"/>
    </row>
    <row r="17451">
      <c r="AI17451" s="80"/>
    </row>
    <row r="17452">
      <c r="AI17452" s="80"/>
    </row>
    <row r="17453">
      <c r="AI17453" s="80"/>
    </row>
    <row r="17454">
      <c r="AI17454" s="80"/>
    </row>
    <row r="17455">
      <c r="AI17455" s="80"/>
    </row>
    <row r="17456">
      <c r="AI17456" s="80"/>
    </row>
    <row r="17457">
      <c r="AI17457" s="80"/>
    </row>
    <row r="17458">
      <c r="AI17458" s="80"/>
    </row>
    <row r="17459">
      <c r="AI17459" s="80"/>
    </row>
    <row r="17460">
      <c r="AI17460" s="80"/>
    </row>
    <row r="17461">
      <c r="AI17461" s="80"/>
    </row>
    <row r="17462">
      <c r="AI17462" s="80"/>
    </row>
    <row r="17463">
      <c r="AI17463" s="80"/>
    </row>
    <row r="17464">
      <c r="AI17464" s="80"/>
    </row>
    <row r="17465">
      <c r="AI17465" s="80"/>
    </row>
    <row r="17466">
      <c r="AI17466" s="80"/>
    </row>
    <row r="17467">
      <c r="AI17467" s="80"/>
    </row>
    <row r="17468">
      <c r="AI17468" s="80"/>
    </row>
    <row r="17469">
      <c r="AI17469" s="80"/>
    </row>
    <row r="17470">
      <c r="AI17470" s="80"/>
    </row>
    <row r="17471">
      <c r="AI17471" s="80"/>
    </row>
    <row r="17472">
      <c r="AI17472" s="80"/>
    </row>
    <row r="17473">
      <c r="AI17473" s="80"/>
    </row>
    <row r="17474">
      <c r="AI17474" s="80"/>
    </row>
    <row r="17475">
      <c r="AI17475" s="80"/>
    </row>
    <row r="17476">
      <c r="AI17476" s="80"/>
    </row>
    <row r="17477">
      <c r="AI17477" s="80"/>
    </row>
    <row r="17478">
      <c r="AI17478" s="80"/>
    </row>
    <row r="17479">
      <c r="AI17479" s="80"/>
    </row>
    <row r="17480">
      <c r="AI17480" s="80"/>
    </row>
    <row r="17481">
      <c r="AI17481" s="80"/>
    </row>
    <row r="17482">
      <c r="AI17482" s="80"/>
    </row>
    <row r="17483">
      <c r="AI17483" s="80"/>
    </row>
    <row r="17484">
      <c r="AI17484" s="80"/>
    </row>
    <row r="17485">
      <c r="AI17485" s="80"/>
    </row>
    <row r="17486">
      <c r="AI17486" s="80"/>
    </row>
    <row r="17487">
      <c r="AI17487" s="80"/>
    </row>
    <row r="17488">
      <c r="AI17488" s="80"/>
    </row>
    <row r="17489">
      <c r="AI17489" s="80"/>
    </row>
    <row r="17490">
      <c r="AI17490" s="80"/>
    </row>
    <row r="17491">
      <c r="AI17491" s="80"/>
    </row>
    <row r="17492">
      <c r="AI17492" s="80"/>
    </row>
    <row r="17493">
      <c r="AI17493" s="80"/>
    </row>
    <row r="17494">
      <c r="AI17494" s="80"/>
    </row>
    <row r="17495">
      <c r="AI17495" s="80"/>
    </row>
    <row r="17496">
      <c r="AI17496" s="80"/>
    </row>
    <row r="17497">
      <c r="AI17497" s="80"/>
    </row>
    <row r="17498">
      <c r="AI17498" s="80"/>
    </row>
    <row r="17499">
      <c r="AI17499" s="80"/>
    </row>
    <row r="17500">
      <c r="AI17500" s="80"/>
    </row>
    <row r="17501">
      <c r="AI17501" s="80"/>
    </row>
    <row r="17502">
      <c r="AI17502" s="80"/>
    </row>
    <row r="17503">
      <c r="AI17503" s="80"/>
    </row>
    <row r="17504">
      <c r="AI17504" s="80"/>
    </row>
    <row r="17505">
      <c r="AI17505" s="80"/>
    </row>
    <row r="17506">
      <c r="AI17506" s="80"/>
    </row>
    <row r="17507">
      <c r="AI17507" s="80"/>
    </row>
    <row r="17508">
      <c r="AI17508" s="80"/>
    </row>
    <row r="17509">
      <c r="AI17509" s="80"/>
    </row>
    <row r="17510">
      <c r="AI17510" s="80"/>
    </row>
    <row r="17511">
      <c r="AI17511" s="80"/>
    </row>
    <row r="17512">
      <c r="AI17512" s="80"/>
    </row>
    <row r="17513">
      <c r="AI17513" s="80"/>
    </row>
    <row r="17514">
      <c r="AI17514" s="80"/>
    </row>
    <row r="17515">
      <c r="AI17515" s="80"/>
    </row>
    <row r="17516">
      <c r="AI17516" s="80"/>
    </row>
    <row r="17517">
      <c r="AI17517" s="80"/>
    </row>
    <row r="17518">
      <c r="AI17518" s="80"/>
    </row>
    <row r="17519">
      <c r="AI17519" s="80"/>
    </row>
    <row r="17520">
      <c r="AI17520" s="80"/>
    </row>
    <row r="17521">
      <c r="AI17521" s="80"/>
    </row>
    <row r="17522">
      <c r="AI17522" s="80"/>
    </row>
    <row r="17523">
      <c r="AI17523" s="80"/>
    </row>
    <row r="17524">
      <c r="AI17524" s="80"/>
    </row>
    <row r="17525">
      <c r="AI17525" s="80"/>
    </row>
    <row r="17526">
      <c r="AI17526" s="80"/>
    </row>
    <row r="17527">
      <c r="AI17527" s="80"/>
    </row>
    <row r="17528">
      <c r="AI17528" s="80"/>
    </row>
    <row r="17529">
      <c r="AI17529" s="80"/>
    </row>
    <row r="17530">
      <c r="AI17530" s="80"/>
    </row>
    <row r="17531">
      <c r="AI17531" s="80"/>
    </row>
    <row r="17532">
      <c r="AI17532" s="80"/>
    </row>
    <row r="17533">
      <c r="AI17533" s="80"/>
    </row>
    <row r="17534">
      <c r="AI17534" s="80"/>
    </row>
    <row r="17535">
      <c r="AI17535" s="80"/>
    </row>
    <row r="17536">
      <c r="AI17536" s="80"/>
    </row>
    <row r="17537">
      <c r="AI17537" s="80"/>
    </row>
    <row r="17538">
      <c r="AI17538" s="80"/>
    </row>
    <row r="17539">
      <c r="AI17539" s="80"/>
    </row>
    <row r="17540">
      <c r="AI17540" s="80"/>
    </row>
    <row r="17541">
      <c r="AI17541" s="80"/>
    </row>
    <row r="17542">
      <c r="AI17542" s="80"/>
    </row>
    <row r="17543">
      <c r="AI17543" s="80"/>
    </row>
    <row r="17544">
      <c r="AI17544" s="80"/>
    </row>
    <row r="17545">
      <c r="AI17545" s="80"/>
    </row>
    <row r="17546">
      <c r="AI17546" s="80"/>
    </row>
    <row r="17547">
      <c r="AI17547" s="80"/>
    </row>
    <row r="17548">
      <c r="AI17548" s="80"/>
    </row>
    <row r="17549">
      <c r="AI17549" s="80"/>
    </row>
    <row r="17550">
      <c r="AI17550" s="80"/>
    </row>
    <row r="17551">
      <c r="AI17551" s="80"/>
    </row>
    <row r="17552">
      <c r="AI17552" s="80"/>
    </row>
    <row r="17553">
      <c r="AI17553" s="80"/>
    </row>
    <row r="17554">
      <c r="AI17554" s="80"/>
    </row>
    <row r="17555">
      <c r="AI17555" s="80"/>
    </row>
    <row r="17556">
      <c r="AI17556" s="80"/>
    </row>
    <row r="17557">
      <c r="AI17557" s="80"/>
    </row>
    <row r="17558">
      <c r="AI17558" s="80"/>
    </row>
    <row r="17559">
      <c r="AI17559" s="80"/>
    </row>
    <row r="17560">
      <c r="AI17560" s="80"/>
    </row>
    <row r="17561">
      <c r="AI17561" s="80"/>
    </row>
    <row r="17562">
      <c r="AI17562" s="80"/>
    </row>
    <row r="17563">
      <c r="AI17563" s="80"/>
    </row>
    <row r="17564">
      <c r="AI17564" s="80"/>
    </row>
    <row r="17565">
      <c r="AI17565" s="80"/>
    </row>
    <row r="17566">
      <c r="AI17566" s="80"/>
    </row>
    <row r="17567">
      <c r="AI17567" s="80"/>
    </row>
    <row r="17568">
      <c r="AI17568" s="80"/>
    </row>
    <row r="17569">
      <c r="AI17569" s="80"/>
    </row>
    <row r="17570">
      <c r="AI17570" s="80"/>
    </row>
    <row r="17571">
      <c r="AI17571" s="80"/>
    </row>
    <row r="17572">
      <c r="AI17572" s="80"/>
    </row>
    <row r="17573">
      <c r="AI17573" s="80"/>
    </row>
    <row r="17574">
      <c r="AI17574" s="80"/>
    </row>
    <row r="17575">
      <c r="AI17575" s="80"/>
    </row>
    <row r="17576">
      <c r="AI17576" s="80"/>
    </row>
    <row r="17577">
      <c r="AI17577" s="80"/>
    </row>
    <row r="17578">
      <c r="AI17578" s="80"/>
    </row>
    <row r="17579">
      <c r="AI17579" s="80"/>
    </row>
    <row r="17580">
      <c r="AI17580" s="80"/>
    </row>
    <row r="17581">
      <c r="AI17581" s="80"/>
    </row>
    <row r="17582">
      <c r="AI17582" s="80"/>
    </row>
    <row r="17583">
      <c r="AI17583" s="80"/>
    </row>
    <row r="17584">
      <c r="AI17584" s="80"/>
    </row>
    <row r="17585">
      <c r="AI17585" s="80"/>
    </row>
    <row r="17586">
      <c r="AI17586" s="80"/>
    </row>
    <row r="17587">
      <c r="AI17587" s="80"/>
    </row>
    <row r="17588">
      <c r="AI17588" s="80"/>
    </row>
    <row r="17589">
      <c r="AI17589" s="80"/>
    </row>
    <row r="17590">
      <c r="AI17590" s="80"/>
    </row>
    <row r="17591">
      <c r="AI17591" s="80"/>
    </row>
    <row r="17592">
      <c r="AI17592" s="80"/>
    </row>
    <row r="17593">
      <c r="AI17593" s="80"/>
    </row>
    <row r="17594">
      <c r="AI17594" s="80"/>
    </row>
    <row r="17595">
      <c r="AI17595" s="80"/>
    </row>
    <row r="17596">
      <c r="AI17596" s="80"/>
    </row>
    <row r="17597">
      <c r="AI17597" s="80"/>
    </row>
    <row r="17598">
      <c r="AI17598" s="80"/>
    </row>
    <row r="17599">
      <c r="AI17599" s="80"/>
    </row>
    <row r="17600">
      <c r="AI17600" s="80"/>
    </row>
    <row r="17601">
      <c r="AI17601" s="80"/>
    </row>
    <row r="17602">
      <c r="AI17602" s="80"/>
    </row>
    <row r="17603">
      <c r="AI17603" s="80"/>
    </row>
    <row r="17604">
      <c r="AI17604" s="80"/>
    </row>
    <row r="17605">
      <c r="AI17605" s="80"/>
    </row>
    <row r="17606">
      <c r="AI17606" s="80"/>
    </row>
    <row r="17607">
      <c r="AI17607" s="80"/>
    </row>
    <row r="17608">
      <c r="AI17608" s="80"/>
    </row>
    <row r="17609">
      <c r="AI17609" s="80"/>
    </row>
    <row r="17610">
      <c r="AI17610" s="80"/>
    </row>
    <row r="17611">
      <c r="AI17611" s="80"/>
    </row>
    <row r="17612">
      <c r="AI17612" s="80"/>
    </row>
    <row r="17613">
      <c r="AI17613" s="80"/>
    </row>
    <row r="17614">
      <c r="AI17614" s="80"/>
    </row>
    <row r="17615">
      <c r="AI17615" s="80"/>
    </row>
    <row r="17616">
      <c r="AI17616" s="80"/>
    </row>
    <row r="17617">
      <c r="AI17617" s="80"/>
    </row>
    <row r="17618">
      <c r="AI17618" s="80"/>
    </row>
    <row r="17619">
      <c r="AI17619" s="80"/>
    </row>
    <row r="17620">
      <c r="AI17620" s="80"/>
    </row>
    <row r="17621">
      <c r="AI17621" s="80"/>
    </row>
    <row r="17622">
      <c r="AI17622" s="80"/>
    </row>
    <row r="17623">
      <c r="AI17623" s="80"/>
    </row>
    <row r="17624">
      <c r="AI17624" s="80"/>
    </row>
    <row r="17625">
      <c r="AI17625" s="80"/>
    </row>
    <row r="17626">
      <c r="AI17626" s="80"/>
    </row>
    <row r="17627">
      <c r="AI17627" s="80"/>
    </row>
    <row r="17628">
      <c r="AI17628" s="80"/>
    </row>
    <row r="17629">
      <c r="AI17629" s="80"/>
    </row>
    <row r="17630">
      <c r="AI17630" s="80"/>
    </row>
    <row r="17631">
      <c r="AI17631" s="80"/>
    </row>
    <row r="17632">
      <c r="AI17632" s="80"/>
    </row>
    <row r="17633">
      <c r="AI17633" s="80"/>
    </row>
    <row r="17634">
      <c r="AI17634" s="80"/>
    </row>
    <row r="17635">
      <c r="AI17635" s="80"/>
    </row>
    <row r="17636">
      <c r="AI17636" s="80"/>
    </row>
    <row r="17637">
      <c r="AI17637" s="80"/>
    </row>
    <row r="17638">
      <c r="AI17638" s="80"/>
    </row>
    <row r="17639">
      <c r="AI17639" s="80"/>
    </row>
    <row r="17640">
      <c r="AI17640" s="80"/>
    </row>
    <row r="17641">
      <c r="AI17641" s="80"/>
    </row>
    <row r="17642">
      <c r="AI17642" s="80"/>
    </row>
    <row r="17643">
      <c r="AI17643" s="80"/>
    </row>
    <row r="17644">
      <c r="AI17644" s="80"/>
    </row>
    <row r="17645">
      <c r="AI17645" s="80"/>
    </row>
    <row r="17646">
      <c r="AI17646" s="80"/>
    </row>
    <row r="17647">
      <c r="AI17647" s="80"/>
    </row>
    <row r="17648">
      <c r="AI17648" s="80"/>
    </row>
    <row r="17649">
      <c r="AI17649" s="80"/>
    </row>
    <row r="17650">
      <c r="AI17650" s="80"/>
    </row>
    <row r="17651">
      <c r="AI17651" s="80"/>
    </row>
    <row r="17652">
      <c r="AI17652" s="80"/>
    </row>
    <row r="17653">
      <c r="AI17653" s="80"/>
    </row>
    <row r="17654">
      <c r="AI17654" s="80"/>
    </row>
    <row r="17655">
      <c r="AI17655" s="80"/>
    </row>
    <row r="17656">
      <c r="AI17656" s="80"/>
    </row>
    <row r="17657">
      <c r="AI17657" s="80"/>
    </row>
    <row r="17658">
      <c r="AI17658" s="80"/>
    </row>
    <row r="17659">
      <c r="AI17659" s="80"/>
    </row>
    <row r="17660">
      <c r="AI17660" s="80"/>
    </row>
    <row r="17661">
      <c r="AI17661" s="80"/>
    </row>
    <row r="17662">
      <c r="AI17662" s="80"/>
    </row>
    <row r="17663">
      <c r="AI17663" s="80"/>
    </row>
    <row r="17664">
      <c r="AI17664" s="80"/>
    </row>
    <row r="17665">
      <c r="AI17665" s="80"/>
    </row>
    <row r="17666">
      <c r="AI17666" s="80"/>
    </row>
    <row r="17667">
      <c r="AI17667" s="80"/>
    </row>
    <row r="17668">
      <c r="AI17668" s="80"/>
    </row>
    <row r="17669">
      <c r="AI17669" s="80"/>
    </row>
    <row r="17670">
      <c r="AI17670" s="80"/>
    </row>
    <row r="17671">
      <c r="AI17671" s="80"/>
    </row>
    <row r="17672">
      <c r="AI17672" s="80"/>
    </row>
    <row r="17673">
      <c r="AI17673" s="80"/>
    </row>
    <row r="17674">
      <c r="AI17674" s="80"/>
    </row>
    <row r="17675">
      <c r="AI17675" s="80"/>
    </row>
    <row r="17676">
      <c r="AI17676" s="80"/>
    </row>
    <row r="17677">
      <c r="AI17677" s="80"/>
    </row>
    <row r="17678">
      <c r="AI17678" s="80"/>
    </row>
    <row r="17679">
      <c r="AI17679" s="80"/>
    </row>
    <row r="17680">
      <c r="AI17680" s="80"/>
    </row>
    <row r="17681">
      <c r="AI17681" s="80"/>
    </row>
    <row r="17682">
      <c r="AI17682" s="80"/>
    </row>
    <row r="17683">
      <c r="AI17683" s="80"/>
    </row>
    <row r="17684">
      <c r="AI17684" s="80"/>
    </row>
    <row r="17685">
      <c r="AI17685" s="80"/>
    </row>
    <row r="17686">
      <c r="AI17686" s="80"/>
    </row>
    <row r="17687">
      <c r="AI17687" s="80"/>
    </row>
    <row r="17688">
      <c r="AI17688" s="80"/>
    </row>
    <row r="17689">
      <c r="AI17689" s="80"/>
    </row>
    <row r="17690">
      <c r="AI17690" s="80"/>
    </row>
    <row r="17691">
      <c r="AI17691" s="80"/>
    </row>
    <row r="17692">
      <c r="AI17692" s="80"/>
    </row>
    <row r="17693">
      <c r="AI17693" s="80"/>
    </row>
    <row r="17694">
      <c r="AI17694" s="80"/>
    </row>
    <row r="17695">
      <c r="AI17695" s="80"/>
    </row>
    <row r="17696">
      <c r="AI17696" s="80"/>
    </row>
    <row r="17697">
      <c r="AI17697" s="80"/>
    </row>
    <row r="17698">
      <c r="AI17698" s="80"/>
    </row>
    <row r="17699">
      <c r="AI17699" s="80"/>
    </row>
    <row r="17700">
      <c r="AI17700" s="80"/>
    </row>
    <row r="17701">
      <c r="AI17701" s="80"/>
    </row>
    <row r="17702">
      <c r="AI17702" s="80"/>
    </row>
    <row r="17703">
      <c r="AI17703" s="80"/>
    </row>
    <row r="17704">
      <c r="AI17704" s="80"/>
    </row>
    <row r="17705">
      <c r="AI17705" s="80"/>
    </row>
    <row r="17706">
      <c r="AI17706" s="80"/>
    </row>
    <row r="17707">
      <c r="AI17707" s="80"/>
    </row>
    <row r="17708">
      <c r="AI17708" s="80"/>
    </row>
    <row r="17709">
      <c r="AI17709" s="80"/>
    </row>
    <row r="17710">
      <c r="AI17710" s="80"/>
    </row>
    <row r="17711">
      <c r="AI17711" s="80"/>
    </row>
    <row r="17712">
      <c r="AI17712" s="80"/>
    </row>
    <row r="17713">
      <c r="AI17713" s="80"/>
    </row>
    <row r="17714">
      <c r="AI17714" s="80"/>
    </row>
    <row r="17715">
      <c r="AI17715" s="80"/>
    </row>
    <row r="17716">
      <c r="AI17716" s="80"/>
    </row>
    <row r="17717">
      <c r="AI17717" s="80"/>
    </row>
    <row r="17718">
      <c r="AI17718" s="80"/>
    </row>
    <row r="17719">
      <c r="AI17719" s="80"/>
    </row>
    <row r="17720">
      <c r="AI17720" s="80"/>
    </row>
    <row r="17721">
      <c r="AI17721" s="80"/>
    </row>
    <row r="17722">
      <c r="AI17722" s="80"/>
    </row>
    <row r="17723">
      <c r="AI17723" s="80"/>
    </row>
    <row r="17724">
      <c r="AI17724" s="80"/>
    </row>
    <row r="17725">
      <c r="AI17725" s="80"/>
    </row>
    <row r="17726">
      <c r="AI17726" s="80"/>
    </row>
    <row r="17727">
      <c r="AI17727" s="80"/>
    </row>
    <row r="17728">
      <c r="AI17728" s="80"/>
    </row>
    <row r="17729">
      <c r="AI17729" s="80"/>
    </row>
    <row r="17730">
      <c r="AI17730" s="80"/>
    </row>
    <row r="17731">
      <c r="AI17731" s="80"/>
    </row>
    <row r="17732">
      <c r="AI17732" s="80"/>
    </row>
    <row r="17733">
      <c r="AI17733" s="80"/>
    </row>
    <row r="17734">
      <c r="AI17734" s="80"/>
    </row>
    <row r="17735">
      <c r="AI17735" s="80"/>
    </row>
    <row r="17736">
      <c r="AI17736" s="80"/>
    </row>
    <row r="17737">
      <c r="AI17737" s="80"/>
    </row>
    <row r="17738">
      <c r="AI17738" s="80"/>
    </row>
    <row r="17739">
      <c r="AI17739" s="80"/>
    </row>
    <row r="17740">
      <c r="AI17740" s="80"/>
    </row>
    <row r="17741">
      <c r="AI17741" s="80"/>
    </row>
    <row r="17742">
      <c r="AI17742" s="80"/>
    </row>
    <row r="17743">
      <c r="AI17743" s="80"/>
    </row>
    <row r="17744">
      <c r="AI17744" s="80"/>
    </row>
    <row r="17745">
      <c r="AI17745" s="80"/>
    </row>
    <row r="17746">
      <c r="AI17746" s="80"/>
    </row>
    <row r="17747">
      <c r="AI17747" s="80"/>
    </row>
    <row r="17748">
      <c r="AI17748" s="80"/>
    </row>
    <row r="17749">
      <c r="AI17749" s="80"/>
    </row>
    <row r="17750">
      <c r="AI17750" s="80"/>
    </row>
    <row r="17751">
      <c r="AI17751" s="80"/>
    </row>
    <row r="17752">
      <c r="AI17752" s="80"/>
    </row>
    <row r="17753">
      <c r="AI17753" s="80"/>
    </row>
    <row r="17754">
      <c r="AI17754" s="80"/>
    </row>
    <row r="17755">
      <c r="AI17755" s="80"/>
    </row>
    <row r="17756">
      <c r="AI17756" s="80"/>
    </row>
    <row r="17757">
      <c r="AI17757" s="80"/>
    </row>
    <row r="17758">
      <c r="AI17758" s="80"/>
    </row>
    <row r="17759">
      <c r="AI17759" s="80"/>
    </row>
    <row r="17760">
      <c r="AI17760" s="80"/>
    </row>
    <row r="17761">
      <c r="AI17761" s="80"/>
    </row>
    <row r="17762">
      <c r="AI17762" s="80"/>
    </row>
    <row r="17763">
      <c r="AI17763" s="80"/>
    </row>
    <row r="17764">
      <c r="AI17764" s="80"/>
    </row>
    <row r="17765">
      <c r="AI17765" s="80"/>
    </row>
    <row r="17766">
      <c r="AI17766" s="80"/>
    </row>
    <row r="17767">
      <c r="AI17767" s="80"/>
    </row>
    <row r="17768">
      <c r="AI17768" s="80"/>
    </row>
    <row r="17769">
      <c r="AI17769" s="80"/>
    </row>
    <row r="17770">
      <c r="AI17770" s="80"/>
    </row>
    <row r="17771">
      <c r="AI17771" s="80"/>
    </row>
    <row r="17772">
      <c r="AI17772" s="80"/>
    </row>
    <row r="17773">
      <c r="AI17773" s="80"/>
    </row>
    <row r="17774">
      <c r="AI17774" s="80"/>
    </row>
    <row r="17775">
      <c r="AI17775" s="80"/>
    </row>
    <row r="17776">
      <c r="AI17776" s="80"/>
    </row>
    <row r="17777">
      <c r="AI17777" s="80"/>
    </row>
    <row r="17778">
      <c r="AI17778" s="80"/>
    </row>
    <row r="17779">
      <c r="AI17779" s="80"/>
    </row>
    <row r="17780">
      <c r="AI17780" s="80"/>
    </row>
    <row r="17781">
      <c r="AI17781" s="80"/>
    </row>
    <row r="17782">
      <c r="AI17782" s="80"/>
    </row>
    <row r="17783">
      <c r="AI17783" s="80"/>
    </row>
    <row r="17784">
      <c r="AI17784" s="80"/>
    </row>
    <row r="17785">
      <c r="AI17785" s="80"/>
    </row>
    <row r="17786">
      <c r="AI17786" s="80"/>
    </row>
    <row r="17787">
      <c r="AI17787" s="80"/>
    </row>
    <row r="17788">
      <c r="AI17788" s="80"/>
    </row>
    <row r="17789">
      <c r="AI17789" s="80"/>
    </row>
    <row r="17790">
      <c r="AI17790" s="80"/>
    </row>
    <row r="17791">
      <c r="AI17791" s="80"/>
    </row>
    <row r="17792">
      <c r="AI17792" s="80"/>
    </row>
    <row r="17793">
      <c r="AI17793" s="80"/>
    </row>
    <row r="17794">
      <c r="AI17794" s="80"/>
    </row>
    <row r="17795">
      <c r="AI17795" s="80"/>
    </row>
    <row r="17796">
      <c r="AI17796" s="80"/>
    </row>
    <row r="17797">
      <c r="AI17797" s="80"/>
    </row>
    <row r="17798">
      <c r="AI17798" s="80"/>
    </row>
    <row r="17799">
      <c r="AI17799" s="80"/>
    </row>
    <row r="17800">
      <c r="AI17800" s="80"/>
    </row>
    <row r="17801">
      <c r="AI17801" s="80"/>
    </row>
    <row r="17802">
      <c r="AI17802" s="80"/>
    </row>
    <row r="17803">
      <c r="AI17803" s="80"/>
    </row>
    <row r="17804">
      <c r="AI17804" s="80"/>
    </row>
    <row r="17805">
      <c r="AI17805" s="80"/>
    </row>
    <row r="17806">
      <c r="AI17806" s="80"/>
    </row>
    <row r="17807">
      <c r="AI17807" s="80"/>
    </row>
    <row r="17808">
      <c r="AI17808" s="80"/>
    </row>
    <row r="17809">
      <c r="AI17809" s="80"/>
    </row>
    <row r="17810">
      <c r="AI17810" s="80"/>
    </row>
    <row r="17811">
      <c r="AI17811" s="80"/>
    </row>
    <row r="17812">
      <c r="AI17812" s="80"/>
    </row>
    <row r="17813">
      <c r="AI17813" s="80"/>
    </row>
    <row r="17814">
      <c r="AI17814" s="80"/>
    </row>
    <row r="17815">
      <c r="AI17815" s="80"/>
    </row>
    <row r="17816">
      <c r="AI17816" s="80"/>
    </row>
    <row r="17817">
      <c r="AI17817" s="80"/>
    </row>
    <row r="17818">
      <c r="AI17818" s="80"/>
    </row>
    <row r="17819">
      <c r="AI17819" s="80"/>
    </row>
    <row r="17820">
      <c r="AI17820" s="80"/>
    </row>
    <row r="17821">
      <c r="AI17821" s="80"/>
    </row>
    <row r="17822">
      <c r="AI17822" s="80"/>
    </row>
    <row r="17823">
      <c r="AI17823" s="80"/>
    </row>
    <row r="17824">
      <c r="AI17824" s="80"/>
    </row>
    <row r="17825">
      <c r="AI17825" s="80"/>
    </row>
    <row r="17826">
      <c r="AI17826" s="80"/>
    </row>
    <row r="17827">
      <c r="AI17827" s="80"/>
    </row>
    <row r="17828">
      <c r="AI17828" s="80"/>
    </row>
    <row r="17829">
      <c r="AI17829" s="80"/>
    </row>
    <row r="17830">
      <c r="AI17830" s="80"/>
    </row>
    <row r="17831">
      <c r="AI17831" s="80"/>
    </row>
    <row r="17832">
      <c r="AI17832" s="80"/>
    </row>
    <row r="17833">
      <c r="AI17833" s="80"/>
    </row>
    <row r="17834">
      <c r="AI17834" s="80"/>
    </row>
    <row r="17835">
      <c r="AI17835" s="80"/>
    </row>
    <row r="17836">
      <c r="AI17836" s="80"/>
    </row>
    <row r="17837">
      <c r="AI17837" s="80"/>
    </row>
    <row r="17838">
      <c r="AI17838" s="80"/>
    </row>
    <row r="17839">
      <c r="AI17839" s="80"/>
    </row>
    <row r="17840">
      <c r="AI17840" s="80"/>
    </row>
    <row r="17841">
      <c r="AI17841" s="80"/>
    </row>
    <row r="17842">
      <c r="AI17842" s="80"/>
    </row>
    <row r="17843">
      <c r="AI17843" s="80"/>
    </row>
    <row r="17844">
      <c r="AI17844" s="80"/>
    </row>
    <row r="17845">
      <c r="AI17845" s="80"/>
    </row>
    <row r="17846">
      <c r="AI17846" s="80"/>
    </row>
    <row r="17847">
      <c r="AI17847" s="80"/>
    </row>
    <row r="17848">
      <c r="AI17848" s="80"/>
    </row>
    <row r="17849">
      <c r="AI17849" s="80"/>
    </row>
    <row r="17850">
      <c r="AI17850" s="80"/>
    </row>
    <row r="17851">
      <c r="AI17851" s="80"/>
    </row>
    <row r="17852">
      <c r="AI17852" s="80"/>
    </row>
    <row r="17853">
      <c r="AI17853" s="80"/>
    </row>
    <row r="17854">
      <c r="AI17854" s="80"/>
    </row>
    <row r="17855">
      <c r="AI17855" s="80"/>
    </row>
    <row r="17856">
      <c r="AI17856" s="80"/>
    </row>
    <row r="17857">
      <c r="AI17857" s="80"/>
    </row>
    <row r="17858">
      <c r="AI17858" s="80"/>
    </row>
    <row r="17859">
      <c r="AI17859" s="80"/>
    </row>
    <row r="17860">
      <c r="AI17860" s="80"/>
    </row>
    <row r="17861">
      <c r="AI17861" s="80"/>
    </row>
    <row r="17862">
      <c r="AI17862" s="80"/>
    </row>
    <row r="17863">
      <c r="AI17863" s="80"/>
    </row>
    <row r="17864">
      <c r="AI17864" s="80"/>
    </row>
    <row r="17865">
      <c r="AI17865" s="80"/>
    </row>
    <row r="17866">
      <c r="AI17866" s="80"/>
    </row>
    <row r="17867">
      <c r="AI17867" s="80"/>
    </row>
    <row r="17868">
      <c r="AI17868" s="80"/>
    </row>
    <row r="17869">
      <c r="AI17869" s="80"/>
    </row>
    <row r="17870">
      <c r="AI17870" s="80"/>
    </row>
    <row r="17871">
      <c r="AI17871" s="80"/>
    </row>
    <row r="17872">
      <c r="AI17872" s="80"/>
    </row>
    <row r="17873">
      <c r="AI17873" s="80"/>
    </row>
    <row r="17874">
      <c r="AI17874" s="80"/>
    </row>
    <row r="17875">
      <c r="AI17875" s="80"/>
    </row>
    <row r="17876">
      <c r="AI17876" s="80"/>
    </row>
    <row r="17877">
      <c r="AI17877" s="80"/>
    </row>
    <row r="17878">
      <c r="AI17878" s="80"/>
    </row>
    <row r="17879">
      <c r="AI17879" s="80"/>
    </row>
    <row r="17880">
      <c r="AI17880" s="80"/>
    </row>
    <row r="17881">
      <c r="AI17881" s="80"/>
    </row>
    <row r="17882">
      <c r="AI17882" s="80"/>
    </row>
    <row r="17883">
      <c r="AI17883" s="80"/>
    </row>
    <row r="17884">
      <c r="AI17884" s="80"/>
    </row>
    <row r="17885">
      <c r="AI17885" s="80"/>
    </row>
    <row r="17886">
      <c r="AI17886" s="80"/>
    </row>
    <row r="17887">
      <c r="AI17887" s="80"/>
    </row>
    <row r="17888">
      <c r="AI17888" s="80"/>
    </row>
    <row r="17889">
      <c r="AI17889" s="80"/>
    </row>
    <row r="17890">
      <c r="AI17890" s="80"/>
    </row>
    <row r="17891">
      <c r="AI17891" s="80"/>
    </row>
    <row r="17892">
      <c r="AI17892" s="80"/>
    </row>
    <row r="17893">
      <c r="AI17893" s="80"/>
    </row>
    <row r="17894">
      <c r="AI17894" s="80"/>
    </row>
    <row r="17895">
      <c r="AI17895" s="80"/>
    </row>
    <row r="17896">
      <c r="AI17896" s="80"/>
    </row>
    <row r="17897">
      <c r="AI17897" s="80"/>
    </row>
    <row r="17898">
      <c r="AI17898" s="80"/>
    </row>
    <row r="17899">
      <c r="AI17899" s="80"/>
    </row>
    <row r="17900">
      <c r="AI17900" s="80"/>
    </row>
    <row r="17901">
      <c r="AI17901" s="80"/>
    </row>
    <row r="17902">
      <c r="AI17902" s="80"/>
    </row>
    <row r="17903">
      <c r="AI17903" s="80"/>
    </row>
    <row r="17904">
      <c r="AI17904" s="80"/>
    </row>
    <row r="17905">
      <c r="AI17905" s="80"/>
    </row>
    <row r="17906">
      <c r="AI17906" s="80"/>
    </row>
    <row r="17907">
      <c r="AI17907" s="80"/>
    </row>
    <row r="17908">
      <c r="AI17908" s="80"/>
    </row>
    <row r="17909">
      <c r="AI17909" s="80"/>
    </row>
    <row r="17910">
      <c r="AI17910" s="80"/>
    </row>
    <row r="17911">
      <c r="AI17911" s="80"/>
    </row>
    <row r="17912">
      <c r="AI17912" s="80"/>
    </row>
    <row r="17913">
      <c r="AI17913" s="80"/>
    </row>
    <row r="17914">
      <c r="AI17914" s="80"/>
    </row>
    <row r="17915">
      <c r="AI17915" s="80"/>
    </row>
    <row r="17916">
      <c r="AI17916" s="80"/>
    </row>
    <row r="17917">
      <c r="AI17917" s="80"/>
    </row>
    <row r="17918">
      <c r="AI17918" s="80"/>
    </row>
    <row r="17919">
      <c r="AI17919" s="80"/>
    </row>
    <row r="17920">
      <c r="AI17920" s="80"/>
    </row>
    <row r="17921">
      <c r="AI17921" s="80"/>
    </row>
    <row r="17922">
      <c r="AI17922" s="80"/>
    </row>
    <row r="17923">
      <c r="AI17923" s="80"/>
    </row>
    <row r="17924">
      <c r="AI17924" s="80"/>
    </row>
    <row r="17925">
      <c r="AI17925" s="80"/>
    </row>
    <row r="17926">
      <c r="AI17926" s="80"/>
    </row>
    <row r="17927">
      <c r="AI17927" s="80"/>
    </row>
    <row r="17928">
      <c r="AI17928" s="80"/>
    </row>
    <row r="17929">
      <c r="AI17929" s="80"/>
    </row>
    <row r="17930">
      <c r="AI17930" s="80"/>
    </row>
    <row r="17931">
      <c r="AI17931" s="80"/>
    </row>
    <row r="17932">
      <c r="AI17932" s="80"/>
    </row>
    <row r="17933">
      <c r="AI17933" s="80"/>
    </row>
    <row r="17934">
      <c r="AI17934" s="80"/>
    </row>
    <row r="17935">
      <c r="AI17935" s="80"/>
    </row>
    <row r="17936">
      <c r="AI17936" s="80"/>
    </row>
    <row r="17937">
      <c r="AI17937" s="80"/>
    </row>
    <row r="17938">
      <c r="AI17938" s="80"/>
    </row>
    <row r="17939">
      <c r="AI17939" s="80"/>
    </row>
    <row r="17940">
      <c r="AI17940" s="80"/>
    </row>
    <row r="17941">
      <c r="AI17941" s="80"/>
    </row>
    <row r="17942">
      <c r="AI17942" s="80"/>
    </row>
    <row r="17943">
      <c r="AI17943" s="80"/>
    </row>
    <row r="17944">
      <c r="AI17944" s="80"/>
    </row>
    <row r="17945">
      <c r="AI17945" s="80"/>
    </row>
    <row r="17946">
      <c r="AI17946" s="80"/>
    </row>
    <row r="17947">
      <c r="AI17947" s="80"/>
    </row>
    <row r="17948">
      <c r="AI17948" s="80"/>
    </row>
    <row r="17949">
      <c r="AI17949" s="80"/>
    </row>
    <row r="17950">
      <c r="AI17950" s="80"/>
    </row>
    <row r="17951">
      <c r="AI17951" s="80"/>
    </row>
    <row r="17952">
      <c r="AI17952" s="80"/>
    </row>
    <row r="17953">
      <c r="AI17953" s="80"/>
    </row>
    <row r="17954">
      <c r="AI17954" s="80"/>
    </row>
    <row r="17955">
      <c r="AI17955" s="80"/>
    </row>
    <row r="17956">
      <c r="AI17956" s="80"/>
    </row>
    <row r="17957">
      <c r="AI17957" s="80"/>
    </row>
    <row r="17958">
      <c r="AI17958" s="80"/>
    </row>
    <row r="17959">
      <c r="AI17959" s="80"/>
    </row>
    <row r="17960">
      <c r="AI17960" s="80"/>
    </row>
    <row r="17961">
      <c r="AI17961" s="80"/>
    </row>
    <row r="17962">
      <c r="AI17962" s="80"/>
    </row>
    <row r="17963">
      <c r="AI17963" s="80"/>
    </row>
    <row r="17964">
      <c r="AI17964" s="80"/>
    </row>
    <row r="17965">
      <c r="AI17965" s="80"/>
    </row>
    <row r="17966">
      <c r="AI17966" s="80"/>
    </row>
    <row r="17967">
      <c r="AI17967" s="80"/>
    </row>
    <row r="17968">
      <c r="AI17968" s="80"/>
    </row>
    <row r="17969">
      <c r="AI17969" s="80"/>
    </row>
    <row r="17970">
      <c r="AI17970" s="80"/>
    </row>
    <row r="17971">
      <c r="AI17971" s="80"/>
    </row>
    <row r="17972">
      <c r="AI17972" s="80"/>
    </row>
    <row r="17973">
      <c r="AI17973" s="80"/>
    </row>
    <row r="17974">
      <c r="AI17974" s="80"/>
    </row>
    <row r="17975">
      <c r="AI17975" s="80"/>
    </row>
    <row r="17976">
      <c r="AI17976" s="80"/>
    </row>
    <row r="17977">
      <c r="AI17977" s="80"/>
    </row>
    <row r="17978">
      <c r="AI17978" s="80"/>
    </row>
    <row r="17979">
      <c r="AI17979" s="80"/>
    </row>
    <row r="17980">
      <c r="AI17980" s="80"/>
    </row>
    <row r="17981">
      <c r="AI17981" s="80"/>
    </row>
    <row r="17982">
      <c r="AI17982" s="80"/>
    </row>
    <row r="17983">
      <c r="AI17983" s="80"/>
    </row>
    <row r="17984">
      <c r="AI17984" s="80"/>
    </row>
    <row r="17985">
      <c r="AI17985" s="80"/>
    </row>
    <row r="17986">
      <c r="AI17986" s="80"/>
    </row>
    <row r="17987">
      <c r="AI17987" s="80"/>
    </row>
    <row r="17988">
      <c r="AI17988" s="80"/>
    </row>
    <row r="17989">
      <c r="AI17989" s="80"/>
    </row>
    <row r="17990">
      <c r="AI17990" s="80"/>
    </row>
    <row r="17991">
      <c r="AI17991" s="80"/>
    </row>
    <row r="17992">
      <c r="AI17992" s="80"/>
    </row>
    <row r="17993">
      <c r="AI17993" s="80"/>
    </row>
    <row r="17994">
      <c r="AI17994" s="80"/>
    </row>
    <row r="17995">
      <c r="AI17995" s="80"/>
    </row>
    <row r="17996">
      <c r="AI17996" s="80"/>
    </row>
    <row r="17997">
      <c r="AI17997" s="80"/>
    </row>
    <row r="17998">
      <c r="AI17998" s="80"/>
    </row>
    <row r="17999">
      <c r="AI17999" s="80"/>
    </row>
    <row r="18000">
      <c r="AI18000" s="80"/>
    </row>
    <row r="18001">
      <c r="AI18001" s="80"/>
    </row>
    <row r="18002">
      <c r="AI18002" s="80"/>
    </row>
    <row r="18003">
      <c r="AI18003" s="80"/>
    </row>
    <row r="18004">
      <c r="AI18004" s="80"/>
    </row>
    <row r="18005">
      <c r="AI18005" s="80"/>
    </row>
    <row r="18006">
      <c r="AI18006" s="80"/>
    </row>
    <row r="18007">
      <c r="AI18007" s="80"/>
    </row>
    <row r="18008">
      <c r="AI18008" s="80"/>
    </row>
    <row r="18009">
      <c r="AI18009" s="80"/>
    </row>
    <row r="18010">
      <c r="AI18010" s="80"/>
    </row>
    <row r="18011">
      <c r="AI18011" s="80"/>
    </row>
    <row r="18012">
      <c r="AI18012" s="80"/>
    </row>
    <row r="18013">
      <c r="AI18013" s="80"/>
    </row>
    <row r="18014">
      <c r="AI18014" s="80"/>
    </row>
    <row r="18015">
      <c r="AI18015" s="80"/>
    </row>
    <row r="18016">
      <c r="AI18016" s="80"/>
    </row>
    <row r="18017">
      <c r="AI18017" s="80"/>
    </row>
    <row r="18018">
      <c r="AI18018" s="80"/>
    </row>
    <row r="18019">
      <c r="AI18019" s="80"/>
    </row>
    <row r="18020">
      <c r="AI18020" s="80"/>
    </row>
    <row r="18021">
      <c r="AI18021" s="80"/>
    </row>
    <row r="18022">
      <c r="AI18022" s="80"/>
    </row>
    <row r="18023">
      <c r="AI18023" s="80"/>
    </row>
    <row r="18024">
      <c r="AI18024" s="80"/>
    </row>
    <row r="18025">
      <c r="AI18025" s="80"/>
    </row>
    <row r="18026">
      <c r="AI18026" s="80"/>
    </row>
    <row r="18027">
      <c r="AI18027" s="80"/>
    </row>
    <row r="18028">
      <c r="AI18028" s="80"/>
    </row>
    <row r="18029">
      <c r="AI18029" s="80"/>
    </row>
    <row r="18030">
      <c r="AI18030" s="80"/>
    </row>
    <row r="18031">
      <c r="AI18031" s="80"/>
    </row>
    <row r="18032">
      <c r="AI18032" s="80"/>
    </row>
    <row r="18033">
      <c r="AI18033" s="80"/>
    </row>
    <row r="18034">
      <c r="AI18034" s="80"/>
    </row>
    <row r="18035">
      <c r="AI18035" s="80"/>
    </row>
    <row r="18036">
      <c r="AI18036" s="80"/>
    </row>
    <row r="18037">
      <c r="AI18037" s="80"/>
    </row>
    <row r="18038">
      <c r="AI18038" s="80"/>
    </row>
    <row r="18039">
      <c r="AI18039" s="80"/>
    </row>
    <row r="18040">
      <c r="AI18040" s="80"/>
    </row>
    <row r="18041">
      <c r="AI18041" s="80"/>
    </row>
    <row r="18042">
      <c r="AI18042" s="80"/>
    </row>
    <row r="18043">
      <c r="AI18043" s="80"/>
    </row>
    <row r="18044">
      <c r="AI18044" s="80"/>
    </row>
    <row r="18045">
      <c r="AI18045" s="80"/>
    </row>
    <row r="18046">
      <c r="AI18046" s="80"/>
    </row>
    <row r="18047">
      <c r="AI18047" s="80"/>
    </row>
    <row r="18048">
      <c r="AI18048" s="80"/>
    </row>
    <row r="18049">
      <c r="AI18049" s="80"/>
    </row>
    <row r="18050">
      <c r="AI18050" s="80"/>
    </row>
    <row r="18051">
      <c r="AI18051" s="80"/>
    </row>
    <row r="18052">
      <c r="AI18052" s="80"/>
    </row>
    <row r="18053">
      <c r="AI18053" s="80"/>
    </row>
    <row r="18054">
      <c r="AI18054" s="80"/>
    </row>
    <row r="18055">
      <c r="AI18055" s="80"/>
    </row>
    <row r="18056">
      <c r="AI18056" s="80"/>
    </row>
    <row r="18057">
      <c r="AI18057" s="80"/>
    </row>
    <row r="18058">
      <c r="AI18058" s="80"/>
    </row>
    <row r="18059">
      <c r="AI18059" s="80"/>
    </row>
    <row r="18060">
      <c r="AI18060" s="80"/>
    </row>
    <row r="18061">
      <c r="AI18061" s="80"/>
    </row>
    <row r="18062">
      <c r="AI18062" s="80"/>
    </row>
    <row r="18063">
      <c r="AI18063" s="80"/>
    </row>
    <row r="18064">
      <c r="AI18064" s="80"/>
    </row>
    <row r="18065">
      <c r="AI18065" s="80"/>
    </row>
    <row r="18066">
      <c r="AI18066" s="80"/>
    </row>
    <row r="18067">
      <c r="AI18067" s="80"/>
    </row>
    <row r="18068">
      <c r="AI18068" s="80"/>
    </row>
    <row r="18069">
      <c r="AI18069" s="80"/>
    </row>
    <row r="18070">
      <c r="AI18070" s="80"/>
    </row>
    <row r="18071">
      <c r="AI18071" s="80"/>
    </row>
    <row r="18072">
      <c r="AI18072" s="80"/>
    </row>
    <row r="18073">
      <c r="AI18073" s="80"/>
    </row>
    <row r="18074">
      <c r="AI18074" s="80"/>
    </row>
    <row r="18075">
      <c r="AI18075" s="80"/>
    </row>
    <row r="18076">
      <c r="AI18076" s="80"/>
    </row>
    <row r="18077">
      <c r="AI18077" s="80"/>
    </row>
    <row r="18078">
      <c r="AI18078" s="80"/>
    </row>
    <row r="18079">
      <c r="AI18079" s="80"/>
    </row>
    <row r="18080">
      <c r="AI18080" s="80"/>
    </row>
    <row r="18081">
      <c r="AI18081" s="80"/>
    </row>
    <row r="18082">
      <c r="AI18082" s="80"/>
    </row>
    <row r="18083">
      <c r="AI18083" s="80"/>
    </row>
    <row r="18084">
      <c r="AI18084" s="80"/>
    </row>
    <row r="18085">
      <c r="AI18085" s="80"/>
    </row>
    <row r="18086">
      <c r="AI18086" s="80"/>
    </row>
    <row r="18087">
      <c r="AI18087" s="80"/>
    </row>
    <row r="18088">
      <c r="AI18088" s="80"/>
    </row>
    <row r="18089">
      <c r="AI18089" s="80"/>
    </row>
    <row r="18090">
      <c r="AI18090" s="80"/>
    </row>
    <row r="18091">
      <c r="AI18091" s="80"/>
    </row>
    <row r="18092">
      <c r="AI18092" s="80"/>
    </row>
    <row r="18093">
      <c r="AI18093" s="80"/>
    </row>
    <row r="18094">
      <c r="AI18094" s="80"/>
    </row>
    <row r="18095">
      <c r="AI18095" s="80"/>
    </row>
    <row r="18096">
      <c r="AI18096" s="80"/>
    </row>
    <row r="18097">
      <c r="AI18097" s="80"/>
    </row>
    <row r="18098">
      <c r="AI18098" s="80"/>
    </row>
    <row r="18099">
      <c r="AI18099" s="80"/>
    </row>
    <row r="18100">
      <c r="AI18100" s="80"/>
    </row>
    <row r="18101">
      <c r="AI18101" s="80"/>
    </row>
    <row r="18102">
      <c r="AI18102" s="80"/>
    </row>
    <row r="18103">
      <c r="AI18103" s="80"/>
    </row>
    <row r="18104">
      <c r="AI18104" s="80"/>
    </row>
    <row r="18105">
      <c r="AI18105" s="80"/>
    </row>
    <row r="18106">
      <c r="AI18106" s="80"/>
    </row>
    <row r="18107">
      <c r="AI18107" s="80"/>
    </row>
    <row r="18108">
      <c r="AI18108" s="80"/>
    </row>
    <row r="18109">
      <c r="AI18109" s="80"/>
    </row>
    <row r="18110">
      <c r="AI18110" s="80"/>
    </row>
    <row r="18111">
      <c r="AI18111" s="80"/>
    </row>
    <row r="18112">
      <c r="AI18112" s="80"/>
    </row>
    <row r="18113">
      <c r="AI18113" s="80"/>
    </row>
    <row r="18114">
      <c r="AI18114" s="80"/>
    </row>
    <row r="18115">
      <c r="AI18115" s="80"/>
    </row>
    <row r="18116">
      <c r="AI18116" s="80"/>
    </row>
    <row r="18117">
      <c r="AI18117" s="80"/>
    </row>
    <row r="18118">
      <c r="AI18118" s="80"/>
    </row>
    <row r="18119">
      <c r="AI18119" s="80"/>
    </row>
    <row r="18120">
      <c r="AI18120" s="80"/>
    </row>
    <row r="18121">
      <c r="AI18121" s="80"/>
    </row>
    <row r="18122">
      <c r="AI18122" s="80"/>
    </row>
    <row r="18123">
      <c r="AI18123" s="80"/>
    </row>
    <row r="18124">
      <c r="AI18124" s="80"/>
    </row>
    <row r="18125">
      <c r="AI18125" s="80"/>
    </row>
    <row r="18126">
      <c r="AI18126" s="80"/>
    </row>
    <row r="18127">
      <c r="AI18127" s="80"/>
    </row>
    <row r="18128">
      <c r="AI18128" s="80"/>
    </row>
    <row r="18129">
      <c r="AI18129" s="80"/>
    </row>
    <row r="18130">
      <c r="AI18130" s="80"/>
    </row>
    <row r="18131">
      <c r="AI18131" s="80"/>
    </row>
    <row r="18132">
      <c r="AI18132" s="80"/>
    </row>
    <row r="18133">
      <c r="AI18133" s="80"/>
    </row>
    <row r="18134">
      <c r="AI18134" s="80"/>
    </row>
    <row r="18135">
      <c r="AI18135" s="80"/>
    </row>
    <row r="18136">
      <c r="AI18136" s="80"/>
    </row>
    <row r="18137">
      <c r="AI18137" s="80"/>
    </row>
    <row r="18138">
      <c r="AI18138" s="80"/>
    </row>
    <row r="18139">
      <c r="AI18139" s="80"/>
    </row>
    <row r="18140">
      <c r="AI18140" s="80"/>
    </row>
    <row r="18141">
      <c r="AI18141" s="80"/>
    </row>
    <row r="18142">
      <c r="AI18142" s="80"/>
    </row>
    <row r="18143">
      <c r="AI18143" s="80"/>
    </row>
    <row r="18144">
      <c r="AI18144" s="80"/>
    </row>
    <row r="18145">
      <c r="AI18145" s="80"/>
    </row>
    <row r="18146">
      <c r="AI18146" s="80"/>
    </row>
    <row r="18147">
      <c r="AI18147" s="80"/>
    </row>
    <row r="18148">
      <c r="AI18148" s="80"/>
    </row>
    <row r="18149">
      <c r="AI18149" s="80"/>
    </row>
    <row r="18150">
      <c r="AI18150" s="80"/>
    </row>
    <row r="18151">
      <c r="AI18151" s="80"/>
    </row>
    <row r="18152">
      <c r="AI18152" s="80"/>
    </row>
    <row r="18153">
      <c r="AI18153" s="80"/>
    </row>
    <row r="18154">
      <c r="AI18154" s="80"/>
    </row>
    <row r="18155">
      <c r="AI18155" s="80"/>
    </row>
    <row r="18156">
      <c r="AI18156" s="80"/>
    </row>
    <row r="18157">
      <c r="AI18157" s="80"/>
    </row>
    <row r="18158">
      <c r="AI18158" s="80"/>
    </row>
    <row r="18159">
      <c r="AI18159" s="80"/>
    </row>
    <row r="18160">
      <c r="AI18160" s="80"/>
    </row>
    <row r="18161">
      <c r="AI18161" s="80"/>
    </row>
    <row r="18162">
      <c r="AI18162" s="80"/>
    </row>
    <row r="18163">
      <c r="AI18163" s="80"/>
    </row>
    <row r="18164">
      <c r="AI18164" s="80"/>
    </row>
    <row r="18165">
      <c r="AI18165" s="80"/>
    </row>
    <row r="18166">
      <c r="AI18166" s="80"/>
    </row>
    <row r="18167">
      <c r="AI18167" s="80"/>
    </row>
    <row r="18168">
      <c r="AI18168" s="80"/>
    </row>
    <row r="18169">
      <c r="AI18169" s="80"/>
    </row>
    <row r="18170">
      <c r="AI18170" s="80"/>
    </row>
    <row r="18171">
      <c r="AI18171" s="80"/>
    </row>
    <row r="18172">
      <c r="AI18172" s="80"/>
    </row>
    <row r="18173">
      <c r="AI18173" s="80"/>
    </row>
    <row r="18174">
      <c r="AI18174" s="80"/>
    </row>
    <row r="18175">
      <c r="AI18175" s="80"/>
    </row>
    <row r="18176">
      <c r="AI18176" s="80"/>
    </row>
    <row r="18177">
      <c r="AI18177" s="80"/>
    </row>
    <row r="18178">
      <c r="AI18178" s="80"/>
    </row>
    <row r="18179">
      <c r="AI18179" s="80"/>
    </row>
    <row r="18180">
      <c r="AI18180" s="80"/>
    </row>
    <row r="18181">
      <c r="AI18181" s="80"/>
    </row>
    <row r="18182">
      <c r="AI18182" s="80"/>
    </row>
    <row r="18183">
      <c r="AI18183" s="80"/>
    </row>
    <row r="18184">
      <c r="AI18184" s="80"/>
    </row>
    <row r="18185">
      <c r="AI18185" s="80"/>
    </row>
    <row r="18186">
      <c r="AI18186" s="80"/>
    </row>
    <row r="18187">
      <c r="AI18187" s="80"/>
    </row>
    <row r="18188">
      <c r="AI18188" s="80"/>
    </row>
    <row r="18189">
      <c r="AI18189" s="80"/>
    </row>
    <row r="18190">
      <c r="AI18190" s="80"/>
    </row>
    <row r="18191">
      <c r="AI18191" s="80"/>
    </row>
    <row r="18192">
      <c r="AI18192" s="80"/>
    </row>
    <row r="18193">
      <c r="AI18193" s="80"/>
    </row>
    <row r="18194">
      <c r="AI18194" s="80"/>
    </row>
    <row r="18195">
      <c r="AI18195" s="80"/>
    </row>
    <row r="18196">
      <c r="AI18196" s="80"/>
    </row>
    <row r="18197">
      <c r="AI18197" s="80"/>
    </row>
    <row r="18198">
      <c r="AI18198" s="80"/>
    </row>
    <row r="18199">
      <c r="AI18199" s="80"/>
    </row>
    <row r="18200">
      <c r="AI18200" s="80"/>
    </row>
    <row r="18201">
      <c r="AI18201" s="80"/>
    </row>
    <row r="18202">
      <c r="AI18202" s="80"/>
    </row>
    <row r="18203">
      <c r="AI18203" s="80"/>
    </row>
    <row r="18204">
      <c r="AI18204" s="80"/>
    </row>
    <row r="18205">
      <c r="AI18205" s="80"/>
    </row>
    <row r="18206">
      <c r="AI18206" s="80"/>
    </row>
    <row r="18207">
      <c r="AI18207" s="80"/>
    </row>
    <row r="18208">
      <c r="AI18208" s="80"/>
    </row>
    <row r="18209">
      <c r="AI18209" s="80"/>
    </row>
    <row r="18210">
      <c r="AI18210" s="80"/>
    </row>
    <row r="18211">
      <c r="AI18211" s="80"/>
    </row>
    <row r="18212">
      <c r="AI18212" s="80"/>
    </row>
    <row r="18213">
      <c r="AI18213" s="80"/>
    </row>
    <row r="18214">
      <c r="AI18214" s="80"/>
    </row>
    <row r="18215">
      <c r="AI18215" s="80"/>
    </row>
    <row r="18216">
      <c r="AI18216" s="80"/>
    </row>
    <row r="18217">
      <c r="AI18217" s="80"/>
    </row>
    <row r="18218">
      <c r="AI18218" s="80"/>
    </row>
    <row r="18219">
      <c r="AI18219" s="80"/>
    </row>
    <row r="18220">
      <c r="AI18220" s="80"/>
    </row>
    <row r="18221">
      <c r="AI18221" s="80"/>
    </row>
    <row r="18222">
      <c r="AI18222" s="80"/>
    </row>
    <row r="18223">
      <c r="AI18223" s="80"/>
    </row>
    <row r="18224">
      <c r="AI18224" s="80"/>
    </row>
    <row r="18225">
      <c r="AI18225" s="80"/>
    </row>
    <row r="18226">
      <c r="AI18226" s="80"/>
    </row>
    <row r="18227">
      <c r="AI18227" s="80"/>
    </row>
    <row r="18228">
      <c r="AI18228" s="80"/>
    </row>
    <row r="18229">
      <c r="AI18229" s="80"/>
    </row>
    <row r="18230">
      <c r="AI18230" s="80"/>
    </row>
    <row r="18231">
      <c r="AI18231" s="80"/>
    </row>
    <row r="18232">
      <c r="AI18232" s="80"/>
    </row>
    <row r="18233">
      <c r="AI18233" s="80"/>
    </row>
    <row r="18234">
      <c r="AI18234" s="80"/>
    </row>
    <row r="18235">
      <c r="AI18235" s="80"/>
    </row>
    <row r="18236">
      <c r="AI18236" s="80"/>
    </row>
    <row r="18237">
      <c r="AI18237" s="80"/>
    </row>
    <row r="18238">
      <c r="AI18238" s="80"/>
    </row>
    <row r="18239">
      <c r="AI18239" s="80"/>
    </row>
    <row r="18240">
      <c r="AI18240" s="80"/>
    </row>
    <row r="18241">
      <c r="AI18241" s="80"/>
    </row>
    <row r="18242">
      <c r="AI18242" s="80"/>
    </row>
    <row r="18243">
      <c r="AI18243" s="80"/>
    </row>
    <row r="18244">
      <c r="AI18244" s="80"/>
    </row>
    <row r="18245">
      <c r="AI18245" s="80"/>
    </row>
    <row r="18246">
      <c r="AI18246" s="80"/>
    </row>
    <row r="18247">
      <c r="AI18247" s="80"/>
    </row>
    <row r="18248">
      <c r="AI18248" s="80"/>
    </row>
    <row r="18249">
      <c r="AI18249" s="80"/>
    </row>
    <row r="18250">
      <c r="AI18250" s="80"/>
    </row>
    <row r="18251">
      <c r="AI18251" s="80"/>
    </row>
    <row r="18252">
      <c r="AI18252" s="80"/>
    </row>
    <row r="18253">
      <c r="AI18253" s="80"/>
    </row>
    <row r="18254">
      <c r="AI18254" s="80"/>
    </row>
    <row r="18255">
      <c r="AI18255" s="80"/>
    </row>
    <row r="18256">
      <c r="AI18256" s="80"/>
    </row>
    <row r="18257">
      <c r="AI18257" s="80"/>
    </row>
    <row r="18258">
      <c r="AI18258" s="80"/>
    </row>
    <row r="18259">
      <c r="AI18259" s="80"/>
    </row>
    <row r="18260">
      <c r="AI18260" s="80"/>
    </row>
    <row r="18261">
      <c r="AI18261" s="80"/>
    </row>
    <row r="18262">
      <c r="AI18262" s="80"/>
    </row>
    <row r="18263">
      <c r="AI18263" s="80"/>
    </row>
    <row r="18264">
      <c r="AI18264" s="80"/>
    </row>
    <row r="18265">
      <c r="AI18265" s="80"/>
    </row>
    <row r="18266">
      <c r="AI18266" s="80"/>
    </row>
    <row r="18267">
      <c r="AI18267" s="80"/>
    </row>
    <row r="18268">
      <c r="AI18268" s="80"/>
    </row>
    <row r="18269">
      <c r="AI18269" s="80"/>
    </row>
    <row r="18270">
      <c r="AI18270" s="80"/>
    </row>
    <row r="18271">
      <c r="AI18271" s="80"/>
    </row>
    <row r="18272">
      <c r="AI18272" s="80"/>
    </row>
    <row r="18273">
      <c r="AI18273" s="80"/>
    </row>
    <row r="18274">
      <c r="AI18274" s="80"/>
    </row>
    <row r="18275">
      <c r="AI18275" s="80"/>
    </row>
    <row r="18276">
      <c r="AI18276" s="80"/>
    </row>
    <row r="18277">
      <c r="AI18277" s="80"/>
    </row>
    <row r="18278">
      <c r="AI18278" s="80"/>
    </row>
    <row r="18279">
      <c r="AI18279" s="80"/>
    </row>
    <row r="18280">
      <c r="AI18280" s="80"/>
    </row>
    <row r="18281">
      <c r="AI18281" s="80"/>
    </row>
    <row r="18282">
      <c r="AI18282" s="80"/>
    </row>
    <row r="18283">
      <c r="AI18283" s="80"/>
    </row>
    <row r="18284">
      <c r="AI18284" s="80"/>
    </row>
    <row r="18285">
      <c r="AI18285" s="80"/>
    </row>
    <row r="18286">
      <c r="AI18286" s="80"/>
    </row>
    <row r="18287">
      <c r="AI18287" s="80"/>
    </row>
    <row r="18288">
      <c r="AI18288" s="80"/>
    </row>
    <row r="18289">
      <c r="AI18289" s="80"/>
    </row>
    <row r="18290">
      <c r="AI18290" s="80"/>
    </row>
    <row r="18291">
      <c r="AI18291" s="80"/>
    </row>
    <row r="18292">
      <c r="AI18292" s="80"/>
    </row>
    <row r="18293">
      <c r="AI18293" s="80"/>
    </row>
    <row r="18294">
      <c r="AI18294" s="80"/>
    </row>
    <row r="18295">
      <c r="AI18295" s="80"/>
    </row>
    <row r="18296">
      <c r="AI18296" s="80"/>
    </row>
    <row r="18297">
      <c r="AI18297" s="80"/>
    </row>
    <row r="18298">
      <c r="AI18298" s="80"/>
    </row>
    <row r="18299">
      <c r="AI18299" s="80"/>
    </row>
    <row r="18300">
      <c r="AI18300" s="80"/>
    </row>
    <row r="18301">
      <c r="AI18301" s="80"/>
    </row>
    <row r="18302">
      <c r="AI18302" s="80"/>
    </row>
    <row r="18303">
      <c r="AI18303" s="80"/>
    </row>
    <row r="18304">
      <c r="AI18304" s="80"/>
    </row>
    <row r="18305">
      <c r="AI18305" s="80"/>
    </row>
    <row r="18306">
      <c r="AI18306" s="80"/>
    </row>
    <row r="18307">
      <c r="AI18307" s="80"/>
    </row>
    <row r="18308">
      <c r="AI18308" s="80"/>
    </row>
    <row r="18309">
      <c r="AI18309" s="80"/>
    </row>
    <row r="18310">
      <c r="AI18310" s="80"/>
    </row>
    <row r="18311">
      <c r="AI18311" s="80"/>
    </row>
    <row r="18312">
      <c r="AI18312" s="80"/>
    </row>
    <row r="18313">
      <c r="AI18313" s="80"/>
    </row>
    <row r="18314">
      <c r="AI18314" s="80"/>
    </row>
    <row r="18315">
      <c r="AI18315" s="80"/>
    </row>
    <row r="18316">
      <c r="AI18316" s="80"/>
    </row>
    <row r="18317">
      <c r="AI18317" s="80"/>
    </row>
    <row r="18318">
      <c r="AI18318" s="80"/>
    </row>
    <row r="18319">
      <c r="AI18319" s="80"/>
    </row>
    <row r="18320">
      <c r="AI18320" s="80"/>
    </row>
    <row r="18321">
      <c r="AI18321" s="80"/>
    </row>
    <row r="18322">
      <c r="AI18322" s="80"/>
    </row>
    <row r="18323">
      <c r="AI18323" s="80"/>
    </row>
    <row r="18324">
      <c r="AI18324" s="80"/>
    </row>
    <row r="18325">
      <c r="AI18325" s="80"/>
    </row>
    <row r="18326">
      <c r="AI18326" s="80"/>
    </row>
    <row r="18327">
      <c r="AI18327" s="80"/>
    </row>
    <row r="18328">
      <c r="AI18328" s="80"/>
    </row>
    <row r="18329">
      <c r="AI18329" s="80"/>
    </row>
    <row r="18330">
      <c r="AI18330" s="80"/>
    </row>
    <row r="18331">
      <c r="AI18331" s="80"/>
    </row>
    <row r="18332">
      <c r="AI18332" s="80"/>
    </row>
    <row r="18333">
      <c r="AI18333" s="80"/>
    </row>
    <row r="18334">
      <c r="AI18334" s="80"/>
    </row>
    <row r="18335">
      <c r="AI18335" s="80"/>
    </row>
    <row r="18336">
      <c r="AI18336" s="80"/>
    </row>
    <row r="18337">
      <c r="AI18337" s="80"/>
    </row>
    <row r="18338">
      <c r="AI18338" s="80"/>
    </row>
    <row r="18339">
      <c r="AI18339" s="80"/>
    </row>
    <row r="18340">
      <c r="AI18340" s="80"/>
    </row>
    <row r="18341">
      <c r="AI18341" s="80"/>
    </row>
    <row r="18342">
      <c r="AI18342" s="80"/>
    </row>
    <row r="18343">
      <c r="AI18343" s="80"/>
    </row>
    <row r="18344">
      <c r="AI18344" s="80"/>
    </row>
    <row r="18345">
      <c r="AI18345" s="80"/>
    </row>
    <row r="18346">
      <c r="AI18346" s="80"/>
    </row>
    <row r="18347">
      <c r="AI18347" s="80"/>
    </row>
    <row r="18348">
      <c r="AI18348" s="80"/>
    </row>
    <row r="18349">
      <c r="AI18349" s="80"/>
    </row>
    <row r="18350">
      <c r="AI18350" s="80"/>
    </row>
    <row r="18351">
      <c r="AI18351" s="80"/>
    </row>
    <row r="18352">
      <c r="AI18352" s="80"/>
    </row>
    <row r="18353">
      <c r="AI18353" s="80"/>
    </row>
    <row r="18354">
      <c r="AI18354" s="80"/>
    </row>
    <row r="18355">
      <c r="AI18355" s="80"/>
    </row>
    <row r="18356">
      <c r="AI18356" s="80"/>
    </row>
    <row r="18357">
      <c r="AI18357" s="80"/>
    </row>
    <row r="18358">
      <c r="AI18358" s="80"/>
    </row>
    <row r="18359">
      <c r="AI18359" s="80"/>
    </row>
    <row r="18360">
      <c r="AI18360" s="80"/>
    </row>
    <row r="18361">
      <c r="AI18361" s="80"/>
    </row>
    <row r="18362">
      <c r="AI18362" s="80"/>
    </row>
    <row r="18363">
      <c r="AI18363" s="80"/>
    </row>
    <row r="18364">
      <c r="AI18364" s="80"/>
    </row>
    <row r="18365">
      <c r="AI18365" s="80"/>
    </row>
    <row r="18366">
      <c r="AI18366" s="80"/>
    </row>
    <row r="18367">
      <c r="AI18367" s="80"/>
    </row>
    <row r="18368">
      <c r="AI18368" s="80"/>
    </row>
    <row r="18369">
      <c r="AI18369" s="80"/>
    </row>
    <row r="18370">
      <c r="AI18370" s="80"/>
    </row>
    <row r="18371">
      <c r="AI18371" s="80"/>
    </row>
    <row r="18372">
      <c r="AI18372" s="80"/>
    </row>
    <row r="18373">
      <c r="AI18373" s="80"/>
    </row>
    <row r="18374">
      <c r="AI18374" s="80"/>
    </row>
    <row r="18375">
      <c r="AI18375" s="80"/>
    </row>
    <row r="18376">
      <c r="AI18376" s="80"/>
    </row>
    <row r="18377">
      <c r="AI18377" s="80"/>
    </row>
    <row r="18378">
      <c r="AI18378" s="80"/>
    </row>
    <row r="18379">
      <c r="AI18379" s="80"/>
    </row>
    <row r="18380">
      <c r="AI18380" s="80"/>
    </row>
    <row r="18381">
      <c r="AI18381" s="80"/>
    </row>
    <row r="18382">
      <c r="AI18382" s="80"/>
    </row>
    <row r="18383">
      <c r="AI18383" s="80"/>
    </row>
    <row r="18384">
      <c r="AI18384" s="80"/>
    </row>
    <row r="18385">
      <c r="AI18385" s="80"/>
    </row>
    <row r="18386">
      <c r="AI18386" s="80"/>
    </row>
    <row r="18387">
      <c r="AI18387" s="80"/>
    </row>
    <row r="18388">
      <c r="AI18388" s="80"/>
    </row>
    <row r="18389">
      <c r="AI18389" s="80"/>
    </row>
    <row r="18390">
      <c r="AI18390" s="80"/>
    </row>
    <row r="18391">
      <c r="AI18391" s="80"/>
    </row>
    <row r="18392">
      <c r="AI18392" s="80"/>
    </row>
    <row r="18393">
      <c r="AI18393" s="80"/>
    </row>
    <row r="18394">
      <c r="AI18394" s="80"/>
    </row>
    <row r="18395">
      <c r="AI18395" s="80"/>
    </row>
    <row r="18396">
      <c r="AI18396" s="80"/>
    </row>
    <row r="18397">
      <c r="AI18397" s="80"/>
    </row>
    <row r="18398">
      <c r="AI18398" s="80"/>
    </row>
    <row r="18399">
      <c r="AI18399" s="80"/>
    </row>
    <row r="18400">
      <c r="AI18400" s="80"/>
    </row>
    <row r="18401">
      <c r="AI18401" s="80"/>
    </row>
    <row r="18402">
      <c r="AI18402" s="80"/>
    </row>
    <row r="18403">
      <c r="AI18403" s="80"/>
    </row>
    <row r="18404">
      <c r="AI18404" s="80"/>
    </row>
    <row r="18405">
      <c r="AI18405" s="80"/>
    </row>
    <row r="18406">
      <c r="AI18406" s="80"/>
    </row>
    <row r="18407">
      <c r="AI18407" s="80"/>
    </row>
    <row r="18408">
      <c r="AI18408" s="80"/>
    </row>
    <row r="18409">
      <c r="AI18409" s="80"/>
    </row>
    <row r="18410">
      <c r="AI18410" s="80"/>
    </row>
    <row r="18411">
      <c r="AI18411" s="80"/>
    </row>
    <row r="18412">
      <c r="AI18412" s="80"/>
    </row>
    <row r="18413">
      <c r="AI18413" s="80"/>
    </row>
    <row r="18414">
      <c r="AI18414" s="80"/>
    </row>
    <row r="18415">
      <c r="AI18415" s="80"/>
    </row>
    <row r="18416">
      <c r="AI18416" s="80"/>
    </row>
    <row r="18417">
      <c r="AI18417" s="80"/>
    </row>
    <row r="18418">
      <c r="AI18418" s="80"/>
    </row>
    <row r="18419">
      <c r="AI18419" s="80"/>
    </row>
    <row r="18420">
      <c r="AI18420" s="80"/>
    </row>
    <row r="18421">
      <c r="AI18421" s="80"/>
    </row>
    <row r="18422">
      <c r="AI18422" s="80"/>
    </row>
    <row r="18423">
      <c r="AI18423" s="80"/>
    </row>
    <row r="18424">
      <c r="AI18424" s="80"/>
    </row>
    <row r="18425">
      <c r="AI18425" s="80"/>
    </row>
    <row r="18426">
      <c r="AI18426" s="80"/>
    </row>
    <row r="18427">
      <c r="AI18427" s="80"/>
    </row>
    <row r="18428">
      <c r="AI18428" s="80"/>
    </row>
    <row r="18429">
      <c r="AI18429" s="80"/>
    </row>
    <row r="18430">
      <c r="AI18430" s="80"/>
    </row>
    <row r="18431">
      <c r="AI18431" s="80"/>
    </row>
    <row r="18432">
      <c r="AI18432" s="80"/>
    </row>
    <row r="18433">
      <c r="AI18433" s="80"/>
    </row>
    <row r="18434">
      <c r="AI18434" s="80"/>
    </row>
    <row r="18435">
      <c r="AI18435" s="80"/>
    </row>
    <row r="18436">
      <c r="AI18436" s="80"/>
    </row>
    <row r="18437">
      <c r="AI18437" s="80"/>
    </row>
    <row r="18438">
      <c r="AI18438" s="80"/>
    </row>
    <row r="18439">
      <c r="AI18439" s="80"/>
    </row>
    <row r="18440">
      <c r="AI18440" s="80"/>
    </row>
    <row r="18441">
      <c r="AI18441" s="80"/>
    </row>
    <row r="18442">
      <c r="AI18442" s="80"/>
    </row>
    <row r="18443">
      <c r="AI18443" s="80"/>
    </row>
    <row r="18444">
      <c r="AI18444" s="80"/>
    </row>
    <row r="18445">
      <c r="AI18445" s="80"/>
    </row>
    <row r="18446">
      <c r="AI18446" s="80"/>
    </row>
    <row r="18447">
      <c r="AI18447" s="80"/>
    </row>
    <row r="18448">
      <c r="AI18448" s="80"/>
    </row>
    <row r="18449">
      <c r="AI18449" s="80"/>
    </row>
    <row r="18450">
      <c r="AI18450" s="80"/>
    </row>
    <row r="18451">
      <c r="AI18451" s="80"/>
    </row>
    <row r="18452">
      <c r="AI18452" s="80"/>
    </row>
    <row r="18453">
      <c r="AI18453" s="80"/>
    </row>
    <row r="18454">
      <c r="AI18454" s="80"/>
    </row>
    <row r="18455">
      <c r="AI18455" s="80"/>
    </row>
    <row r="18456">
      <c r="AI18456" s="80"/>
    </row>
    <row r="18457">
      <c r="AI18457" s="80"/>
    </row>
    <row r="18458">
      <c r="AI18458" s="80"/>
    </row>
    <row r="18459">
      <c r="AI18459" s="80"/>
    </row>
    <row r="18460">
      <c r="AI18460" s="80"/>
    </row>
    <row r="18461">
      <c r="AI18461" s="80"/>
    </row>
    <row r="18462">
      <c r="AI18462" s="80"/>
    </row>
    <row r="18463">
      <c r="AI18463" s="80"/>
    </row>
    <row r="18464">
      <c r="AI18464" s="80"/>
    </row>
    <row r="18465">
      <c r="AI18465" s="80"/>
    </row>
    <row r="18466">
      <c r="AI18466" s="80"/>
    </row>
    <row r="18467">
      <c r="AI18467" s="80"/>
    </row>
    <row r="18468">
      <c r="AI18468" s="80"/>
    </row>
    <row r="18469">
      <c r="AI18469" s="80"/>
    </row>
    <row r="18470">
      <c r="AI18470" s="80"/>
    </row>
    <row r="18471">
      <c r="AI18471" s="80"/>
    </row>
    <row r="18472">
      <c r="AI18472" s="80"/>
    </row>
    <row r="18473">
      <c r="AI18473" s="80"/>
    </row>
    <row r="18474">
      <c r="AI18474" s="80"/>
    </row>
    <row r="18475">
      <c r="AI18475" s="80"/>
    </row>
    <row r="18476">
      <c r="AI18476" s="80"/>
    </row>
    <row r="18477">
      <c r="AI18477" s="80"/>
    </row>
    <row r="18478">
      <c r="AI18478" s="80"/>
    </row>
    <row r="18479">
      <c r="AI18479" s="80"/>
    </row>
    <row r="18480">
      <c r="AI18480" s="80"/>
    </row>
    <row r="18481">
      <c r="AI18481" s="80"/>
    </row>
    <row r="18482">
      <c r="AI18482" s="80"/>
    </row>
    <row r="18483">
      <c r="AI18483" s="80"/>
    </row>
    <row r="18484">
      <c r="AI18484" s="80"/>
    </row>
    <row r="18485">
      <c r="AI18485" s="80"/>
    </row>
    <row r="18486">
      <c r="AI18486" s="80"/>
    </row>
    <row r="18487">
      <c r="AI18487" s="80"/>
    </row>
    <row r="18488">
      <c r="AI18488" s="80"/>
    </row>
    <row r="18489">
      <c r="AI18489" s="80"/>
    </row>
    <row r="18490">
      <c r="AI18490" s="80"/>
    </row>
    <row r="18491">
      <c r="AI18491" s="80"/>
    </row>
    <row r="18492">
      <c r="AI18492" s="80"/>
    </row>
    <row r="18493">
      <c r="AI18493" s="80"/>
    </row>
    <row r="18494">
      <c r="AI18494" s="80"/>
    </row>
    <row r="18495">
      <c r="AI18495" s="80"/>
    </row>
    <row r="18496">
      <c r="AI18496" s="80"/>
    </row>
    <row r="18497">
      <c r="AI18497" s="80"/>
    </row>
    <row r="18498">
      <c r="AI18498" s="80"/>
    </row>
    <row r="18499">
      <c r="AI18499" s="80"/>
    </row>
    <row r="18500">
      <c r="AI18500" s="80"/>
    </row>
    <row r="18501">
      <c r="AI18501" s="80"/>
    </row>
    <row r="18502">
      <c r="AI18502" s="80"/>
    </row>
    <row r="18503">
      <c r="AI18503" s="80"/>
    </row>
    <row r="18504">
      <c r="AI18504" s="80"/>
    </row>
    <row r="18505">
      <c r="AI18505" s="80"/>
    </row>
    <row r="18506">
      <c r="AI18506" s="80"/>
    </row>
    <row r="18507">
      <c r="AI18507" s="80"/>
    </row>
    <row r="18508">
      <c r="AI18508" s="80"/>
    </row>
    <row r="18509">
      <c r="AI18509" s="80"/>
    </row>
    <row r="18510">
      <c r="AI18510" s="80"/>
    </row>
    <row r="18511">
      <c r="AI18511" s="80"/>
    </row>
    <row r="18512">
      <c r="AI18512" s="80"/>
    </row>
    <row r="18513">
      <c r="AI18513" s="80"/>
    </row>
    <row r="18514">
      <c r="AI18514" s="80"/>
    </row>
    <row r="18515">
      <c r="AI18515" s="80"/>
    </row>
    <row r="18516">
      <c r="AI18516" s="80"/>
    </row>
    <row r="18517">
      <c r="AI18517" s="80"/>
    </row>
    <row r="18518">
      <c r="AI18518" s="80"/>
    </row>
    <row r="18519">
      <c r="AI18519" s="80"/>
    </row>
    <row r="18520">
      <c r="AI18520" s="80"/>
    </row>
    <row r="18521">
      <c r="AI18521" s="80"/>
    </row>
    <row r="18522">
      <c r="AI18522" s="80"/>
    </row>
    <row r="18523">
      <c r="AI18523" s="80"/>
    </row>
    <row r="18524">
      <c r="AI18524" s="80"/>
    </row>
    <row r="18525">
      <c r="AI18525" s="80"/>
    </row>
    <row r="18526">
      <c r="AI18526" s="80"/>
    </row>
    <row r="18527">
      <c r="AI18527" s="80"/>
    </row>
    <row r="18528">
      <c r="AI18528" s="80"/>
    </row>
    <row r="18529">
      <c r="AI18529" s="80"/>
    </row>
    <row r="18530">
      <c r="AI18530" s="80"/>
    </row>
    <row r="18531">
      <c r="AI18531" s="80"/>
    </row>
    <row r="18532">
      <c r="AI18532" s="80"/>
    </row>
    <row r="18533">
      <c r="AI18533" s="80"/>
    </row>
    <row r="18534">
      <c r="AI18534" s="80"/>
    </row>
    <row r="18535">
      <c r="AI18535" s="80"/>
    </row>
    <row r="18536">
      <c r="AI18536" s="80"/>
    </row>
    <row r="18537">
      <c r="AI18537" s="80"/>
    </row>
    <row r="18538">
      <c r="AI18538" s="80"/>
    </row>
    <row r="18539">
      <c r="AI18539" s="80"/>
    </row>
    <row r="18540">
      <c r="AI18540" s="80"/>
    </row>
    <row r="18541">
      <c r="AI18541" s="80"/>
    </row>
    <row r="18542">
      <c r="AI18542" s="80"/>
    </row>
    <row r="18543">
      <c r="AI18543" s="80"/>
    </row>
    <row r="18544">
      <c r="AI18544" s="80"/>
    </row>
    <row r="18545">
      <c r="AI18545" s="80"/>
    </row>
    <row r="18546">
      <c r="AI18546" s="80"/>
    </row>
    <row r="18547">
      <c r="AI18547" s="80"/>
    </row>
    <row r="18548">
      <c r="AI18548" s="80"/>
    </row>
    <row r="18549">
      <c r="AI18549" s="80"/>
    </row>
    <row r="18550">
      <c r="AI18550" s="80"/>
    </row>
    <row r="18551">
      <c r="AI18551" s="80"/>
    </row>
    <row r="18552">
      <c r="AI18552" s="80"/>
    </row>
    <row r="18553">
      <c r="AI18553" s="80"/>
    </row>
    <row r="18554">
      <c r="AI18554" s="80"/>
    </row>
    <row r="18555">
      <c r="AI18555" s="80"/>
    </row>
    <row r="18556">
      <c r="AI18556" s="80"/>
    </row>
    <row r="18557">
      <c r="AI18557" s="80"/>
    </row>
    <row r="18558">
      <c r="AI18558" s="80"/>
    </row>
    <row r="18559">
      <c r="AI18559" s="80"/>
    </row>
    <row r="18560">
      <c r="AI18560" s="80"/>
    </row>
    <row r="18561">
      <c r="AI18561" s="80"/>
    </row>
    <row r="18562">
      <c r="AI18562" s="80"/>
    </row>
    <row r="18563">
      <c r="AI18563" s="80"/>
    </row>
    <row r="18564">
      <c r="AI18564" s="80"/>
    </row>
    <row r="18565">
      <c r="AI18565" s="80"/>
    </row>
    <row r="18566">
      <c r="AI18566" s="80"/>
    </row>
    <row r="18567">
      <c r="AI18567" s="80"/>
    </row>
    <row r="18568">
      <c r="AI18568" s="80"/>
    </row>
    <row r="18569">
      <c r="AI18569" s="80"/>
    </row>
    <row r="18570">
      <c r="AI18570" s="80"/>
    </row>
    <row r="18571">
      <c r="AI18571" s="80"/>
    </row>
    <row r="18572">
      <c r="AI18572" s="80"/>
    </row>
    <row r="18573">
      <c r="AI18573" s="80"/>
    </row>
    <row r="18574">
      <c r="AI18574" s="80"/>
    </row>
    <row r="18575">
      <c r="AI18575" s="80"/>
    </row>
    <row r="18576">
      <c r="AI18576" s="80"/>
    </row>
    <row r="18577">
      <c r="AI18577" s="80"/>
    </row>
    <row r="18578">
      <c r="AI18578" s="80"/>
    </row>
    <row r="18579">
      <c r="AI18579" s="80"/>
    </row>
    <row r="18580">
      <c r="AI18580" s="80"/>
    </row>
    <row r="18581">
      <c r="AI18581" s="80"/>
    </row>
    <row r="18582">
      <c r="AI18582" s="80"/>
    </row>
    <row r="18583">
      <c r="AI18583" s="80"/>
    </row>
    <row r="18584">
      <c r="AI18584" s="80"/>
    </row>
    <row r="18585">
      <c r="AI18585" s="80"/>
    </row>
    <row r="18586">
      <c r="AI18586" s="80"/>
    </row>
    <row r="18587">
      <c r="AI18587" s="80"/>
    </row>
    <row r="18588">
      <c r="AI18588" s="80"/>
    </row>
    <row r="18589">
      <c r="AI18589" s="80"/>
    </row>
    <row r="18590">
      <c r="AI18590" s="80"/>
    </row>
    <row r="18591">
      <c r="AI18591" s="80"/>
    </row>
    <row r="18592">
      <c r="AI18592" s="80"/>
    </row>
    <row r="18593">
      <c r="AI18593" s="80"/>
    </row>
    <row r="18594">
      <c r="AI18594" s="80"/>
    </row>
    <row r="18595">
      <c r="AI18595" s="80"/>
    </row>
    <row r="18596">
      <c r="AI18596" s="80"/>
    </row>
    <row r="18597">
      <c r="AI18597" s="80"/>
    </row>
    <row r="18598">
      <c r="AI18598" s="80"/>
    </row>
    <row r="18599">
      <c r="AI18599" s="80"/>
    </row>
    <row r="18600">
      <c r="AI18600" s="80"/>
    </row>
    <row r="18601">
      <c r="AI18601" s="80"/>
    </row>
    <row r="18602">
      <c r="AI18602" s="80"/>
    </row>
    <row r="18603">
      <c r="AI18603" s="80"/>
    </row>
    <row r="18604">
      <c r="AI18604" s="80"/>
    </row>
    <row r="18605">
      <c r="AI18605" s="80"/>
    </row>
    <row r="18606">
      <c r="AI18606" s="80"/>
    </row>
    <row r="18607">
      <c r="AI18607" s="80"/>
    </row>
    <row r="18608">
      <c r="AI18608" s="80"/>
    </row>
    <row r="18609">
      <c r="AI18609" s="80"/>
    </row>
    <row r="18610">
      <c r="AI18610" s="80"/>
    </row>
    <row r="18611">
      <c r="AI18611" s="80"/>
    </row>
    <row r="18612">
      <c r="AI18612" s="80"/>
    </row>
    <row r="18613">
      <c r="AI18613" s="80"/>
    </row>
    <row r="18614">
      <c r="AI18614" s="80"/>
    </row>
    <row r="18615">
      <c r="AI18615" s="80"/>
    </row>
    <row r="18616">
      <c r="AI18616" s="80"/>
    </row>
    <row r="18617">
      <c r="AI18617" s="80"/>
    </row>
    <row r="18618">
      <c r="AI18618" s="80"/>
    </row>
    <row r="18619">
      <c r="AI18619" s="80"/>
    </row>
    <row r="18620">
      <c r="AI18620" s="80"/>
    </row>
    <row r="18621">
      <c r="AI18621" s="80"/>
    </row>
    <row r="18622">
      <c r="AI18622" s="80"/>
    </row>
    <row r="18623">
      <c r="AI18623" s="80"/>
    </row>
    <row r="18624">
      <c r="AI18624" s="80"/>
    </row>
    <row r="18625">
      <c r="AI18625" s="80"/>
    </row>
    <row r="18626">
      <c r="AI18626" s="80"/>
    </row>
    <row r="18627">
      <c r="AI18627" s="80"/>
    </row>
    <row r="18628">
      <c r="AI18628" s="80"/>
    </row>
    <row r="18629">
      <c r="AI18629" s="80"/>
    </row>
    <row r="18630">
      <c r="AI18630" s="80"/>
    </row>
    <row r="18631">
      <c r="AI18631" s="80"/>
    </row>
    <row r="18632">
      <c r="AI18632" s="80"/>
    </row>
    <row r="18633">
      <c r="AI18633" s="80"/>
    </row>
    <row r="18634">
      <c r="AI18634" s="80"/>
    </row>
    <row r="18635">
      <c r="AI18635" s="80"/>
    </row>
    <row r="18636">
      <c r="AI18636" s="80"/>
    </row>
    <row r="18637">
      <c r="AI18637" s="80"/>
    </row>
    <row r="18638">
      <c r="AI18638" s="80"/>
    </row>
    <row r="18639">
      <c r="AI18639" s="80"/>
    </row>
    <row r="18640">
      <c r="AI18640" s="80"/>
    </row>
    <row r="18641">
      <c r="AI18641" s="80"/>
    </row>
    <row r="18642">
      <c r="AI18642" s="80"/>
    </row>
    <row r="18643">
      <c r="AI18643" s="80"/>
    </row>
    <row r="18644">
      <c r="AI18644" s="80"/>
    </row>
    <row r="18645">
      <c r="AI18645" s="80"/>
    </row>
    <row r="18646">
      <c r="AI18646" s="80"/>
    </row>
    <row r="18647">
      <c r="AI18647" s="80"/>
    </row>
    <row r="18648">
      <c r="AI18648" s="80"/>
    </row>
    <row r="18649">
      <c r="AI18649" s="80"/>
    </row>
    <row r="18650">
      <c r="AI18650" s="80"/>
    </row>
    <row r="18651">
      <c r="AI18651" s="80"/>
    </row>
    <row r="18652">
      <c r="AI18652" s="80"/>
    </row>
    <row r="18653">
      <c r="AI18653" s="80"/>
    </row>
    <row r="18654">
      <c r="AI18654" s="80"/>
    </row>
    <row r="18655">
      <c r="AI18655" s="80"/>
    </row>
    <row r="18656">
      <c r="AI18656" s="80"/>
    </row>
    <row r="18657">
      <c r="AI18657" s="80"/>
    </row>
    <row r="18658">
      <c r="AI18658" s="80"/>
    </row>
    <row r="18659">
      <c r="AI18659" s="80"/>
    </row>
    <row r="18660">
      <c r="AI18660" s="80"/>
    </row>
    <row r="18661">
      <c r="AI18661" s="80"/>
    </row>
    <row r="18662">
      <c r="AI18662" s="80"/>
    </row>
    <row r="18663">
      <c r="AI18663" s="80"/>
    </row>
    <row r="18664">
      <c r="AI18664" s="80"/>
    </row>
    <row r="18665">
      <c r="AI18665" s="80"/>
    </row>
    <row r="18666">
      <c r="AI18666" s="80"/>
    </row>
    <row r="18667">
      <c r="AI18667" s="80"/>
    </row>
    <row r="18668">
      <c r="AI18668" s="80"/>
    </row>
    <row r="18669">
      <c r="AI18669" s="80"/>
    </row>
    <row r="18670">
      <c r="AI18670" s="80"/>
    </row>
    <row r="18671">
      <c r="AI18671" s="80"/>
    </row>
    <row r="18672">
      <c r="AI18672" s="80"/>
    </row>
    <row r="18673">
      <c r="AI18673" s="80"/>
    </row>
    <row r="18674">
      <c r="AI18674" s="80"/>
    </row>
    <row r="18675">
      <c r="AI18675" s="80"/>
    </row>
    <row r="18676">
      <c r="AI18676" s="80"/>
    </row>
    <row r="18677">
      <c r="AI18677" s="80"/>
    </row>
    <row r="18678">
      <c r="AI18678" s="80"/>
    </row>
    <row r="18679">
      <c r="AI18679" s="80"/>
    </row>
    <row r="18680">
      <c r="AI18680" s="80"/>
    </row>
    <row r="18681">
      <c r="AI18681" s="80"/>
    </row>
    <row r="18682">
      <c r="AI18682" s="80"/>
    </row>
    <row r="18683">
      <c r="AI18683" s="80"/>
    </row>
    <row r="18684">
      <c r="AI18684" s="80"/>
    </row>
    <row r="18685">
      <c r="AI18685" s="80"/>
    </row>
    <row r="18686">
      <c r="AI18686" s="80"/>
    </row>
    <row r="18687">
      <c r="AI18687" s="80"/>
    </row>
    <row r="18688">
      <c r="AI18688" s="80"/>
    </row>
    <row r="18689">
      <c r="AI18689" s="80"/>
    </row>
    <row r="18690">
      <c r="AI18690" s="80"/>
    </row>
    <row r="18691">
      <c r="AI18691" s="80"/>
    </row>
    <row r="18692">
      <c r="AI18692" s="80"/>
    </row>
    <row r="18693">
      <c r="AI18693" s="80"/>
    </row>
    <row r="18694">
      <c r="AI18694" s="80"/>
    </row>
    <row r="18695">
      <c r="AI18695" s="80"/>
    </row>
    <row r="18696">
      <c r="AI18696" s="80"/>
    </row>
    <row r="18697">
      <c r="AI18697" s="80"/>
    </row>
    <row r="18698">
      <c r="AI18698" s="80"/>
    </row>
    <row r="18699">
      <c r="AI18699" s="80"/>
    </row>
    <row r="18700">
      <c r="AI18700" s="80"/>
    </row>
    <row r="18701">
      <c r="AI18701" s="80"/>
    </row>
    <row r="18702">
      <c r="AI18702" s="80"/>
    </row>
    <row r="18703">
      <c r="AI18703" s="80"/>
    </row>
    <row r="18704">
      <c r="AI18704" s="80"/>
    </row>
    <row r="18705">
      <c r="AI18705" s="80"/>
    </row>
    <row r="18706">
      <c r="AI18706" s="80"/>
    </row>
    <row r="18707">
      <c r="AI18707" s="80"/>
    </row>
    <row r="18708">
      <c r="AI18708" s="80"/>
    </row>
    <row r="18709">
      <c r="AI18709" s="80"/>
    </row>
    <row r="18710">
      <c r="AI18710" s="80"/>
    </row>
    <row r="18711">
      <c r="AI18711" s="80"/>
    </row>
    <row r="18712">
      <c r="AI18712" s="80"/>
    </row>
    <row r="18713">
      <c r="AI18713" s="80"/>
    </row>
    <row r="18714">
      <c r="AI18714" s="80"/>
    </row>
    <row r="18715">
      <c r="AI18715" s="80"/>
    </row>
    <row r="18716">
      <c r="AI18716" s="80"/>
    </row>
    <row r="18717">
      <c r="AI18717" s="80"/>
    </row>
    <row r="18718">
      <c r="AI18718" s="80"/>
    </row>
    <row r="18719">
      <c r="AI18719" s="80"/>
    </row>
    <row r="18720">
      <c r="AI18720" s="80"/>
    </row>
    <row r="18721">
      <c r="AI18721" s="80"/>
    </row>
    <row r="18722">
      <c r="AI18722" s="80"/>
    </row>
    <row r="18723">
      <c r="AI18723" s="80"/>
    </row>
    <row r="18724">
      <c r="AI18724" s="80"/>
    </row>
    <row r="18725">
      <c r="AI18725" s="80"/>
    </row>
    <row r="18726">
      <c r="AI18726" s="80"/>
    </row>
    <row r="18727">
      <c r="AI18727" s="80"/>
    </row>
    <row r="18728">
      <c r="AI18728" s="80"/>
    </row>
    <row r="18729">
      <c r="AI18729" s="80"/>
    </row>
    <row r="18730">
      <c r="AI18730" s="80"/>
    </row>
    <row r="18731">
      <c r="AI18731" s="80"/>
    </row>
    <row r="18732">
      <c r="AI18732" s="80"/>
    </row>
    <row r="18733">
      <c r="AI18733" s="80"/>
    </row>
    <row r="18734">
      <c r="AI18734" s="80"/>
    </row>
    <row r="18735">
      <c r="AI18735" s="80"/>
    </row>
    <row r="18736">
      <c r="AI18736" s="80"/>
    </row>
    <row r="18737">
      <c r="AI18737" s="80"/>
    </row>
    <row r="18738">
      <c r="AI18738" s="80"/>
    </row>
    <row r="18739">
      <c r="AI18739" s="80"/>
    </row>
    <row r="18740">
      <c r="AI18740" s="80"/>
    </row>
    <row r="18741">
      <c r="AI18741" s="80"/>
    </row>
    <row r="18742">
      <c r="AI18742" s="80"/>
    </row>
    <row r="18743">
      <c r="AI18743" s="80"/>
    </row>
    <row r="18744">
      <c r="AI18744" s="80"/>
    </row>
    <row r="18745">
      <c r="AI18745" s="80"/>
    </row>
    <row r="18746">
      <c r="AI18746" s="80"/>
    </row>
    <row r="18747">
      <c r="AI18747" s="80"/>
    </row>
    <row r="18748">
      <c r="AI18748" s="80"/>
    </row>
    <row r="18749">
      <c r="AI18749" s="80"/>
    </row>
    <row r="18750">
      <c r="AI18750" s="80"/>
    </row>
    <row r="18751">
      <c r="AI18751" s="80"/>
    </row>
    <row r="18752">
      <c r="AI18752" s="80"/>
    </row>
    <row r="18753">
      <c r="AI18753" s="80"/>
    </row>
    <row r="18754">
      <c r="AI18754" s="80"/>
    </row>
    <row r="18755">
      <c r="AI18755" s="80"/>
    </row>
    <row r="18756">
      <c r="AI18756" s="80"/>
    </row>
    <row r="18757">
      <c r="AI18757" s="80"/>
    </row>
    <row r="18758">
      <c r="AI18758" s="80"/>
    </row>
    <row r="18759">
      <c r="AI18759" s="80"/>
    </row>
    <row r="18760">
      <c r="AI18760" s="80"/>
    </row>
    <row r="18761">
      <c r="AI18761" s="80"/>
    </row>
    <row r="18762">
      <c r="AI18762" s="80"/>
    </row>
    <row r="18763">
      <c r="AI18763" s="80"/>
    </row>
    <row r="18764">
      <c r="AI18764" s="80"/>
    </row>
    <row r="18765">
      <c r="AI18765" s="80"/>
    </row>
    <row r="18766">
      <c r="AI18766" s="80"/>
    </row>
    <row r="18767">
      <c r="AI18767" s="80"/>
    </row>
    <row r="18768">
      <c r="AI18768" s="80"/>
    </row>
    <row r="18769">
      <c r="AI18769" s="80"/>
    </row>
    <row r="18770">
      <c r="AI18770" s="80"/>
    </row>
    <row r="18771">
      <c r="AI18771" s="80"/>
    </row>
    <row r="18772">
      <c r="AI18772" s="80"/>
    </row>
    <row r="18773">
      <c r="AI18773" s="80"/>
    </row>
    <row r="18774">
      <c r="AI18774" s="80"/>
    </row>
    <row r="18775">
      <c r="AI18775" s="80"/>
    </row>
    <row r="18776">
      <c r="AI18776" s="80"/>
    </row>
    <row r="18777">
      <c r="AI18777" s="80"/>
    </row>
    <row r="18778">
      <c r="AI18778" s="80"/>
    </row>
    <row r="18779">
      <c r="AI18779" s="80"/>
    </row>
    <row r="18780">
      <c r="AI18780" s="80"/>
    </row>
    <row r="18781">
      <c r="AI18781" s="80"/>
    </row>
    <row r="18782">
      <c r="AI18782" s="80"/>
    </row>
    <row r="18783">
      <c r="AI18783" s="80"/>
    </row>
    <row r="18784">
      <c r="AI18784" s="80"/>
    </row>
    <row r="18785">
      <c r="AI18785" s="80"/>
    </row>
    <row r="18786">
      <c r="AI18786" s="80"/>
    </row>
    <row r="18787">
      <c r="AI18787" s="80"/>
    </row>
    <row r="18788">
      <c r="AI18788" s="80"/>
    </row>
    <row r="18789">
      <c r="AI18789" s="80"/>
    </row>
    <row r="18790">
      <c r="AI18790" s="80"/>
    </row>
    <row r="18791">
      <c r="AI18791" s="80"/>
    </row>
    <row r="18792">
      <c r="AI18792" s="80"/>
    </row>
    <row r="18793">
      <c r="AI18793" s="80"/>
    </row>
    <row r="18794">
      <c r="AI18794" s="80"/>
    </row>
    <row r="18795">
      <c r="AI18795" s="80"/>
    </row>
    <row r="18796">
      <c r="AI18796" s="80"/>
    </row>
    <row r="18797">
      <c r="AI18797" s="80"/>
    </row>
    <row r="18798">
      <c r="AI18798" s="80"/>
    </row>
    <row r="18799">
      <c r="AI18799" s="80"/>
    </row>
    <row r="18800">
      <c r="AI18800" s="80"/>
    </row>
    <row r="18801">
      <c r="AI18801" s="80"/>
    </row>
    <row r="18802">
      <c r="AI18802" s="80"/>
    </row>
    <row r="18803">
      <c r="AI18803" s="80"/>
    </row>
    <row r="18804">
      <c r="AI18804" s="80"/>
    </row>
    <row r="18805">
      <c r="AI18805" s="80"/>
    </row>
    <row r="18806">
      <c r="AI18806" s="80"/>
    </row>
    <row r="18807">
      <c r="AI18807" s="80"/>
    </row>
    <row r="18808">
      <c r="AI18808" s="80"/>
    </row>
    <row r="18809">
      <c r="AI18809" s="80"/>
    </row>
    <row r="18810">
      <c r="AI18810" s="80"/>
    </row>
    <row r="18811">
      <c r="AI18811" s="80"/>
    </row>
    <row r="18812">
      <c r="AI18812" s="80"/>
    </row>
    <row r="18813">
      <c r="AI18813" s="80"/>
    </row>
    <row r="18814">
      <c r="AI18814" s="80"/>
    </row>
    <row r="18815">
      <c r="AI18815" s="80"/>
    </row>
    <row r="18816">
      <c r="AI18816" s="80"/>
    </row>
    <row r="18817">
      <c r="AI18817" s="80"/>
    </row>
    <row r="18818">
      <c r="AI18818" s="80"/>
    </row>
    <row r="18819">
      <c r="AI18819" s="80"/>
    </row>
    <row r="18820">
      <c r="AI18820" s="80"/>
    </row>
    <row r="18821">
      <c r="AI18821" s="80"/>
    </row>
    <row r="18822">
      <c r="AI18822" s="80"/>
    </row>
    <row r="18823">
      <c r="AI18823" s="80"/>
    </row>
    <row r="18824">
      <c r="AI18824" s="80"/>
    </row>
    <row r="18825">
      <c r="AI18825" s="80"/>
    </row>
    <row r="18826">
      <c r="AI18826" s="80"/>
    </row>
    <row r="18827">
      <c r="AI18827" s="80"/>
    </row>
    <row r="18828">
      <c r="AI18828" s="80"/>
    </row>
    <row r="18829">
      <c r="AI18829" s="80"/>
    </row>
    <row r="18830">
      <c r="AI18830" s="80"/>
    </row>
    <row r="18831">
      <c r="AI18831" s="80"/>
    </row>
    <row r="18832">
      <c r="AI18832" s="80"/>
    </row>
    <row r="18833">
      <c r="AI18833" s="80"/>
    </row>
    <row r="18834">
      <c r="AI18834" s="80"/>
    </row>
    <row r="18835">
      <c r="AI18835" s="80"/>
    </row>
    <row r="18836">
      <c r="AI18836" s="80"/>
    </row>
    <row r="18837">
      <c r="AI18837" s="80"/>
    </row>
    <row r="18838">
      <c r="AI18838" s="80"/>
    </row>
    <row r="18839">
      <c r="AI18839" s="80"/>
    </row>
    <row r="18840">
      <c r="AI18840" s="80"/>
    </row>
    <row r="18841">
      <c r="AI18841" s="80"/>
    </row>
    <row r="18842">
      <c r="AI18842" s="80"/>
    </row>
    <row r="18843">
      <c r="AI18843" s="80"/>
    </row>
    <row r="18844">
      <c r="AI18844" s="80"/>
    </row>
    <row r="18845">
      <c r="AI18845" s="80"/>
    </row>
    <row r="18846">
      <c r="AI18846" s="80"/>
    </row>
    <row r="18847">
      <c r="AI18847" s="80"/>
    </row>
    <row r="18848">
      <c r="AI18848" s="80"/>
    </row>
    <row r="18849">
      <c r="AI18849" s="80"/>
    </row>
    <row r="18850">
      <c r="AI18850" s="80"/>
    </row>
    <row r="18851">
      <c r="AI18851" s="80"/>
    </row>
    <row r="18852">
      <c r="AI18852" s="80"/>
    </row>
    <row r="18853">
      <c r="AI18853" s="80"/>
    </row>
    <row r="18854">
      <c r="AI18854" s="80"/>
    </row>
    <row r="18855">
      <c r="AI18855" s="80"/>
    </row>
    <row r="18856">
      <c r="AI18856" s="80"/>
    </row>
    <row r="18857">
      <c r="AI18857" s="80"/>
    </row>
    <row r="18858">
      <c r="AI18858" s="80"/>
    </row>
    <row r="18859">
      <c r="AI18859" s="80"/>
    </row>
    <row r="18860">
      <c r="AI18860" s="80"/>
    </row>
    <row r="18861">
      <c r="AI18861" s="80"/>
    </row>
    <row r="18862">
      <c r="AI18862" s="80"/>
    </row>
    <row r="18863">
      <c r="AI18863" s="80"/>
    </row>
    <row r="18864">
      <c r="AI18864" s="80"/>
    </row>
    <row r="18865">
      <c r="AI18865" s="80"/>
    </row>
    <row r="18866">
      <c r="AI18866" s="80"/>
    </row>
    <row r="18867">
      <c r="AI18867" s="80"/>
    </row>
    <row r="18868">
      <c r="AI18868" s="80"/>
    </row>
    <row r="18869">
      <c r="AI18869" s="80"/>
    </row>
    <row r="18870">
      <c r="AI18870" s="80"/>
    </row>
    <row r="18871">
      <c r="AI18871" s="80"/>
    </row>
    <row r="18872">
      <c r="AI18872" s="80"/>
    </row>
    <row r="18873">
      <c r="AI18873" s="80"/>
    </row>
    <row r="18874">
      <c r="AI18874" s="80"/>
    </row>
    <row r="18875">
      <c r="AI18875" s="80"/>
    </row>
    <row r="18876">
      <c r="AI18876" s="80"/>
    </row>
    <row r="18877">
      <c r="AI18877" s="80"/>
    </row>
    <row r="18878">
      <c r="AI18878" s="80"/>
    </row>
    <row r="18879">
      <c r="AI18879" s="80"/>
    </row>
    <row r="18880">
      <c r="AI18880" s="80"/>
    </row>
    <row r="18881">
      <c r="AI18881" s="80"/>
    </row>
    <row r="18882">
      <c r="AI18882" s="80"/>
    </row>
    <row r="18883">
      <c r="AI18883" s="80"/>
    </row>
    <row r="18884">
      <c r="AI18884" s="80"/>
    </row>
    <row r="18885">
      <c r="AI18885" s="80"/>
    </row>
    <row r="18886">
      <c r="AI18886" s="80"/>
    </row>
    <row r="18887">
      <c r="AI18887" s="80"/>
    </row>
    <row r="18888">
      <c r="AI18888" s="80"/>
    </row>
    <row r="18889">
      <c r="AI18889" s="80"/>
    </row>
    <row r="18890">
      <c r="AI18890" s="80"/>
    </row>
    <row r="18891">
      <c r="AI18891" s="80"/>
    </row>
    <row r="18892">
      <c r="AI18892" s="80"/>
    </row>
    <row r="18893">
      <c r="AI18893" s="80"/>
    </row>
    <row r="18894">
      <c r="AI18894" s="80"/>
    </row>
    <row r="18895">
      <c r="AI18895" s="80"/>
    </row>
    <row r="18896">
      <c r="AI18896" s="80"/>
    </row>
    <row r="18897">
      <c r="AI18897" s="80"/>
    </row>
    <row r="18898">
      <c r="AI18898" s="80"/>
    </row>
    <row r="18899">
      <c r="AI18899" s="80"/>
    </row>
    <row r="18900">
      <c r="AI18900" s="80"/>
    </row>
    <row r="18901">
      <c r="AI18901" s="80"/>
    </row>
    <row r="18902">
      <c r="AI18902" s="80"/>
    </row>
    <row r="18903">
      <c r="AI18903" s="80"/>
    </row>
    <row r="18904">
      <c r="AI18904" s="80"/>
    </row>
    <row r="18905">
      <c r="AI18905" s="80"/>
    </row>
    <row r="18906">
      <c r="AI18906" s="80"/>
    </row>
    <row r="18907">
      <c r="AI18907" s="80"/>
    </row>
    <row r="18908">
      <c r="AI18908" s="80"/>
    </row>
    <row r="18909">
      <c r="AI18909" s="80"/>
    </row>
    <row r="18910">
      <c r="AI18910" s="80"/>
    </row>
    <row r="18911">
      <c r="AI18911" s="80"/>
    </row>
    <row r="18912">
      <c r="AI18912" s="80"/>
    </row>
    <row r="18913">
      <c r="AI18913" s="80"/>
    </row>
    <row r="18914">
      <c r="AI18914" s="80"/>
    </row>
    <row r="18915">
      <c r="AI18915" s="80"/>
    </row>
    <row r="18916">
      <c r="AI18916" s="80"/>
    </row>
    <row r="18917">
      <c r="AI18917" s="80"/>
    </row>
    <row r="18918">
      <c r="AI18918" s="80"/>
    </row>
    <row r="18919">
      <c r="AI18919" s="80"/>
    </row>
    <row r="18920">
      <c r="AI18920" s="80"/>
    </row>
    <row r="18921">
      <c r="AI18921" s="80"/>
    </row>
    <row r="18922">
      <c r="AI18922" s="80"/>
    </row>
    <row r="18923">
      <c r="AI18923" s="80"/>
    </row>
    <row r="18924">
      <c r="AI18924" s="80"/>
    </row>
    <row r="18925">
      <c r="AI18925" s="80"/>
    </row>
    <row r="18926">
      <c r="AI18926" s="80"/>
    </row>
    <row r="18927">
      <c r="AI18927" s="80"/>
    </row>
    <row r="18928">
      <c r="AI18928" s="80"/>
    </row>
    <row r="18929">
      <c r="AI18929" s="80"/>
    </row>
    <row r="18930">
      <c r="AI18930" s="80"/>
    </row>
    <row r="18931">
      <c r="AI18931" s="80"/>
    </row>
    <row r="18932">
      <c r="AI18932" s="80"/>
    </row>
    <row r="18933">
      <c r="AI18933" s="80"/>
    </row>
    <row r="18934">
      <c r="AI18934" s="80"/>
    </row>
    <row r="18935">
      <c r="AI18935" s="80"/>
    </row>
    <row r="18936">
      <c r="AI18936" s="80"/>
    </row>
    <row r="18937">
      <c r="AI18937" s="80"/>
    </row>
    <row r="18938">
      <c r="AI18938" s="80"/>
    </row>
    <row r="18939">
      <c r="AI18939" s="80"/>
    </row>
    <row r="18940">
      <c r="AI18940" s="80"/>
    </row>
    <row r="18941">
      <c r="AI18941" s="80"/>
    </row>
    <row r="18942">
      <c r="AI18942" s="80"/>
    </row>
    <row r="18943">
      <c r="AI18943" s="80"/>
    </row>
    <row r="18944">
      <c r="AI18944" s="80"/>
    </row>
    <row r="18945">
      <c r="AI18945" s="80"/>
    </row>
    <row r="18946">
      <c r="AI18946" s="80"/>
    </row>
    <row r="18947">
      <c r="AI18947" s="80"/>
    </row>
    <row r="18948">
      <c r="AI18948" s="80"/>
    </row>
    <row r="18949">
      <c r="AI18949" s="80"/>
    </row>
    <row r="18950">
      <c r="AI18950" s="80"/>
    </row>
    <row r="18951">
      <c r="AI18951" s="80"/>
    </row>
    <row r="18952">
      <c r="AI18952" s="80"/>
    </row>
    <row r="18953">
      <c r="AI18953" s="80"/>
    </row>
    <row r="18954">
      <c r="AI18954" s="80"/>
    </row>
    <row r="18955">
      <c r="AI18955" s="80"/>
    </row>
    <row r="18956">
      <c r="AI18956" s="80"/>
    </row>
    <row r="18957">
      <c r="AI18957" s="80"/>
    </row>
    <row r="18958">
      <c r="AI18958" s="80"/>
    </row>
    <row r="18959">
      <c r="AI18959" s="80"/>
    </row>
    <row r="18960">
      <c r="AI18960" s="80"/>
    </row>
    <row r="18961">
      <c r="AI18961" s="80"/>
    </row>
    <row r="18962">
      <c r="AI18962" s="80"/>
    </row>
    <row r="18963">
      <c r="AI18963" s="80"/>
    </row>
    <row r="18964">
      <c r="AI18964" s="80"/>
    </row>
    <row r="18965">
      <c r="AI18965" s="80"/>
    </row>
    <row r="18966">
      <c r="AI18966" s="80"/>
    </row>
    <row r="18967">
      <c r="AI18967" s="80"/>
    </row>
    <row r="18968">
      <c r="AI18968" s="80"/>
    </row>
    <row r="18969">
      <c r="AI18969" s="80"/>
    </row>
    <row r="18970">
      <c r="AI18970" s="80"/>
    </row>
    <row r="18971">
      <c r="AI18971" s="80"/>
    </row>
    <row r="18972">
      <c r="AI18972" s="80"/>
    </row>
    <row r="18973">
      <c r="AI18973" s="80"/>
    </row>
    <row r="18974">
      <c r="AI18974" s="80"/>
    </row>
    <row r="18975">
      <c r="AI18975" s="80"/>
    </row>
    <row r="18976">
      <c r="AI18976" s="80"/>
    </row>
    <row r="18977">
      <c r="AI18977" s="80"/>
    </row>
    <row r="18978">
      <c r="AI18978" s="80"/>
    </row>
    <row r="18979">
      <c r="AI18979" s="80"/>
    </row>
    <row r="18980">
      <c r="AI18980" s="80"/>
    </row>
    <row r="18981">
      <c r="AI18981" s="80"/>
    </row>
    <row r="18982">
      <c r="AI18982" s="80"/>
    </row>
    <row r="18983">
      <c r="AI18983" s="80"/>
    </row>
    <row r="18984">
      <c r="AI18984" s="80"/>
    </row>
    <row r="18985">
      <c r="AI18985" s="80"/>
    </row>
    <row r="18986">
      <c r="AI18986" s="80"/>
    </row>
    <row r="18987">
      <c r="AI18987" s="80"/>
    </row>
    <row r="18988">
      <c r="AI18988" s="80"/>
    </row>
    <row r="18989">
      <c r="AI18989" s="80"/>
    </row>
    <row r="18990">
      <c r="AI18990" s="80"/>
    </row>
    <row r="18991">
      <c r="AI18991" s="80"/>
    </row>
    <row r="18992">
      <c r="AI18992" s="80"/>
    </row>
    <row r="18993">
      <c r="AI18993" s="80"/>
    </row>
    <row r="18994">
      <c r="AI18994" s="80"/>
    </row>
    <row r="18995">
      <c r="AI18995" s="80"/>
    </row>
    <row r="18996">
      <c r="AI18996" s="80"/>
    </row>
    <row r="18997">
      <c r="AI18997" s="80"/>
    </row>
    <row r="18998">
      <c r="AI18998" s="80"/>
    </row>
    <row r="18999">
      <c r="AI18999" s="80"/>
    </row>
    <row r="19000">
      <c r="AI19000" s="80"/>
    </row>
    <row r="19001">
      <c r="AI19001" s="80"/>
    </row>
    <row r="19002">
      <c r="AI19002" s="80"/>
    </row>
    <row r="19003">
      <c r="AI19003" s="80"/>
    </row>
    <row r="19004">
      <c r="AI19004" s="80"/>
    </row>
    <row r="19005">
      <c r="AI19005" s="80"/>
    </row>
    <row r="19006">
      <c r="AI19006" s="80"/>
    </row>
    <row r="19007">
      <c r="AI19007" s="80"/>
    </row>
    <row r="19008">
      <c r="AI19008" s="80"/>
    </row>
    <row r="19009">
      <c r="AI19009" s="80"/>
    </row>
    <row r="19010">
      <c r="AI19010" s="80"/>
    </row>
    <row r="19011">
      <c r="AI19011" s="80"/>
    </row>
    <row r="19012">
      <c r="AI19012" s="80"/>
    </row>
    <row r="19013">
      <c r="AI19013" s="80"/>
    </row>
    <row r="19014">
      <c r="AI19014" s="80"/>
    </row>
    <row r="19015">
      <c r="AI19015" s="80"/>
    </row>
    <row r="19016">
      <c r="AI19016" s="80"/>
    </row>
    <row r="19017">
      <c r="AI19017" s="80"/>
    </row>
    <row r="19018">
      <c r="AI19018" s="80"/>
    </row>
    <row r="19019">
      <c r="AI19019" s="80"/>
    </row>
    <row r="19020">
      <c r="AI19020" s="80"/>
    </row>
    <row r="19021">
      <c r="AI19021" s="80"/>
    </row>
    <row r="19022">
      <c r="AI19022" s="80"/>
    </row>
    <row r="19023">
      <c r="AI19023" s="80"/>
    </row>
    <row r="19024">
      <c r="AI19024" s="80"/>
    </row>
    <row r="19025">
      <c r="AI19025" s="80"/>
    </row>
    <row r="19026">
      <c r="AI19026" s="80"/>
    </row>
    <row r="19027">
      <c r="AI19027" s="80"/>
    </row>
    <row r="19028">
      <c r="AI19028" s="80"/>
    </row>
    <row r="19029">
      <c r="AI19029" s="80"/>
    </row>
    <row r="19030">
      <c r="AI19030" s="80"/>
    </row>
    <row r="19031">
      <c r="AI19031" s="80"/>
    </row>
    <row r="19032">
      <c r="AI19032" s="80"/>
    </row>
    <row r="19033">
      <c r="AI19033" s="80"/>
    </row>
    <row r="19034">
      <c r="AI19034" s="80"/>
    </row>
    <row r="19035">
      <c r="AI19035" s="80"/>
    </row>
    <row r="19036">
      <c r="AI19036" s="80"/>
    </row>
    <row r="19037">
      <c r="AI19037" s="80"/>
    </row>
    <row r="19038">
      <c r="AI19038" s="80"/>
    </row>
    <row r="19039">
      <c r="AI19039" s="80"/>
    </row>
    <row r="19040">
      <c r="AI19040" s="80"/>
    </row>
    <row r="19041">
      <c r="AI19041" s="80"/>
    </row>
    <row r="19042">
      <c r="AI19042" s="80"/>
    </row>
    <row r="19043">
      <c r="AI19043" s="80"/>
    </row>
    <row r="19044">
      <c r="AI19044" s="80"/>
    </row>
    <row r="19045">
      <c r="AI19045" s="80"/>
    </row>
    <row r="19046">
      <c r="AI19046" s="80"/>
    </row>
    <row r="19047">
      <c r="AI19047" s="80"/>
    </row>
    <row r="19048">
      <c r="AI19048" s="80"/>
    </row>
    <row r="19049">
      <c r="AI19049" s="80"/>
    </row>
    <row r="19050">
      <c r="AI19050" s="80"/>
    </row>
    <row r="19051">
      <c r="AI19051" s="80"/>
    </row>
    <row r="19052">
      <c r="AI19052" s="80"/>
    </row>
    <row r="19053">
      <c r="AI19053" s="80"/>
    </row>
    <row r="19054">
      <c r="AI19054" s="80"/>
    </row>
    <row r="19055">
      <c r="AI19055" s="80"/>
    </row>
    <row r="19056">
      <c r="AI19056" s="80"/>
    </row>
    <row r="19057">
      <c r="AI19057" s="80"/>
    </row>
    <row r="19058">
      <c r="AI19058" s="80"/>
    </row>
    <row r="19059">
      <c r="AI19059" s="80"/>
    </row>
    <row r="19060">
      <c r="AI19060" s="80"/>
    </row>
    <row r="19061">
      <c r="AI19061" s="80"/>
    </row>
    <row r="19062">
      <c r="AI19062" s="80"/>
    </row>
    <row r="19063">
      <c r="AI19063" s="80"/>
    </row>
    <row r="19064">
      <c r="AI19064" s="80"/>
    </row>
    <row r="19065">
      <c r="AI19065" s="80"/>
    </row>
    <row r="19066">
      <c r="AI19066" s="80"/>
    </row>
    <row r="19067">
      <c r="AI19067" s="80"/>
    </row>
    <row r="19068">
      <c r="AI19068" s="80"/>
    </row>
    <row r="19069">
      <c r="AI19069" s="80"/>
    </row>
    <row r="19070">
      <c r="AI19070" s="80"/>
    </row>
    <row r="19071">
      <c r="AI19071" s="80"/>
    </row>
    <row r="19072">
      <c r="AI19072" s="80"/>
    </row>
    <row r="19073">
      <c r="AI19073" s="80"/>
    </row>
    <row r="19074">
      <c r="AI19074" s="80"/>
    </row>
    <row r="19075">
      <c r="AI19075" s="80"/>
    </row>
    <row r="19076">
      <c r="AI19076" s="80"/>
    </row>
    <row r="19077">
      <c r="AI19077" s="80"/>
    </row>
    <row r="19078">
      <c r="AI19078" s="80"/>
    </row>
    <row r="19079">
      <c r="AI19079" s="80"/>
    </row>
    <row r="19080">
      <c r="AI19080" s="80"/>
    </row>
    <row r="19081">
      <c r="AI19081" s="80"/>
    </row>
    <row r="19082">
      <c r="AI19082" s="80"/>
    </row>
    <row r="19083">
      <c r="AI19083" s="80"/>
    </row>
    <row r="19084">
      <c r="AI19084" s="80"/>
    </row>
    <row r="19085">
      <c r="AI19085" s="80"/>
    </row>
    <row r="19086">
      <c r="AI19086" s="80"/>
    </row>
    <row r="19087">
      <c r="AI19087" s="80"/>
    </row>
    <row r="19088">
      <c r="AI19088" s="80"/>
    </row>
    <row r="19089">
      <c r="AI19089" s="80"/>
    </row>
    <row r="19090">
      <c r="AI19090" s="80"/>
    </row>
    <row r="19091">
      <c r="AI19091" s="80"/>
    </row>
    <row r="19092">
      <c r="AI19092" s="80"/>
    </row>
    <row r="19093">
      <c r="AI19093" s="80"/>
    </row>
    <row r="19094">
      <c r="AI19094" s="80"/>
    </row>
    <row r="19095">
      <c r="AI19095" s="80"/>
    </row>
    <row r="19096">
      <c r="AI19096" s="80"/>
    </row>
    <row r="19097">
      <c r="AI19097" s="80"/>
    </row>
    <row r="19098">
      <c r="AI19098" s="80"/>
    </row>
    <row r="19099">
      <c r="AI19099" s="80"/>
    </row>
    <row r="19100">
      <c r="AI19100" s="80"/>
    </row>
    <row r="19101">
      <c r="AI19101" s="80"/>
    </row>
    <row r="19102">
      <c r="AI19102" s="80"/>
    </row>
    <row r="19103">
      <c r="AI19103" s="80"/>
    </row>
    <row r="19104">
      <c r="AI19104" s="80"/>
    </row>
    <row r="19105">
      <c r="AI19105" s="80"/>
    </row>
    <row r="19106">
      <c r="AI19106" s="80"/>
    </row>
    <row r="19107">
      <c r="AI19107" s="80"/>
    </row>
    <row r="19108">
      <c r="AI19108" s="80"/>
    </row>
    <row r="19109">
      <c r="AI19109" s="80"/>
    </row>
    <row r="19110">
      <c r="AI19110" s="80"/>
    </row>
    <row r="19111">
      <c r="AI19111" s="80"/>
    </row>
    <row r="19112">
      <c r="AI19112" s="80"/>
    </row>
    <row r="19113">
      <c r="AI19113" s="80"/>
    </row>
    <row r="19114">
      <c r="AI19114" s="80"/>
    </row>
    <row r="19115">
      <c r="AI19115" s="80"/>
    </row>
    <row r="19116">
      <c r="AI19116" s="80"/>
    </row>
    <row r="19117">
      <c r="AI19117" s="80"/>
    </row>
    <row r="19118">
      <c r="AI19118" s="80"/>
    </row>
    <row r="19119">
      <c r="AI19119" s="80"/>
    </row>
    <row r="19120">
      <c r="AI19120" s="80"/>
    </row>
    <row r="19121">
      <c r="AI19121" s="80"/>
    </row>
    <row r="19122">
      <c r="AI19122" s="80"/>
    </row>
    <row r="19123">
      <c r="AI19123" s="80"/>
    </row>
    <row r="19124">
      <c r="AI19124" s="80"/>
    </row>
    <row r="19125">
      <c r="AI19125" s="80"/>
    </row>
    <row r="19126">
      <c r="AI19126" s="80"/>
    </row>
    <row r="19127">
      <c r="AI19127" s="80"/>
    </row>
    <row r="19128">
      <c r="AI19128" s="80"/>
    </row>
    <row r="19129">
      <c r="AI19129" s="80"/>
    </row>
    <row r="19130">
      <c r="AI19130" s="80"/>
    </row>
    <row r="19131">
      <c r="AI19131" s="80"/>
    </row>
    <row r="19132">
      <c r="AI19132" s="80"/>
    </row>
    <row r="19133">
      <c r="AI19133" s="80"/>
    </row>
    <row r="19134">
      <c r="AI19134" s="80"/>
    </row>
    <row r="19135">
      <c r="AI19135" s="80"/>
    </row>
    <row r="19136">
      <c r="AI19136" s="80"/>
    </row>
    <row r="19137">
      <c r="AI19137" s="80"/>
    </row>
    <row r="19138">
      <c r="AI19138" s="80"/>
    </row>
    <row r="19139">
      <c r="AI19139" s="80"/>
    </row>
    <row r="19140">
      <c r="AI19140" s="80"/>
    </row>
    <row r="19141">
      <c r="AI19141" s="80"/>
    </row>
    <row r="19142">
      <c r="AI19142" s="80"/>
    </row>
    <row r="19143">
      <c r="AI19143" s="80"/>
    </row>
    <row r="19144">
      <c r="AI19144" s="80"/>
    </row>
    <row r="19145">
      <c r="AI19145" s="80"/>
    </row>
    <row r="19146">
      <c r="AI19146" s="80"/>
    </row>
    <row r="19147">
      <c r="AI19147" s="80"/>
    </row>
    <row r="19148">
      <c r="AI19148" s="80"/>
    </row>
    <row r="19149">
      <c r="AI19149" s="80"/>
    </row>
    <row r="19150">
      <c r="AI19150" s="80"/>
    </row>
    <row r="19151">
      <c r="AI19151" s="80"/>
    </row>
    <row r="19152">
      <c r="AI19152" s="80"/>
    </row>
    <row r="19153">
      <c r="AI19153" s="80"/>
    </row>
    <row r="19154">
      <c r="AI19154" s="80"/>
    </row>
    <row r="19155">
      <c r="AI19155" s="80"/>
    </row>
    <row r="19156">
      <c r="AI19156" s="80"/>
    </row>
    <row r="19157">
      <c r="AI19157" s="80"/>
    </row>
    <row r="19158">
      <c r="AI19158" s="80"/>
    </row>
    <row r="19159">
      <c r="AI19159" s="80"/>
    </row>
    <row r="19160">
      <c r="AI19160" s="80"/>
    </row>
    <row r="19161">
      <c r="AI19161" s="80"/>
    </row>
    <row r="19162">
      <c r="AI19162" s="80"/>
    </row>
    <row r="19163">
      <c r="AI19163" s="80"/>
    </row>
    <row r="19164">
      <c r="AI19164" s="80"/>
    </row>
    <row r="19165">
      <c r="AI19165" s="80"/>
    </row>
    <row r="19166">
      <c r="AI19166" s="80"/>
    </row>
    <row r="19167">
      <c r="AI19167" s="80"/>
    </row>
    <row r="19168">
      <c r="AI19168" s="80"/>
    </row>
    <row r="19169">
      <c r="AI19169" s="80"/>
    </row>
    <row r="19170">
      <c r="AI19170" s="80"/>
    </row>
    <row r="19171">
      <c r="AI19171" s="80"/>
    </row>
    <row r="19172">
      <c r="AI19172" s="80"/>
    </row>
    <row r="19173">
      <c r="AI19173" s="80"/>
    </row>
    <row r="19174">
      <c r="AI19174" s="80"/>
    </row>
    <row r="19175">
      <c r="AI19175" s="80"/>
    </row>
    <row r="19176">
      <c r="AI19176" s="80"/>
    </row>
    <row r="19177">
      <c r="AI19177" s="80"/>
    </row>
    <row r="19178">
      <c r="AI19178" s="80"/>
    </row>
    <row r="19179">
      <c r="AI19179" s="80"/>
    </row>
    <row r="19180">
      <c r="AI19180" s="80"/>
    </row>
    <row r="19181">
      <c r="AI19181" s="80"/>
    </row>
    <row r="19182">
      <c r="AI19182" s="80"/>
    </row>
    <row r="19183">
      <c r="AI19183" s="80"/>
    </row>
    <row r="19184">
      <c r="AI19184" s="80"/>
    </row>
    <row r="19185">
      <c r="AI19185" s="80"/>
    </row>
    <row r="19186">
      <c r="AI19186" s="80"/>
    </row>
    <row r="19187">
      <c r="AI19187" s="80"/>
    </row>
    <row r="19188">
      <c r="AI19188" s="80"/>
    </row>
    <row r="19189">
      <c r="AI19189" s="80"/>
    </row>
    <row r="19190">
      <c r="AI19190" s="80"/>
    </row>
    <row r="19191">
      <c r="AI19191" s="80"/>
    </row>
    <row r="19192">
      <c r="AI19192" s="80"/>
    </row>
    <row r="19193">
      <c r="AI19193" s="80"/>
    </row>
    <row r="19194">
      <c r="AI19194" s="80"/>
    </row>
    <row r="19195">
      <c r="AI19195" s="80"/>
    </row>
    <row r="19196">
      <c r="AI19196" s="80"/>
    </row>
    <row r="19197">
      <c r="AI19197" s="80"/>
    </row>
    <row r="19198">
      <c r="AI19198" s="80"/>
    </row>
    <row r="19199">
      <c r="AI19199" s="80"/>
    </row>
    <row r="19200">
      <c r="AI19200" s="80"/>
    </row>
    <row r="19201">
      <c r="AI19201" s="80"/>
    </row>
    <row r="19202">
      <c r="AI19202" s="80"/>
    </row>
    <row r="19203">
      <c r="AI19203" s="80"/>
    </row>
    <row r="19204">
      <c r="AI19204" s="80"/>
    </row>
    <row r="19205">
      <c r="AI19205" s="80"/>
    </row>
    <row r="19206">
      <c r="AI19206" s="80"/>
    </row>
    <row r="19207">
      <c r="AI19207" s="80"/>
    </row>
    <row r="19208">
      <c r="AI19208" s="80"/>
    </row>
    <row r="19209">
      <c r="AI19209" s="80"/>
    </row>
    <row r="19210">
      <c r="AI19210" s="80"/>
    </row>
    <row r="19211">
      <c r="AI19211" s="80"/>
    </row>
    <row r="19212">
      <c r="AI19212" s="80"/>
    </row>
    <row r="19213">
      <c r="AI19213" s="80"/>
    </row>
    <row r="19214">
      <c r="AI19214" s="80"/>
    </row>
    <row r="19215">
      <c r="AI19215" s="80"/>
    </row>
    <row r="19216">
      <c r="AI19216" s="80"/>
    </row>
    <row r="19217">
      <c r="AI19217" s="80"/>
    </row>
    <row r="19218">
      <c r="AI19218" s="80"/>
    </row>
    <row r="19219">
      <c r="AI19219" s="80"/>
    </row>
    <row r="19220">
      <c r="AI19220" s="80"/>
    </row>
    <row r="19221">
      <c r="AI19221" s="80"/>
    </row>
    <row r="19222">
      <c r="AI19222" s="80"/>
    </row>
    <row r="19223">
      <c r="AI19223" s="80"/>
    </row>
    <row r="19224">
      <c r="AI19224" s="80"/>
    </row>
    <row r="19225">
      <c r="AI19225" s="80"/>
    </row>
    <row r="19226">
      <c r="AI19226" s="80"/>
    </row>
    <row r="19227">
      <c r="AI19227" s="80"/>
    </row>
    <row r="19228">
      <c r="AI19228" s="80"/>
    </row>
    <row r="19229">
      <c r="AI19229" s="80"/>
    </row>
    <row r="19230">
      <c r="AI19230" s="80"/>
    </row>
    <row r="19231">
      <c r="AI19231" s="80"/>
    </row>
    <row r="19232">
      <c r="AI19232" s="80"/>
    </row>
    <row r="19233">
      <c r="AI19233" s="80"/>
    </row>
    <row r="19234">
      <c r="AI19234" s="80"/>
    </row>
    <row r="19235">
      <c r="AI19235" s="80"/>
    </row>
    <row r="19236">
      <c r="AI19236" s="80"/>
    </row>
    <row r="19237">
      <c r="AI19237" s="80"/>
    </row>
    <row r="19238">
      <c r="AI19238" s="80"/>
    </row>
    <row r="19239">
      <c r="AI19239" s="80"/>
    </row>
    <row r="19240">
      <c r="AI19240" s="80"/>
    </row>
    <row r="19241">
      <c r="AI19241" s="80"/>
    </row>
    <row r="19242">
      <c r="AI19242" s="80"/>
    </row>
    <row r="19243">
      <c r="AI19243" s="80"/>
    </row>
    <row r="19244">
      <c r="AI19244" s="80"/>
    </row>
    <row r="19245">
      <c r="AI19245" s="80"/>
    </row>
    <row r="19246">
      <c r="AI19246" s="80"/>
    </row>
    <row r="19247">
      <c r="AI19247" s="80"/>
    </row>
    <row r="19248">
      <c r="AI19248" s="80"/>
    </row>
    <row r="19249">
      <c r="AI19249" s="80"/>
    </row>
    <row r="19250">
      <c r="AI19250" s="80"/>
    </row>
    <row r="19251">
      <c r="AI19251" s="80"/>
    </row>
    <row r="19252">
      <c r="AI19252" s="80"/>
    </row>
    <row r="19253">
      <c r="AI19253" s="80"/>
    </row>
    <row r="19254">
      <c r="AI19254" s="80"/>
    </row>
    <row r="19255">
      <c r="AI19255" s="80"/>
    </row>
    <row r="19256">
      <c r="AI19256" s="80"/>
    </row>
    <row r="19257">
      <c r="AI19257" s="80"/>
    </row>
    <row r="19258">
      <c r="AI19258" s="80"/>
    </row>
    <row r="19259">
      <c r="AI19259" s="80"/>
    </row>
    <row r="19260">
      <c r="AI19260" s="80"/>
    </row>
    <row r="19261">
      <c r="AI19261" s="80"/>
    </row>
    <row r="19262">
      <c r="AI19262" s="80"/>
    </row>
    <row r="19263">
      <c r="AI19263" s="80"/>
    </row>
    <row r="19264">
      <c r="AI19264" s="80"/>
    </row>
    <row r="19265">
      <c r="AI19265" s="80"/>
    </row>
    <row r="19266">
      <c r="AI19266" s="80"/>
    </row>
    <row r="19267">
      <c r="AI19267" s="80"/>
    </row>
    <row r="19268">
      <c r="AI19268" s="80"/>
    </row>
    <row r="19269">
      <c r="AI19269" s="80"/>
    </row>
    <row r="19270">
      <c r="AI19270" s="80"/>
    </row>
    <row r="19271">
      <c r="AI19271" s="80"/>
    </row>
    <row r="19272">
      <c r="AI19272" s="80"/>
    </row>
    <row r="19273">
      <c r="AI19273" s="80"/>
    </row>
    <row r="19274">
      <c r="AI19274" s="80"/>
    </row>
    <row r="19275">
      <c r="AI19275" s="80"/>
    </row>
    <row r="19276">
      <c r="AI19276" s="80"/>
    </row>
    <row r="19277">
      <c r="AI19277" s="80"/>
    </row>
    <row r="19278">
      <c r="AI19278" s="80"/>
    </row>
    <row r="19279">
      <c r="AI19279" s="80"/>
    </row>
    <row r="19280">
      <c r="AI19280" s="80"/>
    </row>
    <row r="19281">
      <c r="AI19281" s="80"/>
    </row>
    <row r="19282">
      <c r="AI19282" s="80"/>
    </row>
    <row r="19283">
      <c r="AI19283" s="80"/>
    </row>
    <row r="19284">
      <c r="AI19284" s="80"/>
    </row>
    <row r="19285">
      <c r="AI19285" s="80"/>
    </row>
    <row r="19286">
      <c r="AI19286" s="80"/>
    </row>
    <row r="19287">
      <c r="AI19287" s="80"/>
    </row>
    <row r="19288">
      <c r="AI19288" s="80"/>
    </row>
    <row r="19289">
      <c r="AI19289" s="80"/>
    </row>
    <row r="19290">
      <c r="AI19290" s="80"/>
    </row>
    <row r="19291">
      <c r="AI19291" s="80"/>
    </row>
    <row r="19292">
      <c r="AI19292" s="80"/>
    </row>
    <row r="19293">
      <c r="AI19293" s="80"/>
    </row>
    <row r="19294">
      <c r="AI19294" s="80"/>
    </row>
    <row r="19295">
      <c r="AI19295" s="80"/>
    </row>
    <row r="19296">
      <c r="AI19296" s="80"/>
    </row>
    <row r="19297">
      <c r="AI19297" s="80"/>
    </row>
    <row r="19298">
      <c r="AI19298" s="80"/>
    </row>
    <row r="19299">
      <c r="AI19299" s="80"/>
    </row>
    <row r="19300">
      <c r="AI19300" s="80"/>
    </row>
    <row r="19301">
      <c r="AI19301" s="80"/>
    </row>
    <row r="19302">
      <c r="AI19302" s="80"/>
    </row>
    <row r="19303">
      <c r="AI19303" s="80"/>
    </row>
    <row r="19304">
      <c r="AI19304" s="80"/>
    </row>
    <row r="19305">
      <c r="AI19305" s="80"/>
    </row>
    <row r="19306">
      <c r="AI19306" s="80"/>
    </row>
    <row r="19307">
      <c r="AI19307" s="80"/>
    </row>
    <row r="19308">
      <c r="AI19308" s="80"/>
    </row>
    <row r="19309">
      <c r="AI19309" s="80"/>
    </row>
    <row r="19310">
      <c r="AI19310" s="80"/>
    </row>
    <row r="19311">
      <c r="AI19311" s="80"/>
    </row>
    <row r="19312">
      <c r="AI19312" s="80"/>
    </row>
    <row r="19313">
      <c r="AI19313" s="80"/>
    </row>
    <row r="19314">
      <c r="AI19314" s="80"/>
    </row>
    <row r="19315">
      <c r="AI19315" s="80"/>
    </row>
    <row r="19316">
      <c r="AI19316" s="80"/>
    </row>
    <row r="19317">
      <c r="AI19317" s="80"/>
    </row>
    <row r="19318">
      <c r="AI19318" s="80"/>
    </row>
    <row r="19319">
      <c r="AI19319" s="80"/>
    </row>
    <row r="19320">
      <c r="AI19320" s="80"/>
    </row>
    <row r="19321">
      <c r="AI19321" s="80"/>
    </row>
    <row r="19322">
      <c r="AI19322" s="80"/>
    </row>
    <row r="19323">
      <c r="AI19323" s="80"/>
    </row>
    <row r="19324">
      <c r="AI19324" s="80"/>
    </row>
    <row r="19325">
      <c r="AI19325" s="80"/>
    </row>
    <row r="19326">
      <c r="AI19326" s="80"/>
    </row>
    <row r="19327">
      <c r="AI19327" s="80"/>
    </row>
    <row r="19328">
      <c r="AI19328" s="80"/>
    </row>
    <row r="19329">
      <c r="AI19329" s="80"/>
    </row>
    <row r="19330">
      <c r="AI19330" s="80"/>
    </row>
    <row r="19331">
      <c r="AI19331" s="80"/>
    </row>
    <row r="19332">
      <c r="AI19332" s="80"/>
    </row>
    <row r="19333">
      <c r="AI19333" s="80"/>
    </row>
    <row r="19334">
      <c r="AI19334" s="80"/>
    </row>
    <row r="19335">
      <c r="AI19335" s="80"/>
    </row>
    <row r="19336">
      <c r="AI19336" s="80"/>
    </row>
    <row r="19337">
      <c r="AI19337" s="80"/>
    </row>
    <row r="19338">
      <c r="AI19338" s="80"/>
    </row>
    <row r="19339">
      <c r="AI19339" s="80"/>
    </row>
    <row r="19340">
      <c r="AI19340" s="80"/>
    </row>
    <row r="19341">
      <c r="AI19341" s="80"/>
    </row>
    <row r="19342">
      <c r="AI19342" s="80"/>
    </row>
    <row r="19343">
      <c r="AI19343" s="80"/>
    </row>
    <row r="19344">
      <c r="AI19344" s="80"/>
    </row>
    <row r="19345">
      <c r="AI19345" s="80"/>
    </row>
    <row r="19346">
      <c r="AI19346" s="80"/>
    </row>
    <row r="19347">
      <c r="AI19347" s="80"/>
    </row>
    <row r="19348">
      <c r="AI19348" s="80"/>
    </row>
    <row r="19349">
      <c r="AI19349" s="80"/>
    </row>
    <row r="19350">
      <c r="AI19350" s="80"/>
    </row>
    <row r="19351">
      <c r="AI19351" s="80"/>
    </row>
    <row r="19352">
      <c r="AI19352" s="80"/>
    </row>
    <row r="19353">
      <c r="AI19353" s="80"/>
    </row>
    <row r="19354">
      <c r="AI19354" s="80"/>
    </row>
    <row r="19355">
      <c r="AI19355" s="80"/>
    </row>
    <row r="19356">
      <c r="AI19356" s="80"/>
    </row>
    <row r="19357">
      <c r="AI19357" s="80"/>
    </row>
    <row r="19358">
      <c r="AI19358" s="80"/>
    </row>
    <row r="19359">
      <c r="AI19359" s="80"/>
    </row>
    <row r="19360">
      <c r="AI19360" s="80"/>
    </row>
    <row r="19361">
      <c r="AI19361" s="80"/>
    </row>
    <row r="19362">
      <c r="AI19362" s="80"/>
    </row>
    <row r="19363">
      <c r="AI19363" s="80"/>
    </row>
    <row r="19364">
      <c r="AI19364" s="80"/>
    </row>
    <row r="19365">
      <c r="AI19365" s="80"/>
    </row>
    <row r="19366">
      <c r="AI19366" s="80"/>
    </row>
    <row r="19367">
      <c r="AI19367" s="80"/>
    </row>
    <row r="19368">
      <c r="AI19368" s="80"/>
    </row>
    <row r="19369">
      <c r="AI19369" s="80"/>
    </row>
    <row r="19370">
      <c r="AI19370" s="80"/>
    </row>
    <row r="19371">
      <c r="AI19371" s="80"/>
    </row>
    <row r="19372">
      <c r="AI19372" s="80"/>
    </row>
    <row r="19373">
      <c r="AI19373" s="80"/>
    </row>
    <row r="19374">
      <c r="AI19374" s="80"/>
    </row>
    <row r="19375">
      <c r="AI19375" s="80"/>
    </row>
    <row r="19376">
      <c r="AI19376" s="80"/>
    </row>
    <row r="19377">
      <c r="AI19377" s="80"/>
    </row>
    <row r="19378">
      <c r="AI19378" s="80"/>
    </row>
    <row r="19379">
      <c r="AI19379" s="80"/>
    </row>
    <row r="19380">
      <c r="AI19380" s="80"/>
    </row>
    <row r="19381">
      <c r="AI19381" s="80"/>
    </row>
    <row r="19382">
      <c r="AI19382" s="80"/>
    </row>
    <row r="19383">
      <c r="AI19383" s="80"/>
    </row>
    <row r="19384">
      <c r="AI19384" s="80"/>
    </row>
    <row r="19385">
      <c r="AI19385" s="80"/>
    </row>
    <row r="19386">
      <c r="AI19386" s="80"/>
    </row>
    <row r="19387">
      <c r="AI19387" s="80"/>
    </row>
    <row r="19388">
      <c r="AI19388" s="80"/>
    </row>
    <row r="19389">
      <c r="AI19389" s="80"/>
    </row>
    <row r="19390">
      <c r="AI19390" s="80"/>
    </row>
    <row r="19391">
      <c r="AI19391" s="80"/>
    </row>
    <row r="19392">
      <c r="AI19392" s="80"/>
    </row>
    <row r="19393">
      <c r="AI19393" s="80"/>
    </row>
    <row r="19394">
      <c r="AI19394" s="80"/>
    </row>
    <row r="19395">
      <c r="AI19395" s="80"/>
    </row>
    <row r="19396">
      <c r="AI19396" s="80"/>
    </row>
    <row r="19397">
      <c r="AI19397" s="80"/>
    </row>
    <row r="19398">
      <c r="AI19398" s="80"/>
    </row>
    <row r="19399">
      <c r="AI19399" s="80"/>
    </row>
    <row r="19400">
      <c r="AI19400" s="80"/>
    </row>
    <row r="19401">
      <c r="AI19401" s="80"/>
    </row>
    <row r="19402">
      <c r="AI19402" s="80"/>
    </row>
    <row r="19403">
      <c r="AI19403" s="80"/>
    </row>
    <row r="19404">
      <c r="AI19404" s="80"/>
    </row>
    <row r="19405">
      <c r="AI19405" s="80"/>
    </row>
    <row r="19406">
      <c r="AI19406" s="80"/>
    </row>
    <row r="19407">
      <c r="AI19407" s="80"/>
    </row>
    <row r="19408">
      <c r="AI19408" s="80"/>
    </row>
    <row r="19409">
      <c r="AI19409" s="80"/>
    </row>
    <row r="19410">
      <c r="AI19410" s="80"/>
    </row>
    <row r="19411">
      <c r="AI19411" s="80"/>
    </row>
    <row r="19412">
      <c r="AI19412" s="80"/>
    </row>
    <row r="19413">
      <c r="AI19413" s="80"/>
    </row>
    <row r="19414">
      <c r="AI19414" s="80"/>
    </row>
    <row r="19415">
      <c r="AI19415" s="80"/>
    </row>
    <row r="19416">
      <c r="AI19416" s="80"/>
    </row>
    <row r="19417">
      <c r="AI19417" s="80"/>
    </row>
    <row r="19418">
      <c r="AI19418" s="80"/>
    </row>
    <row r="19419">
      <c r="AI19419" s="80"/>
    </row>
    <row r="19420">
      <c r="AI19420" s="80"/>
    </row>
    <row r="19421">
      <c r="AI19421" s="80"/>
    </row>
    <row r="19422">
      <c r="AI19422" s="80"/>
    </row>
    <row r="19423">
      <c r="AI19423" s="80"/>
    </row>
    <row r="19424">
      <c r="AI19424" s="80"/>
    </row>
    <row r="19425">
      <c r="AI19425" s="80"/>
    </row>
    <row r="19426">
      <c r="AI19426" s="80"/>
    </row>
    <row r="19427">
      <c r="AI19427" s="80"/>
    </row>
    <row r="19428">
      <c r="AI19428" s="80"/>
    </row>
    <row r="19429">
      <c r="AI19429" s="80"/>
    </row>
    <row r="19430">
      <c r="AI19430" s="80"/>
    </row>
    <row r="19431">
      <c r="AI19431" s="80"/>
    </row>
    <row r="19432">
      <c r="AI19432" s="80"/>
    </row>
    <row r="19433">
      <c r="AI19433" s="80"/>
    </row>
    <row r="19434">
      <c r="AI19434" s="80"/>
    </row>
    <row r="19435">
      <c r="AI19435" s="80"/>
    </row>
    <row r="19436">
      <c r="AI19436" s="80"/>
    </row>
    <row r="19437">
      <c r="AI19437" s="80"/>
    </row>
    <row r="19438">
      <c r="AI19438" s="80"/>
    </row>
    <row r="19439">
      <c r="AI19439" s="80"/>
    </row>
    <row r="19440">
      <c r="AI19440" s="80"/>
    </row>
    <row r="19441">
      <c r="AI19441" s="80"/>
    </row>
    <row r="19442">
      <c r="AI19442" s="80"/>
    </row>
    <row r="19443">
      <c r="AI19443" s="80"/>
    </row>
    <row r="19444">
      <c r="AI19444" s="80"/>
    </row>
    <row r="19445">
      <c r="AI19445" s="80"/>
    </row>
    <row r="19446">
      <c r="AI19446" s="80"/>
    </row>
    <row r="19447">
      <c r="AI19447" s="80"/>
    </row>
    <row r="19448">
      <c r="AI19448" s="80"/>
    </row>
    <row r="19449">
      <c r="AI19449" s="80"/>
    </row>
    <row r="19450">
      <c r="AI19450" s="80"/>
    </row>
    <row r="19451">
      <c r="AI19451" s="80"/>
    </row>
    <row r="19452">
      <c r="AI19452" s="80"/>
    </row>
    <row r="19453">
      <c r="AI19453" s="80"/>
    </row>
    <row r="19454">
      <c r="AI19454" s="80"/>
    </row>
    <row r="19455">
      <c r="AI19455" s="80"/>
    </row>
    <row r="19456">
      <c r="AI19456" s="80"/>
    </row>
    <row r="19457">
      <c r="AI19457" s="80"/>
    </row>
    <row r="19458">
      <c r="AI19458" s="80"/>
    </row>
    <row r="19459">
      <c r="AI19459" s="80"/>
    </row>
    <row r="19460">
      <c r="AI19460" s="80"/>
    </row>
    <row r="19461">
      <c r="AI19461" s="80"/>
    </row>
    <row r="19462">
      <c r="AI19462" s="80"/>
    </row>
    <row r="19463">
      <c r="AI19463" s="80"/>
    </row>
    <row r="19464">
      <c r="AI19464" s="80"/>
    </row>
    <row r="19465">
      <c r="AI19465" s="80"/>
    </row>
    <row r="19466">
      <c r="AI19466" s="80"/>
    </row>
    <row r="19467">
      <c r="AI19467" s="80"/>
    </row>
    <row r="19468">
      <c r="AI19468" s="80"/>
    </row>
    <row r="19469">
      <c r="AI19469" s="80"/>
    </row>
    <row r="19470">
      <c r="AI19470" s="80"/>
    </row>
    <row r="19471">
      <c r="AI19471" s="80"/>
    </row>
    <row r="19472">
      <c r="AI19472" s="80"/>
    </row>
    <row r="19473">
      <c r="AI19473" s="80"/>
    </row>
    <row r="19474">
      <c r="AI19474" s="80"/>
    </row>
    <row r="19475">
      <c r="AI19475" s="80"/>
    </row>
    <row r="19476">
      <c r="AI19476" s="80"/>
    </row>
    <row r="19477">
      <c r="AI19477" s="80"/>
    </row>
    <row r="19478">
      <c r="AI19478" s="80"/>
    </row>
    <row r="19479">
      <c r="AI19479" s="80"/>
    </row>
    <row r="19480">
      <c r="AI19480" s="80"/>
    </row>
    <row r="19481">
      <c r="AI19481" s="80"/>
    </row>
    <row r="19482">
      <c r="AI19482" s="80"/>
    </row>
    <row r="19483">
      <c r="AI19483" s="80"/>
    </row>
    <row r="19484">
      <c r="AI19484" s="80"/>
    </row>
    <row r="19485">
      <c r="AI19485" s="80"/>
    </row>
    <row r="19486">
      <c r="AI19486" s="80"/>
    </row>
    <row r="19487">
      <c r="AI19487" s="80"/>
    </row>
    <row r="19488">
      <c r="AI19488" s="80"/>
    </row>
    <row r="19489">
      <c r="AI19489" s="80"/>
    </row>
    <row r="19490">
      <c r="AI19490" s="80"/>
    </row>
    <row r="19491">
      <c r="AI19491" s="80"/>
    </row>
    <row r="19492">
      <c r="AI19492" s="80"/>
    </row>
    <row r="19493">
      <c r="AI19493" s="80"/>
    </row>
    <row r="19494">
      <c r="AI19494" s="80"/>
    </row>
    <row r="19495">
      <c r="AI19495" s="80"/>
    </row>
    <row r="19496">
      <c r="AI19496" s="80"/>
    </row>
    <row r="19497">
      <c r="AI19497" s="80"/>
    </row>
    <row r="19498">
      <c r="AI19498" s="80"/>
    </row>
    <row r="19499">
      <c r="AI19499" s="80"/>
    </row>
    <row r="19500">
      <c r="AI19500" s="80"/>
    </row>
    <row r="19501">
      <c r="AI19501" s="80"/>
    </row>
    <row r="19502">
      <c r="AI19502" s="80"/>
    </row>
    <row r="19503">
      <c r="AI19503" s="80"/>
    </row>
    <row r="19504">
      <c r="AI19504" s="80"/>
    </row>
    <row r="19505">
      <c r="AI19505" s="80"/>
    </row>
    <row r="19506">
      <c r="AI19506" s="80"/>
    </row>
    <row r="19507">
      <c r="AI19507" s="80"/>
    </row>
    <row r="19508">
      <c r="AI19508" s="80"/>
    </row>
    <row r="19509">
      <c r="AI19509" s="80"/>
    </row>
    <row r="19510">
      <c r="AI19510" s="80"/>
    </row>
    <row r="19511">
      <c r="AI19511" s="80"/>
    </row>
    <row r="19512">
      <c r="AI19512" s="80"/>
    </row>
    <row r="19513">
      <c r="AI19513" s="80"/>
    </row>
    <row r="19514">
      <c r="AI19514" s="80"/>
    </row>
    <row r="19515">
      <c r="AI19515" s="80"/>
    </row>
    <row r="19516">
      <c r="AI19516" s="80"/>
    </row>
    <row r="19517">
      <c r="AI19517" s="80"/>
    </row>
    <row r="19518">
      <c r="AI19518" s="80"/>
    </row>
    <row r="19519">
      <c r="AI19519" s="80"/>
    </row>
    <row r="19520">
      <c r="AI19520" s="80"/>
    </row>
    <row r="19521">
      <c r="AI19521" s="80"/>
    </row>
    <row r="19522">
      <c r="AI19522" s="80"/>
    </row>
    <row r="19523">
      <c r="AI19523" s="80"/>
    </row>
    <row r="19524">
      <c r="AI19524" s="80"/>
    </row>
    <row r="19525">
      <c r="AI19525" s="80"/>
    </row>
    <row r="19526">
      <c r="AI19526" s="80"/>
    </row>
    <row r="19527">
      <c r="AI19527" s="80"/>
    </row>
    <row r="19528">
      <c r="AI19528" s="80"/>
    </row>
    <row r="19529">
      <c r="AI19529" s="80"/>
    </row>
    <row r="19530">
      <c r="AI19530" s="80"/>
    </row>
    <row r="19531">
      <c r="AI19531" s="80"/>
    </row>
    <row r="19532">
      <c r="AI19532" s="80"/>
    </row>
    <row r="19533">
      <c r="AI19533" s="80"/>
    </row>
    <row r="19534">
      <c r="AI19534" s="80"/>
    </row>
    <row r="19535">
      <c r="AI19535" s="80"/>
    </row>
    <row r="19536">
      <c r="AI19536" s="80"/>
    </row>
    <row r="19537">
      <c r="AI19537" s="80"/>
    </row>
    <row r="19538">
      <c r="AI19538" s="80"/>
    </row>
    <row r="19539">
      <c r="AI19539" s="80"/>
    </row>
    <row r="19540">
      <c r="AI19540" s="80"/>
    </row>
    <row r="19541">
      <c r="AI19541" s="80"/>
    </row>
    <row r="19542">
      <c r="AI19542" s="80"/>
    </row>
    <row r="19543">
      <c r="AI19543" s="80"/>
    </row>
    <row r="19544">
      <c r="AI19544" s="80"/>
    </row>
    <row r="19545">
      <c r="AI19545" s="80"/>
    </row>
    <row r="19546">
      <c r="AI19546" s="80"/>
    </row>
    <row r="19547">
      <c r="AI19547" s="80"/>
    </row>
    <row r="19548">
      <c r="AI19548" s="80"/>
    </row>
    <row r="19549">
      <c r="AI19549" s="80"/>
    </row>
    <row r="19550">
      <c r="AI19550" s="80"/>
    </row>
    <row r="19551">
      <c r="AI19551" s="80"/>
    </row>
    <row r="19552">
      <c r="AI19552" s="80"/>
    </row>
    <row r="19553">
      <c r="AI19553" s="80"/>
    </row>
    <row r="19554">
      <c r="AI19554" s="80"/>
    </row>
    <row r="19555">
      <c r="AI19555" s="80"/>
    </row>
    <row r="19556">
      <c r="AI19556" s="80"/>
    </row>
    <row r="19557">
      <c r="AI19557" s="80"/>
    </row>
    <row r="19558">
      <c r="AI19558" s="80"/>
    </row>
    <row r="19559">
      <c r="AI19559" s="80"/>
    </row>
    <row r="19560">
      <c r="AI19560" s="80"/>
    </row>
    <row r="19561">
      <c r="AI19561" s="80"/>
    </row>
    <row r="19562">
      <c r="AI19562" s="80"/>
    </row>
    <row r="19563">
      <c r="AI19563" s="80"/>
    </row>
    <row r="19564">
      <c r="AI19564" s="80"/>
    </row>
    <row r="19565">
      <c r="AI19565" s="80"/>
    </row>
    <row r="19566">
      <c r="AI19566" s="80"/>
    </row>
    <row r="19567">
      <c r="AI19567" s="80"/>
    </row>
    <row r="19568">
      <c r="AI19568" s="80"/>
    </row>
    <row r="19569">
      <c r="AI19569" s="80"/>
    </row>
    <row r="19570">
      <c r="AI19570" s="80"/>
    </row>
    <row r="19571">
      <c r="AI19571" s="80"/>
    </row>
    <row r="19572">
      <c r="AI19572" s="80"/>
    </row>
    <row r="19573">
      <c r="AI19573" s="80"/>
    </row>
    <row r="19574">
      <c r="AI19574" s="80"/>
    </row>
    <row r="19575">
      <c r="AI19575" s="80"/>
    </row>
    <row r="19576">
      <c r="AI19576" s="80"/>
    </row>
    <row r="19577">
      <c r="AI19577" s="80"/>
    </row>
    <row r="19578">
      <c r="AI19578" s="80"/>
    </row>
    <row r="19579">
      <c r="AI19579" s="80"/>
    </row>
    <row r="19580">
      <c r="AI19580" s="80"/>
    </row>
    <row r="19581">
      <c r="AI19581" s="80"/>
    </row>
    <row r="19582">
      <c r="AI19582" s="80"/>
    </row>
    <row r="19583">
      <c r="AI19583" s="80"/>
    </row>
    <row r="19584">
      <c r="AI19584" s="80"/>
    </row>
    <row r="19585">
      <c r="AI19585" s="80"/>
    </row>
    <row r="19586">
      <c r="AI19586" s="80"/>
    </row>
    <row r="19587">
      <c r="AI19587" s="80"/>
    </row>
    <row r="19588">
      <c r="AI19588" s="80"/>
    </row>
    <row r="19589">
      <c r="AI19589" s="80"/>
    </row>
    <row r="19590">
      <c r="AI19590" s="80"/>
    </row>
    <row r="19591">
      <c r="AI19591" s="80"/>
    </row>
    <row r="19592">
      <c r="AI19592" s="80"/>
    </row>
    <row r="19593">
      <c r="AI19593" s="80"/>
    </row>
    <row r="19594">
      <c r="AI19594" s="80"/>
    </row>
    <row r="19595">
      <c r="AI19595" s="80"/>
    </row>
    <row r="19596">
      <c r="AI19596" s="80"/>
    </row>
    <row r="19597">
      <c r="AI19597" s="80"/>
    </row>
    <row r="19598">
      <c r="AI19598" s="80"/>
    </row>
    <row r="19599">
      <c r="AI19599" s="80"/>
    </row>
    <row r="19600">
      <c r="AI19600" s="80"/>
    </row>
    <row r="19601">
      <c r="AI19601" s="80"/>
    </row>
    <row r="19602">
      <c r="AI19602" s="80"/>
    </row>
    <row r="19603">
      <c r="AI19603" s="80"/>
    </row>
    <row r="19604">
      <c r="AI19604" s="80"/>
    </row>
    <row r="19605">
      <c r="AI19605" s="80"/>
    </row>
    <row r="19606">
      <c r="AI19606" s="80"/>
    </row>
    <row r="19607">
      <c r="AI19607" s="80"/>
    </row>
    <row r="19608">
      <c r="AI19608" s="80"/>
    </row>
    <row r="19609">
      <c r="AI19609" s="80"/>
    </row>
    <row r="19610">
      <c r="AI19610" s="80"/>
    </row>
    <row r="19611">
      <c r="AI19611" s="80"/>
    </row>
    <row r="19612">
      <c r="AI19612" s="80"/>
    </row>
    <row r="19613">
      <c r="AI19613" s="80"/>
    </row>
    <row r="19614">
      <c r="AI19614" s="80"/>
    </row>
    <row r="19615">
      <c r="AI19615" s="80"/>
    </row>
    <row r="19616">
      <c r="AI19616" s="80"/>
    </row>
    <row r="19617">
      <c r="AI19617" s="80"/>
    </row>
    <row r="19618">
      <c r="AI19618" s="80"/>
    </row>
    <row r="19619">
      <c r="AI19619" s="80"/>
    </row>
    <row r="19620">
      <c r="AI19620" s="80"/>
    </row>
    <row r="19621">
      <c r="AI19621" s="80"/>
    </row>
    <row r="19622">
      <c r="AI19622" s="80"/>
    </row>
    <row r="19623">
      <c r="AI19623" s="80"/>
    </row>
    <row r="19624">
      <c r="AI19624" s="80"/>
    </row>
    <row r="19625">
      <c r="AI19625" s="80"/>
    </row>
    <row r="19626">
      <c r="AI19626" s="80"/>
    </row>
    <row r="19627">
      <c r="AI19627" s="80"/>
    </row>
    <row r="19628">
      <c r="AI19628" s="80"/>
    </row>
    <row r="19629">
      <c r="AI19629" s="80"/>
    </row>
    <row r="19630">
      <c r="AI19630" s="80"/>
    </row>
    <row r="19631">
      <c r="AI19631" s="80"/>
    </row>
    <row r="19632">
      <c r="AI19632" s="80"/>
    </row>
    <row r="19633">
      <c r="AI19633" s="80"/>
    </row>
    <row r="19634">
      <c r="AI19634" s="80"/>
    </row>
    <row r="19635">
      <c r="AI19635" s="80"/>
    </row>
    <row r="19636">
      <c r="AI19636" s="80"/>
    </row>
    <row r="19637">
      <c r="AI19637" s="80"/>
    </row>
    <row r="19638">
      <c r="AI19638" s="80"/>
    </row>
    <row r="19639">
      <c r="AI19639" s="80"/>
    </row>
    <row r="19640">
      <c r="AI19640" s="80"/>
    </row>
    <row r="19641">
      <c r="AI19641" s="80"/>
    </row>
    <row r="19642">
      <c r="AI19642" s="80"/>
    </row>
    <row r="19643">
      <c r="AI19643" s="80"/>
    </row>
    <row r="19644">
      <c r="AI19644" s="80"/>
    </row>
    <row r="19645">
      <c r="AI19645" s="80"/>
    </row>
    <row r="19646">
      <c r="AI19646" s="80"/>
    </row>
    <row r="19647">
      <c r="AI19647" s="80"/>
    </row>
    <row r="19648">
      <c r="AI19648" s="80"/>
    </row>
    <row r="19649">
      <c r="AI19649" s="80"/>
    </row>
    <row r="19650">
      <c r="AI19650" s="80"/>
    </row>
    <row r="19651">
      <c r="AI19651" s="80"/>
    </row>
    <row r="19652">
      <c r="AI19652" s="80"/>
    </row>
    <row r="19653">
      <c r="AI19653" s="80"/>
    </row>
    <row r="19654">
      <c r="AI19654" s="80"/>
    </row>
    <row r="19655">
      <c r="AI19655" s="80"/>
    </row>
    <row r="19656">
      <c r="AI19656" s="80"/>
    </row>
    <row r="19657">
      <c r="AI19657" s="80"/>
    </row>
    <row r="19658">
      <c r="AI19658" s="80"/>
    </row>
    <row r="19659">
      <c r="AI19659" s="80"/>
    </row>
    <row r="19660">
      <c r="AI19660" s="80"/>
    </row>
    <row r="19661">
      <c r="AI19661" s="80"/>
    </row>
    <row r="19662">
      <c r="AI19662" s="80"/>
    </row>
    <row r="19663">
      <c r="AI19663" s="80"/>
    </row>
    <row r="19664">
      <c r="AI19664" s="80"/>
    </row>
    <row r="19665">
      <c r="AI19665" s="80"/>
    </row>
    <row r="19666">
      <c r="AI19666" s="80"/>
    </row>
    <row r="19667">
      <c r="AI19667" s="80"/>
    </row>
    <row r="19668">
      <c r="AI19668" s="80"/>
    </row>
    <row r="19669">
      <c r="AI19669" s="80"/>
    </row>
    <row r="19670">
      <c r="AI19670" s="80"/>
    </row>
    <row r="19671">
      <c r="AI19671" s="80"/>
    </row>
    <row r="19672">
      <c r="AI19672" s="80"/>
    </row>
    <row r="19673">
      <c r="AI19673" s="80"/>
    </row>
    <row r="19674">
      <c r="AI19674" s="80"/>
    </row>
    <row r="19675">
      <c r="AI19675" s="80"/>
    </row>
    <row r="19676">
      <c r="AI19676" s="80"/>
    </row>
    <row r="19677">
      <c r="AI19677" s="80"/>
    </row>
    <row r="19678">
      <c r="AI19678" s="80"/>
    </row>
    <row r="19679">
      <c r="AI19679" s="80"/>
    </row>
    <row r="19680">
      <c r="AI19680" s="80"/>
    </row>
    <row r="19681">
      <c r="AI19681" s="80"/>
    </row>
    <row r="19682">
      <c r="AI19682" s="80"/>
    </row>
    <row r="19683">
      <c r="AI19683" s="80"/>
    </row>
    <row r="19684">
      <c r="AI19684" s="80"/>
    </row>
    <row r="19685">
      <c r="AI19685" s="80"/>
    </row>
    <row r="19686">
      <c r="AI19686" s="80"/>
    </row>
    <row r="19687">
      <c r="AI19687" s="80"/>
    </row>
    <row r="19688">
      <c r="AI19688" s="80"/>
    </row>
    <row r="19689">
      <c r="AI19689" s="80"/>
    </row>
    <row r="19690">
      <c r="AI19690" s="80"/>
    </row>
    <row r="19691">
      <c r="AI19691" s="80"/>
    </row>
    <row r="19692">
      <c r="AI19692" s="80"/>
    </row>
    <row r="19693">
      <c r="AI19693" s="80"/>
    </row>
    <row r="19694">
      <c r="AI19694" s="80"/>
    </row>
    <row r="19695">
      <c r="AI19695" s="80"/>
    </row>
    <row r="19696">
      <c r="AI19696" s="80"/>
    </row>
    <row r="19697">
      <c r="AI19697" s="80"/>
    </row>
    <row r="19698">
      <c r="AI19698" s="80"/>
    </row>
    <row r="19699">
      <c r="AI19699" s="80"/>
    </row>
    <row r="19700">
      <c r="AI19700" s="80"/>
    </row>
    <row r="19701">
      <c r="AI19701" s="80"/>
    </row>
    <row r="19702">
      <c r="AI19702" s="80"/>
    </row>
    <row r="19703">
      <c r="AI19703" s="80"/>
    </row>
    <row r="19704">
      <c r="AI19704" s="80"/>
    </row>
    <row r="19705">
      <c r="AI19705" s="80"/>
    </row>
    <row r="19706">
      <c r="AI19706" s="80"/>
    </row>
    <row r="19707">
      <c r="AI19707" s="80"/>
    </row>
    <row r="19708">
      <c r="AI19708" s="80"/>
    </row>
    <row r="19709">
      <c r="AI19709" s="80"/>
    </row>
    <row r="19710">
      <c r="AI19710" s="80"/>
    </row>
    <row r="19711">
      <c r="AI19711" s="80"/>
    </row>
    <row r="19712">
      <c r="AI19712" s="80"/>
    </row>
    <row r="19713">
      <c r="AI19713" s="80"/>
    </row>
    <row r="19714">
      <c r="AI19714" s="80"/>
    </row>
    <row r="19715">
      <c r="AI19715" s="80"/>
    </row>
    <row r="19716">
      <c r="AI19716" s="80"/>
    </row>
    <row r="19717">
      <c r="AI19717" s="80"/>
    </row>
    <row r="19718">
      <c r="AI19718" s="80"/>
    </row>
    <row r="19719">
      <c r="AI19719" s="80"/>
    </row>
    <row r="19720">
      <c r="AI19720" s="80"/>
    </row>
    <row r="19721">
      <c r="AI19721" s="80"/>
    </row>
    <row r="19722">
      <c r="AI19722" s="80"/>
    </row>
    <row r="19723">
      <c r="AI19723" s="80"/>
    </row>
    <row r="19724">
      <c r="AI19724" s="80"/>
    </row>
    <row r="19725">
      <c r="AI19725" s="80"/>
    </row>
    <row r="19726">
      <c r="AI19726" s="80"/>
    </row>
    <row r="19727">
      <c r="AI19727" s="80"/>
    </row>
    <row r="19728">
      <c r="AI19728" s="80"/>
    </row>
    <row r="19729">
      <c r="AI19729" s="80"/>
    </row>
    <row r="19730">
      <c r="AI19730" s="80"/>
    </row>
    <row r="19731">
      <c r="AI19731" s="80"/>
    </row>
    <row r="19732">
      <c r="AI19732" s="80"/>
    </row>
    <row r="19733">
      <c r="AI19733" s="80"/>
    </row>
    <row r="19734">
      <c r="AI19734" s="80"/>
    </row>
    <row r="19735">
      <c r="AI19735" s="80"/>
    </row>
    <row r="19736">
      <c r="AI19736" s="80"/>
    </row>
    <row r="19737">
      <c r="AI19737" s="80"/>
    </row>
    <row r="19738">
      <c r="AI19738" s="80"/>
    </row>
    <row r="19739">
      <c r="AI19739" s="80"/>
    </row>
    <row r="19740">
      <c r="AI19740" s="80"/>
    </row>
    <row r="19741">
      <c r="AI19741" s="80"/>
    </row>
    <row r="19742">
      <c r="AI19742" s="80"/>
    </row>
    <row r="19743">
      <c r="AI19743" s="80"/>
    </row>
    <row r="19744">
      <c r="AI19744" s="80"/>
    </row>
    <row r="19745">
      <c r="AI19745" s="80"/>
    </row>
    <row r="19746">
      <c r="AI19746" s="80"/>
    </row>
    <row r="19747">
      <c r="AI19747" s="80"/>
    </row>
    <row r="19748">
      <c r="AI19748" s="80"/>
    </row>
    <row r="19749">
      <c r="AI19749" s="80"/>
    </row>
    <row r="19750">
      <c r="AI19750" s="80"/>
    </row>
    <row r="19751">
      <c r="AI19751" s="80"/>
    </row>
    <row r="19752">
      <c r="AI19752" s="80"/>
    </row>
    <row r="19753">
      <c r="AI19753" s="80"/>
    </row>
    <row r="19754">
      <c r="AI19754" s="80"/>
    </row>
    <row r="19755">
      <c r="AI19755" s="80"/>
    </row>
    <row r="19756">
      <c r="AI19756" s="80"/>
    </row>
    <row r="19757">
      <c r="AI19757" s="80"/>
    </row>
    <row r="19758">
      <c r="AI19758" s="80"/>
    </row>
    <row r="19759">
      <c r="AI19759" s="80"/>
    </row>
    <row r="19760">
      <c r="AI19760" s="80"/>
    </row>
    <row r="19761">
      <c r="AI19761" s="80"/>
    </row>
    <row r="19762">
      <c r="AI19762" s="80"/>
    </row>
    <row r="19763">
      <c r="AI19763" s="80"/>
    </row>
    <row r="19764">
      <c r="AI19764" s="80"/>
    </row>
    <row r="19765">
      <c r="AI19765" s="80"/>
    </row>
    <row r="19766">
      <c r="AI19766" s="80"/>
    </row>
    <row r="19767">
      <c r="AI19767" s="80"/>
    </row>
    <row r="19768">
      <c r="AI19768" s="80"/>
    </row>
    <row r="19769">
      <c r="AI19769" s="80"/>
    </row>
    <row r="19770">
      <c r="AI19770" s="80"/>
    </row>
    <row r="19771">
      <c r="AI19771" s="80"/>
    </row>
    <row r="19772">
      <c r="AI19772" s="80"/>
    </row>
    <row r="19773">
      <c r="AI19773" s="80"/>
    </row>
    <row r="19774">
      <c r="AI19774" s="80"/>
    </row>
    <row r="19775">
      <c r="AI19775" s="80"/>
    </row>
    <row r="19776">
      <c r="AI19776" s="80"/>
    </row>
    <row r="19777">
      <c r="AI19777" s="80"/>
    </row>
    <row r="19778">
      <c r="AI19778" s="80"/>
    </row>
    <row r="19779">
      <c r="AI19779" s="80"/>
    </row>
    <row r="19780">
      <c r="AI19780" s="80"/>
    </row>
    <row r="19781">
      <c r="AI19781" s="80"/>
    </row>
    <row r="19782">
      <c r="AI19782" s="80"/>
    </row>
    <row r="19783">
      <c r="AI19783" s="80"/>
    </row>
    <row r="19784">
      <c r="AI19784" s="80"/>
    </row>
    <row r="19785">
      <c r="AI19785" s="80"/>
    </row>
    <row r="19786">
      <c r="AI19786" s="80"/>
    </row>
    <row r="19787">
      <c r="AI19787" s="80"/>
    </row>
    <row r="19788">
      <c r="AI19788" s="80"/>
    </row>
    <row r="19789">
      <c r="AI19789" s="80"/>
    </row>
    <row r="19790">
      <c r="AI19790" s="80"/>
    </row>
    <row r="19791">
      <c r="AI19791" s="80"/>
    </row>
    <row r="19792">
      <c r="AI19792" s="80"/>
    </row>
    <row r="19793">
      <c r="AI19793" s="80"/>
    </row>
    <row r="19794">
      <c r="AI19794" s="80"/>
    </row>
    <row r="19795">
      <c r="AI19795" s="80"/>
    </row>
    <row r="19796">
      <c r="AI19796" s="80"/>
    </row>
    <row r="19797">
      <c r="AI19797" s="80"/>
    </row>
    <row r="19798">
      <c r="AI19798" s="80"/>
    </row>
    <row r="19799">
      <c r="AI19799" s="80"/>
    </row>
    <row r="19800">
      <c r="AI19800" s="80"/>
    </row>
    <row r="19801">
      <c r="AI19801" s="80"/>
    </row>
    <row r="19802">
      <c r="AI19802" s="80"/>
    </row>
    <row r="19803">
      <c r="AI19803" s="80"/>
    </row>
    <row r="19804">
      <c r="AI19804" s="80"/>
    </row>
    <row r="19805">
      <c r="AI19805" s="80"/>
    </row>
    <row r="19806">
      <c r="AI19806" s="80"/>
    </row>
    <row r="19807">
      <c r="AI19807" s="80"/>
    </row>
    <row r="19808">
      <c r="AI19808" s="80"/>
    </row>
    <row r="19809">
      <c r="AI19809" s="80"/>
    </row>
    <row r="19810">
      <c r="AI19810" s="80"/>
    </row>
    <row r="19811">
      <c r="AI19811" s="80"/>
    </row>
    <row r="19812">
      <c r="AI19812" s="80"/>
    </row>
    <row r="19813">
      <c r="AI19813" s="80"/>
    </row>
    <row r="19814">
      <c r="AI19814" s="80"/>
    </row>
    <row r="19815">
      <c r="AI19815" s="80"/>
    </row>
    <row r="19816">
      <c r="AI19816" s="80"/>
    </row>
    <row r="19817">
      <c r="AI19817" s="80"/>
    </row>
    <row r="19818">
      <c r="AI19818" s="80"/>
    </row>
    <row r="19819">
      <c r="AI19819" s="80"/>
    </row>
    <row r="19820">
      <c r="AI19820" s="80"/>
    </row>
    <row r="19821">
      <c r="AI19821" s="80"/>
    </row>
    <row r="19822">
      <c r="AI19822" s="80"/>
    </row>
    <row r="19823">
      <c r="AI19823" s="80"/>
    </row>
    <row r="19824">
      <c r="AI19824" s="80"/>
    </row>
    <row r="19825">
      <c r="AI19825" s="80"/>
    </row>
    <row r="19826">
      <c r="AI19826" s="80"/>
    </row>
    <row r="19827">
      <c r="AI19827" s="80"/>
    </row>
    <row r="19828">
      <c r="AI19828" s="80"/>
    </row>
    <row r="19829">
      <c r="AI19829" s="80"/>
    </row>
    <row r="19830">
      <c r="AI19830" s="80"/>
    </row>
    <row r="19831">
      <c r="AI19831" s="80"/>
    </row>
    <row r="19832">
      <c r="AI19832" s="80"/>
    </row>
    <row r="19833">
      <c r="AI19833" s="80"/>
    </row>
    <row r="19834">
      <c r="AI19834" s="80"/>
    </row>
    <row r="19835">
      <c r="AI19835" s="80"/>
    </row>
    <row r="19836">
      <c r="AI19836" s="80"/>
    </row>
    <row r="19837">
      <c r="AI19837" s="80"/>
    </row>
    <row r="19838">
      <c r="AI19838" s="80"/>
    </row>
    <row r="19839">
      <c r="AI19839" s="80"/>
    </row>
    <row r="19840">
      <c r="AI19840" s="80"/>
    </row>
    <row r="19841">
      <c r="AI19841" s="80"/>
    </row>
    <row r="19842">
      <c r="AI19842" s="80"/>
    </row>
    <row r="19843">
      <c r="AI19843" s="80"/>
    </row>
    <row r="19844">
      <c r="AI19844" s="80"/>
    </row>
    <row r="19845">
      <c r="AI19845" s="80"/>
    </row>
    <row r="19846">
      <c r="AI19846" s="80"/>
    </row>
    <row r="19847">
      <c r="AI19847" s="80"/>
    </row>
    <row r="19848">
      <c r="AI19848" s="80"/>
    </row>
    <row r="19849">
      <c r="AI19849" s="80"/>
    </row>
    <row r="19850">
      <c r="AI19850" s="80"/>
    </row>
    <row r="19851">
      <c r="AI19851" s="80"/>
    </row>
    <row r="19852">
      <c r="AI19852" s="80"/>
    </row>
    <row r="19853">
      <c r="AI19853" s="80"/>
    </row>
    <row r="19854">
      <c r="AI19854" s="80"/>
    </row>
    <row r="19855">
      <c r="AI19855" s="80"/>
    </row>
    <row r="19856">
      <c r="AI19856" s="80"/>
    </row>
    <row r="19857">
      <c r="AI19857" s="80"/>
    </row>
    <row r="19858">
      <c r="AI19858" s="80"/>
    </row>
    <row r="19859">
      <c r="AI19859" s="80"/>
    </row>
    <row r="19860">
      <c r="AI19860" s="80"/>
    </row>
    <row r="19861">
      <c r="AI19861" s="80"/>
    </row>
    <row r="19862">
      <c r="AI19862" s="80"/>
    </row>
    <row r="19863">
      <c r="AI19863" s="80"/>
    </row>
    <row r="19864">
      <c r="AI19864" s="80"/>
    </row>
    <row r="19865">
      <c r="AI19865" s="80"/>
    </row>
    <row r="19866">
      <c r="AI19866" s="80"/>
    </row>
    <row r="19867">
      <c r="AI19867" s="80"/>
    </row>
    <row r="19868">
      <c r="AI19868" s="80"/>
    </row>
    <row r="19869">
      <c r="AI19869" s="80"/>
    </row>
    <row r="19870">
      <c r="AI19870" s="80"/>
    </row>
    <row r="19871">
      <c r="AI19871" s="80"/>
    </row>
    <row r="19872">
      <c r="AI19872" s="80"/>
    </row>
    <row r="19873">
      <c r="AI19873" s="80"/>
    </row>
    <row r="19874">
      <c r="AI19874" s="80"/>
    </row>
    <row r="19875">
      <c r="AI19875" s="80"/>
    </row>
    <row r="19876">
      <c r="AI19876" s="80"/>
    </row>
    <row r="19877">
      <c r="AI19877" s="80"/>
    </row>
    <row r="19878">
      <c r="AI19878" s="80"/>
    </row>
    <row r="19879">
      <c r="AI19879" s="80"/>
    </row>
    <row r="19880">
      <c r="AI19880" s="80"/>
    </row>
    <row r="19881">
      <c r="AI19881" s="80"/>
    </row>
    <row r="19882">
      <c r="AI19882" s="80"/>
    </row>
    <row r="19883">
      <c r="AI19883" s="80"/>
    </row>
    <row r="19884">
      <c r="AI19884" s="80"/>
    </row>
    <row r="19885">
      <c r="AI19885" s="80"/>
    </row>
    <row r="19886">
      <c r="AI19886" s="80"/>
    </row>
    <row r="19887">
      <c r="AI19887" s="80"/>
    </row>
    <row r="19888">
      <c r="AI19888" s="80"/>
    </row>
    <row r="19889">
      <c r="AI19889" s="80"/>
    </row>
    <row r="19890">
      <c r="AI19890" s="80"/>
    </row>
    <row r="19891">
      <c r="AI19891" s="80"/>
    </row>
    <row r="19892">
      <c r="AI19892" s="80"/>
    </row>
    <row r="19893">
      <c r="AI19893" s="80"/>
    </row>
    <row r="19894">
      <c r="AI19894" s="80"/>
    </row>
    <row r="19895">
      <c r="AI19895" s="80"/>
    </row>
    <row r="19896">
      <c r="AI19896" s="80"/>
    </row>
    <row r="19897">
      <c r="AI19897" s="80"/>
    </row>
    <row r="19898">
      <c r="AI19898" s="80"/>
    </row>
    <row r="19899">
      <c r="AI19899" s="80"/>
    </row>
    <row r="19900">
      <c r="AI19900" s="80"/>
    </row>
    <row r="19901">
      <c r="AI19901" s="80"/>
    </row>
    <row r="19902">
      <c r="AI19902" s="80"/>
    </row>
    <row r="19903">
      <c r="AI19903" s="80"/>
    </row>
    <row r="19904">
      <c r="AI19904" s="80"/>
    </row>
    <row r="19905">
      <c r="AI19905" s="80"/>
    </row>
    <row r="19906">
      <c r="AI19906" s="80"/>
    </row>
    <row r="19907">
      <c r="AI19907" s="80"/>
    </row>
    <row r="19908">
      <c r="AI19908" s="80"/>
    </row>
    <row r="19909">
      <c r="AI19909" s="80"/>
    </row>
    <row r="19910">
      <c r="AI19910" s="80"/>
    </row>
    <row r="19911">
      <c r="AI19911" s="80"/>
    </row>
    <row r="19912">
      <c r="AI19912" s="80"/>
    </row>
    <row r="19913">
      <c r="AI19913" s="80"/>
    </row>
    <row r="19914">
      <c r="AI19914" s="80"/>
    </row>
    <row r="19915">
      <c r="AI19915" s="80"/>
    </row>
    <row r="19916">
      <c r="AI19916" s="80"/>
    </row>
    <row r="19917">
      <c r="AI19917" s="80"/>
    </row>
    <row r="19918">
      <c r="AI19918" s="80"/>
    </row>
    <row r="19919">
      <c r="AI19919" s="80"/>
    </row>
    <row r="19920">
      <c r="AI19920" s="80"/>
    </row>
    <row r="19921">
      <c r="AI19921" s="80"/>
    </row>
    <row r="19922">
      <c r="AI19922" s="80"/>
    </row>
    <row r="19923">
      <c r="AI19923" s="80"/>
    </row>
    <row r="19924">
      <c r="AI19924" s="80"/>
    </row>
    <row r="19925">
      <c r="AI19925" s="80"/>
    </row>
    <row r="19926">
      <c r="AI19926" s="80"/>
    </row>
    <row r="19927">
      <c r="AI19927" s="80"/>
    </row>
    <row r="19928">
      <c r="AI19928" s="80"/>
    </row>
    <row r="19929">
      <c r="AI19929" s="80"/>
    </row>
    <row r="19930">
      <c r="AI19930" s="80"/>
    </row>
    <row r="19931">
      <c r="AI19931" s="80"/>
    </row>
    <row r="19932">
      <c r="AI19932" s="80"/>
    </row>
    <row r="19933">
      <c r="AI19933" s="80"/>
    </row>
    <row r="19934">
      <c r="AI19934" s="80"/>
    </row>
    <row r="19935">
      <c r="AI19935" s="80"/>
    </row>
    <row r="19936">
      <c r="AI19936" s="80"/>
    </row>
    <row r="19937">
      <c r="AI19937" s="80"/>
    </row>
    <row r="19938">
      <c r="AI19938" s="80"/>
    </row>
    <row r="19939">
      <c r="AI19939" s="80"/>
    </row>
    <row r="19940">
      <c r="AI19940" s="80"/>
    </row>
    <row r="19941">
      <c r="AI19941" s="80"/>
    </row>
    <row r="19942">
      <c r="AI19942" s="80"/>
    </row>
    <row r="19943">
      <c r="AI19943" s="80"/>
    </row>
    <row r="19944">
      <c r="AI19944" s="80"/>
    </row>
    <row r="19945">
      <c r="AI19945" s="80"/>
    </row>
    <row r="19946">
      <c r="AI19946" s="80"/>
    </row>
    <row r="19947">
      <c r="AI19947" s="80"/>
    </row>
    <row r="19948">
      <c r="AI19948" s="80"/>
    </row>
    <row r="19949">
      <c r="AI19949" s="80"/>
    </row>
    <row r="19950">
      <c r="AI19950" s="80"/>
    </row>
    <row r="19951">
      <c r="AI19951" s="80"/>
    </row>
    <row r="19952">
      <c r="AI19952" s="80"/>
    </row>
    <row r="19953">
      <c r="AI19953" s="80"/>
    </row>
    <row r="19954">
      <c r="AI19954" s="80"/>
    </row>
    <row r="19955">
      <c r="AI19955" s="80"/>
    </row>
    <row r="19956">
      <c r="AI19956" s="80"/>
    </row>
    <row r="19957">
      <c r="AI19957" s="80"/>
    </row>
    <row r="19958">
      <c r="AI19958" s="80"/>
    </row>
    <row r="19959">
      <c r="AI19959" s="80"/>
    </row>
    <row r="19960">
      <c r="AI19960" s="80"/>
    </row>
    <row r="19961">
      <c r="AI19961" s="80"/>
    </row>
    <row r="19962">
      <c r="AI19962" s="80"/>
    </row>
    <row r="19963">
      <c r="AI19963" s="80"/>
    </row>
    <row r="19964">
      <c r="AI19964" s="80"/>
    </row>
    <row r="19965">
      <c r="AI19965" s="80"/>
    </row>
    <row r="19966">
      <c r="AI19966" s="80"/>
    </row>
    <row r="19967">
      <c r="AI19967" s="80"/>
    </row>
    <row r="19968">
      <c r="AI19968" s="80"/>
    </row>
    <row r="19969">
      <c r="AI19969" s="80"/>
    </row>
    <row r="19970">
      <c r="AI19970" s="80"/>
    </row>
    <row r="19971">
      <c r="AI19971" s="80"/>
    </row>
    <row r="19972">
      <c r="AI19972" s="80"/>
    </row>
    <row r="19973">
      <c r="AI19973" s="80"/>
    </row>
    <row r="19974">
      <c r="AI19974" s="80"/>
    </row>
    <row r="19975">
      <c r="AI19975" s="80"/>
    </row>
    <row r="19976">
      <c r="AI19976" s="80"/>
    </row>
    <row r="19977">
      <c r="AI19977" s="80"/>
    </row>
    <row r="19978">
      <c r="AI19978" s="80"/>
    </row>
    <row r="19979">
      <c r="AI19979" s="80"/>
    </row>
    <row r="19980">
      <c r="AI19980" s="80"/>
    </row>
    <row r="19981">
      <c r="AI19981" s="80"/>
    </row>
    <row r="19982">
      <c r="AI19982" s="80"/>
    </row>
    <row r="19983">
      <c r="AI19983" s="80"/>
    </row>
    <row r="19984">
      <c r="AI19984" s="80"/>
    </row>
    <row r="19985">
      <c r="AI19985" s="80"/>
    </row>
    <row r="19986">
      <c r="AI19986" s="80"/>
    </row>
    <row r="19987">
      <c r="AI19987" s="80"/>
    </row>
    <row r="19988">
      <c r="AI19988" s="80"/>
    </row>
    <row r="19989">
      <c r="AI19989" s="80"/>
    </row>
    <row r="19990">
      <c r="AI19990" s="80"/>
    </row>
    <row r="19991">
      <c r="AI19991" s="80"/>
    </row>
    <row r="19992">
      <c r="AI19992" s="80"/>
    </row>
    <row r="19993">
      <c r="AI19993" s="80"/>
    </row>
    <row r="19994">
      <c r="AI19994" s="80"/>
    </row>
    <row r="19995">
      <c r="AI19995" s="80"/>
    </row>
    <row r="19996">
      <c r="AI19996" s="80"/>
    </row>
    <row r="19997">
      <c r="AI19997" s="80"/>
    </row>
    <row r="19998">
      <c r="AI19998" s="80"/>
    </row>
    <row r="19999">
      <c r="AI19999" s="80"/>
    </row>
    <row r="20000">
      <c r="AI20000" s="80"/>
    </row>
    <row r="20001">
      <c r="AI20001" s="80"/>
    </row>
    <row r="20002">
      <c r="AI20002" s="80"/>
    </row>
    <row r="20003">
      <c r="AI20003" s="80"/>
    </row>
    <row r="20004">
      <c r="AI20004" s="80"/>
    </row>
    <row r="20005">
      <c r="AI20005" s="80"/>
    </row>
    <row r="20006">
      <c r="AI20006" s="80"/>
    </row>
    <row r="20007">
      <c r="AI20007" s="80"/>
    </row>
    <row r="20008">
      <c r="AI20008" s="80"/>
    </row>
    <row r="20009">
      <c r="AI20009" s="80"/>
    </row>
    <row r="20010">
      <c r="AI20010" s="80"/>
    </row>
    <row r="20011">
      <c r="AI20011" s="80"/>
    </row>
    <row r="20012">
      <c r="AI20012" s="80"/>
    </row>
    <row r="20013">
      <c r="AI20013" s="80"/>
    </row>
    <row r="20014">
      <c r="AI20014" s="80"/>
    </row>
    <row r="20015">
      <c r="AI20015" s="80"/>
    </row>
    <row r="20016">
      <c r="AI20016" s="80"/>
    </row>
    <row r="20017">
      <c r="AI20017" s="80"/>
    </row>
    <row r="20018">
      <c r="AI20018" s="80"/>
    </row>
    <row r="20019">
      <c r="AI20019" s="80"/>
    </row>
    <row r="20020">
      <c r="AI20020" s="80"/>
    </row>
    <row r="20021">
      <c r="AI20021" s="80"/>
    </row>
    <row r="20022">
      <c r="AI20022" s="80"/>
    </row>
    <row r="20023">
      <c r="AI20023" s="80"/>
    </row>
    <row r="20024">
      <c r="AI20024" s="80"/>
    </row>
    <row r="20025">
      <c r="AI20025" s="80"/>
    </row>
    <row r="20026">
      <c r="AI20026" s="80"/>
    </row>
    <row r="20027">
      <c r="AI20027" s="80"/>
    </row>
    <row r="20028">
      <c r="AI20028" s="80"/>
    </row>
    <row r="20029">
      <c r="AI20029" s="80"/>
    </row>
    <row r="20030">
      <c r="AI20030" s="80"/>
    </row>
    <row r="20031">
      <c r="AI20031" s="80"/>
    </row>
    <row r="20032">
      <c r="AI20032" s="80"/>
    </row>
    <row r="20033">
      <c r="AI20033" s="80"/>
    </row>
    <row r="20034">
      <c r="AI20034" s="80"/>
    </row>
    <row r="20035">
      <c r="AI20035" s="80"/>
    </row>
    <row r="20036">
      <c r="AI20036" s="80"/>
    </row>
    <row r="20037">
      <c r="AI20037" s="80"/>
    </row>
    <row r="20038">
      <c r="AI20038" s="80"/>
    </row>
    <row r="20039">
      <c r="AI20039" s="80"/>
    </row>
    <row r="20040">
      <c r="AI20040" s="80"/>
    </row>
    <row r="20041">
      <c r="AI20041" s="80"/>
    </row>
    <row r="20042">
      <c r="AI20042" s="80"/>
    </row>
    <row r="20043">
      <c r="AI20043" s="80"/>
    </row>
    <row r="20044">
      <c r="AI20044" s="80"/>
    </row>
    <row r="20045">
      <c r="AI20045" s="80"/>
    </row>
    <row r="20046">
      <c r="AI20046" s="80"/>
    </row>
    <row r="20047">
      <c r="AI20047" s="80"/>
    </row>
    <row r="20048">
      <c r="AI20048" s="80"/>
    </row>
    <row r="20049">
      <c r="AI20049" s="80"/>
    </row>
    <row r="20050">
      <c r="AI20050" s="80"/>
    </row>
    <row r="20051">
      <c r="AI20051" s="80"/>
    </row>
    <row r="20052">
      <c r="AI20052" s="80"/>
    </row>
    <row r="20053">
      <c r="AI20053" s="80"/>
    </row>
    <row r="20054">
      <c r="AI20054" s="80"/>
    </row>
    <row r="20055">
      <c r="AI20055" s="80"/>
    </row>
    <row r="20056">
      <c r="AI20056" s="80"/>
    </row>
    <row r="20057">
      <c r="AI20057" s="80"/>
    </row>
    <row r="20058">
      <c r="AI20058" s="80"/>
    </row>
    <row r="20059">
      <c r="AI20059" s="80"/>
    </row>
    <row r="20060">
      <c r="AI20060" s="80"/>
    </row>
    <row r="20061">
      <c r="AI20061" s="80"/>
    </row>
    <row r="20062">
      <c r="AI20062" s="80"/>
    </row>
    <row r="20063">
      <c r="AI20063" s="80"/>
    </row>
    <row r="20064">
      <c r="AI20064" s="80"/>
    </row>
    <row r="20065">
      <c r="AI20065" s="80"/>
    </row>
    <row r="20066">
      <c r="AI20066" s="80"/>
    </row>
    <row r="20067">
      <c r="AI20067" s="80"/>
    </row>
    <row r="20068">
      <c r="AI20068" s="80"/>
    </row>
    <row r="20069">
      <c r="AI20069" s="80"/>
    </row>
    <row r="20070">
      <c r="AI20070" s="80"/>
    </row>
    <row r="20071">
      <c r="AI20071" s="80"/>
    </row>
    <row r="20072">
      <c r="AI20072" s="80"/>
    </row>
    <row r="20073">
      <c r="AI20073" s="80"/>
    </row>
    <row r="20074">
      <c r="AI20074" s="80"/>
    </row>
    <row r="20075">
      <c r="AI20075" s="80"/>
    </row>
    <row r="20076">
      <c r="AI20076" s="80"/>
    </row>
    <row r="20077">
      <c r="AI20077" s="80"/>
    </row>
    <row r="20078">
      <c r="AI20078" s="80"/>
    </row>
    <row r="20079">
      <c r="AI20079" s="80"/>
    </row>
    <row r="20080">
      <c r="AI20080" s="80"/>
    </row>
    <row r="20081">
      <c r="AI20081" s="80"/>
    </row>
    <row r="20082">
      <c r="AI20082" s="80"/>
    </row>
    <row r="20083">
      <c r="AI20083" s="80"/>
    </row>
    <row r="20084">
      <c r="AI20084" s="80"/>
    </row>
    <row r="20085">
      <c r="AI20085" s="80"/>
    </row>
    <row r="20086">
      <c r="AI20086" s="80"/>
    </row>
    <row r="20087">
      <c r="AI20087" s="80"/>
    </row>
    <row r="20088">
      <c r="AI20088" s="80"/>
    </row>
    <row r="20089">
      <c r="AI20089" s="80"/>
    </row>
    <row r="20090">
      <c r="AI20090" s="80"/>
    </row>
    <row r="20091">
      <c r="AI20091" s="80"/>
    </row>
    <row r="20092">
      <c r="AI20092" s="80"/>
    </row>
    <row r="20093">
      <c r="AI20093" s="80"/>
    </row>
    <row r="20094">
      <c r="AI20094" s="80"/>
    </row>
    <row r="20095">
      <c r="AI20095" s="80"/>
    </row>
    <row r="20096">
      <c r="AI20096" s="80"/>
    </row>
    <row r="20097">
      <c r="AI20097" s="80"/>
    </row>
    <row r="20098">
      <c r="AI20098" s="80"/>
    </row>
    <row r="20099">
      <c r="AI20099" s="80"/>
    </row>
    <row r="20100">
      <c r="AI20100" s="80"/>
    </row>
    <row r="20101">
      <c r="AI20101" s="80"/>
    </row>
    <row r="20102">
      <c r="AI20102" s="80"/>
    </row>
    <row r="20103">
      <c r="AI20103" s="80"/>
    </row>
    <row r="20104">
      <c r="AI20104" s="80"/>
    </row>
    <row r="20105">
      <c r="AI20105" s="80"/>
    </row>
    <row r="20106">
      <c r="AI20106" s="80"/>
    </row>
    <row r="20107">
      <c r="AI20107" s="80"/>
    </row>
    <row r="20108">
      <c r="AI20108" s="80"/>
    </row>
    <row r="20109">
      <c r="AI20109" s="80"/>
    </row>
    <row r="20110">
      <c r="AI20110" s="80"/>
    </row>
    <row r="20111">
      <c r="AI20111" s="80"/>
    </row>
    <row r="20112">
      <c r="AI20112" s="80"/>
    </row>
    <row r="20113">
      <c r="AI20113" s="80"/>
    </row>
    <row r="20114">
      <c r="AI20114" s="80"/>
    </row>
    <row r="20115">
      <c r="AI20115" s="80"/>
    </row>
    <row r="20116">
      <c r="AI20116" s="80"/>
    </row>
    <row r="20117">
      <c r="AI20117" s="80"/>
    </row>
    <row r="20118">
      <c r="AI20118" s="80"/>
    </row>
    <row r="20119">
      <c r="AI20119" s="80"/>
    </row>
    <row r="20120">
      <c r="AI20120" s="80"/>
    </row>
    <row r="20121">
      <c r="AI20121" s="80"/>
    </row>
    <row r="20122">
      <c r="AI20122" s="80"/>
    </row>
    <row r="20123">
      <c r="AI20123" s="80"/>
    </row>
    <row r="20124">
      <c r="AI20124" s="80"/>
    </row>
    <row r="20125">
      <c r="AI20125" s="80"/>
    </row>
    <row r="20126">
      <c r="AI20126" s="80"/>
    </row>
    <row r="20127">
      <c r="AI20127" s="80"/>
    </row>
    <row r="20128">
      <c r="AI20128" s="80"/>
    </row>
    <row r="20129">
      <c r="AI20129" s="80"/>
    </row>
    <row r="20130">
      <c r="AI20130" s="80"/>
    </row>
    <row r="20131">
      <c r="AI20131" s="80"/>
    </row>
    <row r="20132">
      <c r="AI20132" s="80"/>
    </row>
    <row r="20133">
      <c r="AI20133" s="80"/>
    </row>
    <row r="20134">
      <c r="AI20134" s="80"/>
    </row>
    <row r="20135">
      <c r="AI20135" s="80"/>
    </row>
    <row r="20136">
      <c r="AI20136" s="80"/>
    </row>
    <row r="20137">
      <c r="AI20137" s="80"/>
    </row>
    <row r="20138">
      <c r="AI20138" s="80"/>
    </row>
    <row r="20139">
      <c r="AI20139" s="80"/>
    </row>
    <row r="20140">
      <c r="AI20140" s="80"/>
    </row>
    <row r="20141">
      <c r="AI20141" s="80"/>
    </row>
    <row r="20142">
      <c r="AI20142" s="80"/>
    </row>
    <row r="20143">
      <c r="AI20143" s="80"/>
    </row>
    <row r="20144">
      <c r="AI20144" s="80"/>
    </row>
    <row r="20145">
      <c r="AI20145" s="80"/>
    </row>
    <row r="20146">
      <c r="AI20146" s="80"/>
    </row>
    <row r="20147">
      <c r="AI20147" s="80"/>
    </row>
    <row r="20148">
      <c r="AI20148" s="80"/>
    </row>
    <row r="20149">
      <c r="AI20149" s="80"/>
    </row>
    <row r="20150">
      <c r="AI20150" s="80"/>
    </row>
    <row r="20151">
      <c r="AI20151" s="80"/>
    </row>
    <row r="20152">
      <c r="AI20152" s="80"/>
    </row>
    <row r="20153">
      <c r="AI20153" s="80"/>
    </row>
    <row r="20154">
      <c r="AI20154" s="80"/>
    </row>
    <row r="20155">
      <c r="AI20155" s="80"/>
    </row>
    <row r="20156">
      <c r="AI20156" s="80"/>
    </row>
    <row r="20157">
      <c r="AI20157" s="80"/>
    </row>
    <row r="20158">
      <c r="AI20158" s="80"/>
    </row>
    <row r="20159">
      <c r="AI20159" s="80"/>
    </row>
    <row r="20160">
      <c r="AI20160" s="80"/>
    </row>
    <row r="20161">
      <c r="AI20161" s="80"/>
    </row>
    <row r="20162">
      <c r="AI20162" s="80"/>
    </row>
    <row r="20163">
      <c r="AI20163" s="80"/>
    </row>
    <row r="20164">
      <c r="AI20164" s="80"/>
    </row>
    <row r="20165">
      <c r="AI20165" s="80"/>
    </row>
    <row r="20166">
      <c r="AI20166" s="80"/>
    </row>
    <row r="20167">
      <c r="AI20167" s="80"/>
    </row>
    <row r="20168">
      <c r="AI20168" s="80"/>
    </row>
    <row r="20169">
      <c r="AI20169" s="80"/>
    </row>
    <row r="20170">
      <c r="AI20170" s="80"/>
    </row>
    <row r="20171">
      <c r="AI20171" s="80"/>
    </row>
    <row r="20172">
      <c r="AI20172" s="80"/>
    </row>
    <row r="20173">
      <c r="AI20173" s="80"/>
    </row>
    <row r="20174">
      <c r="AI20174" s="80"/>
    </row>
    <row r="20175">
      <c r="AI20175" s="80"/>
    </row>
    <row r="20176">
      <c r="AI20176" s="80"/>
    </row>
    <row r="20177">
      <c r="AI20177" s="80"/>
    </row>
    <row r="20178">
      <c r="AI20178" s="80"/>
    </row>
    <row r="20179">
      <c r="AI20179" s="80"/>
    </row>
    <row r="20180">
      <c r="AI20180" s="80"/>
    </row>
    <row r="20181">
      <c r="AI20181" s="80"/>
    </row>
    <row r="20182">
      <c r="AI20182" s="80"/>
    </row>
    <row r="20183">
      <c r="AI20183" s="80"/>
    </row>
    <row r="20184">
      <c r="AI20184" s="80"/>
    </row>
    <row r="20185">
      <c r="AI20185" s="80"/>
    </row>
    <row r="20186">
      <c r="AI20186" s="80"/>
    </row>
    <row r="20187">
      <c r="AI20187" s="80"/>
    </row>
    <row r="20188">
      <c r="AI20188" s="80"/>
    </row>
    <row r="20189">
      <c r="AI20189" s="80"/>
    </row>
    <row r="20190">
      <c r="AI20190" s="80"/>
    </row>
    <row r="20191">
      <c r="AI20191" s="80"/>
    </row>
    <row r="20192">
      <c r="AI20192" s="80"/>
    </row>
    <row r="20193">
      <c r="AI20193" s="80"/>
    </row>
    <row r="20194">
      <c r="AI20194" s="80"/>
    </row>
    <row r="20195">
      <c r="AI20195" s="80"/>
    </row>
    <row r="20196">
      <c r="AI20196" s="80"/>
    </row>
    <row r="20197">
      <c r="AI20197" s="80"/>
    </row>
    <row r="20198">
      <c r="AI20198" s="80"/>
    </row>
    <row r="20199">
      <c r="AI20199" s="80"/>
    </row>
    <row r="20200">
      <c r="AI20200" s="80"/>
    </row>
    <row r="20201">
      <c r="AI20201" s="80"/>
    </row>
    <row r="20202">
      <c r="AI20202" s="80"/>
    </row>
    <row r="20203">
      <c r="AI20203" s="80"/>
    </row>
    <row r="20204">
      <c r="AI20204" s="80"/>
    </row>
    <row r="20205">
      <c r="AI20205" s="80"/>
    </row>
    <row r="20206">
      <c r="AI20206" s="80"/>
    </row>
    <row r="20207">
      <c r="AI20207" s="80"/>
    </row>
    <row r="20208">
      <c r="AI20208" s="80"/>
    </row>
    <row r="20209">
      <c r="AI20209" s="80"/>
    </row>
    <row r="20210">
      <c r="AI20210" s="80"/>
    </row>
    <row r="20211">
      <c r="AI20211" s="80"/>
    </row>
    <row r="20212">
      <c r="AI20212" s="80"/>
    </row>
    <row r="20213">
      <c r="AI20213" s="80"/>
    </row>
    <row r="20214">
      <c r="AI20214" s="80"/>
    </row>
    <row r="20215">
      <c r="AI20215" s="80"/>
    </row>
    <row r="20216">
      <c r="AI20216" s="80"/>
    </row>
    <row r="20217">
      <c r="AI20217" s="80"/>
    </row>
    <row r="20218">
      <c r="AI20218" s="80"/>
    </row>
    <row r="20219">
      <c r="AI20219" s="80"/>
    </row>
    <row r="20220">
      <c r="AI20220" s="80"/>
    </row>
    <row r="20221">
      <c r="AI20221" s="80"/>
    </row>
    <row r="20222">
      <c r="AI20222" s="80"/>
    </row>
    <row r="20223">
      <c r="AI20223" s="80"/>
    </row>
    <row r="20224">
      <c r="AI20224" s="80"/>
    </row>
    <row r="20225">
      <c r="AI20225" s="80"/>
    </row>
    <row r="20226">
      <c r="AI20226" s="80"/>
    </row>
    <row r="20227">
      <c r="AI20227" s="80"/>
    </row>
    <row r="20228">
      <c r="AI20228" s="80"/>
    </row>
    <row r="20229">
      <c r="AI20229" s="80"/>
    </row>
    <row r="20230">
      <c r="AI20230" s="80"/>
    </row>
    <row r="20231">
      <c r="AI20231" s="80"/>
    </row>
    <row r="20232">
      <c r="AI20232" s="80"/>
    </row>
    <row r="20233">
      <c r="AI20233" s="80"/>
    </row>
    <row r="20234">
      <c r="AI20234" s="80"/>
    </row>
    <row r="20235">
      <c r="AI20235" s="80"/>
    </row>
    <row r="20236">
      <c r="AI20236" s="80"/>
    </row>
    <row r="20237">
      <c r="AI20237" s="80"/>
    </row>
    <row r="20238">
      <c r="AI20238" s="80"/>
    </row>
    <row r="20239">
      <c r="AI20239" s="80"/>
    </row>
    <row r="20240">
      <c r="AI20240" s="80"/>
    </row>
    <row r="20241">
      <c r="AI20241" s="80"/>
    </row>
    <row r="20242">
      <c r="AI20242" s="80"/>
    </row>
    <row r="20243">
      <c r="AI20243" s="80"/>
    </row>
    <row r="20244">
      <c r="AI20244" s="80"/>
    </row>
    <row r="20245">
      <c r="AI20245" s="80"/>
    </row>
    <row r="20246">
      <c r="AI20246" s="80"/>
    </row>
    <row r="20247">
      <c r="AI20247" s="80"/>
    </row>
    <row r="20248">
      <c r="AI20248" s="80"/>
    </row>
    <row r="20249">
      <c r="AI20249" s="80"/>
    </row>
    <row r="20250">
      <c r="AI20250" s="80"/>
    </row>
    <row r="20251">
      <c r="AI20251" s="80"/>
    </row>
    <row r="20252">
      <c r="AI20252" s="80"/>
    </row>
    <row r="20253">
      <c r="AI20253" s="80"/>
    </row>
    <row r="20254">
      <c r="AI20254" s="80"/>
    </row>
    <row r="20255">
      <c r="AI20255" s="80"/>
    </row>
    <row r="20256">
      <c r="AI20256" s="80"/>
    </row>
    <row r="20257">
      <c r="AI20257" s="80"/>
    </row>
    <row r="20258">
      <c r="AI20258" s="80"/>
    </row>
    <row r="20259">
      <c r="AI20259" s="80"/>
    </row>
    <row r="20260">
      <c r="AI20260" s="80"/>
    </row>
    <row r="20261">
      <c r="AI20261" s="80"/>
    </row>
    <row r="20262">
      <c r="AI20262" s="80"/>
    </row>
    <row r="20263">
      <c r="AI20263" s="80"/>
    </row>
    <row r="20264">
      <c r="AI20264" s="80"/>
    </row>
    <row r="20265">
      <c r="AI20265" s="80"/>
    </row>
    <row r="20266">
      <c r="AI20266" s="80"/>
    </row>
    <row r="20267">
      <c r="AI20267" s="80"/>
    </row>
    <row r="20268">
      <c r="AI20268" s="80"/>
    </row>
    <row r="20269">
      <c r="AI20269" s="80"/>
    </row>
    <row r="20270">
      <c r="AI20270" s="80"/>
    </row>
    <row r="20271">
      <c r="AI20271" s="80"/>
    </row>
    <row r="20272">
      <c r="AI20272" s="80"/>
    </row>
    <row r="20273">
      <c r="AI20273" s="80"/>
    </row>
    <row r="20274">
      <c r="AI20274" s="80"/>
    </row>
    <row r="20275">
      <c r="AI20275" s="80"/>
    </row>
    <row r="20276">
      <c r="AI20276" s="80"/>
    </row>
    <row r="20277">
      <c r="AI20277" s="80"/>
    </row>
    <row r="20278">
      <c r="AI20278" s="80"/>
    </row>
    <row r="20279">
      <c r="AI20279" s="80"/>
    </row>
    <row r="20280">
      <c r="AI20280" s="80"/>
    </row>
    <row r="20281">
      <c r="AI20281" s="80"/>
    </row>
    <row r="20282">
      <c r="AI20282" s="80"/>
    </row>
    <row r="20283">
      <c r="AI20283" s="80"/>
    </row>
    <row r="20284">
      <c r="AI20284" s="80"/>
    </row>
    <row r="20285">
      <c r="AI20285" s="80"/>
    </row>
    <row r="20286">
      <c r="AI20286" s="80"/>
    </row>
    <row r="20287">
      <c r="AI20287" s="80"/>
    </row>
    <row r="20288">
      <c r="AI20288" s="80"/>
    </row>
    <row r="20289">
      <c r="AI20289" s="80"/>
    </row>
    <row r="20290">
      <c r="AI20290" s="80"/>
    </row>
    <row r="20291">
      <c r="AI20291" s="80"/>
    </row>
    <row r="20292">
      <c r="AI20292" s="80"/>
    </row>
    <row r="20293">
      <c r="AI20293" s="80"/>
    </row>
    <row r="20294">
      <c r="AI20294" s="80"/>
    </row>
    <row r="20295">
      <c r="AI20295" s="80"/>
    </row>
    <row r="20296">
      <c r="AI20296" s="80"/>
    </row>
    <row r="20297">
      <c r="AI20297" s="80"/>
    </row>
    <row r="20298">
      <c r="AI20298" s="80"/>
    </row>
    <row r="20299">
      <c r="AI20299" s="80"/>
    </row>
    <row r="20300">
      <c r="AI20300" s="80"/>
    </row>
    <row r="20301">
      <c r="AI20301" s="80"/>
    </row>
    <row r="20302">
      <c r="AI20302" s="80"/>
    </row>
    <row r="20303">
      <c r="AI20303" s="80"/>
    </row>
    <row r="20304">
      <c r="AI20304" s="80"/>
    </row>
    <row r="20305">
      <c r="AI20305" s="80"/>
    </row>
    <row r="20306">
      <c r="AI20306" s="80"/>
    </row>
    <row r="20307">
      <c r="AI20307" s="80"/>
    </row>
    <row r="20308">
      <c r="AI20308" s="80"/>
    </row>
    <row r="20309">
      <c r="AI20309" s="80"/>
    </row>
    <row r="20310">
      <c r="AI20310" s="80"/>
    </row>
    <row r="20311">
      <c r="AI20311" s="80"/>
    </row>
    <row r="20312">
      <c r="AI20312" s="80"/>
    </row>
    <row r="20313">
      <c r="AI20313" s="80"/>
    </row>
    <row r="20314">
      <c r="AI20314" s="80"/>
    </row>
    <row r="20315">
      <c r="AI20315" s="80"/>
    </row>
    <row r="20316">
      <c r="AI20316" s="80"/>
    </row>
    <row r="20317">
      <c r="AI20317" s="80"/>
    </row>
    <row r="20318">
      <c r="AI20318" s="80"/>
    </row>
    <row r="20319">
      <c r="AI20319" s="80"/>
    </row>
    <row r="20320">
      <c r="AI20320" s="80"/>
    </row>
    <row r="20321">
      <c r="AI20321" s="80"/>
    </row>
    <row r="20322">
      <c r="AI20322" s="80"/>
    </row>
    <row r="20323">
      <c r="AI20323" s="80"/>
    </row>
    <row r="20324">
      <c r="AI20324" s="80"/>
    </row>
    <row r="20325">
      <c r="AI20325" s="80"/>
    </row>
    <row r="20326">
      <c r="AI20326" s="80"/>
    </row>
    <row r="20327">
      <c r="AI20327" s="80"/>
    </row>
    <row r="20328">
      <c r="AI20328" s="80"/>
    </row>
    <row r="20329">
      <c r="AI20329" s="80"/>
    </row>
    <row r="20330">
      <c r="AI20330" s="80"/>
    </row>
    <row r="20331">
      <c r="AI20331" s="80"/>
    </row>
    <row r="20332">
      <c r="AI20332" s="80"/>
    </row>
    <row r="20333">
      <c r="AI20333" s="80"/>
    </row>
    <row r="20334">
      <c r="AI20334" s="80"/>
    </row>
    <row r="20335">
      <c r="AI20335" s="80"/>
    </row>
    <row r="20336">
      <c r="AI20336" s="80"/>
    </row>
    <row r="20337">
      <c r="AI20337" s="80"/>
    </row>
    <row r="20338">
      <c r="AI20338" s="80"/>
    </row>
    <row r="20339">
      <c r="AI20339" s="80"/>
    </row>
    <row r="20340">
      <c r="AI20340" s="80"/>
    </row>
    <row r="20341">
      <c r="AI20341" s="80"/>
    </row>
    <row r="20342">
      <c r="AI20342" s="80"/>
    </row>
    <row r="20343">
      <c r="AI20343" s="80"/>
    </row>
    <row r="20344">
      <c r="AI20344" s="80"/>
    </row>
    <row r="20345">
      <c r="AI20345" s="80"/>
    </row>
    <row r="20346">
      <c r="AI20346" s="80"/>
    </row>
    <row r="20347">
      <c r="AI20347" s="80"/>
    </row>
    <row r="20348">
      <c r="AI20348" s="80"/>
    </row>
    <row r="20349">
      <c r="AI20349" s="80"/>
    </row>
    <row r="20350">
      <c r="AI20350" s="80"/>
    </row>
    <row r="20351">
      <c r="AI20351" s="80"/>
    </row>
    <row r="20352">
      <c r="AI20352" s="80"/>
    </row>
    <row r="20353">
      <c r="AI20353" s="80"/>
    </row>
    <row r="20354">
      <c r="AI20354" s="80"/>
    </row>
    <row r="20355">
      <c r="AI20355" s="80"/>
    </row>
    <row r="20356">
      <c r="AI20356" s="80"/>
    </row>
    <row r="20357">
      <c r="AI20357" s="80"/>
    </row>
    <row r="20358">
      <c r="AI20358" s="80"/>
    </row>
    <row r="20359">
      <c r="AI20359" s="80"/>
    </row>
    <row r="20360">
      <c r="AI20360" s="80"/>
    </row>
    <row r="20361">
      <c r="AI20361" s="80"/>
    </row>
    <row r="20362">
      <c r="AI20362" s="80"/>
    </row>
    <row r="20363">
      <c r="AI20363" s="80"/>
    </row>
    <row r="20364">
      <c r="AI20364" s="80"/>
    </row>
    <row r="20365">
      <c r="AI20365" s="80"/>
    </row>
    <row r="20366">
      <c r="AI20366" s="80"/>
    </row>
    <row r="20367">
      <c r="AI20367" s="80"/>
    </row>
    <row r="20368">
      <c r="AI20368" s="80"/>
    </row>
    <row r="20369">
      <c r="AI20369" s="80"/>
    </row>
    <row r="20370">
      <c r="AI20370" s="80"/>
    </row>
    <row r="20371">
      <c r="AI20371" s="80"/>
    </row>
    <row r="20372">
      <c r="AI20372" s="80"/>
    </row>
    <row r="20373">
      <c r="AI20373" s="80"/>
    </row>
    <row r="20374">
      <c r="AI20374" s="80"/>
    </row>
    <row r="20375">
      <c r="AI20375" s="80"/>
    </row>
    <row r="20376">
      <c r="AI20376" s="80"/>
    </row>
    <row r="20377">
      <c r="AI20377" s="80"/>
    </row>
    <row r="20378">
      <c r="AI20378" s="80"/>
    </row>
    <row r="20379">
      <c r="AI20379" s="80"/>
    </row>
    <row r="20380">
      <c r="AI20380" s="80"/>
    </row>
    <row r="20381">
      <c r="AI20381" s="80"/>
    </row>
    <row r="20382">
      <c r="AI20382" s="80"/>
    </row>
    <row r="20383">
      <c r="AI20383" s="80"/>
    </row>
    <row r="20384">
      <c r="AI20384" s="80"/>
    </row>
    <row r="20385">
      <c r="AI20385" s="80"/>
    </row>
    <row r="20386">
      <c r="AI20386" s="80"/>
    </row>
    <row r="20387">
      <c r="AI20387" s="80"/>
    </row>
    <row r="20388">
      <c r="AI20388" s="80"/>
    </row>
    <row r="20389">
      <c r="AI20389" s="80"/>
    </row>
    <row r="20390">
      <c r="AI20390" s="80"/>
    </row>
    <row r="20391">
      <c r="AI20391" s="80"/>
    </row>
    <row r="20392">
      <c r="AI20392" s="80"/>
    </row>
    <row r="20393">
      <c r="AI20393" s="80"/>
    </row>
    <row r="20394">
      <c r="AI20394" s="80"/>
    </row>
    <row r="20395">
      <c r="AI20395" s="80"/>
    </row>
    <row r="20396">
      <c r="AI20396" s="80"/>
    </row>
    <row r="20397">
      <c r="AI20397" s="80"/>
    </row>
    <row r="20398">
      <c r="AI20398" s="80"/>
    </row>
    <row r="20399">
      <c r="AI20399" s="80"/>
    </row>
    <row r="20400">
      <c r="AI20400" s="80"/>
    </row>
    <row r="20401">
      <c r="AI20401" s="80"/>
    </row>
    <row r="20402">
      <c r="AI20402" s="80"/>
    </row>
    <row r="20403">
      <c r="AI20403" s="80"/>
    </row>
    <row r="20404">
      <c r="AI20404" s="80"/>
    </row>
    <row r="20405">
      <c r="AI20405" s="80"/>
    </row>
    <row r="20406">
      <c r="AI20406" s="80"/>
    </row>
    <row r="20407">
      <c r="AI20407" s="80"/>
    </row>
    <row r="20408">
      <c r="AI20408" s="80"/>
    </row>
    <row r="20409">
      <c r="AI20409" s="80"/>
    </row>
    <row r="20410">
      <c r="AI20410" s="80"/>
    </row>
    <row r="20411">
      <c r="AI20411" s="80"/>
    </row>
    <row r="20412">
      <c r="AI20412" s="80"/>
    </row>
    <row r="20413">
      <c r="AI20413" s="80"/>
    </row>
    <row r="20414">
      <c r="AI20414" s="80"/>
    </row>
    <row r="20415">
      <c r="AI20415" s="80"/>
    </row>
    <row r="20416">
      <c r="AI20416" s="80"/>
    </row>
    <row r="20417">
      <c r="AI20417" s="80"/>
    </row>
    <row r="20418">
      <c r="AI20418" s="80"/>
    </row>
    <row r="20419">
      <c r="AI20419" s="80"/>
    </row>
    <row r="20420">
      <c r="AI20420" s="80"/>
    </row>
    <row r="20421">
      <c r="AI20421" s="80"/>
    </row>
    <row r="20422">
      <c r="AI20422" s="80"/>
    </row>
    <row r="20423">
      <c r="AI20423" s="80"/>
    </row>
    <row r="20424">
      <c r="AI20424" s="80"/>
    </row>
    <row r="20425">
      <c r="AI20425" s="80"/>
    </row>
    <row r="20426">
      <c r="AI20426" s="80"/>
    </row>
    <row r="20427">
      <c r="AI20427" s="80"/>
    </row>
    <row r="20428">
      <c r="AI20428" s="80"/>
    </row>
    <row r="20429">
      <c r="AI20429" s="80"/>
    </row>
    <row r="20430">
      <c r="AI20430" s="80"/>
    </row>
    <row r="20431">
      <c r="AI20431" s="80"/>
    </row>
    <row r="20432">
      <c r="AI20432" s="80"/>
    </row>
    <row r="20433">
      <c r="AI20433" s="80"/>
    </row>
    <row r="20434">
      <c r="AI20434" s="80"/>
    </row>
    <row r="20435">
      <c r="AI20435" s="80"/>
    </row>
    <row r="20436">
      <c r="AI20436" s="80"/>
    </row>
    <row r="20437">
      <c r="AI20437" s="80"/>
    </row>
    <row r="20438">
      <c r="AI20438" s="80"/>
    </row>
    <row r="20439">
      <c r="AI20439" s="80"/>
    </row>
    <row r="20440">
      <c r="AI20440" s="80"/>
    </row>
    <row r="20441">
      <c r="AI20441" s="80"/>
    </row>
    <row r="20442">
      <c r="AI20442" s="80"/>
    </row>
    <row r="20443">
      <c r="AI20443" s="80"/>
    </row>
    <row r="20444">
      <c r="AI20444" s="80"/>
    </row>
    <row r="20445">
      <c r="AI20445" s="80"/>
    </row>
    <row r="20446">
      <c r="AI20446" s="80"/>
    </row>
    <row r="20447">
      <c r="AI20447" s="80"/>
    </row>
    <row r="20448">
      <c r="AI20448" s="80"/>
    </row>
    <row r="20449">
      <c r="AI20449" s="80"/>
    </row>
    <row r="20450">
      <c r="AI20450" s="80"/>
    </row>
    <row r="20451">
      <c r="AI20451" s="80"/>
    </row>
    <row r="20452">
      <c r="AI20452" s="80"/>
    </row>
    <row r="20453">
      <c r="AI20453" s="80"/>
    </row>
    <row r="20454">
      <c r="AI20454" s="80"/>
    </row>
    <row r="20455">
      <c r="AI20455" s="80"/>
    </row>
    <row r="20456">
      <c r="AI20456" s="80"/>
    </row>
    <row r="20457">
      <c r="AI20457" s="80"/>
    </row>
    <row r="20458">
      <c r="AI20458" s="80"/>
    </row>
    <row r="20459">
      <c r="AI20459" s="80"/>
    </row>
    <row r="20460">
      <c r="AI20460" s="80"/>
    </row>
    <row r="20461">
      <c r="AI20461" s="80"/>
    </row>
    <row r="20462">
      <c r="AI20462" s="80"/>
    </row>
    <row r="20463">
      <c r="AI20463" s="80"/>
    </row>
    <row r="20464">
      <c r="AI20464" s="80"/>
    </row>
    <row r="20465">
      <c r="AI20465" s="80"/>
    </row>
    <row r="20466">
      <c r="AI20466" s="80"/>
    </row>
    <row r="20467">
      <c r="AI20467" s="80"/>
    </row>
    <row r="20468">
      <c r="AI20468" s="80"/>
    </row>
    <row r="20469">
      <c r="AI20469" s="80"/>
    </row>
    <row r="20470">
      <c r="AI20470" s="80"/>
    </row>
    <row r="20471">
      <c r="AI20471" s="80"/>
    </row>
    <row r="20472">
      <c r="AI20472" s="80"/>
    </row>
    <row r="20473">
      <c r="AI20473" s="80"/>
    </row>
    <row r="20474">
      <c r="AI20474" s="80"/>
    </row>
    <row r="20475">
      <c r="AI20475" s="80"/>
    </row>
    <row r="20476">
      <c r="AI20476" s="80"/>
    </row>
    <row r="20477">
      <c r="AI20477" s="80"/>
    </row>
    <row r="20478">
      <c r="AI20478" s="80"/>
    </row>
    <row r="20479">
      <c r="AI20479" s="80"/>
    </row>
    <row r="20480">
      <c r="AI20480" s="80"/>
    </row>
    <row r="20481">
      <c r="AI20481" s="80"/>
    </row>
    <row r="20482">
      <c r="AI20482" s="80"/>
    </row>
    <row r="20483">
      <c r="AI20483" s="80"/>
    </row>
    <row r="20484">
      <c r="AI20484" s="80"/>
    </row>
    <row r="20485">
      <c r="AI20485" s="80"/>
    </row>
    <row r="20486">
      <c r="AI20486" s="80"/>
    </row>
    <row r="20487">
      <c r="AI20487" s="80"/>
    </row>
    <row r="20488">
      <c r="AI20488" s="80"/>
    </row>
    <row r="20489">
      <c r="AI20489" s="80"/>
    </row>
    <row r="20490">
      <c r="AI20490" s="80"/>
    </row>
    <row r="20491">
      <c r="AI20491" s="80"/>
    </row>
    <row r="20492">
      <c r="AI20492" s="80"/>
    </row>
    <row r="20493">
      <c r="AI20493" s="80"/>
    </row>
    <row r="20494">
      <c r="AI20494" s="80"/>
    </row>
    <row r="20495">
      <c r="AI20495" s="80"/>
    </row>
    <row r="20496">
      <c r="AI20496" s="80"/>
    </row>
    <row r="20497">
      <c r="AI20497" s="80"/>
    </row>
    <row r="20498">
      <c r="AI20498" s="80"/>
    </row>
    <row r="20499">
      <c r="AI20499" s="80"/>
    </row>
    <row r="20500">
      <c r="AI20500" s="80"/>
    </row>
    <row r="20501">
      <c r="AI20501" s="80"/>
    </row>
    <row r="20502">
      <c r="AI20502" s="80"/>
    </row>
    <row r="20503">
      <c r="AI20503" s="80"/>
    </row>
    <row r="20504">
      <c r="AI20504" s="80"/>
    </row>
    <row r="20505">
      <c r="AI20505" s="80"/>
    </row>
    <row r="20506">
      <c r="AI20506" s="80"/>
    </row>
    <row r="20507">
      <c r="AI20507" s="80"/>
    </row>
    <row r="20508">
      <c r="AI20508" s="80"/>
    </row>
    <row r="20509">
      <c r="AI20509" s="80"/>
    </row>
    <row r="20510">
      <c r="AI20510" s="80"/>
    </row>
    <row r="20511">
      <c r="AI20511" s="80"/>
    </row>
    <row r="20512">
      <c r="AI20512" s="80"/>
    </row>
    <row r="20513">
      <c r="AI20513" s="80"/>
    </row>
    <row r="20514">
      <c r="AI20514" s="80"/>
    </row>
    <row r="20515">
      <c r="AI20515" s="80"/>
    </row>
    <row r="20516">
      <c r="AI20516" s="80"/>
    </row>
    <row r="20517">
      <c r="AI20517" s="80"/>
    </row>
    <row r="20518">
      <c r="AI20518" s="80"/>
    </row>
    <row r="20519">
      <c r="AI20519" s="80"/>
    </row>
    <row r="20520">
      <c r="AI20520" s="80"/>
    </row>
    <row r="20521">
      <c r="AI20521" s="80"/>
    </row>
    <row r="20522">
      <c r="AI20522" s="80"/>
    </row>
    <row r="20523">
      <c r="AI20523" s="80"/>
    </row>
    <row r="20524">
      <c r="AI20524" s="80"/>
    </row>
    <row r="20525">
      <c r="AI20525" s="80"/>
    </row>
    <row r="20526">
      <c r="AI20526" s="80"/>
    </row>
    <row r="20527">
      <c r="AI20527" s="80"/>
    </row>
    <row r="20528">
      <c r="AI20528" s="80"/>
    </row>
    <row r="20529">
      <c r="AI20529" s="80"/>
    </row>
    <row r="20530">
      <c r="AI20530" s="80"/>
    </row>
    <row r="20531">
      <c r="AI20531" s="80"/>
    </row>
    <row r="20532">
      <c r="AI20532" s="80"/>
    </row>
    <row r="20533">
      <c r="AI20533" s="80"/>
    </row>
    <row r="20534">
      <c r="AI20534" s="80"/>
    </row>
    <row r="20535">
      <c r="AI20535" s="80"/>
    </row>
    <row r="20536">
      <c r="AI20536" s="80"/>
    </row>
    <row r="20537">
      <c r="AI20537" s="80"/>
    </row>
    <row r="20538">
      <c r="AI20538" s="80"/>
    </row>
    <row r="20539">
      <c r="AI20539" s="80"/>
    </row>
    <row r="20540">
      <c r="AI20540" s="80"/>
    </row>
    <row r="20541">
      <c r="AI20541" s="80"/>
    </row>
    <row r="20542">
      <c r="AI20542" s="80"/>
    </row>
    <row r="20543">
      <c r="AI20543" s="80"/>
    </row>
    <row r="20544">
      <c r="AI20544" s="80"/>
    </row>
    <row r="20545">
      <c r="AI20545" s="80"/>
    </row>
    <row r="20546">
      <c r="AI20546" s="80"/>
    </row>
    <row r="20547">
      <c r="AI20547" s="80"/>
    </row>
    <row r="20548">
      <c r="AI20548" s="80"/>
    </row>
    <row r="20549">
      <c r="AI20549" s="80"/>
    </row>
    <row r="20550">
      <c r="AI20550" s="80"/>
    </row>
    <row r="20551">
      <c r="AI20551" s="80"/>
    </row>
    <row r="20552">
      <c r="AI20552" s="80"/>
    </row>
    <row r="20553">
      <c r="AI20553" s="80"/>
    </row>
    <row r="20554">
      <c r="AI20554" s="80"/>
    </row>
    <row r="20555">
      <c r="AI20555" s="80"/>
    </row>
    <row r="20556">
      <c r="AI20556" s="80"/>
    </row>
    <row r="20557">
      <c r="AI20557" s="80"/>
    </row>
    <row r="20558">
      <c r="AI20558" s="80"/>
    </row>
    <row r="20559">
      <c r="AI20559" s="80"/>
    </row>
    <row r="20560">
      <c r="AI20560" s="80"/>
    </row>
    <row r="20561">
      <c r="AI20561" s="80"/>
    </row>
    <row r="20562">
      <c r="AI20562" s="80"/>
    </row>
    <row r="20563">
      <c r="AI20563" s="80"/>
    </row>
    <row r="20564">
      <c r="AI20564" s="80"/>
    </row>
    <row r="20565">
      <c r="AI20565" s="80"/>
    </row>
    <row r="20566">
      <c r="AI20566" s="80"/>
    </row>
    <row r="20567">
      <c r="AI20567" s="80"/>
    </row>
    <row r="20568">
      <c r="AI20568" s="80"/>
    </row>
    <row r="20569">
      <c r="AI20569" s="80"/>
    </row>
    <row r="20570">
      <c r="AI20570" s="80"/>
    </row>
    <row r="20571">
      <c r="AI20571" s="80"/>
    </row>
    <row r="20572">
      <c r="AI20572" s="80"/>
    </row>
    <row r="20573">
      <c r="AI20573" s="80"/>
    </row>
    <row r="20574">
      <c r="AI20574" s="80"/>
    </row>
    <row r="20575">
      <c r="AI20575" s="80"/>
    </row>
    <row r="20576">
      <c r="AI20576" s="80"/>
    </row>
    <row r="20577">
      <c r="AI20577" s="80"/>
    </row>
    <row r="20578">
      <c r="AI20578" s="80"/>
    </row>
    <row r="20579">
      <c r="AI20579" s="80"/>
    </row>
    <row r="20580">
      <c r="AI20580" s="80"/>
    </row>
    <row r="20581">
      <c r="AI20581" s="80"/>
    </row>
    <row r="20582">
      <c r="AI20582" s="80"/>
    </row>
    <row r="20583">
      <c r="AI20583" s="80"/>
    </row>
    <row r="20584">
      <c r="AI20584" s="80"/>
    </row>
    <row r="20585">
      <c r="AI20585" s="80"/>
    </row>
    <row r="20586">
      <c r="AI20586" s="80"/>
    </row>
    <row r="20587">
      <c r="AI20587" s="80"/>
    </row>
    <row r="20588">
      <c r="AI20588" s="80"/>
    </row>
    <row r="20589">
      <c r="AI20589" s="80"/>
    </row>
    <row r="20590">
      <c r="AI20590" s="80"/>
    </row>
    <row r="20591">
      <c r="AI20591" s="80"/>
    </row>
    <row r="20592">
      <c r="AI20592" s="80"/>
    </row>
    <row r="20593">
      <c r="AI20593" s="80"/>
    </row>
    <row r="20594">
      <c r="AI20594" s="80"/>
    </row>
    <row r="20595">
      <c r="AI20595" s="80"/>
    </row>
    <row r="20596">
      <c r="AI20596" s="80"/>
    </row>
    <row r="20597">
      <c r="AI20597" s="80"/>
    </row>
    <row r="20598">
      <c r="AI20598" s="80"/>
    </row>
    <row r="20599">
      <c r="AI20599" s="80"/>
    </row>
    <row r="20600">
      <c r="AI20600" s="80"/>
    </row>
    <row r="20601">
      <c r="AI20601" s="80"/>
    </row>
    <row r="20602">
      <c r="AI20602" s="80"/>
    </row>
    <row r="20603">
      <c r="AI20603" s="80"/>
    </row>
    <row r="20604">
      <c r="AI20604" s="80"/>
    </row>
    <row r="20605">
      <c r="AI20605" s="80"/>
    </row>
    <row r="20606">
      <c r="AI20606" s="80"/>
    </row>
    <row r="20607">
      <c r="AI20607" s="80"/>
    </row>
    <row r="20608">
      <c r="AI20608" s="80"/>
    </row>
    <row r="20609">
      <c r="AI20609" s="80"/>
    </row>
    <row r="20610">
      <c r="AI20610" s="80"/>
    </row>
    <row r="20611">
      <c r="AI20611" s="80"/>
    </row>
    <row r="20612">
      <c r="AI20612" s="80"/>
    </row>
    <row r="20613">
      <c r="AI20613" s="80"/>
    </row>
    <row r="20614">
      <c r="AI20614" s="80"/>
    </row>
    <row r="20615">
      <c r="AI20615" s="80"/>
    </row>
    <row r="20616">
      <c r="AI20616" s="80"/>
    </row>
    <row r="20617">
      <c r="AI20617" s="80"/>
    </row>
    <row r="20618">
      <c r="AI20618" s="80"/>
    </row>
    <row r="20619">
      <c r="AI20619" s="80"/>
    </row>
    <row r="20620">
      <c r="AI20620" s="80"/>
    </row>
    <row r="20621">
      <c r="AI20621" s="80"/>
    </row>
    <row r="20622">
      <c r="AI20622" s="80"/>
    </row>
    <row r="20623">
      <c r="AI20623" s="80"/>
    </row>
    <row r="20624">
      <c r="AI20624" s="80"/>
    </row>
    <row r="20625">
      <c r="AI20625" s="80"/>
    </row>
    <row r="20626">
      <c r="AI20626" s="80"/>
    </row>
    <row r="20627">
      <c r="AI20627" s="80"/>
    </row>
    <row r="20628">
      <c r="AI20628" s="80"/>
    </row>
    <row r="20629">
      <c r="AI20629" s="80"/>
    </row>
    <row r="20630">
      <c r="AI20630" s="80"/>
    </row>
    <row r="20631">
      <c r="AI20631" s="80"/>
    </row>
    <row r="20632">
      <c r="AI20632" s="80"/>
    </row>
    <row r="20633">
      <c r="AI20633" s="80"/>
    </row>
    <row r="20634">
      <c r="AI20634" s="80"/>
    </row>
    <row r="20635">
      <c r="AI20635" s="80"/>
    </row>
    <row r="20636">
      <c r="AI20636" s="80"/>
    </row>
    <row r="20637">
      <c r="AI20637" s="80"/>
    </row>
    <row r="20638">
      <c r="AI20638" s="80"/>
    </row>
    <row r="20639">
      <c r="AI20639" s="80"/>
    </row>
    <row r="20640">
      <c r="AI20640" s="80"/>
    </row>
    <row r="20641">
      <c r="AI20641" s="80"/>
    </row>
    <row r="20642">
      <c r="AI20642" s="80"/>
    </row>
    <row r="20643">
      <c r="AI20643" s="80"/>
    </row>
    <row r="20644">
      <c r="AI20644" s="80"/>
    </row>
    <row r="20645">
      <c r="AI20645" s="80"/>
    </row>
    <row r="20646">
      <c r="AI20646" s="80"/>
    </row>
    <row r="20647">
      <c r="AI20647" s="80"/>
    </row>
    <row r="20648">
      <c r="AI20648" s="80"/>
    </row>
    <row r="20649">
      <c r="AI20649" s="80"/>
    </row>
    <row r="20650">
      <c r="AI20650" s="80"/>
    </row>
    <row r="20651">
      <c r="AI20651" s="80"/>
    </row>
    <row r="20652">
      <c r="AI20652" s="80"/>
    </row>
    <row r="20653">
      <c r="AI20653" s="80"/>
    </row>
    <row r="20654">
      <c r="AI20654" s="80"/>
    </row>
    <row r="20655">
      <c r="AI20655" s="80"/>
    </row>
    <row r="20656">
      <c r="AI20656" s="80"/>
    </row>
    <row r="20657">
      <c r="AI20657" s="80"/>
    </row>
    <row r="20658">
      <c r="AI20658" s="80"/>
    </row>
    <row r="20659">
      <c r="AI20659" s="80"/>
    </row>
    <row r="20660">
      <c r="AI20660" s="80"/>
    </row>
    <row r="20661">
      <c r="AI20661" s="80"/>
    </row>
    <row r="20662">
      <c r="AI20662" s="80"/>
    </row>
    <row r="20663">
      <c r="AI20663" s="80"/>
    </row>
    <row r="20664">
      <c r="AI20664" s="80"/>
    </row>
    <row r="20665">
      <c r="AI20665" s="80"/>
    </row>
    <row r="20666">
      <c r="AI20666" s="80"/>
    </row>
    <row r="20667">
      <c r="AI20667" s="80"/>
    </row>
    <row r="20668">
      <c r="AI20668" s="80"/>
    </row>
    <row r="20669">
      <c r="AI20669" s="80"/>
    </row>
    <row r="20670">
      <c r="AI20670" s="80"/>
    </row>
    <row r="20671">
      <c r="AI20671" s="80"/>
    </row>
    <row r="20672">
      <c r="AI20672" s="80"/>
    </row>
    <row r="20673">
      <c r="AI20673" s="80"/>
    </row>
    <row r="20674">
      <c r="AI20674" s="80"/>
    </row>
    <row r="20675">
      <c r="AI20675" s="80"/>
    </row>
    <row r="20676">
      <c r="AI20676" s="80"/>
    </row>
    <row r="20677">
      <c r="AI20677" s="80"/>
    </row>
    <row r="20678">
      <c r="AI20678" s="80"/>
    </row>
    <row r="20679">
      <c r="AI20679" s="80"/>
    </row>
    <row r="20680">
      <c r="AI20680" s="80"/>
    </row>
    <row r="20681">
      <c r="AI20681" s="80"/>
    </row>
    <row r="20682">
      <c r="AI20682" s="80"/>
    </row>
    <row r="20683">
      <c r="AI20683" s="80"/>
    </row>
    <row r="20684">
      <c r="AI20684" s="80"/>
    </row>
    <row r="20685">
      <c r="AI20685" s="80"/>
    </row>
    <row r="20686">
      <c r="AI20686" s="80"/>
    </row>
    <row r="20687">
      <c r="AI20687" s="80"/>
    </row>
    <row r="20688">
      <c r="AI20688" s="80"/>
    </row>
    <row r="20689">
      <c r="AI20689" s="80"/>
    </row>
    <row r="20690">
      <c r="AI20690" s="80"/>
    </row>
    <row r="20691">
      <c r="AI20691" s="80"/>
    </row>
    <row r="20692">
      <c r="AI20692" s="80"/>
    </row>
    <row r="20693">
      <c r="AI20693" s="80"/>
    </row>
    <row r="20694">
      <c r="AI20694" s="80"/>
    </row>
    <row r="20695">
      <c r="AI20695" s="80"/>
    </row>
    <row r="20696">
      <c r="AI20696" s="80"/>
    </row>
    <row r="20697">
      <c r="AI20697" s="80"/>
    </row>
    <row r="20698">
      <c r="AI20698" s="80"/>
    </row>
    <row r="20699">
      <c r="AI20699" s="80"/>
    </row>
    <row r="20700">
      <c r="AI20700" s="80"/>
    </row>
    <row r="20701">
      <c r="AI20701" s="80"/>
    </row>
    <row r="20702">
      <c r="AI20702" s="80"/>
    </row>
    <row r="20703">
      <c r="AI20703" s="80"/>
    </row>
    <row r="20704">
      <c r="AI20704" s="80"/>
    </row>
    <row r="20705">
      <c r="AI20705" s="80"/>
    </row>
    <row r="20706">
      <c r="AI20706" s="80"/>
    </row>
    <row r="20707">
      <c r="AI20707" s="80"/>
    </row>
    <row r="20708">
      <c r="AI20708" s="80"/>
    </row>
    <row r="20709">
      <c r="AI20709" s="80"/>
    </row>
    <row r="20710">
      <c r="AI20710" s="80"/>
    </row>
    <row r="20711">
      <c r="AI20711" s="80"/>
    </row>
    <row r="20712">
      <c r="AI20712" s="80"/>
    </row>
    <row r="20713">
      <c r="AI20713" s="80"/>
    </row>
    <row r="20714">
      <c r="AI20714" s="80"/>
    </row>
    <row r="20715">
      <c r="AI20715" s="80"/>
    </row>
    <row r="20716">
      <c r="AI20716" s="80"/>
    </row>
    <row r="20717">
      <c r="AI20717" s="80"/>
    </row>
    <row r="20718">
      <c r="AI20718" s="80"/>
    </row>
    <row r="20719">
      <c r="AI20719" s="80"/>
    </row>
    <row r="20720">
      <c r="AI20720" s="80"/>
    </row>
    <row r="20721">
      <c r="AI20721" s="80"/>
    </row>
    <row r="20722">
      <c r="AI20722" s="80"/>
    </row>
    <row r="20723">
      <c r="AI20723" s="80"/>
    </row>
    <row r="20724">
      <c r="AI20724" s="80"/>
    </row>
    <row r="20725">
      <c r="AI20725" s="80"/>
    </row>
    <row r="20726">
      <c r="AI20726" s="80"/>
    </row>
    <row r="20727">
      <c r="AI20727" s="80"/>
    </row>
    <row r="20728">
      <c r="AI20728" s="80"/>
    </row>
    <row r="20729">
      <c r="AI20729" s="80"/>
    </row>
    <row r="20730">
      <c r="AI20730" s="80"/>
    </row>
    <row r="20731">
      <c r="AI20731" s="80"/>
    </row>
    <row r="20732">
      <c r="AI20732" s="80"/>
    </row>
    <row r="20733">
      <c r="AI20733" s="80"/>
    </row>
    <row r="20734">
      <c r="AI20734" s="80"/>
    </row>
    <row r="20735">
      <c r="AI20735" s="80"/>
    </row>
    <row r="20736">
      <c r="AI20736" s="80"/>
    </row>
    <row r="20737">
      <c r="AI20737" s="80"/>
    </row>
    <row r="20738">
      <c r="AI20738" s="80"/>
    </row>
    <row r="20739">
      <c r="AI20739" s="80"/>
    </row>
    <row r="20740">
      <c r="AI20740" s="80"/>
    </row>
    <row r="20741">
      <c r="AI20741" s="80"/>
    </row>
    <row r="20742">
      <c r="AI20742" s="80"/>
    </row>
    <row r="20743">
      <c r="AI20743" s="80"/>
    </row>
    <row r="20744">
      <c r="AI20744" s="80"/>
    </row>
    <row r="20745">
      <c r="AI20745" s="80"/>
    </row>
    <row r="20746">
      <c r="AI20746" s="80"/>
    </row>
    <row r="20747">
      <c r="AI20747" s="80"/>
    </row>
    <row r="20748">
      <c r="AI20748" s="80"/>
    </row>
    <row r="20749">
      <c r="AI20749" s="80"/>
    </row>
    <row r="20750">
      <c r="AI20750" s="80"/>
    </row>
    <row r="20751">
      <c r="AI20751" s="80"/>
    </row>
    <row r="20752">
      <c r="AI20752" s="80"/>
    </row>
    <row r="20753">
      <c r="AI20753" s="80"/>
    </row>
    <row r="20754">
      <c r="AI20754" s="80"/>
    </row>
    <row r="20755">
      <c r="AI20755" s="80"/>
    </row>
    <row r="20756">
      <c r="AI20756" s="80"/>
    </row>
    <row r="20757">
      <c r="AI20757" s="80"/>
    </row>
    <row r="20758">
      <c r="AI20758" s="80"/>
    </row>
    <row r="20759">
      <c r="AI20759" s="80"/>
    </row>
    <row r="20760">
      <c r="AI20760" s="80"/>
    </row>
    <row r="20761">
      <c r="AI20761" s="80"/>
    </row>
    <row r="20762">
      <c r="AI20762" s="80"/>
    </row>
    <row r="20763">
      <c r="AI20763" s="80"/>
    </row>
    <row r="20764">
      <c r="AI20764" s="80"/>
    </row>
    <row r="20765">
      <c r="AI20765" s="80"/>
    </row>
    <row r="20766">
      <c r="AI20766" s="80"/>
    </row>
    <row r="20767">
      <c r="AI20767" s="80"/>
    </row>
    <row r="20768">
      <c r="AI20768" s="80"/>
    </row>
    <row r="20769">
      <c r="AI20769" s="80"/>
    </row>
    <row r="20770">
      <c r="AI20770" s="80"/>
    </row>
    <row r="20771">
      <c r="AI20771" s="80"/>
    </row>
    <row r="20772">
      <c r="AI20772" s="80"/>
    </row>
    <row r="20773">
      <c r="AI20773" s="80"/>
    </row>
    <row r="20774">
      <c r="AI20774" s="80"/>
    </row>
    <row r="20775">
      <c r="AI20775" s="80"/>
    </row>
    <row r="20776">
      <c r="AI20776" s="80"/>
    </row>
    <row r="20777">
      <c r="AI20777" s="80"/>
    </row>
    <row r="20778">
      <c r="AI20778" s="80"/>
    </row>
    <row r="20779">
      <c r="AI20779" s="80"/>
    </row>
    <row r="20780">
      <c r="AI20780" s="80"/>
    </row>
    <row r="20781">
      <c r="AI20781" s="80"/>
    </row>
    <row r="20782">
      <c r="AI20782" s="80"/>
    </row>
    <row r="20783">
      <c r="AI20783" s="80"/>
    </row>
    <row r="20784">
      <c r="AI20784" s="80"/>
    </row>
    <row r="20785">
      <c r="AI20785" s="80"/>
    </row>
    <row r="20786">
      <c r="AI20786" s="80"/>
    </row>
    <row r="20787">
      <c r="AI20787" s="80"/>
    </row>
    <row r="20788">
      <c r="AI20788" s="80"/>
    </row>
    <row r="20789">
      <c r="AI20789" s="80"/>
    </row>
    <row r="20790">
      <c r="AI20790" s="80"/>
    </row>
    <row r="20791">
      <c r="AI20791" s="80"/>
    </row>
    <row r="20792">
      <c r="AI20792" s="80"/>
    </row>
    <row r="20793">
      <c r="AI20793" s="80"/>
    </row>
    <row r="20794">
      <c r="AI20794" s="80"/>
    </row>
    <row r="20795">
      <c r="AI20795" s="80"/>
    </row>
    <row r="20796">
      <c r="AI20796" s="80"/>
    </row>
    <row r="20797">
      <c r="AI20797" s="80"/>
    </row>
    <row r="20798">
      <c r="AI20798" s="80"/>
    </row>
    <row r="20799">
      <c r="AI20799" s="80"/>
    </row>
    <row r="20800">
      <c r="AI20800" s="80"/>
    </row>
    <row r="20801">
      <c r="AI20801" s="80"/>
    </row>
    <row r="20802">
      <c r="AI20802" s="80"/>
    </row>
    <row r="20803">
      <c r="AI20803" s="80"/>
    </row>
    <row r="20804">
      <c r="AI20804" s="80"/>
    </row>
    <row r="20805">
      <c r="AI20805" s="80"/>
    </row>
    <row r="20806">
      <c r="AI20806" s="80"/>
    </row>
    <row r="20807">
      <c r="AI20807" s="80"/>
    </row>
    <row r="20808">
      <c r="AI20808" s="80"/>
    </row>
    <row r="20809">
      <c r="AI20809" s="80"/>
    </row>
    <row r="20810">
      <c r="AI20810" s="80"/>
    </row>
    <row r="20811">
      <c r="AI20811" s="80"/>
    </row>
    <row r="20812">
      <c r="AI20812" s="80"/>
    </row>
    <row r="20813">
      <c r="AI20813" s="80"/>
    </row>
    <row r="20814">
      <c r="AI20814" s="80"/>
    </row>
    <row r="20815">
      <c r="AI20815" s="80"/>
    </row>
    <row r="20816">
      <c r="AI20816" s="80"/>
    </row>
    <row r="20817">
      <c r="AI20817" s="80"/>
    </row>
    <row r="20818">
      <c r="AI20818" s="80"/>
    </row>
    <row r="20819">
      <c r="AI20819" s="80"/>
    </row>
    <row r="20820">
      <c r="AI20820" s="80"/>
    </row>
    <row r="20821">
      <c r="AI20821" s="80"/>
    </row>
    <row r="20822">
      <c r="AI20822" s="80"/>
    </row>
    <row r="20823">
      <c r="AI20823" s="80"/>
    </row>
    <row r="20824">
      <c r="AI20824" s="80"/>
    </row>
    <row r="20825">
      <c r="AI20825" s="80"/>
    </row>
    <row r="20826">
      <c r="AI20826" s="80"/>
    </row>
    <row r="20827">
      <c r="AI20827" s="80"/>
    </row>
    <row r="20828">
      <c r="AI20828" s="80"/>
    </row>
    <row r="20829">
      <c r="AI20829" s="80"/>
    </row>
    <row r="20830">
      <c r="AI20830" s="80"/>
    </row>
    <row r="20831">
      <c r="AI20831" s="80"/>
    </row>
    <row r="20832">
      <c r="AI20832" s="80"/>
    </row>
    <row r="20833">
      <c r="AI20833" s="80"/>
    </row>
    <row r="20834">
      <c r="AI20834" s="80"/>
    </row>
    <row r="20835">
      <c r="AI20835" s="80"/>
    </row>
    <row r="20836">
      <c r="AI20836" s="80"/>
    </row>
    <row r="20837">
      <c r="AI20837" s="80"/>
    </row>
    <row r="20838">
      <c r="AI20838" s="80"/>
    </row>
    <row r="20839">
      <c r="AI20839" s="80"/>
    </row>
    <row r="20840">
      <c r="AI20840" s="80"/>
    </row>
    <row r="20841">
      <c r="AI20841" s="80"/>
    </row>
    <row r="20842">
      <c r="AI20842" s="80"/>
    </row>
    <row r="20843">
      <c r="AI20843" s="80"/>
    </row>
    <row r="20844">
      <c r="AI20844" s="80"/>
    </row>
    <row r="20845">
      <c r="AI20845" s="80"/>
    </row>
    <row r="20846">
      <c r="AI20846" s="80"/>
    </row>
    <row r="20847">
      <c r="AI20847" s="80"/>
    </row>
    <row r="20848">
      <c r="AI20848" s="80"/>
    </row>
    <row r="20849">
      <c r="AI20849" s="80"/>
    </row>
    <row r="20850">
      <c r="AI20850" s="80"/>
    </row>
    <row r="20851">
      <c r="AI20851" s="80"/>
    </row>
    <row r="20852">
      <c r="AI20852" s="80"/>
    </row>
    <row r="20853">
      <c r="AI20853" s="80"/>
    </row>
    <row r="20854">
      <c r="AI20854" s="80"/>
    </row>
    <row r="20855">
      <c r="AI20855" s="80"/>
    </row>
    <row r="20856">
      <c r="AI20856" s="80"/>
    </row>
    <row r="20857">
      <c r="AI20857" s="80"/>
    </row>
    <row r="20858">
      <c r="AI20858" s="80"/>
    </row>
    <row r="20859">
      <c r="AI20859" s="80"/>
    </row>
    <row r="20860">
      <c r="AI20860" s="80"/>
    </row>
    <row r="20861">
      <c r="AI20861" s="80"/>
    </row>
    <row r="20862">
      <c r="AI20862" s="80"/>
    </row>
    <row r="20863">
      <c r="AI20863" s="80"/>
    </row>
    <row r="20864">
      <c r="AI20864" s="80"/>
    </row>
    <row r="20865">
      <c r="AI20865" s="80"/>
    </row>
    <row r="20866">
      <c r="AI20866" s="80"/>
    </row>
    <row r="20867">
      <c r="AI20867" s="80"/>
    </row>
    <row r="20868">
      <c r="AI20868" s="80"/>
    </row>
    <row r="20869">
      <c r="AI20869" s="80"/>
    </row>
    <row r="20870">
      <c r="AI20870" s="80"/>
    </row>
    <row r="20871">
      <c r="AI20871" s="80"/>
    </row>
    <row r="20872">
      <c r="AI20872" s="80"/>
    </row>
    <row r="20873">
      <c r="AI20873" s="80"/>
    </row>
    <row r="20874">
      <c r="AI20874" s="80"/>
    </row>
    <row r="20875">
      <c r="AI20875" s="80"/>
    </row>
    <row r="20876">
      <c r="AI20876" s="80"/>
    </row>
    <row r="20877">
      <c r="AI20877" s="80"/>
    </row>
    <row r="20878">
      <c r="AI20878" s="80"/>
    </row>
    <row r="20879">
      <c r="AI20879" s="80"/>
    </row>
    <row r="20880">
      <c r="AI20880" s="80"/>
    </row>
    <row r="20881">
      <c r="AI20881" s="80"/>
    </row>
    <row r="20882">
      <c r="AI20882" s="80"/>
    </row>
    <row r="20883">
      <c r="AI20883" s="80"/>
    </row>
    <row r="20884">
      <c r="AI20884" s="80"/>
    </row>
    <row r="20885">
      <c r="AI20885" s="80"/>
    </row>
    <row r="20886">
      <c r="AI20886" s="80"/>
    </row>
    <row r="20887">
      <c r="AI20887" s="80"/>
    </row>
    <row r="20888">
      <c r="AI20888" s="80"/>
    </row>
    <row r="20889">
      <c r="AI20889" s="80"/>
    </row>
    <row r="20890">
      <c r="AI20890" s="80"/>
    </row>
    <row r="20891">
      <c r="AI20891" s="80"/>
    </row>
    <row r="20892">
      <c r="AI20892" s="80"/>
    </row>
    <row r="20893">
      <c r="AI20893" s="80"/>
    </row>
    <row r="20894">
      <c r="AI20894" s="80"/>
    </row>
    <row r="20895">
      <c r="AI20895" s="80"/>
    </row>
    <row r="20896">
      <c r="AI20896" s="80"/>
    </row>
    <row r="20897">
      <c r="AI20897" s="80"/>
    </row>
    <row r="20898">
      <c r="AI20898" s="80"/>
    </row>
    <row r="20899">
      <c r="AI20899" s="80"/>
    </row>
    <row r="20900">
      <c r="AI20900" s="80"/>
    </row>
    <row r="20901">
      <c r="AI20901" s="80"/>
    </row>
    <row r="20902">
      <c r="AI20902" s="80"/>
    </row>
    <row r="20903">
      <c r="AI20903" s="80"/>
    </row>
    <row r="20904">
      <c r="AI20904" s="80"/>
    </row>
    <row r="20905">
      <c r="AI20905" s="80"/>
    </row>
    <row r="20906">
      <c r="AI20906" s="80"/>
    </row>
    <row r="20907">
      <c r="AI20907" s="80"/>
    </row>
    <row r="20908">
      <c r="AI20908" s="80"/>
    </row>
    <row r="20909">
      <c r="AI20909" s="80"/>
    </row>
    <row r="20910">
      <c r="AI20910" s="80"/>
    </row>
    <row r="20911">
      <c r="AI20911" s="80"/>
    </row>
    <row r="20912">
      <c r="AI20912" s="80"/>
    </row>
    <row r="20913">
      <c r="AI20913" s="80"/>
    </row>
    <row r="20914">
      <c r="AI20914" s="80"/>
    </row>
    <row r="20915">
      <c r="AI20915" s="80"/>
    </row>
    <row r="20916">
      <c r="AI20916" s="80"/>
    </row>
    <row r="20917">
      <c r="AI20917" s="80"/>
    </row>
    <row r="20918">
      <c r="AI20918" s="80"/>
    </row>
    <row r="20919">
      <c r="AI20919" s="80"/>
    </row>
    <row r="20920">
      <c r="AI20920" s="80"/>
    </row>
    <row r="20921">
      <c r="AI20921" s="80"/>
    </row>
    <row r="20922">
      <c r="AI20922" s="80"/>
    </row>
    <row r="20923">
      <c r="AI20923" s="80"/>
    </row>
    <row r="20924">
      <c r="AI20924" s="80"/>
    </row>
    <row r="20925">
      <c r="AI20925" s="80"/>
    </row>
    <row r="20926">
      <c r="AI20926" s="80"/>
    </row>
    <row r="20927">
      <c r="AI20927" s="80"/>
    </row>
    <row r="20928">
      <c r="AI20928" s="80"/>
    </row>
    <row r="20929">
      <c r="AI20929" s="80"/>
    </row>
    <row r="20930">
      <c r="AI20930" s="80"/>
    </row>
    <row r="20931">
      <c r="AI20931" s="80"/>
    </row>
    <row r="20932">
      <c r="AI20932" s="80"/>
    </row>
    <row r="20933">
      <c r="AI20933" s="80"/>
    </row>
    <row r="20934">
      <c r="AI20934" s="80"/>
    </row>
    <row r="20935">
      <c r="AI20935" s="80"/>
    </row>
    <row r="20936">
      <c r="AI20936" s="80"/>
    </row>
    <row r="20937">
      <c r="AI20937" s="80"/>
    </row>
    <row r="20938">
      <c r="AI20938" s="80"/>
    </row>
    <row r="20939">
      <c r="AI20939" s="80"/>
    </row>
    <row r="20940">
      <c r="AI20940" s="80"/>
    </row>
    <row r="20941">
      <c r="AI20941" s="80"/>
    </row>
    <row r="20942">
      <c r="AI20942" s="80"/>
    </row>
    <row r="20943">
      <c r="AI20943" s="80"/>
    </row>
    <row r="20944">
      <c r="AI20944" s="80"/>
    </row>
    <row r="20945">
      <c r="AI20945" s="80"/>
    </row>
    <row r="20946">
      <c r="AI20946" s="80"/>
    </row>
    <row r="20947">
      <c r="AI20947" s="80"/>
    </row>
    <row r="20948">
      <c r="AI20948" s="80"/>
    </row>
    <row r="20949">
      <c r="AI20949" s="80"/>
    </row>
    <row r="20950">
      <c r="AI20950" s="80"/>
    </row>
    <row r="20951">
      <c r="AI20951" s="80"/>
    </row>
    <row r="20952">
      <c r="AI20952" s="80"/>
    </row>
    <row r="20953">
      <c r="AI20953" s="80"/>
    </row>
    <row r="20954">
      <c r="AI20954" s="80"/>
    </row>
    <row r="20955">
      <c r="AI20955" s="80"/>
    </row>
    <row r="20956">
      <c r="AI20956" s="80"/>
    </row>
    <row r="20957">
      <c r="AI20957" s="80"/>
    </row>
    <row r="20958">
      <c r="AI20958" s="80"/>
    </row>
    <row r="20959">
      <c r="AI20959" s="80"/>
    </row>
    <row r="20960">
      <c r="AI20960" s="80"/>
    </row>
    <row r="20961">
      <c r="AI20961" s="80"/>
    </row>
    <row r="20962">
      <c r="AI20962" s="80"/>
    </row>
    <row r="20963">
      <c r="AI20963" s="80"/>
    </row>
    <row r="20964">
      <c r="AI20964" s="80"/>
    </row>
    <row r="20965">
      <c r="AI20965" s="80"/>
    </row>
    <row r="20966">
      <c r="AI20966" s="80"/>
    </row>
    <row r="20967">
      <c r="AI20967" s="80"/>
    </row>
    <row r="20968">
      <c r="AI20968" s="80"/>
    </row>
    <row r="20969">
      <c r="AI20969" s="80"/>
    </row>
    <row r="20970">
      <c r="AI20970" s="80"/>
    </row>
    <row r="20971">
      <c r="AI20971" s="80"/>
    </row>
    <row r="20972">
      <c r="AI20972" s="80"/>
    </row>
    <row r="20973">
      <c r="AI20973" s="80"/>
    </row>
    <row r="20974">
      <c r="AI20974" s="80"/>
    </row>
    <row r="20975">
      <c r="AI20975" s="80"/>
    </row>
    <row r="20976">
      <c r="AI20976" s="80"/>
    </row>
    <row r="20977">
      <c r="AI20977" s="80"/>
    </row>
    <row r="20978">
      <c r="AI20978" s="80"/>
    </row>
    <row r="20979">
      <c r="AI20979" s="80"/>
    </row>
    <row r="20980">
      <c r="AI20980" s="80"/>
    </row>
    <row r="20981">
      <c r="AI20981" s="80"/>
    </row>
    <row r="20982">
      <c r="AI20982" s="80"/>
    </row>
    <row r="20983">
      <c r="AI20983" s="80"/>
    </row>
    <row r="20984">
      <c r="AI20984" s="80"/>
    </row>
    <row r="20985">
      <c r="AI20985" s="80"/>
    </row>
    <row r="20986">
      <c r="AI20986" s="80"/>
    </row>
    <row r="20987">
      <c r="AI20987" s="80"/>
    </row>
    <row r="20988">
      <c r="AI20988" s="80"/>
    </row>
    <row r="20989">
      <c r="AI20989" s="80"/>
    </row>
    <row r="20990">
      <c r="AI20990" s="80"/>
    </row>
    <row r="20991">
      <c r="AI20991" s="80"/>
    </row>
    <row r="20992">
      <c r="AI20992" s="80"/>
    </row>
    <row r="20993">
      <c r="AI20993" s="80"/>
    </row>
    <row r="20994">
      <c r="AI20994" s="80"/>
    </row>
    <row r="20995">
      <c r="AI20995" s="80"/>
    </row>
    <row r="20996">
      <c r="AI20996" s="80"/>
    </row>
    <row r="20997">
      <c r="AI20997" s="80"/>
    </row>
    <row r="20998">
      <c r="AI20998" s="80"/>
    </row>
    <row r="20999">
      <c r="AI20999" s="80"/>
    </row>
    <row r="21000">
      <c r="AI21000" s="80"/>
    </row>
    <row r="21001">
      <c r="AI21001" s="80"/>
    </row>
    <row r="21002">
      <c r="AI21002" s="80"/>
    </row>
    <row r="21003">
      <c r="AI21003" s="80"/>
    </row>
    <row r="21004">
      <c r="AI21004" s="80"/>
    </row>
    <row r="21005">
      <c r="AI21005" s="80"/>
    </row>
    <row r="21006">
      <c r="AI21006" s="80"/>
    </row>
    <row r="21007">
      <c r="AI21007" s="80"/>
    </row>
    <row r="21008">
      <c r="AI21008" s="80"/>
    </row>
    <row r="21009">
      <c r="AI21009" s="80"/>
    </row>
    <row r="21010">
      <c r="AI21010" s="80"/>
    </row>
    <row r="21011">
      <c r="AI21011" s="80"/>
    </row>
    <row r="21012">
      <c r="AI21012" s="80"/>
    </row>
    <row r="21013">
      <c r="AI21013" s="80"/>
    </row>
    <row r="21014">
      <c r="AI21014" s="80"/>
    </row>
    <row r="21015">
      <c r="AI21015" s="80"/>
    </row>
    <row r="21016">
      <c r="AI21016" s="80"/>
    </row>
    <row r="21017">
      <c r="AI21017" s="80"/>
    </row>
    <row r="21018">
      <c r="AI21018" s="80"/>
    </row>
    <row r="21019">
      <c r="AI21019" s="80"/>
    </row>
    <row r="21020">
      <c r="AI21020" s="80"/>
    </row>
    <row r="21021">
      <c r="AI21021" s="80"/>
    </row>
    <row r="21022">
      <c r="AI21022" s="80"/>
    </row>
    <row r="21023">
      <c r="AI21023" s="80"/>
    </row>
    <row r="21024">
      <c r="AI21024" s="80"/>
    </row>
    <row r="21025">
      <c r="AI21025" s="80"/>
    </row>
    <row r="21026">
      <c r="AI21026" s="80"/>
    </row>
    <row r="21027">
      <c r="AI21027" s="80"/>
    </row>
    <row r="21028">
      <c r="AI21028" s="80"/>
    </row>
    <row r="21029">
      <c r="AI21029" s="80"/>
    </row>
    <row r="21030">
      <c r="AI21030" s="80"/>
    </row>
    <row r="21031">
      <c r="AI21031" s="80"/>
    </row>
    <row r="21032">
      <c r="AI21032" s="80"/>
    </row>
    <row r="21033">
      <c r="AI21033" s="80"/>
    </row>
    <row r="21034">
      <c r="AI21034" s="80"/>
    </row>
    <row r="21035">
      <c r="AI21035" s="80"/>
    </row>
    <row r="21036">
      <c r="AI21036" s="80"/>
    </row>
    <row r="21037">
      <c r="AI21037" s="80"/>
    </row>
    <row r="21038">
      <c r="AI21038" s="80"/>
    </row>
    <row r="21039">
      <c r="AI21039" s="80"/>
    </row>
    <row r="21040">
      <c r="AI21040" s="80"/>
    </row>
    <row r="21041">
      <c r="AI21041" s="80"/>
    </row>
    <row r="21042">
      <c r="AI21042" s="80"/>
    </row>
    <row r="21043">
      <c r="AI21043" s="80"/>
    </row>
    <row r="21044">
      <c r="AI21044" s="80"/>
    </row>
    <row r="21045">
      <c r="AI21045" s="80"/>
    </row>
    <row r="21046">
      <c r="AI21046" s="80"/>
    </row>
    <row r="21047">
      <c r="AI21047" s="80"/>
    </row>
    <row r="21048">
      <c r="AI21048" s="80"/>
    </row>
    <row r="21049">
      <c r="AI21049" s="80"/>
    </row>
    <row r="21050">
      <c r="AI21050" s="80"/>
    </row>
    <row r="21051">
      <c r="AI21051" s="80"/>
    </row>
    <row r="21052">
      <c r="AI21052" s="80"/>
    </row>
    <row r="21053">
      <c r="AI21053" s="80"/>
    </row>
    <row r="21054">
      <c r="AI21054" s="80"/>
    </row>
    <row r="21055">
      <c r="AI21055" s="80"/>
    </row>
    <row r="21056">
      <c r="AI21056" s="80"/>
    </row>
    <row r="21057">
      <c r="AI21057" s="80"/>
    </row>
    <row r="21058">
      <c r="AI21058" s="80"/>
    </row>
    <row r="21059">
      <c r="AI21059" s="80"/>
    </row>
    <row r="21060">
      <c r="AI21060" s="80"/>
    </row>
    <row r="21061">
      <c r="AI21061" s="80"/>
    </row>
    <row r="21062">
      <c r="AI21062" s="80"/>
    </row>
    <row r="21063">
      <c r="AI21063" s="80"/>
    </row>
    <row r="21064">
      <c r="AI21064" s="80"/>
    </row>
    <row r="21065">
      <c r="AI21065" s="80"/>
    </row>
    <row r="21066">
      <c r="AI21066" s="80"/>
    </row>
    <row r="21067">
      <c r="AI21067" s="80"/>
    </row>
    <row r="21068">
      <c r="AI21068" s="80"/>
    </row>
    <row r="21069">
      <c r="AI21069" s="80"/>
    </row>
    <row r="21070">
      <c r="AI21070" s="80"/>
    </row>
    <row r="21071">
      <c r="AI21071" s="80"/>
    </row>
    <row r="21072">
      <c r="AI21072" s="80"/>
    </row>
    <row r="21073">
      <c r="AI21073" s="80"/>
    </row>
    <row r="21074">
      <c r="AI21074" s="80"/>
    </row>
    <row r="21075">
      <c r="AI21075" s="80"/>
    </row>
    <row r="21076">
      <c r="AI21076" s="80"/>
    </row>
    <row r="21077">
      <c r="AI21077" s="80"/>
    </row>
    <row r="21078">
      <c r="AI21078" s="80"/>
    </row>
    <row r="21079">
      <c r="AI21079" s="80"/>
    </row>
    <row r="21080">
      <c r="AI21080" s="80"/>
    </row>
    <row r="21081">
      <c r="AI21081" s="80"/>
    </row>
    <row r="21082">
      <c r="AI21082" s="80"/>
    </row>
    <row r="21083">
      <c r="AI21083" s="80"/>
    </row>
    <row r="21084">
      <c r="AI21084" s="80"/>
    </row>
    <row r="21085">
      <c r="AI21085" s="80"/>
    </row>
    <row r="21086">
      <c r="AI21086" s="80"/>
    </row>
    <row r="21087">
      <c r="AI21087" s="80"/>
    </row>
    <row r="21088">
      <c r="AI21088" s="80"/>
    </row>
    <row r="21089">
      <c r="AI21089" s="80"/>
    </row>
    <row r="21090">
      <c r="AI21090" s="80"/>
    </row>
    <row r="21091">
      <c r="AI21091" s="80"/>
    </row>
    <row r="21092">
      <c r="AI21092" s="80"/>
    </row>
    <row r="21093">
      <c r="AI21093" s="80"/>
    </row>
    <row r="21094">
      <c r="AI21094" s="80"/>
    </row>
    <row r="21095">
      <c r="AI21095" s="80"/>
    </row>
    <row r="21096">
      <c r="AI21096" s="80"/>
    </row>
    <row r="21097">
      <c r="AI21097" s="80"/>
    </row>
    <row r="21098">
      <c r="AI21098" s="80"/>
    </row>
    <row r="21099">
      <c r="AI21099" s="80"/>
    </row>
    <row r="21100">
      <c r="AI21100" s="80"/>
    </row>
    <row r="21101">
      <c r="AI21101" s="80"/>
    </row>
    <row r="21102">
      <c r="AI21102" s="80"/>
    </row>
    <row r="21103">
      <c r="AI21103" s="80"/>
    </row>
    <row r="21104">
      <c r="AI21104" s="80"/>
    </row>
    <row r="21105">
      <c r="AI21105" s="80"/>
    </row>
    <row r="21106">
      <c r="AI21106" s="80"/>
    </row>
    <row r="21107">
      <c r="AI21107" s="80"/>
    </row>
    <row r="21108">
      <c r="AI21108" s="80"/>
    </row>
    <row r="21109">
      <c r="AI21109" s="80"/>
    </row>
    <row r="21110">
      <c r="AI21110" s="80"/>
    </row>
    <row r="21111">
      <c r="AI21111" s="80"/>
    </row>
    <row r="21112">
      <c r="AI21112" s="80"/>
    </row>
    <row r="21113">
      <c r="AI21113" s="80"/>
    </row>
    <row r="21114">
      <c r="AI21114" s="80"/>
    </row>
    <row r="21115">
      <c r="AI21115" s="80"/>
    </row>
    <row r="21116">
      <c r="AI21116" s="80"/>
    </row>
    <row r="21117">
      <c r="AI21117" s="80"/>
    </row>
    <row r="21118">
      <c r="AI21118" s="80"/>
    </row>
    <row r="21119">
      <c r="AI21119" s="80"/>
    </row>
    <row r="21120">
      <c r="AI21120" s="80"/>
    </row>
    <row r="21121">
      <c r="AI21121" s="80"/>
    </row>
    <row r="21122">
      <c r="AI21122" s="80"/>
    </row>
    <row r="21123">
      <c r="AI21123" s="80"/>
    </row>
    <row r="21124">
      <c r="AI21124" s="80"/>
    </row>
    <row r="21125">
      <c r="AI21125" s="80"/>
    </row>
    <row r="21126">
      <c r="AI21126" s="80"/>
    </row>
    <row r="21127">
      <c r="AI21127" s="80"/>
    </row>
    <row r="21128">
      <c r="AI21128" s="80"/>
    </row>
    <row r="21129">
      <c r="AI21129" s="80"/>
    </row>
    <row r="21130">
      <c r="AI21130" s="80"/>
    </row>
    <row r="21131">
      <c r="AI21131" s="80"/>
    </row>
    <row r="21132">
      <c r="AI21132" s="80"/>
    </row>
    <row r="21133">
      <c r="AI21133" s="80"/>
    </row>
    <row r="21134">
      <c r="AI21134" s="80"/>
    </row>
    <row r="21135">
      <c r="AI21135" s="80"/>
    </row>
    <row r="21136">
      <c r="AI21136" s="80"/>
    </row>
    <row r="21137">
      <c r="AI21137" s="80"/>
    </row>
    <row r="21138">
      <c r="AI21138" s="80"/>
    </row>
    <row r="21139">
      <c r="AI21139" s="80"/>
    </row>
    <row r="21140">
      <c r="AI21140" s="80"/>
    </row>
    <row r="21141">
      <c r="AI21141" s="80"/>
    </row>
    <row r="21142">
      <c r="AI21142" s="80"/>
    </row>
    <row r="21143">
      <c r="AI21143" s="80"/>
    </row>
    <row r="21144">
      <c r="AI21144" s="80"/>
    </row>
    <row r="21145">
      <c r="AI21145" s="80"/>
    </row>
    <row r="21146">
      <c r="AI21146" s="80"/>
    </row>
    <row r="21147">
      <c r="AI21147" s="80"/>
    </row>
    <row r="21148">
      <c r="AI21148" s="80"/>
    </row>
    <row r="21149">
      <c r="AI21149" s="80"/>
    </row>
    <row r="21150">
      <c r="AI21150" s="80"/>
    </row>
    <row r="21151">
      <c r="AI21151" s="80"/>
    </row>
    <row r="21152">
      <c r="AI21152" s="80"/>
    </row>
    <row r="21153">
      <c r="AI21153" s="80"/>
    </row>
    <row r="21154">
      <c r="AI21154" s="80"/>
    </row>
    <row r="21155">
      <c r="AI21155" s="80"/>
    </row>
    <row r="21156">
      <c r="AI21156" s="80"/>
    </row>
    <row r="21157">
      <c r="AI21157" s="80"/>
    </row>
    <row r="21158">
      <c r="AI21158" s="80"/>
    </row>
    <row r="21159">
      <c r="AI21159" s="80"/>
    </row>
    <row r="21160">
      <c r="AI21160" s="80"/>
    </row>
    <row r="21161">
      <c r="AI21161" s="80"/>
    </row>
    <row r="21162">
      <c r="AI21162" s="80"/>
    </row>
    <row r="21163">
      <c r="AI21163" s="80"/>
    </row>
    <row r="21164">
      <c r="AI21164" s="80"/>
    </row>
    <row r="21165">
      <c r="AI21165" s="80"/>
    </row>
    <row r="21166">
      <c r="AI21166" s="80"/>
    </row>
    <row r="21167">
      <c r="AI21167" s="80"/>
    </row>
    <row r="21168">
      <c r="AI21168" s="80"/>
    </row>
    <row r="21169">
      <c r="AI21169" s="80"/>
    </row>
    <row r="21170">
      <c r="AI21170" s="80"/>
    </row>
    <row r="21171">
      <c r="AI21171" s="80"/>
    </row>
    <row r="21172">
      <c r="AI21172" s="80"/>
    </row>
    <row r="21173">
      <c r="AI21173" s="80"/>
    </row>
    <row r="21174">
      <c r="AI21174" s="80"/>
    </row>
    <row r="21175">
      <c r="AI21175" s="80"/>
    </row>
    <row r="21176">
      <c r="AI21176" s="80"/>
    </row>
    <row r="21177">
      <c r="AI21177" s="80"/>
    </row>
    <row r="21178">
      <c r="AI21178" s="80"/>
    </row>
    <row r="21179">
      <c r="AI21179" s="80"/>
    </row>
    <row r="21180">
      <c r="AI21180" s="80"/>
    </row>
    <row r="21181">
      <c r="AI21181" s="80"/>
    </row>
    <row r="21182">
      <c r="AI21182" s="80"/>
    </row>
    <row r="21183">
      <c r="AI21183" s="80"/>
    </row>
    <row r="21184">
      <c r="AI21184" s="80"/>
    </row>
    <row r="21185">
      <c r="AI21185" s="80"/>
    </row>
    <row r="21186">
      <c r="AI21186" s="80"/>
    </row>
    <row r="21187">
      <c r="AI21187" s="80"/>
    </row>
    <row r="21188">
      <c r="AI21188" s="80"/>
    </row>
    <row r="21189">
      <c r="AI21189" s="80"/>
    </row>
    <row r="21190">
      <c r="AI21190" s="80"/>
    </row>
    <row r="21191">
      <c r="AI21191" s="80"/>
    </row>
    <row r="21192">
      <c r="AI21192" s="80"/>
    </row>
    <row r="21193">
      <c r="AI21193" s="80"/>
    </row>
    <row r="21194">
      <c r="AI21194" s="80"/>
    </row>
    <row r="21195">
      <c r="AI21195" s="80"/>
    </row>
    <row r="21196">
      <c r="AI21196" s="80"/>
    </row>
    <row r="21197">
      <c r="AI21197" s="80"/>
    </row>
    <row r="21198">
      <c r="AI21198" s="80"/>
    </row>
    <row r="21199">
      <c r="AI21199" s="80"/>
    </row>
    <row r="21200">
      <c r="AI21200" s="80"/>
    </row>
    <row r="21201">
      <c r="AI21201" s="80"/>
    </row>
    <row r="21202">
      <c r="AI21202" s="80"/>
    </row>
    <row r="21203">
      <c r="AI21203" s="80"/>
    </row>
    <row r="21204">
      <c r="AI21204" s="80"/>
    </row>
    <row r="21205">
      <c r="AI21205" s="80"/>
    </row>
    <row r="21206">
      <c r="AI21206" s="80"/>
    </row>
    <row r="21207">
      <c r="AI21207" s="80"/>
    </row>
    <row r="21208">
      <c r="AI21208" s="80"/>
    </row>
    <row r="21209">
      <c r="AI21209" s="80"/>
    </row>
    <row r="21210">
      <c r="AI21210" s="80"/>
    </row>
    <row r="21211">
      <c r="AI21211" s="80"/>
    </row>
    <row r="21212">
      <c r="AI21212" s="80"/>
    </row>
    <row r="21213">
      <c r="AI21213" s="80"/>
    </row>
    <row r="21214">
      <c r="AI21214" s="80"/>
    </row>
    <row r="21215">
      <c r="AI21215" s="80"/>
    </row>
    <row r="21216">
      <c r="AI21216" s="80"/>
    </row>
    <row r="21217">
      <c r="AI21217" s="80"/>
    </row>
    <row r="21218">
      <c r="AI21218" s="80"/>
    </row>
    <row r="21219">
      <c r="AI21219" s="80"/>
    </row>
    <row r="21220">
      <c r="AI21220" s="80"/>
    </row>
    <row r="21221">
      <c r="AI21221" s="80"/>
    </row>
    <row r="21222">
      <c r="AI21222" s="80"/>
    </row>
    <row r="21223">
      <c r="AI21223" s="80"/>
    </row>
    <row r="21224">
      <c r="AI21224" s="80"/>
    </row>
    <row r="21225">
      <c r="AI21225" s="80"/>
    </row>
    <row r="21226">
      <c r="AI21226" s="80"/>
    </row>
    <row r="21227">
      <c r="AI21227" s="80"/>
    </row>
    <row r="21228">
      <c r="AI21228" s="80"/>
    </row>
    <row r="21229">
      <c r="AI21229" s="80"/>
    </row>
    <row r="21230">
      <c r="AI21230" s="80"/>
    </row>
    <row r="21231">
      <c r="AI21231" s="80"/>
    </row>
    <row r="21232">
      <c r="AI21232" s="80"/>
    </row>
    <row r="21233">
      <c r="AI21233" s="80"/>
    </row>
    <row r="21234">
      <c r="AI21234" s="80"/>
    </row>
    <row r="21235">
      <c r="AI21235" s="80"/>
    </row>
    <row r="21236">
      <c r="AI21236" s="80"/>
    </row>
    <row r="21237">
      <c r="AI21237" s="80"/>
    </row>
    <row r="21238">
      <c r="AI21238" s="80"/>
    </row>
    <row r="21239">
      <c r="AI21239" s="80"/>
    </row>
    <row r="21240">
      <c r="AI21240" s="80"/>
    </row>
    <row r="21241">
      <c r="AI21241" s="80"/>
    </row>
    <row r="21242">
      <c r="AI21242" s="80"/>
    </row>
    <row r="21243">
      <c r="AI21243" s="80"/>
    </row>
    <row r="21244">
      <c r="AI21244" s="80"/>
    </row>
    <row r="21245">
      <c r="AI21245" s="80"/>
    </row>
    <row r="21246">
      <c r="AI21246" s="80"/>
    </row>
    <row r="21247">
      <c r="AI21247" s="80"/>
    </row>
    <row r="21248">
      <c r="AI21248" s="80"/>
    </row>
    <row r="21249">
      <c r="AI21249" s="80"/>
    </row>
    <row r="21250">
      <c r="AI21250" s="80"/>
    </row>
    <row r="21251">
      <c r="AI21251" s="80"/>
    </row>
    <row r="21252">
      <c r="AI21252" s="80"/>
    </row>
    <row r="21253">
      <c r="AI21253" s="80"/>
    </row>
    <row r="21254">
      <c r="AI21254" s="80"/>
    </row>
    <row r="21255">
      <c r="AI21255" s="80"/>
    </row>
    <row r="21256">
      <c r="AI21256" s="80"/>
    </row>
    <row r="21257">
      <c r="AI21257" s="80"/>
    </row>
    <row r="21258">
      <c r="AI21258" s="80"/>
    </row>
    <row r="21259">
      <c r="AI21259" s="80"/>
    </row>
    <row r="21260">
      <c r="AI21260" s="80"/>
    </row>
    <row r="21261">
      <c r="AI21261" s="80"/>
    </row>
    <row r="21262">
      <c r="AI21262" s="80"/>
    </row>
    <row r="21263">
      <c r="AI21263" s="80"/>
    </row>
    <row r="21264">
      <c r="AI21264" s="80"/>
    </row>
    <row r="21265">
      <c r="AI21265" s="80"/>
    </row>
    <row r="21266">
      <c r="AI21266" s="80"/>
    </row>
    <row r="21267">
      <c r="AI21267" s="80"/>
    </row>
    <row r="21268">
      <c r="AI21268" s="80"/>
    </row>
    <row r="21269">
      <c r="AI21269" s="80"/>
    </row>
    <row r="21270">
      <c r="AI21270" s="80"/>
    </row>
    <row r="21271">
      <c r="AI21271" s="80"/>
    </row>
    <row r="21272">
      <c r="AI21272" s="80"/>
    </row>
    <row r="21273">
      <c r="AI21273" s="80"/>
    </row>
    <row r="21274">
      <c r="AI21274" s="80"/>
    </row>
    <row r="21275">
      <c r="AI21275" s="80"/>
    </row>
    <row r="21276">
      <c r="AI21276" s="80"/>
    </row>
    <row r="21277">
      <c r="AI21277" s="80"/>
    </row>
    <row r="21278">
      <c r="AI21278" s="80"/>
    </row>
    <row r="21279">
      <c r="AI21279" s="80"/>
    </row>
    <row r="21280">
      <c r="AI21280" s="80"/>
    </row>
    <row r="21281">
      <c r="AI21281" s="80"/>
    </row>
    <row r="21282">
      <c r="AI21282" s="80"/>
    </row>
    <row r="21283">
      <c r="AI21283" s="80"/>
    </row>
    <row r="21284">
      <c r="AI21284" s="80"/>
    </row>
    <row r="21285">
      <c r="AI21285" s="80"/>
    </row>
    <row r="21286">
      <c r="AI21286" s="80"/>
    </row>
    <row r="21287">
      <c r="AI21287" s="80"/>
    </row>
    <row r="21288">
      <c r="AI21288" s="80"/>
    </row>
    <row r="21289">
      <c r="AI21289" s="80"/>
    </row>
    <row r="21290">
      <c r="AI21290" s="80"/>
    </row>
    <row r="21291">
      <c r="AI21291" s="80"/>
    </row>
    <row r="21292">
      <c r="AI21292" s="80"/>
    </row>
    <row r="21293">
      <c r="AI21293" s="80"/>
    </row>
    <row r="21294">
      <c r="AI21294" s="80"/>
    </row>
    <row r="21295">
      <c r="AI21295" s="80"/>
    </row>
    <row r="21296">
      <c r="AI21296" s="80"/>
    </row>
    <row r="21297">
      <c r="AI21297" s="80"/>
    </row>
    <row r="21298">
      <c r="AI21298" s="80"/>
    </row>
    <row r="21299">
      <c r="AI21299" s="80"/>
    </row>
    <row r="21300">
      <c r="AI21300" s="80"/>
    </row>
    <row r="21301">
      <c r="AI21301" s="80"/>
    </row>
    <row r="21302">
      <c r="AI21302" s="80"/>
    </row>
    <row r="21303">
      <c r="AI21303" s="80"/>
    </row>
    <row r="21304">
      <c r="AI21304" s="80"/>
    </row>
    <row r="21305">
      <c r="AI21305" s="80"/>
    </row>
    <row r="21306">
      <c r="AI21306" s="80"/>
    </row>
    <row r="21307">
      <c r="AI21307" s="80"/>
    </row>
    <row r="21308">
      <c r="AI21308" s="80"/>
    </row>
    <row r="21309">
      <c r="AI21309" s="80"/>
    </row>
    <row r="21310">
      <c r="AI21310" s="80"/>
    </row>
    <row r="21311">
      <c r="AI21311" s="80"/>
    </row>
    <row r="21312">
      <c r="AI21312" s="80"/>
    </row>
    <row r="21313">
      <c r="AI21313" s="80"/>
    </row>
    <row r="21314">
      <c r="AI21314" s="80"/>
    </row>
    <row r="21315">
      <c r="AI21315" s="80"/>
    </row>
    <row r="21316">
      <c r="AI21316" s="80"/>
    </row>
    <row r="21317">
      <c r="AI21317" s="80"/>
    </row>
    <row r="21318">
      <c r="AI21318" s="80"/>
    </row>
    <row r="21319">
      <c r="AI21319" s="80"/>
    </row>
    <row r="21320">
      <c r="AI21320" s="80"/>
    </row>
    <row r="21321">
      <c r="AI21321" s="80"/>
    </row>
    <row r="21322">
      <c r="AI21322" s="80"/>
    </row>
    <row r="21323">
      <c r="AI21323" s="80"/>
    </row>
    <row r="21324">
      <c r="AI21324" s="80"/>
    </row>
    <row r="21325">
      <c r="AI21325" s="80"/>
    </row>
    <row r="21326">
      <c r="AI21326" s="80"/>
    </row>
    <row r="21327">
      <c r="AI21327" s="80"/>
    </row>
    <row r="21328">
      <c r="AI21328" s="80"/>
    </row>
    <row r="21329">
      <c r="AI21329" s="80"/>
    </row>
    <row r="21330">
      <c r="AI21330" s="80"/>
    </row>
    <row r="21331">
      <c r="AI21331" s="80"/>
    </row>
    <row r="21332">
      <c r="AI21332" s="80"/>
    </row>
    <row r="21333">
      <c r="AI21333" s="80"/>
    </row>
    <row r="21334">
      <c r="AI21334" s="80"/>
    </row>
    <row r="21335">
      <c r="AI21335" s="80"/>
    </row>
    <row r="21336">
      <c r="AI21336" s="80"/>
    </row>
    <row r="21337">
      <c r="AI21337" s="80"/>
    </row>
    <row r="21338">
      <c r="AI21338" s="80"/>
    </row>
    <row r="21339">
      <c r="AI21339" s="80"/>
    </row>
    <row r="21340">
      <c r="AI21340" s="80"/>
    </row>
    <row r="21341">
      <c r="AI21341" s="80"/>
    </row>
    <row r="21342">
      <c r="AI21342" s="80"/>
    </row>
    <row r="21343">
      <c r="AI21343" s="80"/>
    </row>
    <row r="21344">
      <c r="AI21344" s="80"/>
    </row>
    <row r="21345">
      <c r="AI21345" s="80"/>
    </row>
    <row r="21346">
      <c r="AI21346" s="80"/>
    </row>
    <row r="21347">
      <c r="AI21347" s="80"/>
    </row>
    <row r="21348">
      <c r="AI21348" s="80"/>
    </row>
    <row r="21349">
      <c r="AI21349" s="80"/>
    </row>
    <row r="21350">
      <c r="AI21350" s="80"/>
    </row>
    <row r="21351">
      <c r="AI21351" s="80"/>
    </row>
    <row r="21352">
      <c r="AI21352" s="80"/>
    </row>
    <row r="21353">
      <c r="AI21353" s="80"/>
    </row>
    <row r="21354">
      <c r="AI21354" s="80"/>
    </row>
    <row r="21355">
      <c r="AI21355" s="80"/>
    </row>
    <row r="21356">
      <c r="AI21356" s="80"/>
    </row>
    <row r="21357">
      <c r="AI21357" s="80"/>
    </row>
    <row r="21358">
      <c r="AI21358" s="80"/>
    </row>
    <row r="21359">
      <c r="AI21359" s="80"/>
    </row>
    <row r="21360">
      <c r="AI21360" s="80"/>
    </row>
    <row r="21361">
      <c r="AI21361" s="80"/>
    </row>
    <row r="21362">
      <c r="AI21362" s="80"/>
    </row>
    <row r="21363">
      <c r="AI21363" s="80"/>
    </row>
    <row r="21364">
      <c r="AI21364" s="80"/>
    </row>
    <row r="21365">
      <c r="AI21365" s="80"/>
    </row>
    <row r="21366">
      <c r="AI21366" s="80"/>
    </row>
    <row r="21367">
      <c r="AI21367" s="80"/>
    </row>
    <row r="21368">
      <c r="AI21368" s="80"/>
    </row>
    <row r="21369">
      <c r="AI21369" s="80"/>
    </row>
    <row r="21370">
      <c r="AI21370" s="80"/>
    </row>
    <row r="21371">
      <c r="AI21371" s="80"/>
    </row>
    <row r="21372">
      <c r="AI21372" s="80"/>
    </row>
    <row r="21373">
      <c r="AI21373" s="80"/>
    </row>
    <row r="21374">
      <c r="AI21374" s="80"/>
    </row>
    <row r="21375">
      <c r="AI21375" s="80"/>
    </row>
    <row r="21376">
      <c r="AI21376" s="80"/>
    </row>
    <row r="21377">
      <c r="AI21377" s="80"/>
    </row>
    <row r="21378">
      <c r="AI21378" s="80"/>
    </row>
    <row r="21379">
      <c r="AI21379" s="80"/>
    </row>
    <row r="21380">
      <c r="AI21380" s="80"/>
    </row>
    <row r="21381">
      <c r="AI21381" s="80"/>
    </row>
    <row r="21382">
      <c r="AI21382" s="80"/>
    </row>
    <row r="21383">
      <c r="AI21383" s="80"/>
    </row>
    <row r="21384">
      <c r="AI21384" s="80"/>
    </row>
    <row r="21385">
      <c r="AI21385" s="80"/>
    </row>
    <row r="21386">
      <c r="AI21386" s="80"/>
    </row>
    <row r="21387">
      <c r="AI21387" s="80"/>
    </row>
    <row r="21388">
      <c r="AI21388" s="80"/>
    </row>
    <row r="21389">
      <c r="AI21389" s="80"/>
    </row>
    <row r="21390">
      <c r="AI21390" s="80"/>
    </row>
    <row r="21391">
      <c r="AI21391" s="80"/>
    </row>
    <row r="21392">
      <c r="AI21392" s="80"/>
    </row>
    <row r="21393">
      <c r="AI21393" s="80"/>
    </row>
    <row r="21394">
      <c r="AI21394" s="80"/>
    </row>
    <row r="21395">
      <c r="AI21395" s="80"/>
    </row>
    <row r="21396">
      <c r="AI21396" s="80"/>
    </row>
    <row r="21397">
      <c r="AI21397" s="80"/>
    </row>
    <row r="21398">
      <c r="AI21398" s="80"/>
    </row>
    <row r="21399">
      <c r="AI21399" s="80"/>
    </row>
    <row r="21400">
      <c r="AI21400" s="80"/>
    </row>
    <row r="21401">
      <c r="AI21401" s="80"/>
    </row>
    <row r="21402">
      <c r="AI21402" s="80"/>
    </row>
    <row r="21403">
      <c r="AI21403" s="80"/>
    </row>
    <row r="21404">
      <c r="AI21404" s="80"/>
    </row>
    <row r="21405">
      <c r="AI21405" s="80"/>
    </row>
    <row r="21406">
      <c r="AI21406" s="80"/>
    </row>
    <row r="21407">
      <c r="AI21407" s="80"/>
    </row>
    <row r="21408">
      <c r="AI21408" s="80"/>
    </row>
    <row r="21409">
      <c r="AI21409" s="80"/>
    </row>
    <row r="21410">
      <c r="AI21410" s="80"/>
    </row>
    <row r="21411">
      <c r="AI21411" s="80"/>
    </row>
    <row r="21412">
      <c r="AI21412" s="80"/>
    </row>
    <row r="21413">
      <c r="AI21413" s="80"/>
    </row>
    <row r="21414">
      <c r="AI21414" s="80"/>
    </row>
    <row r="21415">
      <c r="AI21415" s="80"/>
    </row>
    <row r="21416">
      <c r="AI21416" s="80"/>
    </row>
    <row r="21417">
      <c r="AI21417" s="80"/>
    </row>
    <row r="21418">
      <c r="AI21418" s="80"/>
    </row>
    <row r="21419">
      <c r="AI21419" s="80"/>
    </row>
    <row r="21420">
      <c r="AI21420" s="80"/>
    </row>
    <row r="21421">
      <c r="AI21421" s="80"/>
    </row>
    <row r="21422">
      <c r="AI21422" s="80"/>
    </row>
    <row r="21423">
      <c r="AI21423" s="80"/>
    </row>
    <row r="21424">
      <c r="AI21424" s="80"/>
    </row>
    <row r="21425">
      <c r="AI21425" s="80"/>
    </row>
    <row r="21426">
      <c r="AI21426" s="80"/>
    </row>
    <row r="21427">
      <c r="AI21427" s="80"/>
    </row>
    <row r="21428">
      <c r="AI21428" s="80"/>
    </row>
    <row r="21429">
      <c r="AI21429" s="80"/>
    </row>
    <row r="21430">
      <c r="AI21430" s="80"/>
    </row>
    <row r="21431">
      <c r="AI21431" s="80"/>
    </row>
    <row r="21432">
      <c r="AI21432" s="80"/>
    </row>
    <row r="21433">
      <c r="AI21433" s="80"/>
    </row>
    <row r="21434">
      <c r="AI21434" s="80"/>
    </row>
    <row r="21435">
      <c r="AI21435" s="80"/>
    </row>
    <row r="21436">
      <c r="AI21436" s="80"/>
    </row>
    <row r="21437">
      <c r="AI21437" s="80"/>
    </row>
    <row r="21438">
      <c r="AI21438" s="80"/>
    </row>
    <row r="21439">
      <c r="AI21439" s="80"/>
    </row>
    <row r="21440">
      <c r="AI21440" s="80"/>
    </row>
    <row r="21441">
      <c r="AI21441" s="80"/>
    </row>
    <row r="21442">
      <c r="AI21442" s="80"/>
    </row>
    <row r="21443">
      <c r="AI21443" s="80"/>
    </row>
    <row r="21444">
      <c r="AI21444" s="80"/>
    </row>
    <row r="21445">
      <c r="AI21445" s="80"/>
    </row>
    <row r="21446">
      <c r="AI21446" s="80"/>
    </row>
    <row r="21447">
      <c r="AI21447" s="80"/>
    </row>
    <row r="21448">
      <c r="AI21448" s="80"/>
    </row>
    <row r="21449">
      <c r="AI21449" s="80"/>
    </row>
    <row r="21450">
      <c r="AI21450" s="80"/>
    </row>
    <row r="21451">
      <c r="AI21451" s="80"/>
    </row>
    <row r="21452">
      <c r="AI21452" s="80"/>
    </row>
    <row r="21453">
      <c r="AI21453" s="80"/>
    </row>
    <row r="21454">
      <c r="AI21454" s="80"/>
    </row>
    <row r="21455">
      <c r="AI21455" s="80"/>
    </row>
    <row r="21456">
      <c r="AI21456" s="80"/>
    </row>
    <row r="21457">
      <c r="AI21457" s="80"/>
    </row>
    <row r="21458">
      <c r="AI21458" s="80"/>
    </row>
    <row r="21459">
      <c r="AI21459" s="80"/>
    </row>
    <row r="21460">
      <c r="AI21460" s="80"/>
    </row>
    <row r="21461">
      <c r="AI21461" s="80"/>
    </row>
    <row r="21462">
      <c r="AI21462" s="80"/>
    </row>
    <row r="21463">
      <c r="AI21463" s="80"/>
    </row>
    <row r="21464">
      <c r="AI21464" s="80"/>
    </row>
    <row r="21465">
      <c r="AI21465" s="80"/>
    </row>
    <row r="21466">
      <c r="AI21466" s="80"/>
    </row>
    <row r="21467">
      <c r="AI21467" s="80"/>
    </row>
    <row r="21468">
      <c r="AI21468" s="80"/>
    </row>
    <row r="21469">
      <c r="AI21469" s="80"/>
    </row>
    <row r="21470">
      <c r="AI21470" s="80"/>
    </row>
    <row r="21471">
      <c r="AI21471" s="80"/>
    </row>
    <row r="21472">
      <c r="AI21472" s="80"/>
    </row>
    <row r="21473">
      <c r="AI21473" s="80"/>
    </row>
    <row r="21474">
      <c r="AI21474" s="80"/>
    </row>
    <row r="21475">
      <c r="AI21475" s="80"/>
    </row>
    <row r="21476">
      <c r="AI21476" s="80"/>
    </row>
    <row r="21477">
      <c r="AI21477" s="80"/>
    </row>
    <row r="21478">
      <c r="AI21478" s="80"/>
    </row>
    <row r="21479">
      <c r="AI21479" s="80"/>
    </row>
    <row r="21480">
      <c r="AI21480" s="80"/>
    </row>
    <row r="21481">
      <c r="AI21481" s="80"/>
    </row>
    <row r="21482">
      <c r="AI21482" s="80"/>
    </row>
    <row r="21483">
      <c r="AI21483" s="80"/>
    </row>
    <row r="21484">
      <c r="AI21484" s="80"/>
    </row>
    <row r="21485">
      <c r="AI21485" s="80"/>
    </row>
    <row r="21486">
      <c r="AI21486" s="80"/>
    </row>
    <row r="21487">
      <c r="AI21487" s="80"/>
    </row>
    <row r="21488">
      <c r="AI21488" s="80"/>
    </row>
    <row r="21489">
      <c r="AI21489" s="80"/>
    </row>
    <row r="21490">
      <c r="AI21490" s="80"/>
    </row>
    <row r="21491">
      <c r="AI21491" s="80"/>
    </row>
    <row r="21492">
      <c r="AI21492" s="80"/>
    </row>
    <row r="21493">
      <c r="AI21493" s="80"/>
    </row>
    <row r="21494">
      <c r="AI21494" s="80"/>
    </row>
    <row r="21495">
      <c r="AI21495" s="80"/>
    </row>
    <row r="21496">
      <c r="AI21496" s="80"/>
    </row>
    <row r="21497">
      <c r="AI21497" s="80"/>
    </row>
    <row r="21498">
      <c r="AI21498" s="80"/>
    </row>
    <row r="21499">
      <c r="AI21499" s="80"/>
    </row>
    <row r="21500">
      <c r="AI21500" s="80"/>
    </row>
    <row r="21501">
      <c r="AI21501" s="80"/>
    </row>
    <row r="21502">
      <c r="AI21502" s="80"/>
    </row>
    <row r="21503">
      <c r="AI21503" s="80"/>
    </row>
    <row r="21504">
      <c r="AI21504" s="80"/>
    </row>
    <row r="21505">
      <c r="AI21505" s="80"/>
    </row>
    <row r="21506">
      <c r="AI21506" s="80"/>
    </row>
    <row r="21507">
      <c r="AI21507" s="80"/>
    </row>
    <row r="21508">
      <c r="AI21508" s="80"/>
    </row>
    <row r="21509">
      <c r="AI21509" s="80"/>
    </row>
    <row r="21510">
      <c r="AI21510" s="80"/>
    </row>
    <row r="21511">
      <c r="AI21511" s="80"/>
    </row>
    <row r="21512">
      <c r="AI21512" s="80"/>
    </row>
    <row r="21513">
      <c r="AI21513" s="80"/>
    </row>
    <row r="21514">
      <c r="AI21514" s="80"/>
    </row>
    <row r="21515">
      <c r="AI21515" s="80"/>
    </row>
    <row r="21516">
      <c r="AI21516" s="80"/>
    </row>
    <row r="21517">
      <c r="AI21517" s="80"/>
    </row>
    <row r="21518">
      <c r="AI21518" s="80"/>
    </row>
    <row r="21519">
      <c r="AI21519" s="80"/>
    </row>
    <row r="21520">
      <c r="AI21520" s="80"/>
    </row>
    <row r="21521">
      <c r="AI21521" s="80"/>
    </row>
    <row r="21522">
      <c r="AI21522" s="80"/>
    </row>
    <row r="21523">
      <c r="AI21523" s="80"/>
    </row>
    <row r="21524">
      <c r="AI21524" s="80"/>
    </row>
    <row r="21525">
      <c r="AI21525" s="80"/>
    </row>
    <row r="21526">
      <c r="AI21526" s="80"/>
    </row>
    <row r="21527">
      <c r="AI21527" s="80"/>
    </row>
    <row r="21528">
      <c r="AI21528" s="80"/>
    </row>
    <row r="21529">
      <c r="AI21529" s="80"/>
    </row>
    <row r="21530">
      <c r="AI21530" s="80"/>
    </row>
    <row r="21531">
      <c r="AI21531" s="80"/>
    </row>
    <row r="21532">
      <c r="AI21532" s="80"/>
    </row>
    <row r="21533">
      <c r="AI21533" s="80"/>
    </row>
    <row r="21534">
      <c r="AI21534" s="80"/>
    </row>
    <row r="21535">
      <c r="AI21535" s="80"/>
    </row>
    <row r="21536">
      <c r="AI21536" s="80"/>
    </row>
    <row r="21537">
      <c r="AI21537" s="80"/>
    </row>
    <row r="21538">
      <c r="AI21538" s="80"/>
    </row>
    <row r="21539">
      <c r="AI21539" s="80"/>
    </row>
    <row r="21540">
      <c r="AI21540" s="80"/>
    </row>
    <row r="21541">
      <c r="AI21541" s="80"/>
    </row>
    <row r="21542">
      <c r="AI21542" s="80"/>
    </row>
    <row r="21543">
      <c r="AI21543" s="80"/>
    </row>
    <row r="21544">
      <c r="AI21544" s="80"/>
    </row>
    <row r="21545">
      <c r="AI21545" s="80"/>
    </row>
    <row r="21546">
      <c r="AI21546" s="80"/>
    </row>
    <row r="21547">
      <c r="AI21547" s="80"/>
    </row>
    <row r="21548">
      <c r="AI21548" s="80"/>
    </row>
    <row r="21549">
      <c r="AI21549" s="80"/>
    </row>
    <row r="21550">
      <c r="AI21550" s="80"/>
    </row>
    <row r="21551">
      <c r="AI21551" s="80"/>
    </row>
    <row r="21552">
      <c r="AI21552" s="80"/>
    </row>
    <row r="21553">
      <c r="AI21553" s="80"/>
    </row>
    <row r="21554">
      <c r="AI21554" s="80"/>
    </row>
    <row r="21555">
      <c r="AI21555" s="80"/>
    </row>
    <row r="21556">
      <c r="AI21556" s="80"/>
    </row>
    <row r="21557">
      <c r="AI21557" s="80"/>
    </row>
    <row r="21558">
      <c r="AI21558" s="80"/>
    </row>
    <row r="21559">
      <c r="AI21559" s="80"/>
    </row>
    <row r="21560">
      <c r="AI21560" s="80"/>
    </row>
    <row r="21561">
      <c r="AI21561" s="80"/>
    </row>
    <row r="21562">
      <c r="AI21562" s="80"/>
    </row>
    <row r="21563">
      <c r="AI21563" s="80"/>
    </row>
    <row r="21564">
      <c r="AI21564" s="80"/>
    </row>
    <row r="21565">
      <c r="AI21565" s="80"/>
    </row>
    <row r="21566">
      <c r="AI21566" s="80"/>
    </row>
    <row r="21567">
      <c r="AI21567" s="80"/>
    </row>
    <row r="21568">
      <c r="AI21568" s="80"/>
    </row>
    <row r="21569">
      <c r="AI21569" s="80"/>
    </row>
    <row r="21570">
      <c r="AI21570" s="80"/>
    </row>
    <row r="21571">
      <c r="AI21571" s="80"/>
    </row>
    <row r="21572">
      <c r="AI21572" s="80"/>
    </row>
    <row r="21573">
      <c r="AI21573" s="80"/>
    </row>
    <row r="21574">
      <c r="AI21574" s="80"/>
    </row>
    <row r="21575">
      <c r="AI21575" s="80"/>
    </row>
    <row r="21576">
      <c r="AI21576" s="80"/>
    </row>
    <row r="21577">
      <c r="AI21577" s="80"/>
    </row>
    <row r="21578">
      <c r="AI21578" s="80"/>
    </row>
    <row r="21579">
      <c r="AI21579" s="80"/>
    </row>
    <row r="21580">
      <c r="AI21580" s="80"/>
    </row>
    <row r="21581">
      <c r="AI21581" s="80"/>
    </row>
    <row r="21582">
      <c r="AI21582" s="80"/>
    </row>
    <row r="21583">
      <c r="AI21583" s="80"/>
    </row>
    <row r="21584">
      <c r="AI21584" s="80"/>
    </row>
    <row r="21585">
      <c r="AI21585" s="80"/>
    </row>
    <row r="21586">
      <c r="AI21586" s="80"/>
    </row>
    <row r="21587">
      <c r="AI21587" s="80"/>
    </row>
    <row r="21588">
      <c r="AI21588" s="80"/>
    </row>
    <row r="21589">
      <c r="AI21589" s="80"/>
    </row>
    <row r="21590">
      <c r="AI21590" s="80"/>
    </row>
    <row r="21591">
      <c r="AI21591" s="80"/>
    </row>
    <row r="21592">
      <c r="AI21592" s="80"/>
    </row>
    <row r="21593">
      <c r="AI21593" s="80"/>
    </row>
    <row r="21594">
      <c r="AI21594" s="80"/>
    </row>
    <row r="21595">
      <c r="AI21595" s="80"/>
    </row>
    <row r="21596">
      <c r="AI21596" s="80"/>
    </row>
    <row r="21597">
      <c r="AI21597" s="80"/>
    </row>
    <row r="21598">
      <c r="AI21598" s="80"/>
    </row>
    <row r="21599">
      <c r="AI21599" s="80"/>
    </row>
    <row r="21600">
      <c r="AI21600" s="80"/>
    </row>
    <row r="21601">
      <c r="AI21601" s="80"/>
    </row>
    <row r="21602">
      <c r="AI21602" s="80"/>
    </row>
    <row r="21603">
      <c r="AI21603" s="80"/>
    </row>
    <row r="21604">
      <c r="AI21604" s="80"/>
    </row>
    <row r="21605">
      <c r="AI21605" s="80"/>
    </row>
    <row r="21606">
      <c r="AI21606" s="80"/>
    </row>
    <row r="21607">
      <c r="AI21607" s="80"/>
    </row>
    <row r="21608">
      <c r="AI21608" s="80"/>
    </row>
    <row r="21609">
      <c r="AI21609" s="80"/>
    </row>
    <row r="21610">
      <c r="AI21610" s="80"/>
    </row>
    <row r="21611">
      <c r="AI21611" s="80"/>
    </row>
    <row r="21612">
      <c r="AI21612" s="80"/>
    </row>
    <row r="21613">
      <c r="AI21613" s="80"/>
    </row>
    <row r="21614">
      <c r="AI21614" s="80"/>
    </row>
    <row r="21615">
      <c r="AI21615" s="80"/>
    </row>
    <row r="21616">
      <c r="AI21616" s="80"/>
    </row>
    <row r="21617">
      <c r="AI21617" s="80"/>
    </row>
    <row r="21618">
      <c r="AI21618" s="80"/>
    </row>
    <row r="21619">
      <c r="AI21619" s="80"/>
    </row>
    <row r="21620">
      <c r="AI21620" s="80"/>
    </row>
    <row r="21621">
      <c r="AI21621" s="80"/>
    </row>
    <row r="21622">
      <c r="AI21622" s="80"/>
    </row>
    <row r="21623">
      <c r="AI21623" s="80"/>
    </row>
    <row r="21624">
      <c r="AI21624" s="80"/>
    </row>
    <row r="21625">
      <c r="AI21625" s="80"/>
    </row>
    <row r="21626">
      <c r="AI21626" s="80"/>
    </row>
    <row r="21627">
      <c r="AI21627" s="80"/>
    </row>
    <row r="21628">
      <c r="AI21628" s="80"/>
    </row>
    <row r="21629">
      <c r="AI21629" s="80"/>
    </row>
    <row r="21630">
      <c r="AI21630" s="80"/>
    </row>
    <row r="21631">
      <c r="AI21631" s="80"/>
    </row>
    <row r="21632">
      <c r="AI21632" s="80"/>
    </row>
    <row r="21633">
      <c r="AI21633" s="80"/>
    </row>
    <row r="21634">
      <c r="AI21634" s="80"/>
    </row>
    <row r="21635">
      <c r="AI21635" s="80"/>
    </row>
    <row r="21636">
      <c r="AI21636" s="80"/>
    </row>
    <row r="21637">
      <c r="AI21637" s="80"/>
    </row>
    <row r="21638">
      <c r="AI21638" s="80"/>
    </row>
    <row r="21639">
      <c r="AI21639" s="80"/>
    </row>
    <row r="21640">
      <c r="AI21640" s="80"/>
    </row>
    <row r="21641">
      <c r="AI21641" s="80"/>
    </row>
    <row r="21642">
      <c r="AI21642" s="80"/>
    </row>
    <row r="21643">
      <c r="AI21643" s="80"/>
    </row>
    <row r="21644">
      <c r="AI21644" s="80"/>
    </row>
    <row r="21645">
      <c r="AI21645" s="80"/>
    </row>
    <row r="21646">
      <c r="AI21646" s="80"/>
    </row>
    <row r="21647">
      <c r="AI21647" s="80"/>
    </row>
    <row r="21648">
      <c r="AI21648" s="80"/>
    </row>
    <row r="21649">
      <c r="AI21649" s="80"/>
    </row>
    <row r="21650">
      <c r="AI21650" s="80"/>
    </row>
    <row r="21651">
      <c r="AI21651" s="80"/>
    </row>
    <row r="21652">
      <c r="AI21652" s="80"/>
    </row>
    <row r="21653">
      <c r="AI21653" s="80"/>
    </row>
    <row r="21654">
      <c r="AI21654" s="80"/>
    </row>
    <row r="21655">
      <c r="AI21655" s="80"/>
    </row>
    <row r="21656">
      <c r="AI21656" s="80"/>
    </row>
    <row r="21657">
      <c r="AI21657" s="80"/>
    </row>
    <row r="21658">
      <c r="AI21658" s="80"/>
    </row>
    <row r="21659">
      <c r="AI21659" s="80"/>
    </row>
    <row r="21660">
      <c r="AI21660" s="80"/>
    </row>
    <row r="21661">
      <c r="AI21661" s="80"/>
    </row>
    <row r="21662">
      <c r="AI21662" s="80"/>
    </row>
    <row r="21663">
      <c r="AI21663" s="80"/>
    </row>
    <row r="21664">
      <c r="AI21664" s="80"/>
    </row>
    <row r="21665">
      <c r="AI21665" s="80"/>
    </row>
    <row r="21666">
      <c r="AI21666" s="80"/>
    </row>
    <row r="21667">
      <c r="AI21667" s="80"/>
    </row>
    <row r="21668">
      <c r="AI21668" s="80"/>
    </row>
    <row r="21669">
      <c r="AI21669" s="80"/>
    </row>
    <row r="21670">
      <c r="AI21670" s="80"/>
    </row>
    <row r="21671">
      <c r="AI21671" s="80"/>
    </row>
    <row r="21672">
      <c r="AI21672" s="80"/>
    </row>
    <row r="21673">
      <c r="AI21673" s="80"/>
    </row>
    <row r="21674">
      <c r="AI21674" s="80"/>
    </row>
    <row r="21675">
      <c r="AI21675" s="80"/>
    </row>
    <row r="21676">
      <c r="AI21676" s="80"/>
    </row>
    <row r="21677">
      <c r="AI21677" s="80"/>
    </row>
    <row r="21678">
      <c r="AI21678" s="80"/>
    </row>
    <row r="21679">
      <c r="AI21679" s="80"/>
    </row>
    <row r="21680">
      <c r="AI21680" s="80"/>
    </row>
    <row r="21681">
      <c r="AI21681" s="80"/>
    </row>
    <row r="21682">
      <c r="AI21682" s="80"/>
    </row>
    <row r="21683">
      <c r="AI21683" s="80"/>
    </row>
    <row r="21684">
      <c r="AI21684" s="80"/>
    </row>
    <row r="21685">
      <c r="AI21685" s="80"/>
    </row>
    <row r="21686">
      <c r="AI21686" s="80"/>
    </row>
    <row r="21687">
      <c r="AI21687" s="80"/>
    </row>
    <row r="21688">
      <c r="AI21688" s="80"/>
    </row>
    <row r="21689">
      <c r="AI21689" s="80"/>
    </row>
    <row r="21690">
      <c r="AI21690" s="80"/>
    </row>
    <row r="21691">
      <c r="AI21691" s="80"/>
    </row>
    <row r="21692">
      <c r="AI21692" s="80"/>
    </row>
    <row r="21693">
      <c r="AI21693" s="80"/>
    </row>
    <row r="21694">
      <c r="AI21694" s="80"/>
    </row>
    <row r="21695">
      <c r="AI21695" s="80"/>
    </row>
    <row r="21696">
      <c r="AI21696" s="80"/>
    </row>
    <row r="21697">
      <c r="AI21697" s="80"/>
    </row>
    <row r="21698">
      <c r="AI21698" s="80"/>
    </row>
    <row r="21699">
      <c r="AI21699" s="80"/>
    </row>
    <row r="21700">
      <c r="AI21700" s="80"/>
    </row>
    <row r="21701">
      <c r="AI21701" s="80"/>
    </row>
    <row r="21702">
      <c r="AI21702" s="80"/>
    </row>
    <row r="21703">
      <c r="AI21703" s="80"/>
    </row>
    <row r="21704">
      <c r="AI21704" s="80"/>
    </row>
    <row r="21705">
      <c r="AI21705" s="80"/>
    </row>
    <row r="21706">
      <c r="AI21706" s="80"/>
    </row>
    <row r="21707">
      <c r="AI21707" s="80"/>
    </row>
    <row r="21708">
      <c r="AI21708" s="80"/>
    </row>
    <row r="21709">
      <c r="AI21709" s="80"/>
    </row>
    <row r="21710">
      <c r="AI21710" s="80"/>
    </row>
    <row r="21711">
      <c r="AI21711" s="80"/>
    </row>
    <row r="21712">
      <c r="AI21712" s="80"/>
    </row>
    <row r="21713">
      <c r="AI21713" s="80"/>
    </row>
    <row r="21714">
      <c r="AI21714" s="80"/>
    </row>
    <row r="21715">
      <c r="AI21715" s="80"/>
    </row>
    <row r="21716">
      <c r="AI21716" s="80"/>
    </row>
    <row r="21717">
      <c r="AI21717" s="80"/>
    </row>
    <row r="21718">
      <c r="AI21718" s="80"/>
    </row>
    <row r="21719">
      <c r="AI21719" s="80"/>
    </row>
    <row r="21720">
      <c r="AI21720" s="80"/>
    </row>
    <row r="21721">
      <c r="AI21721" s="80"/>
    </row>
    <row r="21722">
      <c r="AI21722" s="80"/>
    </row>
    <row r="21723">
      <c r="AI21723" s="80"/>
    </row>
    <row r="21724">
      <c r="AI21724" s="80"/>
    </row>
    <row r="21725">
      <c r="AI21725" s="80"/>
    </row>
    <row r="21726">
      <c r="AI21726" s="80"/>
    </row>
    <row r="21727">
      <c r="AI21727" s="80"/>
    </row>
    <row r="21728">
      <c r="AI21728" s="80"/>
    </row>
    <row r="21729">
      <c r="AI21729" s="80"/>
    </row>
    <row r="21730">
      <c r="AI21730" s="80"/>
    </row>
    <row r="21731">
      <c r="AI21731" s="80"/>
    </row>
    <row r="21732">
      <c r="AI21732" s="80"/>
    </row>
    <row r="21733">
      <c r="AI21733" s="80"/>
    </row>
    <row r="21734">
      <c r="AI21734" s="80"/>
    </row>
    <row r="21735">
      <c r="AI21735" s="80"/>
    </row>
    <row r="21736">
      <c r="AI21736" s="80"/>
    </row>
    <row r="21737">
      <c r="AI21737" s="80"/>
    </row>
    <row r="21738">
      <c r="AI21738" s="80"/>
    </row>
    <row r="21739">
      <c r="AI21739" s="80"/>
    </row>
    <row r="21740">
      <c r="AI21740" s="80"/>
    </row>
    <row r="21741">
      <c r="AI21741" s="80"/>
    </row>
    <row r="21742">
      <c r="AI21742" s="80"/>
    </row>
    <row r="21743">
      <c r="AI21743" s="80"/>
    </row>
    <row r="21744">
      <c r="AI21744" s="80"/>
    </row>
    <row r="21745">
      <c r="AI21745" s="80"/>
    </row>
    <row r="21746">
      <c r="AI21746" s="80"/>
    </row>
    <row r="21747">
      <c r="AI21747" s="80"/>
    </row>
    <row r="21748">
      <c r="AI21748" s="80"/>
    </row>
    <row r="21749">
      <c r="AI21749" s="80"/>
    </row>
    <row r="21750">
      <c r="AI21750" s="80"/>
    </row>
    <row r="21751">
      <c r="AI21751" s="80"/>
    </row>
    <row r="21752">
      <c r="AI21752" s="80"/>
    </row>
    <row r="21753">
      <c r="AI21753" s="80"/>
    </row>
    <row r="21754">
      <c r="AI21754" s="80"/>
    </row>
    <row r="21755">
      <c r="AI21755" s="80"/>
    </row>
    <row r="21756">
      <c r="AI21756" s="80"/>
    </row>
    <row r="21757">
      <c r="AI21757" s="80"/>
    </row>
    <row r="21758">
      <c r="AI21758" s="80"/>
    </row>
    <row r="21759">
      <c r="AI21759" s="80"/>
    </row>
    <row r="21760">
      <c r="AI21760" s="80"/>
    </row>
    <row r="21761">
      <c r="AI21761" s="80"/>
    </row>
    <row r="21762">
      <c r="AI21762" s="80"/>
    </row>
    <row r="21763">
      <c r="AI21763" s="80"/>
    </row>
    <row r="21764">
      <c r="AI21764" s="80"/>
    </row>
    <row r="21765">
      <c r="AI21765" s="80"/>
    </row>
    <row r="21766">
      <c r="AI21766" s="80"/>
    </row>
    <row r="21767">
      <c r="AI21767" s="80"/>
    </row>
    <row r="21768">
      <c r="AI21768" s="80"/>
    </row>
    <row r="21769">
      <c r="AI21769" s="80"/>
    </row>
    <row r="21770">
      <c r="AI21770" s="80"/>
    </row>
    <row r="21771">
      <c r="AI21771" s="80"/>
    </row>
    <row r="21772">
      <c r="AI21772" s="80"/>
    </row>
    <row r="21773">
      <c r="AI21773" s="80"/>
    </row>
    <row r="21774">
      <c r="AI21774" s="80"/>
    </row>
    <row r="21775">
      <c r="AI21775" s="80"/>
    </row>
    <row r="21776">
      <c r="AI21776" s="80"/>
    </row>
    <row r="21777">
      <c r="AI21777" s="80"/>
    </row>
    <row r="21778">
      <c r="AI21778" s="80"/>
    </row>
    <row r="21779">
      <c r="AI21779" s="80"/>
    </row>
    <row r="21780">
      <c r="AI21780" s="80"/>
    </row>
    <row r="21781">
      <c r="AI21781" s="80"/>
    </row>
    <row r="21782">
      <c r="AI21782" s="80"/>
    </row>
    <row r="21783">
      <c r="AI21783" s="80"/>
    </row>
    <row r="21784">
      <c r="AI21784" s="80"/>
    </row>
    <row r="21785">
      <c r="AI21785" s="80"/>
    </row>
    <row r="21786">
      <c r="AI21786" s="80"/>
    </row>
    <row r="21787">
      <c r="AI21787" s="80"/>
    </row>
    <row r="21788">
      <c r="AI21788" s="80"/>
    </row>
    <row r="21789">
      <c r="AI21789" s="80"/>
    </row>
    <row r="21790">
      <c r="AI21790" s="80"/>
    </row>
    <row r="21791">
      <c r="AI21791" s="80"/>
    </row>
    <row r="21792">
      <c r="AI21792" s="80"/>
    </row>
    <row r="21793">
      <c r="AI21793" s="80"/>
    </row>
    <row r="21794">
      <c r="AI21794" s="80"/>
    </row>
    <row r="21795">
      <c r="AI21795" s="80"/>
    </row>
    <row r="21796">
      <c r="AI21796" s="80"/>
    </row>
    <row r="21797">
      <c r="AI21797" s="80"/>
    </row>
    <row r="21798">
      <c r="AI21798" s="80"/>
    </row>
    <row r="21799">
      <c r="AI21799" s="80"/>
    </row>
    <row r="21800">
      <c r="AI21800" s="80"/>
    </row>
    <row r="21801">
      <c r="AI21801" s="80"/>
    </row>
    <row r="21802">
      <c r="AI21802" s="80"/>
    </row>
    <row r="21803">
      <c r="AI21803" s="80"/>
    </row>
    <row r="21804">
      <c r="AI21804" s="80"/>
    </row>
    <row r="21805">
      <c r="AI21805" s="80"/>
    </row>
    <row r="21806">
      <c r="AI21806" s="80"/>
    </row>
    <row r="21807">
      <c r="AI21807" s="80"/>
    </row>
    <row r="21808">
      <c r="AI21808" s="80"/>
    </row>
    <row r="21809">
      <c r="AI21809" s="80"/>
    </row>
    <row r="21810">
      <c r="AI21810" s="80"/>
    </row>
    <row r="21811">
      <c r="AI21811" s="80"/>
    </row>
    <row r="21812">
      <c r="AI21812" s="80"/>
    </row>
    <row r="21813">
      <c r="AI21813" s="80"/>
    </row>
    <row r="21814">
      <c r="AI21814" s="80"/>
    </row>
    <row r="21815">
      <c r="AI21815" s="80"/>
    </row>
    <row r="21816">
      <c r="AI21816" s="80"/>
    </row>
    <row r="21817">
      <c r="AI21817" s="80"/>
    </row>
    <row r="21818">
      <c r="AI21818" s="80"/>
    </row>
    <row r="21819">
      <c r="AI21819" s="80"/>
    </row>
    <row r="21820">
      <c r="AI21820" s="80"/>
    </row>
    <row r="21821">
      <c r="AI21821" s="80"/>
    </row>
    <row r="21822">
      <c r="AI21822" s="80"/>
    </row>
    <row r="21823">
      <c r="AI21823" s="80"/>
    </row>
    <row r="21824">
      <c r="AI21824" s="80"/>
    </row>
    <row r="21825">
      <c r="AI21825" s="80"/>
    </row>
    <row r="21826">
      <c r="AI21826" s="80"/>
    </row>
    <row r="21827">
      <c r="AI21827" s="80"/>
    </row>
    <row r="21828">
      <c r="AI21828" s="80"/>
    </row>
    <row r="21829">
      <c r="AI21829" s="80"/>
    </row>
    <row r="21830">
      <c r="AI21830" s="80"/>
    </row>
    <row r="21831">
      <c r="AI21831" s="80"/>
    </row>
    <row r="21832">
      <c r="AI21832" s="80"/>
    </row>
    <row r="21833">
      <c r="AI21833" s="80"/>
    </row>
    <row r="21834">
      <c r="AI21834" s="80"/>
    </row>
    <row r="21835">
      <c r="AI21835" s="80"/>
    </row>
    <row r="21836">
      <c r="AI21836" s="80"/>
    </row>
    <row r="21837">
      <c r="AI21837" s="80"/>
    </row>
    <row r="21838">
      <c r="AI21838" s="80"/>
    </row>
    <row r="21839">
      <c r="AI21839" s="80"/>
    </row>
    <row r="21840">
      <c r="AI21840" s="80"/>
    </row>
    <row r="21841">
      <c r="AI21841" s="80"/>
    </row>
    <row r="21842">
      <c r="AI21842" s="80"/>
    </row>
    <row r="21843">
      <c r="AI21843" s="80"/>
    </row>
    <row r="21844">
      <c r="AI21844" s="80"/>
    </row>
    <row r="21845">
      <c r="AI21845" s="80"/>
    </row>
    <row r="21846">
      <c r="AI21846" s="80"/>
    </row>
    <row r="21847">
      <c r="AI21847" s="80"/>
    </row>
    <row r="21848">
      <c r="AI21848" s="80"/>
    </row>
    <row r="21849">
      <c r="AI21849" s="80"/>
    </row>
    <row r="21850">
      <c r="AI21850" s="80"/>
    </row>
    <row r="21851">
      <c r="AI21851" s="80"/>
    </row>
    <row r="21852">
      <c r="AI21852" s="80"/>
    </row>
    <row r="21853">
      <c r="AI21853" s="80"/>
    </row>
    <row r="21854">
      <c r="AI21854" s="80"/>
    </row>
    <row r="21855">
      <c r="AI21855" s="80"/>
    </row>
    <row r="21856">
      <c r="AI21856" s="80"/>
    </row>
    <row r="21857">
      <c r="AI21857" s="80"/>
    </row>
    <row r="21858">
      <c r="AI21858" s="80"/>
    </row>
    <row r="21859">
      <c r="AI21859" s="80"/>
    </row>
    <row r="21860">
      <c r="AI21860" s="80"/>
    </row>
    <row r="21861">
      <c r="AI21861" s="80"/>
    </row>
    <row r="21862">
      <c r="AI21862" s="80"/>
    </row>
    <row r="21863">
      <c r="AI21863" s="80"/>
    </row>
    <row r="21864">
      <c r="AI21864" s="80"/>
    </row>
    <row r="21865">
      <c r="AI21865" s="80"/>
    </row>
    <row r="21866">
      <c r="AI21866" s="80"/>
    </row>
    <row r="21867">
      <c r="AI21867" s="80"/>
    </row>
    <row r="21868">
      <c r="AI21868" s="80"/>
    </row>
    <row r="21869">
      <c r="AI21869" s="80"/>
    </row>
    <row r="21870">
      <c r="AI21870" s="80"/>
    </row>
    <row r="21871">
      <c r="AI21871" s="80"/>
    </row>
    <row r="21872">
      <c r="AI21872" s="80"/>
    </row>
    <row r="21873">
      <c r="AI21873" s="80"/>
    </row>
    <row r="21874">
      <c r="AI21874" s="80"/>
    </row>
    <row r="21875">
      <c r="AI21875" s="80"/>
    </row>
    <row r="21876">
      <c r="AI21876" s="80"/>
    </row>
    <row r="21877">
      <c r="AI21877" s="80"/>
    </row>
    <row r="21878">
      <c r="AI21878" s="80"/>
    </row>
    <row r="21879">
      <c r="AI21879" s="80"/>
    </row>
    <row r="21880">
      <c r="AI21880" s="80"/>
    </row>
    <row r="21881">
      <c r="AI21881" s="80"/>
    </row>
    <row r="21882">
      <c r="AI21882" s="80"/>
    </row>
    <row r="21883">
      <c r="AI21883" s="80"/>
    </row>
    <row r="21884">
      <c r="AI21884" s="80"/>
    </row>
    <row r="21885">
      <c r="AI21885" s="80"/>
    </row>
    <row r="21886">
      <c r="AI21886" s="80"/>
    </row>
    <row r="21887">
      <c r="AI21887" s="80"/>
    </row>
    <row r="21888">
      <c r="AI21888" s="80"/>
    </row>
    <row r="21889">
      <c r="AI21889" s="80"/>
    </row>
    <row r="21890">
      <c r="AI21890" s="80"/>
    </row>
    <row r="21891">
      <c r="AI21891" s="80"/>
    </row>
    <row r="21892">
      <c r="AI21892" s="80"/>
    </row>
    <row r="21893">
      <c r="AI21893" s="80"/>
    </row>
    <row r="21894">
      <c r="AI21894" s="80"/>
    </row>
    <row r="21895">
      <c r="AI21895" s="80"/>
    </row>
    <row r="21896">
      <c r="AI21896" s="80"/>
    </row>
    <row r="21897">
      <c r="AI21897" s="80"/>
    </row>
    <row r="21898">
      <c r="AI21898" s="80"/>
    </row>
    <row r="21899">
      <c r="AI21899" s="80"/>
    </row>
    <row r="21900">
      <c r="AI21900" s="80"/>
    </row>
    <row r="21901">
      <c r="AI21901" s="80"/>
    </row>
    <row r="21902">
      <c r="AI21902" s="80"/>
    </row>
    <row r="21903">
      <c r="AI21903" s="80"/>
    </row>
    <row r="21904">
      <c r="AI21904" s="80"/>
    </row>
    <row r="21905">
      <c r="AI21905" s="80"/>
    </row>
    <row r="21906">
      <c r="AI21906" s="80"/>
    </row>
    <row r="21907">
      <c r="AI21907" s="80"/>
    </row>
    <row r="21908">
      <c r="AI21908" s="80"/>
    </row>
    <row r="21909">
      <c r="AI21909" s="80"/>
    </row>
    <row r="21910">
      <c r="AI21910" s="80"/>
    </row>
    <row r="21911">
      <c r="AI21911" s="80"/>
    </row>
    <row r="21912">
      <c r="AI21912" s="80"/>
    </row>
    <row r="21913">
      <c r="AI21913" s="80"/>
    </row>
    <row r="21914">
      <c r="AI21914" s="80"/>
    </row>
    <row r="21915">
      <c r="AI21915" s="80"/>
    </row>
    <row r="21916">
      <c r="AI21916" s="80"/>
    </row>
    <row r="21917">
      <c r="AI21917" s="80"/>
    </row>
    <row r="21918">
      <c r="AI21918" s="80"/>
    </row>
    <row r="21919">
      <c r="AI21919" s="80"/>
    </row>
    <row r="21920">
      <c r="AI21920" s="80"/>
    </row>
    <row r="21921">
      <c r="AI21921" s="80"/>
    </row>
    <row r="21922">
      <c r="AI21922" s="80"/>
    </row>
    <row r="21923">
      <c r="AI21923" s="80"/>
    </row>
    <row r="21924">
      <c r="AI21924" s="80"/>
    </row>
    <row r="21925">
      <c r="AI21925" s="80"/>
    </row>
    <row r="21926">
      <c r="AI21926" s="80"/>
    </row>
    <row r="21927">
      <c r="AI21927" s="80"/>
    </row>
    <row r="21928">
      <c r="AI21928" s="80"/>
    </row>
    <row r="21929">
      <c r="AI21929" s="80"/>
    </row>
    <row r="21930">
      <c r="AI21930" s="80"/>
    </row>
    <row r="21931">
      <c r="AI21931" s="80"/>
    </row>
    <row r="21932">
      <c r="AI21932" s="80"/>
    </row>
    <row r="21933">
      <c r="AI21933" s="80"/>
    </row>
    <row r="21934">
      <c r="AI21934" s="80"/>
    </row>
    <row r="21935">
      <c r="AI21935" s="80"/>
    </row>
    <row r="21936">
      <c r="AI21936" s="80"/>
    </row>
    <row r="21937">
      <c r="AI21937" s="80"/>
    </row>
    <row r="21938">
      <c r="AI21938" s="80"/>
    </row>
    <row r="21939">
      <c r="AI21939" s="80"/>
    </row>
    <row r="21940">
      <c r="AI21940" s="80"/>
    </row>
    <row r="21941">
      <c r="AI21941" s="80"/>
    </row>
    <row r="21942">
      <c r="AI21942" s="80"/>
    </row>
    <row r="21943">
      <c r="AI21943" s="80"/>
    </row>
    <row r="21944">
      <c r="AI21944" s="80"/>
    </row>
    <row r="21945">
      <c r="AI21945" s="80"/>
    </row>
    <row r="21946">
      <c r="AI21946" s="80"/>
    </row>
    <row r="21947">
      <c r="AI21947" s="80"/>
    </row>
    <row r="21948">
      <c r="AI21948" s="80"/>
    </row>
    <row r="21949">
      <c r="AI21949" s="80"/>
    </row>
    <row r="21950">
      <c r="AI21950" s="80"/>
    </row>
    <row r="21951">
      <c r="AI21951" s="80"/>
    </row>
    <row r="21952">
      <c r="AI21952" s="80"/>
    </row>
    <row r="21953">
      <c r="AI21953" s="80"/>
    </row>
    <row r="21954">
      <c r="AI21954" s="80"/>
    </row>
    <row r="21955">
      <c r="AI21955" s="80"/>
    </row>
    <row r="21956">
      <c r="AI21956" s="80"/>
    </row>
    <row r="21957">
      <c r="AI21957" s="80"/>
    </row>
    <row r="21958">
      <c r="AI21958" s="80"/>
    </row>
    <row r="21959">
      <c r="AI21959" s="80"/>
    </row>
    <row r="21960">
      <c r="AI21960" s="80"/>
    </row>
    <row r="21961">
      <c r="AI21961" s="80"/>
    </row>
    <row r="21962">
      <c r="AI21962" s="80"/>
    </row>
    <row r="21963">
      <c r="AI21963" s="80"/>
    </row>
    <row r="21964">
      <c r="AI21964" s="80"/>
    </row>
    <row r="21965">
      <c r="AI21965" s="80"/>
    </row>
    <row r="21966">
      <c r="AI21966" s="80"/>
    </row>
    <row r="21967">
      <c r="AI21967" s="80"/>
    </row>
    <row r="21968">
      <c r="AI21968" s="80"/>
    </row>
    <row r="21969">
      <c r="AI21969" s="80"/>
    </row>
    <row r="21970">
      <c r="AI21970" s="80"/>
    </row>
    <row r="21971">
      <c r="AI21971" s="80"/>
    </row>
    <row r="21972">
      <c r="AI21972" s="80"/>
    </row>
    <row r="21973">
      <c r="AI21973" s="80"/>
    </row>
    <row r="21974">
      <c r="AI21974" s="80"/>
    </row>
    <row r="21975">
      <c r="AI21975" s="80"/>
    </row>
    <row r="21976">
      <c r="AI21976" s="80"/>
    </row>
    <row r="21977">
      <c r="AI21977" s="80"/>
    </row>
    <row r="21978">
      <c r="AI21978" s="80"/>
    </row>
    <row r="21979">
      <c r="AI21979" s="80"/>
    </row>
    <row r="21980">
      <c r="AI21980" s="80"/>
    </row>
    <row r="21981">
      <c r="AI21981" s="80"/>
    </row>
    <row r="21982">
      <c r="AI21982" s="80"/>
    </row>
    <row r="21983">
      <c r="AI21983" s="80"/>
    </row>
    <row r="21984">
      <c r="AI21984" s="80"/>
    </row>
    <row r="21985">
      <c r="AI21985" s="80"/>
    </row>
    <row r="21986">
      <c r="AI21986" s="80"/>
    </row>
    <row r="21987">
      <c r="AI21987" s="80"/>
    </row>
    <row r="21988">
      <c r="AI21988" s="80"/>
    </row>
    <row r="21989">
      <c r="AI21989" s="80"/>
    </row>
    <row r="21990">
      <c r="AI21990" s="80"/>
    </row>
    <row r="21991">
      <c r="AI21991" s="80"/>
    </row>
    <row r="21992">
      <c r="AI21992" s="80"/>
    </row>
    <row r="21993">
      <c r="AI21993" s="80"/>
    </row>
    <row r="21994">
      <c r="AI21994" s="80"/>
    </row>
    <row r="21995">
      <c r="AI21995" s="80"/>
    </row>
    <row r="21996">
      <c r="AI21996" s="80"/>
    </row>
    <row r="21997">
      <c r="AI21997" s="80"/>
    </row>
    <row r="21998">
      <c r="AI21998" s="80"/>
    </row>
    <row r="21999">
      <c r="AI21999" s="80"/>
    </row>
    <row r="22000">
      <c r="AI22000" s="80"/>
    </row>
    <row r="22001">
      <c r="AI22001" s="80"/>
    </row>
    <row r="22002">
      <c r="AI22002" s="80"/>
    </row>
    <row r="22003">
      <c r="AI22003" s="80"/>
    </row>
    <row r="22004">
      <c r="AI22004" s="80"/>
    </row>
    <row r="22005">
      <c r="AI22005" s="80"/>
    </row>
    <row r="22006">
      <c r="AI22006" s="80"/>
    </row>
    <row r="22007">
      <c r="AI22007" s="80"/>
    </row>
    <row r="22008">
      <c r="AI22008" s="80"/>
    </row>
    <row r="22009">
      <c r="AI22009" s="80"/>
    </row>
    <row r="22010">
      <c r="AI22010" s="80"/>
    </row>
    <row r="22011">
      <c r="AI22011" s="80"/>
    </row>
    <row r="22012">
      <c r="AI22012" s="80"/>
    </row>
    <row r="22013">
      <c r="AI22013" s="80"/>
    </row>
    <row r="22014">
      <c r="AI22014" s="80"/>
    </row>
    <row r="22015">
      <c r="AI22015" s="80"/>
    </row>
    <row r="22016">
      <c r="AI22016" s="80"/>
    </row>
    <row r="22017">
      <c r="AI22017" s="80"/>
    </row>
    <row r="22018">
      <c r="AI22018" s="80"/>
    </row>
    <row r="22019">
      <c r="AI22019" s="80"/>
    </row>
    <row r="22020">
      <c r="AI22020" s="80"/>
    </row>
    <row r="22021">
      <c r="AI22021" s="80"/>
    </row>
    <row r="22022">
      <c r="AI22022" s="80"/>
    </row>
    <row r="22023">
      <c r="AI22023" s="80"/>
    </row>
    <row r="22024">
      <c r="AI22024" s="80"/>
    </row>
    <row r="22025">
      <c r="AI22025" s="80"/>
    </row>
    <row r="22026">
      <c r="AI22026" s="80"/>
    </row>
    <row r="22027">
      <c r="AI22027" s="80"/>
    </row>
    <row r="22028">
      <c r="AI22028" s="80"/>
    </row>
    <row r="22029">
      <c r="AI22029" s="80"/>
    </row>
    <row r="22030">
      <c r="AI22030" s="80"/>
    </row>
    <row r="22031">
      <c r="AI22031" s="80"/>
    </row>
    <row r="22032">
      <c r="AI22032" s="80"/>
    </row>
    <row r="22033">
      <c r="AI22033" s="80"/>
    </row>
    <row r="22034">
      <c r="AI22034" s="80"/>
    </row>
    <row r="22035">
      <c r="AI22035" s="80"/>
    </row>
    <row r="22036">
      <c r="AI22036" s="80"/>
    </row>
    <row r="22037">
      <c r="AI22037" s="80"/>
    </row>
    <row r="22038">
      <c r="AI22038" s="80"/>
    </row>
    <row r="22039">
      <c r="AI22039" s="80"/>
    </row>
    <row r="22040">
      <c r="AI22040" s="80"/>
    </row>
    <row r="22041">
      <c r="AI22041" s="80"/>
    </row>
    <row r="22042">
      <c r="AI22042" s="80"/>
    </row>
    <row r="22043">
      <c r="AI22043" s="80"/>
    </row>
    <row r="22044">
      <c r="AI22044" s="80"/>
    </row>
    <row r="22045">
      <c r="AI22045" s="80"/>
    </row>
    <row r="22046">
      <c r="AI22046" s="80"/>
    </row>
    <row r="22047">
      <c r="AI22047" s="80"/>
    </row>
    <row r="22048">
      <c r="AI22048" s="80"/>
    </row>
    <row r="22049">
      <c r="AI22049" s="80"/>
    </row>
    <row r="22050">
      <c r="AI22050" s="80"/>
    </row>
    <row r="22051">
      <c r="AI22051" s="80"/>
    </row>
    <row r="22052">
      <c r="AI22052" s="80"/>
    </row>
    <row r="22053">
      <c r="AI22053" s="80"/>
    </row>
    <row r="22054">
      <c r="AI22054" s="80"/>
    </row>
    <row r="22055">
      <c r="AI22055" s="80"/>
    </row>
    <row r="22056">
      <c r="AI22056" s="80"/>
    </row>
    <row r="22057">
      <c r="AI22057" s="80"/>
    </row>
    <row r="22058">
      <c r="AI22058" s="80"/>
    </row>
    <row r="22059">
      <c r="AI22059" s="80"/>
    </row>
    <row r="22060">
      <c r="AI22060" s="80"/>
    </row>
    <row r="22061">
      <c r="AI22061" s="80"/>
    </row>
    <row r="22062">
      <c r="AI22062" s="80"/>
    </row>
    <row r="22063">
      <c r="AI22063" s="80"/>
    </row>
    <row r="22064">
      <c r="AI22064" s="80"/>
    </row>
    <row r="22065">
      <c r="AI22065" s="80"/>
    </row>
    <row r="22066">
      <c r="AI22066" s="80"/>
    </row>
    <row r="22067">
      <c r="AI22067" s="80"/>
    </row>
    <row r="22068">
      <c r="AI22068" s="80"/>
    </row>
    <row r="22069">
      <c r="AI22069" s="80"/>
    </row>
    <row r="22070">
      <c r="AI22070" s="80"/>
    </row>
    <row r="22071">
      <c r="AI22071" s="80"/>
    </row>
    <row r="22072">
      <c r="AI22072" s="80"/>
    </row>
    <row r="22073">
      <c r="AI22073" s="80"/>
    </row>
    <row r="22074">
      <c r="AI22074" s="80"/>
    </row>
    <row r="22075">
      <c r="AI22075" s="80"/>
    </row>
    <row r="22076">
      <c r="AI22076" s="80"/>
    </row>
    <row r="22077">
      <c r="AI22077" s="80"/>
    </row>
    <row r="22078">
      <c r="AI22078" s="80"/>
    </row>
    <row r="22079">
      <c r="AI22079" s="80"/>
    </row>
    <row r="22080">
      <c r="AI22080" s="80"/>
    </row>
    <row r="22081">
      <c r="AI22081" s="80"/>
    </row>
    <row r="22082">
      <c r="AI22082" s="80"/>
    </row>
    <row r="22083">
      <c r="AI22083" s="80"/>
    </row>
    <row r="22084">
      <c r="AI22084" s="80"/>
    </row>
    <row r="22085">
      <c r="AI22085" s="80"/>
    </row>
    <row r="22086">
      <c r="AI22086" s="80"/>
    </row>
    <row r="22087">
      <c r="AI22087" s="80"/>
    </row>
    <row r="22088">
      <c r="AI22088" s="80"/>
    </row>
    <row r="22089">
      <c r="AI22089" s="80"/>
    </row>
    <row r="22090">
      <c r="AI22090" s="80"/>
    </row>
    <row r="22091">
      <c r="AI22091" s="80"/>
    </row>
    <row r="22092">
      <c r="AI22092" s="80"/>
    </row>
    <row r="22093">
      <c r="AI22093" s="80"/>
    </row>
    <row r="22094">
      <c r="AI22094" s="80"/>
    </row>
    <row r="22095">
      <c r="AI22095" s="80"/>
    </row>
    <row r="22096">
      <c r="AI22096" s="80"/>
    </row>
    <row r="22097">
      <c r="AI22097" s="80"/>
    </row>
    <row r="22098">
      <c r="AI22098" s="80"/>
    </row>
    <row r="22099">
      <c r="AI22099" s="80"/>
    </row>
    <row r="22100">
      <c r="AI22100" s="80"/>
    </row>
    <row r="22101">
      <c r="AI22101" s="80"/>
    </row>
    <row r="22102">
      <c r="AI22102" s="80"/>
    </row>
    <row r="22103">
      <c r="AI22103" s="80"/>
    </row>
    <row r="22104">
      <c r="AI22104" s="80"/>
    </row>
    <row r="22105">
      <c r="AI22105" s="80"/>
    </row>
    <row r="22106">
      <c r="AI22106" s="80"/>
    </row>
    <row r="22107">
      <c r="AI22107" s="80"/>
    </row>
    <row r="22108">
      <c r="AI22108" s="80"/>
    </row>
    <row r="22109">
      <c r="AI22109" s="80"/>
    </row>
    <row r="22110">
      <c r="AI22110" s="80"/>
    </row>
    <row r="22111">
      <c r="AI22111" s="80"/>
    </row>
    <row r="22112">
      <c r="AI22112" s="80"/>
    </row>
    <row r="22113">
      <c r="AI22113" s="80"/>
    </row>
    <row r="22114">
      <c r="AI22114" s="80"/>
    </row>
    <row r="22115">
      <c r="AI22115" s="80"/>
    </row>
    <row r="22116">
      <c r="AI22116" s="80"/>
    </row>
    <row r="22117">
      <c r="AI22117" s="80"/>
    </row>
    <row r="22118">
      <c r="AI22118" s="80"/>
    </row>
    <row r="22119">
      <c r="AI22119" s="80"/>
    </row>
    <row r="22120">
      <c r="AI22120" s="80"/>
    </row>
    <row r="22121">
      <c r="AI22121" s="80"/>
    </row>
    <row r="22122">
      <c r="AI22122" s="80"/>
    </row>
    <row r="22123">
      <c r="AI22123" s="80"/>
    </row>
    <row r="22124">
      <c r="AI22124" s="80"/>
    </row>
    <row r="22125">
      <c r="AI22125" s="80"/>
    </row>
    <row r="22126">
      <c r="AI22126" s="80"/>
    </row>
    <row r="22127">
      <c r="AI22127" s="80"/>
    </row>
    <row r="22128">
      <c r="AI22128" s="80"/>
    </row>
    <row r="22129">
      <c r="AI22129" s="80"/>
    </row>
    <row r="22130">
      <c r="AI22130" s="80"/>
    </row>
    <row r="22131">
      <c r="AI22131" s="80"/>
    </row>
    <row r="22132">
      <c r="AI22132" s="80"/>
    </row>
    <row r="22133">
      <c r="AI22133" s="80"/>
    </row>
    <row r="22134">
      <c r="AI22134" s="80"/>
    </row>
    <row r="22135">
      <c r="AI22135" s="80"/>
    </row>
    <row r="22136">
      <c r="AI22136" s="80"/>
    </row>
    <row r="22137">
      <c r="AI22137" s="80"/>
    </row>
    <row r="22138">
      <c r="AI22138" s="80"/>
    </row>
    <row r="22139">
      <c r="AI22139" s="80"/>
    </row>
    <row r="22140">
      <c r="AI22140" s="80"/>
    </row>
    <row r="22141">
      <c r="AI22141" s="80"/>
    </row>
    <row r="22142">
      <c r="AI22142" s="80"/>
    </row>
    <row r="22143">
      <c r="AI22143" s="80"/>
    </row>
    <row r="22144">
      <c r="AI22144" s="80"/>
    </row>
    <row r="22145">
      <c r="AI22145" s="80"/>
    </row>
    <row r="22146">
      <c r="AI22146" s="80"/>
    </row>
    <row r="22147">
      <c r="AI22147" s="80"/>
    </row>
    <row r="22148">
      <c r="AI22148" s="80"/>
    </row>
    <row r="22149">
      <c r="AI22149" s="80"/>
    </row>
    <row r="22150">
      <c r="AI22150" s="80"/>
    </row>
    <row r="22151">
      <c r="AI22151" s="80"/>
    </row>
    <row r="22152">
      <c r="AI22152" s="80"/>
    </row>
    <row r="22153">
      <c r="AI22153" s="80"/>
    </row>
    <row r="22154">
      <c r="AI22154" s="80"/>
    </row>
    <row r="22155">
      <c r="AI22155" s="80"/>
    </row>
    <row r="22156">
      <c r="AI22156" s="80"/>
    </row>
    <row r="22157">
      <c r="AI22157" s="80"/>
    </row>
    <row r="22158">
      <c r="AI22158" s="80"/>
    </row>
    <row r="22159">
      <c r="AI22159" s="80"/>
    </row>
    <row r="22160">
      <c r="AI22160" s="80"/>
    </row>
    <row r="22161">
      <c r="AI22161" s="80"/>
    </row>
    <row r="22162">
      <c r="AI22162" s="80"/>
    </row>
    <row r="22163">
      <c r="AI22163" s="80"/>
    </row>
    <row r="22164">
      <c r="AI22164" s="80"/>
    </row>
    <row r="22165">
      <c r="AI22165" s="80"/>
    </row>
    <row r="22166">
      <c r="AI22166" s="80"/>
    </row>
    <row r="22167">
      <c r="AI22167" s="80"/>
    </row>
    <row r="22168">
      <c r="AI22168" s="80"/>
    </row>
    <row r="22169">
      <c r="AI22169" s="80"/>
    </row>
    <row r="22170">
      <c r="AI22170" s="80"/>
    </row>
    <row r="22171">
      <c r="AI22171" s="80"/>
    </row>
    <row r="22172">
      <c r="AI22172" s="80"/>
    </row>
    <row r="22173">
      <c r="AI22173" s="80"/>
    </row>
    <row r="22174">
      <c r="AI22174" s="80"/>
    </row>
    <row r="22175">
      <c r="AI22175" s="80"/>
    </row>
    <row r="22176">
      <c r="AI22176" s="80"/>
    </row>
    <row r="22177">
      <c r="AI22177" s="80"/>
    </row>
    <row r="22178">
      <c r="AI22178" s="80"/>
    </row>
    <row r="22179">
      <c r="AI22179" s="80"/>
    </row>
    <row r="22180">
      <c r="AI22180" s="80"/>
    </row>
    <row r="22181">
      <c r="AI22181" s="80"/>
    </row>
    <row r="22182">
      <c r="AI22182" s="80"/>
    </row>
    <row r="22183">
      <c r="AI22183" s="80"/>
    </row>
    <row r="22184">
      <c r="AI22184" s="80"/>
    </row>
    <row r="22185">
      <c r="AI22185" s="80"/>
    </row>
    <row r="22186">
      <c r="AI22186" s="80"/>
    </row>
    <row r="22187">
      <c r="AI22187" s="80"/>
    </row>
    <row r="22188">
      <c r="AI22188" s="80"/>
    </row>
    <row r="22189">
      <c r="AI22189" s="80"/>
    </row>
    <row r="22190">
      <c r="AI22190" s="80"/>
    </row>
    <row r="22191">
      <c r="AI22191" s="80"/>
    </row>
    <row r="22192">
      <c r="AI22192" s="80"/>
    </row>
    <row r="22193">
      <c r="AI22193" s="80"/>
    </row>
    <row r="22194">
      <c r="AI22194" s="80"/>
    </row>
    <row r="22195">
      <c r="AI22195" s="80"/>
    </row>
    <row r="22196">
      <c r="AI22196" s="80"/>
    </row>
    <row r="22197">
      <c r="AI22197" s="80"/>
    </row>
    <row r="22198">
      <c r="AI22198" s="80"/>
    </row>
    <row r="22199">
      <c r="AI22199" s="80"/>
    </row>
    <row r="22200">
      <c r="AI22200" s="80"/>
    </row>
    <row r="22201">
      <c r="AI22201" s="80"/>
    </row>
    <row r="22202">
      <c r="AI22202" s="80"/>
    </row>
    <row r="22203">
      <c r="AI22203" s="80"/>
    </row>
    <row r="22204">
      <c r="AI22204" s="80"/>
    </row>
    <row r="22205">
      <c r="AI22205" s="80"/>
    </row>
    <row r="22206">
      <c r="AI22206" s="80"/>
    </row>
    <row r="22207">
      <c r="AI22207" s="80"/>
    </row>
    <row r="22208">
      <c r="AI22208" s="80"/>
    </row>
    <row r="22209">
      <c r="AI22209" s="80"/>
    </row>
    <row r="22210">
      <c r="AI22210" s="80"/>
    </row>
    <row r="22211">
      <c r="AI22211" s="80"/>
    </row>
    <row r="22212">
      <c r="AI22212" s="80"/>
    </row>
    <row r="22213">
      <c r="AI22213" s="80"/>
    </row>
    <row r="22214">
      <c r="AI22214" s="80"/>
    </row>
    <row r="22215">
      <c r="AI22215" s="80"/>
    </row>
    <row r="22216">
      <c r="AI22216" s="80"/>
    </row>
    <row r="22217">
      <c r="AI22217" s="80"/>
    </row>
    <row r="22218">
      <c r="AI22218" s="80"/>
    </row>
    <row r="22219">
      <c r="AI22219" s="80"/>
    </row>
    <row r="22220">
      <c r="AI22220" s="80"/>
    </row>
    <row r="22221">
      <c r="AI22221" s="80"/>
    </row>
    <row r="22222">
      <c r="AI22222" s="80"/>
    </row>
    <row r="22223">
      <c r="AI22223" s="80"/>
    </row>
    <row r="22224">
      <c r="AI22224" s="80"/>
    </row>
    <row r="22225">
      <c r="AI22225" s="80"/>
    </row>
    <row r="22226">
      <c r="AI22226" s="80"/>
    </row>
    <row r="22227">
      <c r="AI22227" s="80"/>
    </row>
    <row r="22228">
      <c r="AI22228" s="80"/>
    </row>
    <row r="22229">
      <c r="AI22229" s="80"/>
    </row>
    <row r="22230">
      <c r="AI22230" s="80"/>
    </row>
    <row r="22231">
      <c r="AI22231" s="80"/>
    </row>
    <row r="22232">
      <c r="AI22232" s="80"/>
    </row>
    <row r="22233">
      <c r="AI22233" s="80"/>
    </row>
    <row r="22234">
      <c r="AI22234" s="80"/>
    </row>
    <row r="22235">
      <c r="AI22235" s="80"/>
    </row>
    <row r="22236">
      <c r="AI22236" s="80"/>
    </row>
    <row r="22237">
      <c r="AI22237" s="80"/>
    </row>
    <row r="22238">
      <c r="AI22238" s="80"/>
    </row>
    <row r="22239">
      <c r="AI22239" s="80"/>
    </row>
    <row r="22240">
      <c r="AI22240" s="80"/>
    </row>
    <row r="22241">
      <c r="AI22241" s="80"/>
    </row>
    <row r="22242">
      <c r="AI22242" s="80"/>
    </row>
    <row r="22243">
      <c r="AI22243" s="80"/>
    </row>
    <row r="22244">
      <c r="AI22244" s="80"/>
    </row>
    <row r="22245">
      <c r="AI22245" s="80"/>
    </row>
    <row r="22246">
      <c r="AI22246" s="80"/>
    </row>
    <row r="22247">
      <c r="AI22247" s="80"/>
    </row>
    <row r="22248">
      <c r="AI22248" s="80"/>
    </row>
    <row r="22249">
      <c r="AI22249" s="80"/>
    </row>
    <row r="22250">
      <c r="AI22250" s="80"/>
    </row>
    <row r="22251">
      <c r="AI22251" s="80"/>
    </row>
    <row r="22252">
      <c r="AI22252" s="80"/>
    </row>
    <row r="22253">
      <c r="AI22253" s="80"/>
    </row>
    <row r="22254">
      <c r="AI22254" s="80"/>
    </row>
    <row r="22255">
      <c r="AI22255" s="80"/>
    </row>
    <row r="22256">
      <c r="AI22256" s="80"/>
    </row>
    <row r="22257">
      <c r="AI22257" s="80"/>
    </row>
    <row r="22258">
      <c r="AI22258" s="80"/>
    </row>
    <row r="22259">
      <c r="AI22259" s="80"/>
    </row>
    <row r="22260">
      <c r="AI22260" s="80"/>
    </row>
    <row r="22261">
      <c r="AI22261" s="80"/>
    </row>
    <row r="22262">
      <c r="AI22262" s="80"/>
    </row>
    <row r="22263">
      <c r="AI22263" s="80"/>
    </row>
    <row r="22264">
      <c r="AI22264" s="80"/>
    </row>
    <row r="22265">
      <c r="AI22265" s="80"/>
    </row>
    <row r="22266">
      <c r="AI22266" s="80"/>
    </row>
    <row r="22267">
      <c r="AI22267" s="80"/>
    </row>
    <row r="22268">
      <c r="AI22268" s="80"/>
    </row>
    <row r="22269">
      <c r="AI22269" s="80"/>
    </row>
    <row r="22270">
      <c r="AI22270" s="80"/>
    </row>
    <row r="22271">
      <c r="AI22271" s="80"/>
    </row>
    <row r="22272">
      <c r="AI22272" s="80"/>
    </row>
    <row r="22273">
      <c r="AI22273" s="80"/>
    </row>
    <row r="22274">
      <c r="AI22274" s="80"/>
    </row>
    <row r="22275">
      <c r="AI22275" s="80"/>
    </row>
    <row r="22276">
      <c r="AI22276" s="80"/>
    </row>
    <row r="22277">
      <c r="AI22277" s="80"/>
    </row>
    <row r="22278">
      <c r="AI22278" s="80"/>
    </row>
    <row r="22279">
      <c r="AI22279" s="80"/>
    </row>
    <row r="22280">
      <c r="AI22280" s="80"/>
    </row>
    <row r="22281">
      <c r="AI22281" s="80"/>
    </row>
    <row r="22282">
      <c r="AI22282" s="80"/>
    </row>
    <row r="22283">
      <c r="AI22283" s="80"/>
    </row>
    <row r="22284">
      <c r="AI22284" s="80"/>
    </row>
    <row r="22285">
      <c r="AI22285" s="80"/>
    </row>
    <row r="22286">
      <c r="AI22286" s="80"/>
    </row>
    <row r="22287">
      <c r="AI22287" s="80"/>
    </row>
    <row r="22288">
      <c r="AI22288" s="80"/>
    </row>
    <row r="22289">
      <c r="AI22289" s="80"/>
    </row>
    <row r="22290">
      <c r="AI22290" s="80"/>
    </row>
    <row r="22291">
      <c r="AI22291" s="80"/>
    </row>
    <row r="22292">
      <c r="AI22292" s="80"/>
    </row>
    <row r="22293">
      <c r="AI22293" s="80"/>
    </row>
    <row r="22294">
      <c r="AI22294" s="80"/>
    </row>
    <row r="22295">
      <c r="AI22295" s="80"/>
    </row>
    <row r="22296">
      <c r="AI22296" s="80"/>
    </row>
    <row r="22297">
      <c r="AI22297" s="80"/>
    </row>
    <row r="22298">
      <c r="AI22298" s="80"/>
    </row>
    <row r="22299">
      <c r="AI22299" s="80"/>
    </row>
    <row r="22300">
      <c r="AI22300" s="80"/>
    </row>
    <row r="22301">
      <c r="AI22301" s="80"/>
    </row>
    <row r="22302">
      <c r="AI22302" s="80"/>
    </row>
    <row r="22303">
      <c r="AI22303" s="80"/>
    </row>
    <row r="22304">
      <c r="AI22304" s="80"/>
    </row>
    <row r="22305">
      <c r="AI22305" s="80"/>
    </row>
    <row r="22306">
      <c r="AI22306" s="80"/>
    </row>
    <row r="22307">
      <c r="AI22307" s="80"/>
    </row>
    <row r="22308">
      <c r="AI22308" s="80"/>
    </row>
    <row r="22309">
      <c r="AI22309" s="80"/>
    </row>
    <row r="22310">
      <c r="AI22310" s="80"/>
    </row>
    <row r="22311">
      <c r="AI22311" s="80"/>
    </row>
    <row r="22312">
      <c r="AI22312" s="80"/>
    </row>
    <row r="22313">
      <c r="AI22313" s="80"/>
    </row>
    <row r="22314">
      <c r="AI22314" s="80"/>
    </row>
    <row r="22315">
      <c r="AI22315" s="80"/>
    </row>
    <row r="22316">
      <c r="AI22316" s="80"/>
    </row>
    <row r="22317">
      <c r="AI22317" s="80"/>
    </row>
    <row r="22318">
      <c r="AI22318" s="80"/>
    </row>
    <row r="22319">
      <c r="AI22319" s="80"/>
    </row>
    <row r="22320">
      <c r="AI22320" s="80"/>
    </row>
    <row r="22321">
      <c r="AI22321" s="80"/>
    </row>
    <row r="22322">
      <c r="AI22322" s="80"/>
    </row>
    <row r="22323">
      <c r="AI22323" s="80"/>
    </row>
    <row r="22324">
      <c r="AI22324" s="80"/>
    </row>
    <row r="22325">
      <c r="AI22325" s="80"/>
    </row>
    <row r="22326">
      <c r="AI22326" s="80"/>
    </row>
    <row r="22327">
      <c r="AI22327" s="80"/>
    </row>
    <row r="22328">
      <c r="AI22328" s="80"/>
    </row>
    <row r="22329">
      <c r="AI22329" s="80"/>
    </row>
    <row r="22330">
      <c r="AI22330" s="80"/>
    </row>
    <row r="22331">
      <c r="AI22331" s="80"/>
    </row>
    <row r="22332">
      <c r="AI22332" s="80"/>
    </row>
    <row r="22333">
      <c r="AI22333" s="80"/>
    </row>
    <row r="22334">
      <c r="AI22334" s="80"/>
    </row>
    <row r="22335">
      <c r="AI22335" s="80"/>
    </row>
    <row r="22336">
      <c r="AI22336" s="80"/>
    </row>
    <row r="22337">
      <c r="AI22337" s="80"/>
    </row>
    <row r="22338">
      <c r="AI22338" s="80"/>
    </row>
    <row r="22339">
      <c r="AI22339" s="80"/>
    </row>
    <row r="22340">
      <c r="AI22340" s="80"/>
    </row>
    <row r="22341">
      <c r="AI22341" s="80"/>
    </row>
    <row r="22342">
      <c r="AI22342" s="80"/>
    </row>
    <row r="22343">
      <c r="AI22343" s="80"/>
    </row>
    <row r="22344">
      <c r="AI22344" s="80"/>
    </row>
    <row r="22345">
      <c r="AI22345" s="80"/>
    </row>
    <row r="22346">
      <c r="AI22346" s="80"/>
    </row>
    <row r="22347">
      <c r="AI22347" s="80"/>
    </row>
    <row r="22348">
      <c r="AI22348" s="80"/>
    </row>
    <row r="22349">
      <c r="AI22349" s="80"/>
    </row>
    <row r="22350">
      <c r="AI22350" s="80"/>
    </row>
    <row r="22351">
      <c r="AI22351" s="80"/>
    </row>
    <row r="22352">
      <c r="AI22352" s="80"/>
    </row>
    <row r="22353">
      <c r="AI22353" s="80"/>
    </row>
    <row r="22354">
      <c r="AI22354" s="80"/>
    </row>
    <row r="22355">
      <c r="AI22355" s="80"/>
    </row>
    <row r="22356">
      <c r="AI22356" s="80"/>
    </row>
    <row r="22357">
      <c r="AI22357" s="80"/>
    </row>
    <row r="22358">
      <c r="AI22358" s="80"/>
    </row>
    <row r="22359">
      <c r="AI22359" s="80"/>
    </row>
    <row r="22360">
      <c r="AI22360" s="80"/>
    </row>
    <row r="22361">
      <c r="AI22361" s="80"/>
    </row>
    <row r="22362">
      <c r="AI22362" s="80"/>
    </row>
    <row r="22363">
      <c r="AI22363" s="80"/>
    </row>
    <row r="22364">
      <c r="AI22364" s="80"/>
    </row>
    <row r="22365">
      <c r="AI22365" s="80"/>
    </row>
    <row r="22366">
      <c r="AI22366" s="80"/>
    </row>
    <row r="22367">
      <c r="AI22367" s="80"/>
    </row>
    <row r="22368">
      <c r="AI22368" s="80"/>
    </row>
    <row r="22369">
      <c r="AI22369" s="80"/>
    </row>
    <row r="22370">
      <c r="AI22370" s="80"/>
    </row>
    <row r="22371">
      <c r="AI22371" s="80"/>
    </row>
    <row r="22372">
      <c r="AI22372" s="80"/>
    </row>
    <row r="22373">
      <c r="AI22373" s="80"/>
    </row>
    <row r="22374">
      <c r="AI22374" s="80"/>
    </row>
    <row r="22375">
      <c r="AI22375" s="80"/>
    </row>
    <row r="22376">
      <c r="AI22376" s="80"/>
    </row>
    <row r="22377">
      <c r="AI22377" s="80"/>
    </row>
    <row r="22378">
      <c r="AI22378" s="80"/>
    </row>
    <row r="22379">
      <c r="AI22379" s="80"/>
    </row>
    <row r="22380">
      <c r="AI22380" s="80"/>
    </row>
    <row r="22381">
      <c r="AI22381" s="80"/>
    </row>
    <row r="22382">
      <c r="AI22382" s="80"/>
    </row>
    <row r="22383">
      <c r="AI22383" s="80"/>
    </row>
    <row r="22384">
      <c r="AI22384" s="80"/>
    </row>
    <row r="22385">
      <c r="AI22385" s="80"/>
    </row>
    <row r="22386">
      <c r="AI22386" s="80"/>
    </row>
    <row r="22387">
      <c r="AI22387" s="80"/>
    </row>
    <row r="22388">
      <c r="AI22388" s="80"/>
    </row>
    <row r="22389">
      <c r="AI22389" s="80"/>
    </row>
    <row r="22390">
      <c r="AI22390" s="80"/>
    </row>
    <row r="22391">
      <c r="AI22391" s="80"/>
    </row>
    <row r="22392">
      <c r="AI22392" s="80"/>
    </row>
    <row r="22393">
      <c r="AI22393" s="80"/>
    </row>
    <row r="22394">
      <c r="AI22394" s="80"/>
    </row>
    <row r="22395">
      <c r="AI22395" s="80"/>
    </row>
    <row r="22396">
      <c r="AI22396" s="80"/>
    </row>
    <row r="22397">
      <c r="AI22397" s="80"/>
    </row>
    <row r="22398">
      <c r="AI22398" s="80"/>
    </row>
    <row r="22399">
      <c r="AI22399" s="80"/>
    </row>
    <row r="22400">
      <c r="AI22400" s="80"/>
    </row>
    <row r="22401">
      <c r="AI22401" s="80"/>
    </row>
    <row r="22402">
      <c r="AI22402" s="80"/>
    </row>
    <row r="22403">
      <c r="AI22403" s="80"/>
    </row>
    <row r="22404">
      <c r="AI22404" s="80"/>
    </row>
    <row r="22405">
      <c r="AI22405" s="80"/>
    </row>
    <row r="22406">
      <c r="AI22406" s="80"/>
    </row>
    <row r="22407">
      <c r="AI22407" s="80"/>
    </row>
    <row r="22408">
      <c r="AI22408" s="80"/>
    </row>
    <row r="22409">
      <c r="AI22409" s="80"/>
    </row>
    <row r="22410">
      <c r="AI22410" s="80"/>
    </row>
    <row r="22411">
      <c r="AI22411" s="80"/>
    </row>
    <row r="22412">
      <c r="AI22412" s="80"/>
    </row>
    <row r="22413">
      <c r="AI22413" s="80"/>
    </row>
    <row r="22414">
      <c r="AI22414" s="80"/>
    </row>
    <row r="22415">
      <c r="AI22415" s="80"/>
    </row>
    <row r="22416">
      <c r="AI22416" s="80"/>
    </row>
    <row r="22417">
      <c r="AI22417" s="80"/>
    </row>
    <row r="22418">
      <c r="AI22418" s="80"/>
    </row>
    <row r="22419">
      <c r="AI22419" s="80"/>
    </row>
    <row r="22420">
      <c r="AI22420" s="80"/>
    </row>
    <row r="22421">
      <c r="AI22421" s="80"/>
    </row>
    <row r="22422">
      <c r="AI22422" s="80"/>
    </row>
    <row r="22423">
      <c r="AI22423" s="80"/>
    </row>
    <row r="22424">
      <c r="AI22424" s="80"/>
    </row>
    <row r="22425">
      <c r="AI22425" s="80"/>
    </row>
    <row r="22426">
      <c r="AI22426" s="80"/>
    </row>
    <row r="22427">
      <c r="AI22427" s="80"/>
    </row>
    <row r="22428">
      <c r="AI22428" s="80"/>
    </row>
    <row r="22429">
      <c r="AI22429" s="80"/>
    </row>
    <row r="22430">
      <c r="AI22430" s="80"/>
    </row>
    <row r="22431">
      <c r="AI22431" s="80"/>
    </row>
    <row r="22432">
      <c r="AI22432" s="80"/>
    </row>
    <row r="22433">
      <c r="AI22433" s="80"/>
    </row>
    <row r="22434">
      <c r="AI22434" s="80"/>
    </row>
    <row r="22435">
      <c r="AI22435" s="80"/>
    </row>
    <row r="22436">
      <c r="AI22436" s="80"/>
    </row>
    <row r="22437">
      <c r="AI22437" s="80"/>
    </row>
    <row r="22438">
      <c r="AI22438" s="80"/>
    </row>
    <row r="22439">
      <c r="AI22439" s="80"/>
    </row>
    <row r="22440">
      <c r="AI22440" s="80"/>
    </row>
    <row r="22441">
      <c r="AI22441" s="80"/>
    </row>
    <row r="22442">
      <c r="AI22442" s="80"/>
    </row>
    <row r="22443">
      <c r="AI22443" s="80"/>
    </row>
    <row r="22444">
      <c r="AI22444" s="80"/>
    </row>
    <row r="22445">
      <c r="AI22445" s="80"/>
    </row>
    <row r="22446">
      <c r="AI22446" s="80"/>
    </row>
    <row r="22447">
      <c r="AI22447" s="80"/>
    </row>
    <row r="22448">
      <c r="AI22448" s="80"/>
    </row>
    <row r="22449">
      <c r="AI22449" s="80"/>
    </row>
    <row r="22450">
      <c r="AI22450" s="80"/>
    </row>
    <row r="22451">
      <c r="AI22451" s="80"/>
    </row>
    <row r="22452">
      <c r="AI22452" s="80"/>
    </row>
    <row r="22453">
      <c r="AI22453" s="80"/>
    </row>
    <row r="22454">
      <c r="AI22454" s="80"/>
    </row>
    <row r="22455">
      <c r="AI22455" s="80"/>
    </row>
    <row r="22456">
      <c r="AI22456" s="80"/>
    </row>
    <row r="22457">
      <c r="AI22457" s="80"/>
    </row>
    <row r="22458">
      <c r="AI22458" s="80"/>
    </row>
    <row r="22459">
      <c r="AI22459" s="80"/>
    </row>
    <row r="22460">
      <c r="AI22460" s="80"/>
    </row>
    <row r="22461">
      <c r="AI22461" s="80"/>
    </row>
    <row r="22462">
      <c r="AI22462" s="80"/>
    </row>
    <row r="22463">
      <c r="AI22463" s="80"/>
    </row>
    <row r="22464">
      <c r="AI22464" s="80"/>
    </row>
    <row r="22465">
      <c r="AI22465" s="80"/>
    </row>
    <row r="22466">
      <c r="AI22466" s="80"/>
    </row>
    <row r="22467">
      <c r="AI22467" s="80"/>
    </row>
    <row r="22468">
      <c r="AI22468" s="80"/>
    </row>
    <row r="22469">
      <c r="AI22469" s="80"/>
    </row>
    <row r="22470">
      <c r="AI22470" s="80"/>
    </row>
    <row r="22471">
      <c r="AI22471" s="80"/>
    </row>
    <row r="22472">
      <c r="AI22472" s="80"/>
    </row>
    <row r="22473">
      <c r="AI22473" s="80"/>
    </row>
    <row r="22474">
      <c r="AI22474" s="80"/>
    </row>
    <row r="22475">
      <c r="AI22475" s="80"/>
    </row>
    <row r="22476">
      <c r="AI22476" s="80"/>
    </row>
    <row r="22477">
      <c r="AI22477" s="80"/>
    </row>
    <row r="22478">
      <c r="AI22478" s="80"/>
    </row>
    <row r="22479">
      <c r="AI22479" s="80"/>
    </row>
    <row r="22480">
      <c r="AI22480" s="80"/>
    </row>
    <row r="22481">
      <c r="AI22481" s="80"/>
    </row>
    <row r="22482">
      <c r="AI22482" s="80"/>
    </row>
    <row r="22483">
      <c r="AI22483" s="80"/>
    </row>
    <row r="22484">
      <c r="AI22484" s="80"/>
    </row>
    <row r="22485">
      <c r="AI22485" s="80"/>
    </row>
    <row r="22486">
      <c r="AI22486" s="80"/>
    </row>
    <row r="22487">
      <c r="AI22487" s="80"/>
    </row>
    <row r="22488">
      <c r="AI22488" s="80"/>
    </row>
    <row r="22489">
      <c r="AI22489" s="80"/>
    </row>
    <row r="22490">
      <c r="AI22490" s="80"/>
    </row>
    <row r="22491">
      <c r="AI22491" s="80"/>
    </row>
    <row r="22492">
      <c r="AI22492" s="80"/>
    </row>
    <row r="22493">
      <c r="AI22493" s="80"/>
    </row>
    <row r="22494">
      <c r="AI22494" s="80"/>
    </row>
    <row r="22495">
      <c r="AI22495" s="80"/>
    </row>
    <row r="22496">
      <c r="AI22496" s="80"/>
    </row>
    <row r="22497">
      <c r="AI22497" s="80"/>
    </row>
    <row r="22498">
      <c r="AI22498" s="80"/>
    </row>
    <row r="22499">
      <c r="AI22499" s="80"/>
    </row>
    <row r="22500">
      <c r="AI22500" s="80"/>
    </row>
    <row r="22501">
      <c r="AI22501" s="80"/>
    </row>
    <row r="22502">
      <c r="AI22502" s="80"/>
    </row>
    <row r="22503">
      <c r="AI22503" s="80"/>
    </row>
    <row r="22504">
      <c r="AI22504" s="80"/>
    </row>
    <row r="22505">
      <c r="AI22505" s="80"/>
    </row>
    <row r="22506">
      <c r="AI22506" s="80"/>
    </row>
    <row r="22507">
      <c r="AI22507" s="80"/>
    </row>
    <row r="22508">
      <c r="AI22508" s="80"/>
    </row>
    <row r="22509">
      <c r="AI22509" s="80"/>
    </row>
    <row r="22510">
      <c r="AI22510" s="80"/>
    </row>
    <row r="22511">
      <c r="AI22511" s="80"/>
    </row>
    <row r="22512">
      <c r="AI22512" s="80"/>
    </row>
    <row r="22513">
      <c r="AI22513" s="80"/>
    </row>
    <row r="22514">
      <c r="AI22514" s="80"/>
    </row>
    <row r="22515">
      <c r="AI22515" s="80"/>
    </row>
    <row r="22516">
      <c r="AI22516" s="80"/>
    </row>
    <row r="22517">
      <c r="AI22517" s="80"/>
    </row>
    <row r="22518">
      <c r="AI22518" s="80"/>
    </row>
    <row r="22519">
      <c r="AI22519" s="80"/>
    </row>
    <row r="22520">
      <c r="AI22520" s="80"/>
    </row>
    <row r="22521">
      <c r="AI22521" s="80"/>
    </row>
    <row r="22522">
      <c r="AI22522" s="80"/>
    </row>
    <row r="22523">
      <c r="AI22523" s="80"/>
    </row>
    <row r="22524">
      <c r="AI22524" s="80"/>
    </row>
    <row r="22525">
      <c r="AI22525" s="80"/>
    </row>
    <row r="22526">
      <c r="AI22526" s="80"/>
    </row>
    <row r="22527">
      <c r="AI22527" s="80"/>
    </row>
    <row r="22528">
      <c r="AI22528" s="80"/>
    </row>
    <row r="22529">
      <c r="AI22529" s="80"/>
    </row>
    <row r="22530">
      <c r="AI22530" s="80"/>
    </row>
    <row r="22531">
      <c r="AI22531" s="80"/>
    </row>
    <row r="22532">
      <c r="AI22532" s="80"/>
    </row>
    <row r="22533">
      <c r="AI22533" s="80"/>
    </row>
    <row r="22534">
      <c r="AI22534" s="80"/>
    </row>
    <row r="22535">
      <c r="AI22535" s="80"/>
    </row>
    <row r="22536">
      <c r="AI22536" s="80"/>
    </row>
    <row r="22537">
      <c r="AI22537" s="80"/>
    </row>
    <row r="22538">
      <c r="AI22538" s="80"/>
    </row>
    <row r="22539">
      <c r="AI22539" s="80"/>
    </row>
    <row r="22540">
      <c r="AI22540" s="80"/>
    </row>
    <row r="22541">
      <c r="AI22541" s="80"/>
    </row>
    <row r="22542">
      <c r="AI22542" s="80"/>
    </row>
    <row r="22543">
      <c r="AI22543" s="80"/>
    </row>
    <row r="22544">
      <c r="AI22544" s="80"/>
    </row>
    <row r="22545">
      <c r="AI22545" s="80"/>
    </row>
    <row r="22546">
      <c r="AI22546" s="80"/>
    </row>
    <row r="22547">
      <c r="AI22547" s="80"/>
    </row>
    <row r="22548">
      <c r="AI22548" s="80"/>
    </row>
    <row r="22549">
      <c r="AI22549" s="80"/>
    </row>
    <row r="22550">
      <c r="AI22550" s="80"/>
    </row>
    <row r="22551">
      <c r="AI22551" s="80"/>
    </row>
    <row r="22552">
      <c r="AI22552" s="80"/>
    </row>
    <row r="22553">
      <c r="AI22553" s="80"/>
    </row>
    <row r="22554">
      <c r="AI22554" s="80"/>
    </row>
    <row r="22555">
      <c r="AI22555" s="80"/>
    </row>
    <row r="22556">
      <c r="AI22556" s="80"/>
    </row>
    <row r="22557">
      <c r="AI22557" s="80"/>
    </row>
    <row r="22558">
      <c r="AI22558" s="80"/>
    </row>
    <row r="22559">
      <c r="AI22559" s="80"/>
    </row>
    <row r="22560">
      <c r="AI22560" s="80"/>
    </row>
    <row r="22561">
      <c r="AI22561" s="80"/>
    </row>
    <row r="22562">
      <c r="AI22562" s="80"/>
    </row>
    <row r="22563">
      <c r="AI22563" s="80"/>
    </row>
    <row r="22564">
      <c r="AI22564" s="80"/>
    </row>
    <row r="22565">
      <c r="AI22565" s="80"/>
    </row>
    <row r="22566">
      <c r="AI22566" s="80"/>
    </row>
    <row r="22567">
      <c r="AI22567" s="80"/>
    </row>
    <row r="22568">
      <c r="AI22568" s="80"/>
    </row>
    <row r="22569">
      <c r="AI22569" s="80"/>
    </row>
    <row r="22570">
      <c r="AI22570" s="80"/>
    </row>
    <row r="22571">
      <c r="AI22571" s="80"/>
    </row>
    <row r="22572">
      <c r="AI22572" s="80"/>
    </row>
    <row r="22573">
      <c r="AI22573" s="80"/>
    </row>
    <row r="22574">
      <c r="AI22574" s="80"/>
    </row>
    <row r="22575">
      <c r="AI22575" s="80"/>
    </row>
    <row r="22576">
      <c r="AI22576" s="80"/>
    </row>
    <row r="22577">
      <c r="AI22577" s="80"/>
    </row>
    <row r="22578">
      <c r="AI22578" s="80"/>
    </row>
    <row r="22579">
      <c r="AI22579" s="80"/>
    </row>
    <row r="22580">
      <c r="AI22580" s="80"/>
    </row>
    <row r="22581">
      <c r="AI22581" s="80"/>
    </row>
    <row r="22582">
      <c r="AI22582" s="80"/>
    </row>
    <row r="22583">
      <c r="AI22583" s="80"/>
    </row>
    <row r="22584">
      <c r="AI22584" s="80"/>
    </row>
    <row r="22585">
      <c r="AI22585" s="80"/>
    </row>
    <row r="22586">
      <c r="AI22586" s="80"/>
    </row>
    <row r="22587">
      <c r="AI22587" s="80"/>
    </row>
    <row r="22588">
      <c r="AI22588" s="80"/>
    </row>
    <row r="22589">
      <c r="AI22589" s="80"/>
    </row>
    <row r="22590">
      <c r="AI22590" s="80"/>
    </row>
    <row r="22591">
      <c r="AI22591" s="80"/>
    </row>
    <row r="22592">
      <c r="AI22592" s="80"/>
    </row>
    <row r="22593">
      <c r="AI22593" s="80"/>
    </row>
    <row r="22594">
      <c r="AI22594" s="80"/>
    </row>
    <row r="22595">
      <c r="AI22595" s="80"/>
    </row>
    <row r="22596">
      <c r="AI22596" s="80"/>
    </row>
    <row r="22597">
      <c r="AI22597" s="80"/>
    </row>
    <row r="22598">
      <c r="AI22598" s="80"/>
    </row>
    <row r="22599">
      <c r="AI22599" s="80"/>
    </row>
    <row r="22600">
      <c r="AI22600" s="80"/>
    </row>
    <row r="22601">
      <c r="AI22601" s="80"/>
    </row>
    <row r="22602">
      <c r="AI22602" s="80"/>
    </row>
    <row r="22603">
      <c r="AI22603" s="80"/>
    </row>
    <row r="22604">
      <c r="AI22604" s="80"/>
    </row>
    <row r="22605">
      <c r="AI22605" s="80"/>
    </row>
    <row r="22606">
      <c r="AI22606" s="80"/>
    </row>
    <row r="22607">
      <c r="AI22607" s="80"/>
    </row>
    <row r="22608">
      <c r="AI22608" s="80"/>
    </row>
    <row r="22609">
      <c r="AI22609" s="80"/>
    </row>
    <row r="22610">
      <c r="AI22610" s="80"/>
    </row>
    <row r="22611">
      <c r="AI22611" s="80"/>
    </row>
    <row r="22612">
      <c r="AI22612" s="80"/>
    </row>
    <row r="22613">
      <c r="AI22613" s="80"/>
    </row>
    <row r="22614">
      <c r="AI22614" s="80"/>
    </row>
    <row r="22615">
      <c r="AI22615" s="80"/>
    </row>
    <row r="22616">
      <c r="AI22616" s="80"/>
    </row>
    <row r="22617">
      <c r="AI22617" s="80"/>
    </row>
    <row r="22618">
      <c r="AI22618" s="80"/>
    </row>
    <row r="22619">
      <c r="AI22619" s="80"/>
    </row>
    <row r="22620">
      <c r="AI22620" s="80"/>
    </row>
    <row r="22621">
      <c r="AI22621" s="80"/>
    </row>
    <row r="22622">
      <c r="AI22622" s="80"/>
    </row>
    <row r="22623">
      <c r="AI22623" s="80"/>
    </row>
    <row r="22624">
      <c r="AI22624" s="80"/>
    </row>
    <row r="22625">
      <c r="AI22625" s="80"/>
    </row>
    <row r="22626">
      <c r="AI22626" s="80"/>
    </row>
    <row r="22627">
      <c r="AI22627" s="80"/>
    </row>
    <row r="22628">
      <c r="AI22628" s="80"/>
    </row>
    <row r="22629">
      <c r="AI22629" s="80"/>
    </row>
    <row r="22630">
      <c r="AI22630" s="80"/>
    </row>
    <row r="22631">
      <c r="AI22631" s="80"/>
    </row>
    <row r="22632">
      <c r="AI22632" s="80"/>
    </row>
    <row r="22633">
      <c r="AI22633" s="80"/>
    </row>
    <row r="22634">
      <c r="AI22634" s="80"/>
    </row>
    <row r="22635">
      <c r="AI22635" s="80"/>
    </row>
    <row r="22636">
      <c r="AI22636" s="80"/>
    </row>
    <row r="22637">
      <c r="AI22637" s="80"/>
    </row>
    <row r="22638">
      <c r="AI22638" s="80"/>
    </row>
    <row r="22639">
      <c r="AI22639" s="80"/>
    </row>
    <row r="22640">
      <c r="AI22640" s="80"/>
    </row>
    <row r="22641">
      <c r="AI22641" s="80"/>
    </row>
    <row r="22642">
      <c r="AI22642" s="80"/>
    </row>
    <row r="22643">
      <c r="AI22643" s="80"/>
    </row>
    <row r="22644">
      <c r="AI22644" s="80"/>
    </row>
    <row r="22645">
      <c r="AI22645" s="80"/>
    </row>
    <row r="22646">
      <c r="AI22646" s="80"/>
    </row>
    <row r="22647">
      <c r="AI22647" s="80"/>
    </row>
    <row r="22648">
      <c r="AI22648" s="80"/>
    </row>
    <row r="22649">
      <c r="AI22649" s="80"/>
    </row>
    <row r="22650">
      <c r="AI22650" s="80"/>
    </row>
    <row r="22651">
      <c r="AI22651" s="80"/>
    </row>
    <row r="22652">
      <c r="AI22652" s="80"/>
    </row>
    <row r="22653">
      <c r="AI22653" s="80"/>
    </row>
    <row r="22654">
      <c r="AI22654" s="80"/>
    </row>
    <row r="22655">
      <c r="AI22655" s="80"/>
    </row>
    <row r="22656">
      <c r="AI22656" s="80"/>
    </row>
    <row r="22657">
      <c r="AI22657" s="80"/>
    </row>
    <row r="22658">
      <c r="AI22658" s="80"/>
    </row>
    <row r="22659">
      <c r="AI22659" s="80"/>
    </row>
    <row r="22660">
      <c r="AI22660" s="80"/>
    </row>
    <row r="22661">
      <c r="AI22661" s="80"/>
    </row>
    <row r="22662">
      <c r="AI22662" s="80"/>
    </row>
    <row r="22663">
      <c r="AI22663" s="80"/>
    </row>
    <row r="22664">
      <c r="AI22664" s="80"/>
    </row>
    <row r="22665">
      <c r="AI22665" s="80"/>
    </row>
    <row r="22666">
      <c r="AI22666" s="80"/>
    </row>
    <row r="22667">
      <c r="AI22667" s="80"/>
    </row>
    <row r="22668">
      <c r="AI22668" s="80"/>
    </row>
    <row r="22669">
      <c r="AI22669" s="80"/>
    </row>
    <row r="22670">
      <c r="AI22670" s="80"/>
    </row>
    <row r="22671">
      <c r="AI22671" s="80"/>
    </row>
    <row r="22672">
      <c r="AI22672" s="80"/>
    </row>
    <row r="22673">
      <c r="AI22673" s="80"/>
    </row>
    <row r="22674">
      <c r="AI22674" s="80"/>
    </row>
    <row r="22675">
      <c r="AI22675" s="80"/>
    </row>
    <row r="22676">
      <c r="AI22676" s="80"/>
    </row>
    <row r="22677">
      <c r="AI22677" s="80"/>
    </row>
    <row r="22678">
      <c r="AI22678" s="80"/>
    </row>
    <row r="22679">
      <c r="AI22679" s="80"/>
    </row>
    <row r="22680">
      <c r="AI22680" s="80"/>
    </row>
    <row r="22681">
      <c r="AI22681" s="80"/>
    </row>
    <row r="22682">
      <c r="AI22682" s="80"/>
    </row>
    <row r="22683">
      <c r="AI22683" s="80"/>
    </row>
    <row r="22684">
      <c r="AI22684" s="80"/>
    </row>
    <row r="22685">
      <c r="AI22685" s="80"/>
    </row>
    <row r="22686">
      <c r="AI22686" s="80"/>
    </row>
    <row r="22687">
      <c r="AI22687" s="80"/>
    </row>
    <row r="22688">
      <c r="AI22688" s="80"/>
    </row>
    <row r="22689">
      <c r="AI22689" s="80"/>
    </row>
    <row r="22690">
      <c r="AI22690" s="80"/>
    </row>
    <row r="22691">
      <c r="AI22691" s="80"/>
    </row>
    <row r="22692">
      <c r="AI22692" s="80"/>
    </row>
    <row r="22693">
      <c r="AI22693" s="80"/>
    </row>
    <row r="22694">
      <c r="AI22694" s="80"/>
    </row>
    <row r="22695">
      <c r="AI22695" s="80"/>
    </row>
    <row r="22696">
      <c r="AI22696" s="80"/>
    </row>
    <row r="22697">
      <c r="AI22697" s="80"/>
    </row>
    <row r="22698">
      <c r="AI22698" s="80"/>
    </row>
    <row r="22699">
      <c r="AI22699" s="80"/>
    </row>
    <row r="22700">
      <c r="AI22700" s="80"/>
    </row>
    <row r="22701">
      <c r="AI22701" s="80"/>
    </row>
    <row r="22702">
      <c r="AI22702" s="80"/>
    </row>
    <row r="22703">
      <c r="AI22703" s="80"/>
    </row>
    <row r="22704">
      <c r="AI22704" s="80"/>
    </row>
    <row r="22705">
      <c r="AI22705" s="80"/>
    </row>
    <row r="22706">
      <c r="AI22706" s="80"/>
    </row>
    <row r="22707">
      <c r="AI22707" s="80"/>
    </row>
    <row r="22708">
      <c r="AI22708" s="80"/>
    </row>
    <row r="22709">
      <c r="AI22709" s="80"/>
    </row>
    <row r="22710">
      <c r="AI22710" s="80"/>
    </row>
    <row r="22711">
      <c r="AI22711" s="80"/>
    </row>
    <row r="22712">
      <c r="AI22712" s="80"/>
    </row>
    <row r="22713">
      <c r="AI22713" s="80"/>
    </row>
    <row r="22714">
      <c r="AI22714" s="80"/>
    </row>
    <row r="22715">
      <c r="AI22715" s="80"/>
    </row>
    <row r="22716">
      <c r="AI22716" s="80"/>
    </row>
    <row r="22717">
      <c r="AI22717" s="80"/>
    </row>
    <row r="22718">
      <c r="AI22718" s="80"/>
    </row>
    <row r="22719">
      <c r="AI22719" s="80"/>
    </row>
    <row r="22720">
      <c r="AI22720" s="80"/>
    </row>
    <row r="22721">
      <c r="AI22721" s="80"/>
    </row>
    <row r="22722">
      <c r="AI22722" s="80"/>
    </row>
    <row r="22723">
      <c r="AI22723" s="80"/>
    </row>
    <row r="22724">
      <c r="AI22724" s="80"/>
    </row>
    <row r="22725">
      <c r="AI22725" s="80"/>
    </row>
    <row r="22726">
      <c r="AI22726" s="80"/>
    </row>
    <row r="22727">
      <c r="AI22727" s="80"/>
    </row>
    <row r="22728">
      <c r="AI22728" s="80"/>
    </row>
    <row r="22729">
      <c r="AI22729" s="80"/>
    </row>
    <row r="22730">
      <c r="AI22730" s="80"/>
    </row>
    <row r="22731">
      <c r="AI22731" s="80"/>
    </row>
    <row r="22732">
      <c r="AI22732" s="80"/>
    </row>
    <row r="22733">
      <c r="AI22733" s="80"/>
    </row>
    <row r="22734">
      <c r="AI22734" s="80"/>
    </row>
    <row r="22735">
      <c r="AI22735" s="80"/>
    </row>
    <row r="22736">
      <c r="AI22736" s="80"/>
    </row>
    <row r="22737">
      <c r="AI22737" s="80"/>
    </row>
    <row r="22738">
      <c r="AI22738" s="80"/>
    </row>
    <row r="22739">
      <c r="AI22739" s="80"/>
    </row>
    <row r="22740">
      <c r="AI22740" s="80"/>
    </row>
    <row r="22741">
      <c r="AI22741" s="80"/>
    </row>
    <row r="22742">
      <c r="AI22742" s="80"/>
    </row>
    <row r="22743">
      <c r="AI22743" s="80"/>
    </row>
    <row r="22744">
      <c r="AI22744" s="80"/>
    </row>
    <row r="22745">
      <c r="AI22745" s="80"/>
    </row>
    <row r="22746">
      <c r="AI22746" s="80"/>
    </row>
    <row r="22747">
      <c r="AI22747" s="80"/>
    </row>
    <row r="22748">
      <c r="AI22748" s="80"/>
    </row>
    <row r="22749">
      <c r="AI22749" s="80"/>
    </row>
    <row r="22750">
      <c r="AI22750" s="80"/>
    </row>
    <row r="22751">
      <c r="AI22751" s="80"/>
    </row>
    <row r="22752">
      <c r="AI22752" s="80"/>
    </row>
    <row r="22753">
      <c r="AI22753" s="80"/>
    </row>
    <row r="22754">
      <c r="AI22754" s="80"/>
    </row>
    <row r="22755">
      <c r="AI22755" s="80"/>
    </row>
    <row r="22756">
      <c r="AI22756" s="80"/>
    </row>
    <row r="22757">
      <c r="AI22757" s="80"/>
    </row>
    <row r="22758">
      <c r="AI22758" s="80"/>
    </row>
    <row r="22759">
      <c r="AI22759" s="80"/>
    </row>
    <row r="22760">
      <c r="AI22760" s="80"/>
    </row>
    <row r="22761">
      <c r="AI22761" s="80"/>
    </row>
    <row r="22762">
      <c r="AI22762" s="80"/>
    </row>
    <row r="22763">
      <c r="AI22763" s="80"/>
    </row>
    <row r="22764">
      <c r="AI22764" s="80"/>
    </row>
    <row r="22765">
      <c r="AI22765" s="80"/>
    </row>
    <row r="22766">
      <c r="AI22766" s="80"/>
    </row>
    <row r="22767">
      <c r="AI22767" s="80"/>
    </row>
    <row r="22768">
      <c r="AI22768" s="80"/>
    </row>
    <row r="22769">
      <c r="AI22769" s="80"/>
    </row>
    <row r="22770">
      <c r="AI22770" s="80"/>
    </row>
    <row r="22771">
      <c r="AI22771" s="80"/>
    </row>
    <row r="22772">
      <c r="AI22772" s="80"/>
    </row>
    <row r="22773">
      <c r="AI22773" s="80"/>
    </row>
    <row r="22774">
      <c r="AI22774" s="80"/>
    </row>
    <row r="22775">
      <c r="AI22775" s="80"/>
    </row>
    <row r="22776">
      <c r="AI22776" s="80"/>
    </row>
    <row r="22777">
      <c r="AI22777" s="80"/>
    </row>
    <row r="22778">
      <c r="AI22778" s="80"/>
    </row>
    <row r="22779">
      <c r="AI22779" s="80"/>
    </row>
    <row r="22780">
      <c r="AI22780" s="80"/>
    </row>
    <row r="22781">
      <c r="AI22781" s="80"/>
    </row>
    <row r="22782">
      <c r="AI22782" s="80"/>
    </row>
    <row r="22783">
      <c r="AI22783" s="80"/>
    </row>
    <row r="22784">
      <c r="AI22784" s="80"/>
    </row>
    <row r="22785">
      <c r="AI22785" s="80"/>
    </row>
    <row r="22786">
      <c r="AI22786" s="80"/>
    </row>
    <row r="22787">
      <c r="AI22787" s="80"/>
    </row>
    <row r="22788">
      <c r="AI22788" s="80"/>
    </row>
    <row r="22789">
      <c r="AI22789" s="80"/>
    </row>
    <row r="22790">
      <c r="AI22790" s="80"/>
    </row>
    <row r="22791">
      <c r="AI22791" s="80"/>
    </row>
    <row r="22792">
      <c r="AI22792" s="80"/>
    </row>
    <row r="22793">
      <c r="AI22793" s="80"/>
    </row>
    <row r="22794">
      <c r="AI22794" s="80"/>
    </row>
    <row r="22795">
      <c r="AI22795" s="80"/>
    </row>
    <row r="22796">
      <c r="AI22796" s="80"/>
    </row>
    <row r="22797">
      <c r="AI22797" s="80"/>
    </row>
    <row r="22798">
      <c r="AI22798" s="80"/>
    </row>
    <row r="22799">
      <c r="AI22799" s="80"/>
    </row>
    <row r="22800">
      <c r="AI22800" s="80"/>
    </row>
    <row r="22801">
      <c r="AI22801" s="80"/>
    </row>
    <row r="22802">
      <c r="AI22802" s="80"/>
    </row>
    <row r="22803">
      <c r="AI22803" s="80"/>
    </row>
    <row r="22804">
      <c r="AI22804" s="80"/>
    </row>
    <row r="22805">
      <c r="AI22805" s="80"/>
    </row>
    <row r="22806">
      <c r="AI22806" s="80"/>
    </row>
    <row r="22807">
      <c r="AI22807" s="80"/>
    </row>
    <row r="22808">
      <c r="AI22808" s="80"/>
    </row>
    <row r="22809">
      <c r="AI22809" s="80"/>
    </row>
    <row r="22810">
      <c r="AI22810" s="80"/>
    </row>
    <row r="22811">
      <c r="AI22811" s="80"/>
    </row>
    <row r="22812">
      <c r="AI22812" s="80"/>
    </row>
    <row r="22813">
      <c r="AI22813" s="80"/>
    </row>
    <row r="22814">
      <c r="AI22814" s="80"/>
    </row>
    <row r="22815">
      <c r="AI22815" s="80"/>
    </row>
    <row r="22816">
      <c r="AI22816" s="80"/>
    </row>
    <row r="22817">
      <c r="AI22817" s="80"/>
    </row>
    <row r="22818">
      <c r="AI22818" s="80"/>
    </row>
    <row r="22819">
      <c r="AI22819" s="80"/>
    </row>
    <row r="22820">
      <c r="AI22820" s="80"/>
    </row>
    <row r="22821">
      <c r="AI22821" s="80"/>
    </row>
    <row r="22822">
      <c r="AI22822" s="80"/>
    </row>
    <row r="22823">
      <c r="AI22823" s="80"/>
    </row>
    <row r="22824">
      <c r="AI22824" s="80"/>
    </row>
    <row r="22825">
      <c r="AI22825" s="80"/>
    </row>
    <row r="22826">
      <c r="AI22826" s="80"/>
    </row>
    <row r="22827">
      <c r="AI22827" s="80"/>
    </row>
    <row r="22828">
      <c r="AI22828" s="80"/>
    </row>
    <row r="22829">
      <c r="AI22829" s="80"/>
    </row>
    <row r="22830">
      <c r="AI22830" s="80"/>
    </row>
    <row r="22831">
      <c r="AI22831" s="80"/>
    </row>
    <row r="22832">
      <c r="AI22832" s="80"/>
    </row>
    <row r="22833">
      <c r="AI22833" s="80"/>
    </row>
    <row r="22834">
      <c r="AI22834" s="80"/>
    </row>
    <row r="22835">
      <c r="AI22835" s="80"/>
    </row>
    <row r="22836">
      <c r="AI22836" s="80"/>
    </row>
    <row r="22837">
      <c r="AI22837" s="80"/>
    </row>
    <row r="22838">
      <c r="AI22838" s="80"/>
    </row>
    <row r="22839">
      <c r="AI22839" s="80"/>
    </row>
    <row r="22840">
      <c r="AI22840" s="80"/>
    </row>
    <row r="22841">
      <c r="AI22841" s="80"/>
    </row>
    <row r="22842">
      <c r="AI22842" s="80"/>
    </row>
    <row r="22843">
      <c r="AI22843" s="80"/>
    </row>
    <row r="22844">
      <c r="AI22844" s="80"/>
    </row>
    <row r="22845">
      <c r="AI22845" s="80"/>
    </row>
    <row r="22846">
      <c r="AI22846" s="80"/>
    </row>
    <row r="22847">
      <c r="AI22847" s="80"/>
    </row>
    <row r="22848">
      <c r="AI22848" s="80"/>
    </row>
    <row r="22849">
      <c r="AI22849" s="80"/>
    </row>
    <row r="22850">
      <c r="AI22850" s="80"/>
    </row>
    <row r="22851">
      <c r="AI22851" s="80"/>
    </row>
    <row r="22852">
      <c r="AI22852" s="80"/>
    </row>
    <row r="22853">
      <c r="AI22853" s="80"/>
    </row>
    <row r="22854">
      <c r="AI22854" s="80"/>
    </row>
    <row r="22855">
      <c r="AI22855" s="80"/>
    </row>
    <row r="22856">
      <c r="AI22856" s="80"/>
    </row>
    <row r="22857">
      <c r="AI22857" s="80"/>
    </row>
    <row r="22858">
      <c r="AI22858" s="80"/>
    </row>
    <row r="22859">
      <c r="AI22859" s="80"/>
    </row>
    <row r="22860">
      <c r="AI22860" s="80"/>
    </row>
    <row r="22861">
      <c r="AI22861" s="80"/>
    </row>
    <row r="22862">
      <c r="AI22862" s="80"/>
    </row>
    <row r="22863">
      <c r="AI22863" s="80"/>
    </row>
    <row r="22864">
      <c r="AI22864" s="80"/>
    </row>
    <row r="22865">
      <c r="AI22865" s="80"/>
    </row>
    <row r="22866">
      <c r="AI22866" s="80"/>
    </row>
    <row r="22867">
      <c r="AI22867" s="80"/>
    </row>
    <row r="22868">
      <c r="AI22868" s="80"/>
    </row>
    <row r="22869">
      <c r="AI22869" s="80"/>
    </row>
    <row r="22870">
      <c r="AI22870" s="80"/>
    </row>
    <row r="22871">
      <c r="AI22871" s="80"/>
    </row>
    <row r="22872">
      <c r="AI22872" s="80"/>
    </row>
    <row r="22873">
      <c r="AI22873" s="80"/>
    </row>
    <row r="22874">
      <c r="AI22874" s="80"/>
    </row>
    <row r="22875">
      <c r="AI22875" s="80"/>
    </row>
    <row r="22876">
      <c r="AI22876" s="80"/>
    </row>
    <row r="22877">
      <c r="AI22877" s="80"/>
    </row>
    <row r="22878">
      <c r="AI22878" s="80"/>
    </row>
    <row r="22879">
      <c r="AI22879" s="80"/>
    </row>
    <row r="22880">
      <c r="AI22880" s="80"/>
    </row>
    <row r="22881">
      <c r="AI22881" s="80"/>
    </row>
    <row r="22882">
      <c r="AI22882" s="80"/>
    </row>
    <row r="22883">
      <c r="AI22883" s="80"/>
    </row>
    <row r="22884">
      <c r="AI22884" s="80"/>
    </row>
    <row r="22885">
      <c r="AI22885" s="80"/>
    </row>
    <row r="22886">
      <c r="AI22886" s="80"/>
    </row>
    <row r="22887">
      <c r="AI22887" s="80"/>
    </row>
    <row r="22888">
      <c r="AI22888" s="80"/>
    </row>
    <row r="22889">
      <c r="AI22889" s="80"/>
    </row>
    <row r="22890">
      <c r="AI22890" s="80"/>
    </row>
    <row r="22891">
      <c r="AI22891" s="80"/>
    </row>
    <row r="22892">
      <c r="AI22892" s="80"/>
    </row>
    <row r="22893">
      <c r="AI22893" s="80"/>
    </row>
    <row r="22894">
      <c r="AI22894" s="80"/>
    </row>
    <row r="22895">
      <c r="AI22895" s="80"/>
    </row>
    <row r="22896">
      <c r="AI22896" s="80"/>
    </row>
    <row r="22897">
      <c r="AI22897" s="80"/>
    </row>
    <row r="22898">
      <c r="AI22898" s="80"/>
    </row>
    <row r="22899">
      <c r="AI22899" s="80"/>
    </row>
    <row r="22900">
      <c r="AI22900" s="80"/>
    </row>
    <row r="22901">
      <c r="AI22901" s="80"/>
    </row>
    <row r="22902">
      <c r="AI22902" s="80"/>
    </row>
    <row r="22903">
      <c r="AI22903" s="80"/>
    </row>
    <row r="22904">
      <c r="AI22904" s="80"/>
    </row>
    <row r="22905">
      <c r="AI22905" s="80"/>
    </row>
    <row r="22906">
      <c r="AI22906" s="80"/>
    </row>
    <row r="22907">
      <c r="AI22907" s="80"/>
    </row>
    <row r="22908">
      <c r="AI22908" s="80"/>
    </row>
    <row r="22909">
      <c r="AI22909" s="80"/>
    </row>
    <row r="22910">
      <c r="AI22910" s="80"/>
    </row>
    <row r="22911">
      <c r="AI22911" s="80"/>
    </row>
    <row r="22912">
      <c r="AI22912" s="80"/>
    </row>
    <row r="22913">
      <c r="AI22913" s="80"/>
    </row>
    <row r="22914">
      <c r="AI22914" s="80"/>
    </row>
    <row r="22915">
      <c r="AI22915" s="80"/>
    </row>
    <row r="22916">
      <c r="AI22916" s="80"/>
    </row>
    <row r="22917">
      <c r="AI22917" s="80"/>
    </row>
    <row r="22918">
      <c r="AI22918" s="80"/>
    </row>
    <row r="22919">
      <c r="AI22919" s="80"/>
    </row>
    <row r="22920">
      <c r="AI22920" s="80"/>
    </row>
    <row r="22921">
      <c r="AI22921" s="80"/>
    </row>
    <row r="22922">
      <c r="AI22922" s="80"/>
    </row>
    <row r="22923">
      <c r="AI22923" s="80"/>
    </row>
    <row r="22924">
      <c r="AI22924" s="80"/>
    </row>
    <row r="22925">
      <c r="AI22925" s="80"/>
    </row>
    <row r="22926">
      <c r="AI22926" s="80"/>
    </row>
    <row r="22927">
      <c r="AI22927" s="80"/>
    </row>
    <row r="22928">
      <c r="AI22928" s="80"/>
    </row>
    <row r="22929">
      <c r="AI22929" s="80"/>
    </row>
    <row r="22930">
      <c r="AI22930" s="80"/>
    </row>
    <row r="22931">
      <c r="AI22931" s="80"/>
    </row>
    <row r="22932">
      <c r="AI22932" s="80"/>
    </row>
    <row r="22933">
      <c r="AI22933" s="80"/>
    </row>
    <row r="22934">
      <c r="AI22934" s="80"/>
    </row>
    <row r="22935">
      <c r="AI22935" s="80"/>
    </row>
    <row r="22936">
      <c r="AI22936" s="80"/>
    </row>
    <row r="22937">
      <c r="AI22937" s="80"/>
    </row>
    <row r="22938">
      <c r="AI22938" s="80"/>
    </row>
    <row r="22939">
      <c r="AI22939" s="80"/>
    </row>
    <row r="22940">
      <c r="AI22940" s="80"/>
    </row>
    <row r="22941">
      <c r="AI22941" s="80"/>
    </row>
    <row r="22942">
      <c r="AI22942" s="80"/>
    </row>
    <row r="22943">
      <c r="AI22943" s="80"/>
    </row>
    <row r="22944">
      <c r="AI22944" s="80"/>
    </row>
    <row r="22945">
      <c r="AI22945" s="80"/>
    </row>
    <row r="22946">
      <c r="AI22946" s="80"/>
    </row>
    <row r="22947">
      <c r="AI22947" s="80"/>
    </row>
    <row r="22948">
      <c r="AI22948" s="80"/>
    </row>
    <row r="22949">
      <c r="AI22949" s="80"/>
    </row>
    <row r="22950">
      <c r="AI22950" s="80"/>
    </row>
    <row r="22951">
      <c r="AI22951" s="80"/>
    </row>
    <row r="22952">
      <c r="AI22952" s="80"/>
    </row>
    <row r="22953">
      <c r="AI22953" s="80"/>
    </row>
    <row r="22954">
      <c r="AI22954" s="80"/>
    </row>
    <row r="22955">
      <c r="AI22955" s="80"/>
    </row>
    <row r="22956">
      <c r="AI22956" s="80"/>
    </row>
    <row r="22957">
      <c r="AI22957" s="80"/>
    </row>
    <row r="22958">
      <c r="AI22958" s="80"/>
    </row>
    <row r="22959">
      <c r="AI22959" s="80"/>
    </row>
    <row r="22960">
      <c r="AI22960" s="80"/>
    </row>
    <row r="22961">
      <c r="AI22961" s="80"/>
    </row>
    <row r="22962">
      <c r="AI22962" s="80"/>
    </row>
    <row r="22963">
      <c r="AI22963" s="80"/>
    </row>
    <row r="22964">
      <c r="AI22964" s="80"/>
    </row>
    <row r="22965">
      <c r="AI22965" s="80"/>
    </row>
    <row r="22966">
      <c r="AI22966" s="80"/>
    </row>
    <row r="22967">
      <c r="AI22967" s="80"/>
    </row>
    <row r="22968">
      <c r="AI22968" s="80"/>
    </row>
    <row r="22969">
      <c r="AI22969" s="80"/>
    </row>
    <row r="22970">
      <c r="AI22970" s="80"/>
    </row>
    <row r="22971">
      <c r="AI22971" s="80"/>
    </row>
    <row r="22972">
      <c r="AI22972" s="80"/>
    </row>
    <row r="22973">
      <c r="AI22973" s="80"/>
    </row>
    <row r="22974">
      <c r="AI22974" s="80"/>
    </row>
    <row r="22975">
      <c r="AI22975" s="80"/>
    </row>
    <row r="22976">
      <c r="AI22976" s="80"/>
    </row>
    <row r="22977">
      <c r="AI22977" s="80"/>
    </row>
    <row r="22978">
      <c r="AI22978" s="80"/>
    </row>
    <row r="22979">
      <c r="AI22979" s="80"/>
    </row>
    <row r="22980">
      <c r="AI22980" s="80"/>
    </row>
    <row r="22981">
      <c r="AI22981" s="80"/>
    </row>
    <row r="22982">
      <c r="AI22982" s="80"/>
    </row>
    <row r="22983">
      <c r="AI22983" s="80"/>
    </row>
    <row r="22984">
      <c r="AI22984" s="80"/>
    </row>
    <row r="22985">
      <c r="AI22985" s="80"/>
    </row>
    <row r="22986">
      <c r="AI22986" s="80"/>
    </row>
    <row r="22987">
      <c r="AI22987" s="80"/>
    </row>
    <row r="22988">
      <c r="AI22988" s="80"/>
    </row>
    <row r="22989">
      <c r="AI22989" s="80"/>
    </row>
    <row r="22990">
      <c r="AI22990" s="80"/>
    </row>
    <row r="22991">
      <c r="AI22991" s="80"/>
    </row>
    <row r="22992">
      <c r="AI22992" s="80"/>
    </row>
    <row r="22993">
      <c r="AI22993" s="80"/>
    </row>
    <row r="22994">
      <c r="AI22994" s="80"/>
    </row>
    <row r="22995">
      <c r="AI22995" s="80"/>
    </row>
    <row r="22996">
      <c r="AI22996" s="80"/>
    </row>
    <row r="22997">
      <c r="AI22997" s="80"/>
    </row>
    <row r="22998">
      <c r="AI22998" s="80"/>
    </row>
    <row r="22999">
      <c r="AI22999" s="80"/>
    </row>
    <row r="23000">
      <c r="AI23000" s="80"/>
    </row>
    <row r="23001">
      <c r="AI23001" s="80"/>
    </row>
    <row r="23002">
      <c r="AI23002" s="80"/>
    </row>
    <row r="23003">
      <c r="AI23003" s="80"/>
    </row>
    <row r="23004">
      <c r="AI23004" s="80"/>
    </row>
    <row r="23005">
      <c r="AI23005" s="80"/>
    </row>
    <row r="23006">
      <c r="AI23006" s="80"/>
    </row>
    <row r="23007">
      <c r="AI23007" s="80"/>
    </row>
    <row r="23008">
      <c r="AI23008" s="80"/>
    </row>
    <row r="23009">
      <c r="AI23009" s="80"/>
    </row>
    <row r="23010">
      <c r="AI23010" s="80"/>
    </row>
    <row r="23011">
      <c r="AI23011" s="80"/>
    </row>
    <row r="23012">
      <c r="AI23012" s="80"/>
    </row>
    <row r="23013">
      <c r="AI23013" s="80"/>
    </row>
    <row r="23014">
      <c r="AI23014" s="80"/>
    </row>
    <row r="23015">
      <c r="AI23015" s="80"/>
    </row>
    <row r="23016">
      <c r="AI23016" s="80"/>
    </row>
    <row r="23017">
      <c r="AI23017" s="80"/>
    </row>
    <row r="23018">
      <c r="AI23018" s="80"/>
    </row>
    <row r="23019">
      <c r="AI23019" s="80"/>
    </row>
    <row r="23020">
      <c r="AI23020" s="80"/>
    </row>
    <row r="23021">
      <c r="AI23021" s="80"/>
    </row>
    <row r="23022">
      <c r="AI23022" s="80"/>
    </row>
    <row r="23023">
      <c r="AI23023" s="80"/>
    </row>
    <row r="23024">
      <c r="AI23024" s="80"/>
    </row>
    <row r="23025">
      <c r="AI23025" s="80"/>
    </row>
    <row r="23026">
      <c r="AI23026" s="80"/>
    </row>
    <row r="23027">
      <c r="AI23027" s="80"/>
    </row>
    <row r="23028">
      <c r="AI23028" s="80"/>
    </row>
    <row r="23029">
      <c r="AI23029" s="80"/>
    </row>
    <row r="23030">
      <c r="AI23030" s="80"/>
    </row>
    <row r="23031">
      <c r="AI23031" s="80"/>
    </row>
    <row r="23032">
      <c r="AI23032" s="80"/>
    </row>
    <row r="23033">
      <c r="AI23033" s="80"/>
    </row>
    <row r="23034">
      <c r="AI23034" s="80"/>
    </row>
    <row r="23035">
      <c r="AI23035" s="80"/>
    </row>
    <row r="23036">
      <c r="AI23036" s="80"/>
    </row>
    <row r="23037">
      <c r="AI23037" s="80"/>
    </row>
    <row r="23038">
      <c r="AI23038" s="80"/>
    </row>
    <row r="23039">
      <c r="AI23039" s="80"/>
    </row>
    <row r="23040">
      <c r="AI23040" s="80"/>
    </row>
    <row r="23041">
      <c r="AI23041" s="80"/>
    </row>
    <row r="23042">
      <c r="AI23042" s="80"/>
    </row>
    <row r="23043">
      <c r="AI23043" s="80"/>
    </row>
    <row r="23044">
      <c r="AI23044" s="80"/>
    </row>
    <row r="23045">
      <c r="AI23045" s="80"/>
    </row>
    <row r="23046">
      <c r="AI23046" s="80"/>
    </row>
    <row r="23047">
      <c r="AI23047" s="80"/>
    </row>
    <row r="23048">
      <c r="AI23048" s="80"/>
    </row>
    <row r="23049">
      <c r="AI23049" s="80"/>
    </row>
    <row r="23050">
      <c r="AI23050" s="80"/>
    </row>
    <row r="23051">
      <c r="AI23051" s="80"/>
    </row>
    <row r="23052">
      <c r="AI23052" s="80"/>
    </row>
    <row r="23053">
      <c r="AI23053" s="80"/>
    </row>
    <row r="23054">
      <c r="AI23054" s="80"/>
    </row>
    <row r="23055">
      <c r="AI23055" s="80"/>
    </row>
    <row r="23056">
      <c r="AI23056" s="80"/>
    </row>
    <row r="23057">
      <c r="AI23057" s="80"/>
    </row>
    <row r="23058">
      <c r="AI23058" s="80"/>
    </row>
    <row r="23059">
      <c r="AI23059" s="80"/>
    </row>
    <row r="23060">
      <c r="AI23060" s="80"/>
    </row>
    <row r="23061">
      <c r="AI23061" s="80"/>
    </row>
    <row r="23062">
      <c r="AI23062" s="80"/>
    </row>
    <row r="23063">
      <c r="AI23063" s="80"/>
    </row>
    <row r="23064">
      <c r="AI23064" s="80"/>
    </row>
    <row r="23065">
      <c r="AI23065" s="80"/>
    </row>
    <row r="23066">
      <c r="AI23066" s="80"/>
    </row>
    <row r="23067">
      <c r="AI23067" s="80"/>
    </row>
    <row r="23068">
      <c r="AI23068" s="80"/>
    </row>
    <row r="23069">
      <c r="AI23069" s="80"/>
    </row>
    <row r="23070">
      <c r="AI23070" s="80"/>
    </row>
    <row r="23071">
      <c r="AI23071" s="80"/>
    </row>
    <row r="23072">
      <c r="AI23072" s="80"/>
    </row>
    <row r="23073">
      <c r="AI23073" s="80"/>
    </row>
    <row r="23074">
      <c r="AI23074" s="80"/>
    </row>
    <row r="23075">
      <c r="AI23075" s="80"/>
    </row>
    <row r="23076">
      <c r="AI23076" s="80"/>
    </row>
    <row r="23077">
      <c r="AI23077" s="80"/>
    </row>
    <row r="23078">
      <c r="AI23078" s="80"/>
    </row>
    <row r="23079">
      <c r="AI23079" s="80"/>
    </row>
    <row r="23080">
      <c r="AI23080" s="80"/>
    </row>
    <row r="23081">
      <c r="AI23081" s="80"/>
    </row>
    <row r="23082">
      <c r="AI23082" s="80"/>
    </row>
    <row r="23083">
      <c r="AI23083" s="80"/>
    </row>
    <row r="23084">
      <c r="AI23084" s="80"/>
    </row>
    <row r="23085">
      <c r="AI23085" s="80"/>
    </row>
    <row r="23086">
      <c r="AI23086" s="80"/>
    </row>
    <row r="23087">
      <c r="AI23087" s="80"/>
    </row>
    <row r="23088">
      <c r="AI23088" s="80"/>
    </row>
    <row r="23089">
      <c r="AI23089" s="80"/>
    </row>
    <row r="23090">
      <c r="AI23090" s="80"/>
    </row>
    <row r="23091">
      <c r="AI23091" s="80"/>
    </row>
    <row r="23092">
      <c r="AI23092" s="80"/>
    </row>
    <row r="23093">
      <c r="AI23093" s="80"/>
    </row>
    <row r="23094">
      <c r="AI23094" s="80"/>
    </row>
    <row r="23095">
      <c r="AI23095" s="80"/>
    </row>
    <row r="23096">
      <c r="AI23096" s="80"/>
    </row>
    <row r="23097">
      <c r="AI23097" s="80"/>
    </row>
    <row r="23098">
      <c r="AI23098" s="80"/>
    </row>
    <row r="23099">
      <c r="AI23099" s="80"/>
    </row>
    <row r="23100">
      <c r="AI23100" s="80"/>
    </row>
    <row r="23101">
      <c r="AI23101" s="80"/>
    </row>
    <row r="23102">
      <c r="AI23102" s="80"/>
    </row>
    <row r="23103">
      <c r="AI23103" s="80"/>
    </row>
    <row r="23104">
      <c r="AI23104" s="80"/>
    </row>
    <row r="23105">
      <c r="AI23105" s="80"/>
    </row>
    <row r="23106">
      <c r="AI23106" s="80"/>
    </row>
    <row r="23107">
      <c r="AI23107" s="80"/>
    </row>
    <row r="23108">
      <c r="AI23108" s="80"/>
    </row>
    <row r="23109">
      <c r="AI23109" s="80"/>
    </row>
    <row r="23110">
      <c r="AI23110" s="80"/>
    </row>
    <row r="23111">
      <c r="AI23111" s="80"/>
    </row>
    <row r="23112">
      <c r="AI23112" s="80"/>
    </row>
    <row r="23113">
      <c r="AI23113" s="80"/>
    </row>
    <row r="23114">
      <c r="AI23114" s="80"/>
    </row>
    <row r="23115">
      <c r="AI23115" s="80"/>
    </row>
    <row r="23116">
      <c r="AI23116" s="80"/>
    </row>
    <row r="23117">
      <c r="AI23117" s="80"/>
    </row>
    <row r="23118">
      <c r="AI23118" s="80"/>
    </row>
    <row r="23119">
      <c r="AI23119" s="80"/>
    </row>
    <row r="23120">
      <c r="AI23120" s="80"/>
    </row>
    <row r="23121">
      <c r="AI23121" s="80"/>
    </row>
    <row r="23122">
      <c r="AI23122" s="80"/>
    </row>
    <row r="23123">
      <c r="AI23123" s="80"/>
    </row>
    <row r="23124">
      <c r="AI23124" s="80"/>
    </row>
    <row r="23125">
      <c r="AI23125" s="80"/>
    </row>
    <row r="23126">
      <c r="AI23126" s="80"/>
    </row>
    <row r="23127">
      <c r="AI23127" s="80"/>
    </row>
    <row r="23128">
      <c r="AI23128" s="80"/>
    </row>
    <row r="23129">
      <c r="AI23129" s="80"/>
    </row>
    <row r="23130">
      <c r="AI23130" s="80"/>
    </row>
    <row r="23131">
      <c r="AI23131" s="80"/>
    </row>
    <row r="23132">
      <c r="AI23132" s="80"/>
    </row>
    <row r="23133">
      <c r="AI23133" s="80"/>
    </row>
    <row r="23134">
      <c r="AI23134" s="80"/>
    </row>
    <row r="23135">
      <c r="AI23135" s="80"/>
    </row>
    <row r="23136">
      <c r="AI23136" s="80"/>
    </row>
    <row r="23137">
      <c r="AI23137" s="80"/>
    </row>
    <row r="23138">
      <c r="AI23138" s="80"/>
    </row>
    <row r="23139">
      <c r="AI23139" s="80"/>
    </row>
    <row r="23140">
      <c r="AI23140" s="80"/>
    </row>
    <row r="23141">
      <c r="AI23141" s="80"/>
    </row>
    <row r="23142">
      <c r="AI23142" s="80"/>
    </row>
    <row r="23143">
      <c r="AI23143" s="80"/>
    </row>
    <row r="23144">
      <c r="AI23144" s="80"/>
    </row>
    <row r="23145">
      <c r="AI23145" s="80"/>
    </row>
    <row r="23146">
      <c r="AI23146" s="80"/>
    </row>
    <row r="23147">
      <c r="AI23147" s="80"/>
    </row>
    <row r="23148">
      <c r="AI23148" s="80"/>
    </row>
    <row r="23149">
      <c r="AI23149" s="80"/>
    </row>
    <row r="23150">
      <c r="AI23150" s="80"/>
    </row>
    <row r="23151">
      <c r="AI23151" s="80"/>
    </row>
    <row r="23152">
      <c r="AI23152" s="80"/>
    </row>
    <row r="23153">
      <c r="AI23153" s="80"/>
    </row>
    <row r="23154">
      <c r="AI23154" s="80"/>
    </row>
    <row r="23155">
      <c r="AI23155" s="80"/>
    </row>
    <row r="23156">
      <c r="AI23156" s="80"/>
    </row>
    <row r="23157">
      <c r="AI23157" s="80"/>
    </row>
    <row r="23158">
      <c r="AI23158" s="80"/>
    </row>
    <row r="23159">
      <c r="AI23159" s="80"/>
    </row>
    <row r="23160">
      <c r="AI23160" s="80"/>
    </row>
    <row r="23161">
      <c r="AI23161" s="80"/>
    </row>
    <row r="23162">
      <c r="AI23162" s="80"/>
    </row>
    <row r="23163">
      <c r="AI23163" s="80"/>
    </row>
    <row r="23164">
      <c r="AI23164" s="80"/>
    </row>
    <row r="23165">
      <c r="AI23165" s="80"/>
    </row>
    <row r="23166">
      <c r="AI23166" s="80"/>
    </row>
    <row r="23167">
      <c r="AI23167" s="80"/>
    </row>
    <row r="23168">
      <c r="AI23168" s="80"/>
    </row>
    <row r="23169">
      <c r="AI23169" s="80"/>
    </row>
    <row r="23170">
      <c r="AI23170" s="80"/>
    </row>
    <row r="23171">
      <c r="AI23171" s="80"/>
    </row>
    <row r="23172">
      <c r="AI23172" s="80"/>
    </row>
    <row r="23173">
      <c r="AI23173" s="80"/>
    </row>
    <row r="23174">
      <c r="AI23174" s="80"/>
    </row>
    <row r="23175">
      <c r="AI23175" s="80"/>
    </row>
    <row r="23176">
      <c r="AI23176" s="80"/>
    </row>
    <row r="23177">
      <c r="AI23177" s="80"/>
    </row>
    <row r="23178">
      <c r="AI23178" s="80"/>
    </row>
    <row r="23179">
      <c r="AI23179" s="80"/>
    </row>
    <row r="23180">
      <c r="AI23180" s="80"/>
    </row>
    <row r="23181">
      <c r="AI23181" s="80"/>
    </row>
    <row r="23182">
      <c r="AI23182" s="80"/>
    </row>
    <row r="23183">
      <c r="AI23183" s="80"/>
    </row>
    <row r="23184">
      <c r="AI23184" s="80"/>
    </row>
    <row r="23185">
      <c r="AI23185" s="80"/>
    </row>
    <row r="23186">
      <c r="AI23186" s="80"/>
    </row>
    <row r="23187">
      <c r="AI23187" s="80"/>
    </row>
    <row r="23188">
      <c r="AI23188" s="80"/>
    </row>
    <row r="23189">
      <c r="AI23189" s="80"/>
    </row>
    <row r="23190">
      <c r="AI23190" s="80"/>
    </row>
    <row r="23191">
      <c r="AI23191" s="80"/>
    </row>
    <row r="23192">
      <c r="AI23192" s="80"/>
    </row>
    <row r="23193">
      <c r="AI23193" s="80"/>
    </row>
    <row r="23194">
      <c r="AI23194" s="80"/>
    </row>
    <row r="23195">
      <c r="AI23195" s="80"/>
    </row>
    <row r="23196">
      <c r="AI23196" s="80"/>
    </row>
    <row r="23197">
      <c r="AI23197" s="80"/>
    </row>
    <row r="23198">
      <c r="AI23198" s="80"/>
    </row>
    <row r="23199">
      <c r="AI23199" s="80"/>
    </row>
    <row r="23200">
      <c r="AI23200" s="80"/>
    </row>
    <row r="23201">
      <c r="AI23201" s="80"/>
    </row>
    <row r="23202">
      <c r="AI23202" s="80"/>
    </row>
    <row r="23203">
      <c r="AI23203" s="80"/>
    </row>
    <row r="23204">
      <c r="AI23204" s="80"/>
    </row>
    <row r="23205">
      <c r="AI23205" s="80"/>
    </row>
    <row r="23206">
      <c r="AI23206" s="80"/>
    </row>
    <row r="23207">
      <c r="AI23207" s="80"/>
    </row>
    <row r="23208">
      <c r="AI23208" s="80"/>
    </row>
    <row r="23209">
      <c r="AI23209" s="80"/>
    </row>
    <row r="23210">
      <c r="AI23210" s="80"/>
    </row>
    <row r="23211">
      <c r="AI23211" s="80"/>
    </row>
    <row r="23212">
      <c r="AI23212" s="80"/>
    </row>
    <row r="23213">
      <c r="AI23213" s="80"/>
    </row>
    <row r="23214">
      <c r="AI23214" s="80"/>
    </row>
    <row r="23215">
      <c r="AI23215" s="80"/>
    </row>
    <row r="23216">
      <c r="AI23216" s="80"/>
    </row>
    <row r="23217">
      <c r="AI23217" s="80"/>
    </row>
    <row r="23218">
      <c r="AI23218" s="80"/>
    </row>
    <row r="23219">
      <c r="AI23219" s="80"/>
    </row>
    <row r="23220">
      <c r="AI23220" s="80"/>
    </row>
    <row r="23221">
      <c r="AI23221" s="80"/>
    </row>
    <row r="23222">
      <c r="AI23222" s="80"/>
    </row>
    <row r="23223">
      <c r="AI23223" s="80"/>
    </row>
    <row r="23224">
      <c r="AI23224" s="80"/>
    </row>
    <row r="23225">
      <c r="AI23225" s="80"/>
    </row>
    <row r="23226">
      <c r="AI23226" s="80"/>
    </row>
    <row r="23227">
      <c r="AI23227" s="80"/>
    </row>
    <row r="23228">
      <c r="AI23228" s="80"/>
    </row>
    <row r="23229">
      <c r="AI23229" s="80"/>
    </row>
    <row r="23230">
      <c r="AI23230" s="80"/>
    </row>
    <row r="23231">
      <c r="AI23231" s="80"/>
    </row>
    <row r="23232">
      <c r="AI23232" s="80"/>
    </row>
    <row r="23233">
      <c r="AI23233" s="80"/>
    </row>
    <row r="23234">
      <c r="AI23234" s="80"/>
    </row>
    <row r="23235">
      <c r="AI23235" s="80"/>
    </row>
    <row r="23236">
      <c r="AI23236" s="80"/>
    </row>
    <row r="23237">
      <c r="AI23237" s="80"/>
    </row>
    <row r="23238">
      <c r="AI23238" s="80"/>
    </row>
    <row r="23239">
      <c r="AI23239" s="80"/>
    </row>
    <row r="23240">
      <c r="AI23240" s="80"/>
    </row>
    <row r="23241">
      <c r="AI23241" s="80"/>
    </row>
    <row r="23242">
      <c r="AI23242" s="80"/>
    </row>
    <row r="23243">
      <c r="AI23243" s="80"/>
    </row>
    <row r="23244">
      <c r="AI23244" s="80"/>
    </row>
    <row r="23245">
      <c r="AI23245" s="80"/>
    </row>
    <row r="23246">
      <c r="AI23246" s="80"/>
    </row>
    <row r="23247">
      <c r="AI23247" s="80"/>
    </row>
    <row r="23248">
      <c r="AI23248" s="80"/>
    </row>
    <row r="23249">
      <c r="AI23249" s="80"/>
    </row>
    <row r="23250">
      <c r="AI23250" s="80"/>
    </row>
    <row r="23251">
      <c r="AI23251" s="80"/>
    </row>
    <row r="23252">
      <c r="AI23252" s="80"/>
    </row>
    <row r="23253">
      <c r="AI23253" s="80"/>
    </row>
    <row r="23254">
      <c r="AI23254" s="80"/>
    </row>
    <row r="23255">
      <c r="AI23255" s="80"/>
    </row>
    <row r="23256">
      <c r="AI23256" s="80"/>
    </row>
    <row r="23257">
      <c r="AI23257" s="80"/>
    </row>
    <row r="23258">
      <c r="AI23258" s="80"/>
    </row>
    <row r="23259">
      <c r="AI23259" s="80"/>
    </row>
    <row r="23260">
      <c r="AI23260" s="80"/>
    </row>
    <row r="23261">
      <c r="AI23261" s="80"/>
    </row>
    <row r="23262">
      <c r="AI23262" s="80"/>
    </row>
    <row r="23263">
      <c r="AI23263" s="80"/>
    </row>
    <row r="23264">
      <c r="AI23264" s="80"/>
    </row>
    <row r="23265">
      <c r="AI23265" s="80"/>
    </row>
    <row r="23266">
      <c r="AI23266" s="80"/>
    </row>
    <row r="23267">
      <c r="AI23267" s="80"/>
    </row>
    <row r="23268">
      <c r="AI23268" s="80"/>
    </row>
    <row r="23269">
      <c r="AI23269" s="80"/>
    </row>
    <row r="23270">
      <c r="AI23270" s="80"/>
    </row>
    <row r="23271">
      <c r="AI23271" s="80"/>
    </row>
    <row r="23272">
      <c r="AI23272" s="80"/>
    </row>
    <row r="23273">
      <c r="AI23273" s="80"/>
    </row>
    <row r="23274">
      <c r="AI23274" s="80"/>
    </row>
    <row r="23275">
      <c r="AI23275" s="80"/>
    </row>
    <row r="23276">
      <c r="AI23276" s="80"/>
    </row>
    <row r="23277">
      <c r="AI23277" s="80"/>
    </row>
    <row r="23278">
      <c r="AI23278" s="80"/>
    </row>
    <row r="23279">
      <c r="AI23279" s="80"/>
    </row>
    <row r="23280">
      <c r="AI23280" s="80"/>
    </row>
    <row r="23281">
      <c r="AI23281" s="80"/>
    </row>
    <row r="23282">
      <c r="AI23282" s="80"/>
    </row>
    <row r="23283">
      <c r="AI23283" s="80"/>
    </row>
    <row r="23284">
      <c r="AI23284" s="80"/>
    </row>
    <row r="23285">
      <c r="AI23285" s="80"/>
    </row>
    <row r="23286">
      <c r="AI23286" s="80"/>
    </row>
    <row r="23287">
      <c r="AI23287" s="80"/>
    </row>
    <row r="23288">
      <c r="AI23288" s="80"/>
    </row>
    <row r="23289">
      <c r="AI23289" s="80"/>
    </row>
    <row r="23290">
      <c r="AI23290" s="80"/>
    </row>
    <row r="23291">
      <c r="AI23291" s="80"/>
    </row>
    <row r="23292">
      <c r="AI23292" s="80"/>
    </row>
    <row r="23293">
      <c r="AI23293" s="80"/>
    </row>
    <row r="23294">
      <c r="AI23294" s="80"/>
    </row>
    <row r="23295">
      <c r="AI23295" s="80"/>
    </row>
    <row r="23296">
      <c r="AI23296" s="80"/>
    </row>
    <row r="23297">
      <c r="AI23297" s="80"/>
    </row>
    <row r="23298">
      <c r="AI23298" s="80"/>
    </row>
    <row r="23299">
      <c r="AI23299" s="80"/>
    </row>
    <row r="23300">
      <c r="AI23300" s="80"/>
    </row>
    <row r="23301">
      <c r="AI23301" s="80"/>
    </row>
    <row r="23302">
      <c r="AI23302" s="80"/>
    </row>
    <row r="23303">
      <c r="AI23303" s="80"/>
    </row>
    <row r="23304">
      <c r="AI23304" s="80"/>
    </row>
    <row r="23305">
      <c r="AI23305" s="80"/>
    </row>
    <row r="23306">
      <c r="AI23306" s="80"/>
    </row>
    <row r="23307">
      <c r="AI23307" s="80"/>
    </row>
    <row r="23308">
      <c r="AI23308" s="80"/>
    </row>
    <row r="23309">
      <c r="AI23309" s="80"/>
    </row>
    <row r="23310">
      <c r="AI23310" s="80"/>
    </row>
    <row r="23311">
      <c r="AI23311" s="80"/>
    </row>
    <row r="23312">
      <c r="AI23312" s="80"/>
    </row>
    <row r="23313">
      <c r="AI23313" s="80"/>
    </row>
    <row r="23314">
      <c r="AI23314" s="80"/>
    </row>
    <row r="23315">
      <c r="AI23315" s="80"/>
    </row>
    <row r="23316">
      <c r="AI23316" s="80"/>
    </row>
    <row r="23317">
      <c r="AI23317" s="80"/>
    </row>
    <row r="23318">
      <c r="AI23318" s="80"/>
    </row>
    <row r="23319">
      <c r="AI23319" s="80"/>
    </row>
    <row r="23320">
      <c r="AI23320" s="80"/>
    </row>
    <row r="23321">
      <c r="AI23321" s="80"/>
    </row>
    <row r="23322">
      <c r="AI23322" s="80"/>
    </row>
    <row r="23323">
      <c r="AI23323" s="80"/>
    </row>
    <row r="23324">
      <c r="AI23324" s="80"/>
    </row>
    <row r="23325">
      <c r="AI23325" s="80"/>
    </row>
    <row r="23326">
      <c r="AI23326" s="80"/>
    </row>
    <row r="23327">
      <c r="AI23327" s="80"/>
    </row>
    <row r="23328">
      <c r="AI23328" s="80"/>
    </row>
    <row r="23329">
      <c r="AI23329" s="80"/>
    </row>
    <row r="23330">
      <c r="AI23330" s="80"/>
    </row>
    <row r="23331">
      <c r="AI23331" s="80"/>
    </row>
    <row r="23332">
      <c r="AI23332" s="80"/>
    </row>
    <row r="23333">
      <c r="AI23333" s="80"/>
    </row>
    <row r="23334">
      <c r="AI23334" s="80"/>
    </row>
    <row r="23335">
      <c r="AI23335" s="80"/>
    </row>
    <row r="23336">
      <c r="AI23336" s="80"/>
    </row>
    <row r="23337">
      <c r="AI23337" s="80"/>
    </row>
    <row r="23338">
      <c r="AI23338" s="80"/>
    </row>
    <row r="23339">
      <c r="AI23339" s="80"/>
    </row>
    <row r="23340">
      <c r="AI23340" s="80"/>
    </row>
    <row r="23341">
      <c r="AI23341" s="80"/>
    </row>
    <row r="23342">
      <c r="AI23342" s="80"/>
    </row>
    <row r="23343">
      <c r="AI23343" s="80"/>
    </row>
    <row r="23344">
      <c r="AI23344" s="80"/>
    </row>
    <row r="23345">
      <c r="AI23345" s="80"/>
    </row>
    <row r="23346">
      <c r="AI23346" s="80"/>
    </row>
    <row r="23347">
      <c r="AI23347" s="80"/>
    </row>
    <row r="23348">
      <c r="AI23348" s="80"/>
    </row>
    <row r="23349">
      <c r="AI23349" s="80"/>
    </row>
    <row r="23350">
      <c r="AI23350" s="80"/>
    </row>
    <row r="23351">
      <c r="AI23351" s="80"/>
    </row>
    <row r="23352">
      <c r="AI23352" s="80"/>
    </row>
    <row r="23353">
      <c r="AI23353" s="80"/>
    </row>
    <row r="23354">
      <c r="AI23354" s="80"/>
    </row>
    <row r="23355">
      <c r="AI23355" s="80"/>
    </row>
    <row r="23356">
      <c r="AI23356" s="80"/>
    </row>
    <row r="23357">
      <c r="AI23357" s="80"/>
    </row>
    <row r="23358">
      <c r="AI23358" s="80"/>
    </row>
    <row r="23359">
      <c r="AI23359" s="80"/>
    </row>
    <row r="23360">
      <c r="AI23360" s="80"/>
    </row>
    <row r="23361">
      <c r="AI23361" s="80"/>
    </row>
    <row r="23362">
      <c r="AI23362" s="80"/>
    </row>
    <row r="23363">
      <c r="AI23363" s="80"/>
    </row>
    <row r="23364">
      <c r="AI23364" s="80"/>
    </row>
    <row r="23365">
      <c r="AI23365" s="80"/>
    </row>
    <row r="23366">
      <c r="AI23366" s="80"/>
    </row>
    <row r="23367">
      <c r="AI23367" s="80"/>
    </row>
    <row r="23368">
      <c r="AI23368" s="80"/>
    </row>
    <row r="23369">
      <c r="AI23369" s="80"/>
    </row>
    <row r="23370">
      <c r="AI23370" s="80"/>
    </row>
    <row r="23371">
      <c r="AI23371" s="80"/>
    </row>
    <row r="23372">
      <c r="AI23372" s="80"/>
    </row>
    <row r="23373">
      <c r="AI23373" s="80"/>
    </row>
    <row r="23374">
      <c r="AI23374" s="80"/>
    </row>
    <row r="23375">
      <c r="AI23375" s="80"/>
    </row>
    <row r="23376">
      <c r="AI23376" s="80"/>
    </row>
    <row r="23377">
      <c r="AI23377" s="80"/>
    </row>
    <row r="23378">
      <c r="AI23378" s="80"/>
    </row>
    <row r="23379">
      <c r="AI23379" s="80"/>
    </row>
    <row r="23380">
      <c r="AI23380" s="80"/>
    </row>
    <row r="23381">
      <c r="AI23381" s="80"/>
    </row>
    <row r="23382">
      <c r="AI23382" s="80"/>
    </row>
    <row r="23383">
      <c r="AI23383" s="80"/>
    </row>
    <row r="23384">
      <c r="AI23384" s="80"/>
    </row>
    <row r="23385">
      <c r="AI23385" s="80"/>
    </row>
    <row r="23386">
      <c r="AI23386" s="80"/>
    </row>
    <row r="23387">
      <c r="AI23387" s="80"/>
    </row>
    <row r="23388">
      <c r="AI23388" s="80"/>
    </row>
    <row r="23389">
      <c r="AI23389" s="80"/>
    </row>
    <row r="23390">
      <c r="AI23390" s="80"/>
    </row>
    <row r="23391">
      <c r="AI23391" s="80"/>
    </row>
    <row r="23392">
      <c r="AI23392" s="80"/>
    </row>
    <row r="23393">
      <c r="AI23393" s="80"/>
    </row>
    <row r="23394">
      <c r="AI23394" s="80"/>
    </row>
    <row r="23395">
      <c r="AI23395" s="80"/>
    </row>
    <row r="23396">
      <c r="AI23396" s="80"/>
    </row>
    <row r="23397">
      <c r="AI23397" s="80"/>
    </row>
    <row r="23398">
      <c r="AI23398" s="80"/>
    </row>
    <row r="23399">
      <c r="AI23399" s="80"/>
    </row>
    <row r="23400">
      <c r="AI23400" s="80"/>
    </row>
    <row r="23401">
      <c r="AI23401" s="80"/>
    </row>
    <row r="23402">
      <c r="AI23402" s="80"/>
    </row>
    <row r="23403">
      <c r="AI23403" s="80"/>
    </row>
    <row r="23404">
      <c r="AI23404" s="80"/>
    </row>
    <row r="23405">
      <c r="AI23405" s="80"/>
    </row>
    <row r="23406">
      <c r="AI23406" s="80"/>
    </row>
    <row r="23407">
      <c r="AI23407" s="80"/>
    </row>
    <row r="23408">
      <c r="AI23408" s="80"/>
    </row>
    <row r="23409">
      <c r="AI23409" s="80"/>
    </row>
    <row r="23410">
      <c r="AI23410" s="80"/>
    </row>
    <row r="23411">
      <c r="AI23411" s="80"/>
    </row>
    <row r="23412">
      <c r="AI23412" s="80"/>
    </row>
    <row r="23413">
      <c r="AI23413" s="80"/>
    </row>
    <row r="23414">
      <c r="AI23414" s="80"/>
    </row>
    <row r="23415">
      <c r="AI23415" s="80"/>
    </row>
    <row r="23416">
      <c r="AI23416" s="80"/>
    </row>
    <row r="23417">
      <c r="AI23417" s="80"/>
    </row>
    <row r="23418">
      <c r="AI23418" s="80"/>
    </row>
    <row r="23419">
      <c r="AI23419" s="80"/>
    </row>
    <row r="23420">
      <c r="AI23420" s="80"/>
    </row>
    <row r="23421">
      <c r="AI23421" s="80"/>
    </row>
    <row r="23422">
      <c r="AI23422" s="80"/>
    </row>
    <row r="23423">
      <c r="AI23423" s="80"/>
    </row>
    <row r="23424">
      <c r="AI23424" s="80"/>
    </row>
    <row r="23425">
      <c r="AI23425" s="80"/>
    </row>
    <row r="23426">
      <c r="AI23426" s="80"/>
    </row>
    <row r="23427">
      <c r="AI23427" s="80"/>
    </row>
    <row r="23428">
      <c r="AI23428" s="80"/>
    </row>
    <row r="23429">
      <c r="AI23429" s="80"/>
    </row>
    <row r="23430">
      <c r="AI23430" s="80"/>
    </row>
    <row r="23431">
      <c r="AI23431" s="80"/>
    </row>
    <row r="23432">
      <c r="AI23432" s="80"/>
    </row>
    <row r="23433">
      <c r="AI23433" s="80"/>
    </row>
    <row r="23434">
      <c r="AI23434" s="80"/>
    </row>
    <row r="23435">
      <c r="AI23435" s="80"/>
    </row>
    <row r="23436">
      <c r="AI23436" s="80"/>
    </row>
    <row r="23437">
      <c r="AI23437" s="80"/>
    </row>
    <row r="23438">
      <c r="AI23438" s="80"/>
    </row>
    <row r="23439">
      <c r="AI23439" s="80"/>
    </row>
    <row r="23440">
      <c r="AI23440" s="80"/>
    </row>
    <row r="23441">
      <c r="AI23441" s="80"/>
    </row>
    <row r="23442">
      <c r="AI23442" s="80"/>
    </row>
    <row r="23443">
      <c r="AI23443" s="80"/>
    </row>
    <row r="23444">
      <c r="AI23444" s="80"/>
    </row>
    <row r="23445">
      <c r="AI23445" s="80"/>
    </row>
    <row r="23446">
      <c r="AI23446" s="80"/>
    </row>
    <row r="23447">
      <c r="AI23447" s="80"/>
    </row>
    <row r="23448">
      <c r="AI23448" s="80"/>
    </row>
    <row r="23449">
      <c r="AI23449" s="80"/>
    </row>
    <row r="23450">
      <c r="AI23450" s="80"/>
    </row>
    <row r="23451">
      <c r="AI23451" s="80"/>
    </row>
    <row r="23452">
      <c r="AI23452" s="80"/>
    </row>
    <row r="23453">
      <c r="AI23453" s="80"/>
    </row>
    <row r="23454">
      <c r="AI23454" s="80"/>
    </row>
    <row r="23455">
      <c r="AI23455" s="80"/>
    </row>
    <row r="23456">
      <c r="AI23456" s="80"/>
    </row>
    <row r="23457">
      <c r="AI23457" s="80"/>
    </row>
    <row r="23458">
      <c r="AI23458" s="80"/>
    </row>
    <row r="23459">
      <c r="AI23459" s="80"/>
    </row>
    <row r="23460">
      <c r="AI23460" s="80"/>
    </row>
    <row r="23461">
      <c r="AI23461" s="80"/>
    </row>
    <row r="23462">
      <c r="AI23462" s="80"/>
    </row>
    <row r="23463">
      <c r="AI23463" s="80"/>
    </row>
    <row r="23464">
      <c r="AI23464" s="80"/>
    </row>
    <row r="23465">
      <c r="AI23465" s="80"/>
    </row>
    <row r="23466">
      <c r="AI23466" s="80"/>
    </row>
    <row r="23467">
      <c r="AI23467" s="80"/>
    </row>
    <row r="23468">
      <c r="AI23468" s="80"/>
    </row>
    <row r="23469">
      <c r="AI23469" s="80"/>
    </row>
    <row r="23470">
      <c r="AI23470" s="80"/>
    </row>
    <row r="23471">
      <c r="AI23471" s="80"/>
    </row>
    <row r="23472">
      <c r="AI23472" s="80"/>
    </row>
    <row r="23473">
      <c r="AI23473" s="80"/>
    </row>
    <row r="23474">
      <c r="AI23474" s="80"/>
    </row>
    <row r="23475">
      <c r="AI23475" s="80"/>
    </row>
    <row r="23476">
      <c r="AI23476" s="80"/>
    </row>
    <row r="23477">
      <c r="AI23477" s="80"/>
    </row>
    <row r="23478">
      <c r="AI23478" s="80"/>
    </row>
    <row r="23479">
      <c r="AI23479" s="80"/>
    </row>
    <row r="23480">
      <c r="AI23480" s="80"/>
    </row>
    <row r="23481">
      <c r="AI23481" s="80"/>
    </row>
    <row r="23482">
      <c r="AI23482" s="80"/>
    </row>
    <row r="23483">
      <c r="AI23483" s="80"/>
    </row>
    <row r="23484">
      <c r="AI23484" s="80"/>
    </row>
    <row r="23485">
      <c r="AI23485" s="80"/>
    </row>
    <row r="23486">
      <c r="AI23486" s="80"/>
    </row>
    <row r="23487">
      <c r="AI23487" s="80"/>
    </row>
    <row r="23488">
      <c r="AI23488" s="80"/>
    </row>
    <row r="23489">
      <c r="AI23489" s="80"/>
    </row>
    <row r="23490">
      <c r="AI23490" s="80"/>
    </row>
    <row r="23491">
      <c r="AI23491" s="80"/>
    </row>
    <row r="23492">
      <c r="AI23492" s="80"/>
    </row>
    <row r="23493">
      <c r="AI23493" s="80"/>
    </row>
    <row r="23494">
      <c r="AI23494" s="80"/>
    </row>
    <row r="23495">
      <c r="AI23495" s="80"/>
    </row>
    <row r="23496">
      <c r="AI23496" s="80"/>
    </row>
    <row r="23497">
      <c r="AI23497" s="80"/>
    </row>
    <row r="23498">
      <c r="AI23498" s="80"/>
    </row>
    <row r="23499">
      <c r="AI23499" s="80"/>
    </row>
    <row r="23500">
      <c r="AI23500" s="80"/>
    </row>
    <row r="23501">
      <c r="AI23501" s="80"/>
    </row>
    <row r="23502">
      <c r="AI23502" s="80"/>
    </row>
    <row r="23503">
      <c r="AI23503" s="80"/>
    </row>
    <row r="23504">
      <c r="AI23504" s="80"/>
    </row>
    <row r="23505">
      <c r="AI23505" s="80"/>
    </row>
    <row r="23506">
      <c r="AI23506" s="80"/>
    </row>
    <row r="23507">
      <c r="AI23507" s="80"/>
    </row>
    <row r="23508">
      <c r="AI23508" s="80"/>
    </row>
    <row r="23509">
      <c r="AI23509" s="80"/>
    </row>
    <row r="23510">
      <c r="AI23510" s="80"/>
    </row>
    <row r="23511">
      <c r="AI23511" s="80"/>
    </row>
    <row r="23512">
      <c r="AI23512" s="80"/>
    </row>
    <row r="23513">
      <c r="AI23513" s="80"/>
    </row>
    <row r="23514">
      <c r="AI23514" s="80"/>
    </row>
    <row r="23515">
      <c r="AI23515" s="80"/>
    </row>
    <row r="23516">
      <c r="AI23516" s="80"/>
    </row>
    <row r="23517">
      <c r="AI23517" s="80"/>
    </row>
    <row r="23518">
      <c r="AI23518" s="80"/>
    </row>
    <row r="23519">
      <c r="AI23519" s="80"/>
    </row>
    <row r="23520">
      <c r="AI23520" s="80"/>
    </row>
    <row r="23521">
      <c r="AI23521" s="80"/>
    </row>
    <row r="23522">
      <c r="AI23522" s="80"/>
    </row>
    <row r="23523">
      <c r="AI23523" s="80"/>
    </row>
    <row r="23524">
      <c r="AI23524" s="80"/>
    </row>
    <row r="23525">
      <c r="AI23525" s="80"/>
    </row>
    <row r="23526">
      <c r="AI23526" s="80"/>
    </row>
    <row r="23527">
      <c r="AI23527" s="80"/>
    </row>
    <row r="23528">
      <c r="AI23528" s="80"/>
    </row>
    <row r="23529">
      <c r="AI23529" s="80"/>
    </row>
    <row r="23530">
      <c r="AI23530" s="80"/>
    </row>
    <row r="23531">
      <c r="AI23531" s="80"/>
    </row>
    <row r="23532">
      <c r="AI23532" s="80"/>
    </row>
    <row r="23533">
      <c r="AI23533" s="80"/>
    </row>
    <row r="23534">
      <c r="AI23534" s="80"/>
    </row>
    <row r="23535">
      <c r="AI23535" s="80"/>
    </row>
    <row r="23536">
      <c r="AI23536" s="80"/>
    </row>
    <row r="23537">
      <c r="AI23537" s="80"/>
    </row>
    <row r="23538">
      <c r="AI23538" s="80"/>
    </row>
    <row r="23539">
      <c r="AI23539" s="80"/>
    </row>
    <row r="23540">
      <c r="AI23540" s="80"/>
    </row>
    <row r="23541">
      <c r="AI23541" s="80"/>
    </row>
    <row r="23542">
      <c r="AI23542" s="80"/>
    </row>
    <row r="23543">
      <c r="AI23543" s="80"/>
    </row>
    <row r="23544">
      <c r="AI23544" s="80"/>
    </row>
    <row r="23545">
      <c r="AI23545" s="80"/>
    </row>
    <row r="23546">
      <c r="AI23546" s="80"/>
    </row>
    <row r="23547">
      <c r="AI23547" s="80"/>
    </row>
    <row r="23548">
      <c r="AI23548" s="80"/>
    </row>
    <row r="23549">
      <c r="AI23549" s="80"/>
    </row>
    <row r="23550">
      <c r="AI23550" s="80"/>
    </row>
    <row r="23551">
      <c r="AI23551" s="80"/>
    </row>
    <row r="23552">
      <c r="AI23552" s="80"/>
    </row>
    <row r="23553">
      <c r="AI23553" s="80"/>
    </row>
    <row r="23554">
      <c r="AI23554" s="80"/>
    </row>
    <row r="23555">
      <c r="AI23555" s="80"/>
    </row>
    <row r="23556">
      <c r="AI23556" s="80"/>
    </row>
    <row r="23557">
      <c r="AI23557" s="80"/>
    </row>
    <row r="23558">
      <c r="AI23558" s="80"/>
    </row>
    <row r="23559">
      <c r="AI23559" s="80"/>
    </row>
    <row r="23560">
      <c r="AI23560" s="80"/>
    </row>
    <row r="23561">
      <c r="AI23561" s="80"/>
    </row>
    <row r="23562">
      <c r="AI23562" s="80"/>
    </row>
    <row r="23563">
      <c r="AI23563" s="80"/>
    </row>
    <row r="23564">
      <c r="AI23564" s="80"/>
    </row>
    <row r="23565">
      <c r="AI23565" s="80"/>
    </row>
    <row r="23566">
      <c r="AI23566" s="80"/>
    </row>
    <row r="23567">
      <c r="AI23567" s="80"/>
    </row>
    <row r="23568">
      <c r="AI23568" s="80"/>
    </row>
    <row r="23569">
      <c r="AI23569" s="80"/>
    </row>
    <row r="23570">
      <c r="AI23570" s="80"/>
    </row>
    <row r="23571">
      <c r="AI23571" s="80"/>
    </row>
    <row r="23572">
      <c r="AI23572" s="80"/>
    </row>
    <row r="23573">
      <c r="AI23573" s="80"/>
    </row>
    <row r="23574">
      <c r="AI23574" s="80"/>
    </row>
    <row r="23575">
      <c r="AI23575" s="80"/>
    </row>
    <row r="23576">
      <c r="AI23576" s="80"/>
    </row>
    <row r="23577">
      <c r="AI23577" s="80"/>
    </row>
    <row r="23578">
      <c r="AI23578" s="80"/>
    </row>
    <row r="23579">
      <c r="AI23579" s="80"/>
    </row>
    <row r="23580">
      <c r="AI23580" s="80"/>
    </row>
    <row r="23581">
      <c r="AI23581" s="80"/>
    </row>
    <row r="23582">
      <c r="AI23582" s="80"/>
    </row>
    <row r="23583">
      <c r="AI23583" s="80"/>
    </row>
    <row r="23584">
      <c r="AI23584" s="80"/>
    </row>
    <row r="23585">
      <c r="AI23585" s="80"/>
    </row>
    <row r="23586">
      <c r="AI23586" s="80"/>
    </row>
    <row r="23587">
      <c r="AI23587" s="80"/>
    </row>
    <row r="23588">
      <c r="AI23588" s="80"/>
    </row>
    <row r="23589">
      <c r="AI23589" s="80"/>
    </row>
    <row r="23590">
      <c r="AI23590" s="80"/>
    </row>
    <row r="23591">
      <c r="AI23591" s="80"/>
    </row>
    <row r="23592">
      <c r="AI23592" s="80"/>
    </row>
    <row r="23593">
      <c r="AI23593" s="80"/>
    </row>
    <row r="23594">
      <c r="AI23594" s="80"/>
    </row>
    <row r="23595">
      <c r="AI23595" s="80"/>
    </row>
    <row r="23596">
      <c r="AI23596" s="80"/>
    </row>
    <row r="23597">
      <c r="AI23597" s="80"/>
    </row>
    <row r="23598">
      <c r="AI23598" s="80"/>
    </row>
    <row r="23599">
      <c r="AI23599" s="80"/>
    </row>
    <row r="23600">
      <c r="AI23600" s="80"/>
    </row>
    <row r="23601">
      <c r="AI23601" s="80"/>
    </row>
    <row r="23602">
      <c r="AI23602" s="80"/>
    </row>
    <row r="23603">
      <c r="AI23603" s="80"/>
    </row>
    <row r="23604">
      <c r="AI23604" s="80"/>
    </row>
    <row r="23605">
      <c r="AI23605" s="80"/>
    </row>
    <row r="23606">
      <c r="AI23606" s="80"/>
    </row>
    <row r="23607">
      <c r="AI23607" s="80"/>
    </row>
    <row r="23608">
      <c r="AI23608" s="80"/>
    </row>
    <row r="23609">
      <c r="AI23609" s="80"/>
    </row>
    <row r="23610">
      <c r="AI23610" s="80"/>
    </row>
    <row r="23611">
      <c r="AI23611" s="80"/>
    </row>
    <row r="23612">
      <c r="AI23612" s="80"/>
    </row>
    <row r="23613">
      <c r="AI23613" s="80"/>
    </row>
    <row r="23614">
      <c r="AI23614" s="80"/>
    </row>
    <row r="23615">
      <c r="AI23615" s="80"/>
    </row>
    <row r="23616">
      <c r="AI23616" s="80"/>
    </row>
    <row r="23617">
      <c r="AI23617" s="80"/>
    </row>
    <row r="23618">
      <c r="AI23618" s="80"/>
    </row>
    <row r="23619">
      <c r="AI23619" s="80"/>
    </row>
    <row r="23620">
      <c r="AI23620" s="80"/>
    </row>
    <row r="23621">
      <c r="AI23621" s="80"/>
    </row>
    <row r="23622">
      <c r="AI23622" s="80"/>
    </row>
    <row r="23623">
      <c r="AI23623" s="80"/>
    </row>
    <row r="23624">
      <c r="AI23624" s="80"/>
    </row>
    <row r="23625">
      <c r="AI23625" s="80"/>
    </row>
    <row r="23626">
      <c r="AI23626" s="80"/>
    </row>
    <row r="23627">
      <c r="AI23627" s="80"/>
    </row>
    <row r="23628">
      <c r="AI23628" s="80"/>
    </row>
    <row r="23629">
      <c r="AI23629" s="80"/>
    </row>
    <row r="23630">
      <c r="AI23630" s="80"/>
    </row>
    <row r="23631">
      <c r="AI23631" s="80"/>
    </row>
    <row r="23632">
      <c r="AI23632" s="80"/>
    </row>
    <row r="23633">
      <c r="AI23633" s="80"/>
    </row>
    <row r="23634">
      <c r="AI23634" s="80"/>
    </row>
    <row r="23635">
      <c r="AI23635" s="80"/>
    </row>
    <row r="23636">
      <c r="AI23636" s="80"/>
    </row>
    <row r="23637">
      <c r="AI23637" s="80"/>
    </row>
    <row r="23638">
      <c r="AI23638" s="80"/>
    </row>
    <row r="23639">
      <c r="AI23639" s="80"/>
    </row>
    <row r="23640">
      <c r="AI23640" s="80"/>
    </row>
    <row r="23641">
      <c r="AI23641" s="80"/>
    </row>
    <row r="23642">
      <c r="AI23642" s="80"/>
    </row>
    <row r="23643">
      <c r="AI23643" s="80"/>
    </row>
    <row r="23644">
      <c r="AI23644" s="80"/>
    </row>
    <row r="23645">
      <c r="AI23645" s="80"/>
    </row>
    <row r="23646">
      <c r="AI23646" s="80"/>
    </row>
    <row r="23647">
      <c r="AI23647" s="80"/>
    </row>
    <row r="23648">
      <c r="AI23648" s="80"/>
    </row>
    <row r="23649">
      <c r="AI23649" s="80"/>
    </row>
    <row r="23650">
      <c r="AI23650" s="80"/>
    </row>
    <row r="23651">
      <c r="AI23651" s="80"/>
    </row>
    <row r="23652">
      <c r="AI23652" s="80"/>
    </row>
    <row r="23653">
      <c r="AI23653" s="80"/>
    </row>
    <row r="23654">
      <c r="AI23654" s="80"/>
    </row>
    <row r="23655">
      <c r="AI23655" s="80"/>
    </row>
    <row r="23656">
      <c r="AI23656" s="80"/>
    </row>
    <row r="23657">
      <c r="AI23657" s="80"/>
    </row>
    <row r="23658">
      <c r="AI23658" s="80"/>
    </row>
    <row r="23659">
      <c r="AI23659" s="80"/>
    </row>
    <row r="23660">
      <c r="AI23660" s="80"/>
    </row>
    <row r="23661">
      <c r="AI23661" s="80"/>
    </row>
    <row r="23662">
      <c r="AI23662" s="80"/>
    </row>
    <row r="23663">
      <c r="AI23663" s="80"/>
    </row>
    <row r="23664">
      <c r="AI23664" s="80"/>
    </row>
    <row r="23665">
      <c r="AI23665" s="80"/>
    </row>
    <row r="23666">
      <c r="AI23666" s="80"/>
    </row>
    <row r="23667">
      <c r="AI23667" s="80"/>
    </row>
    <row r="23668">
      <c r="AI23668" s="80"/>
    </row>
    <row r="23669">
      <c r="AI23669" s="80"/>
    </row>
    <row r="23670">
      <c r="AI23670" s="80"/>
    </row>
    <row r="23671">
      <c r="AI23671" s="80"/>
    </row>
    <row r="23672">
      <c r="AI23672" s="80"/>
    </row>
    <row r="23673">
      <c r="AI23673" s="80"/>
    </row>
    <row r="23674">
      <c r="AI23674" s="80"/>
    </row>
    <row r="23675">
      <c r="AI23675" s="80"/>
    </row>
    <row r="23676">
      <c r="AI23676" s="80"/>
    </row>
    <row r="23677">
      <c r="AI23677" s="80"/>
    </row>
    <row r="23678">
      <c r="AI23678" s="80"/>
    </row>
    <row r="23679">
      <c r="AI23679" s="80"/>
    </row>
    <row r="23680">
      <c r="AI23680" s="80"/>
    </row>
    <row r="23681">
      <c r="AI23681" s="80"/>
    </row>
    <row r="23682">
      <c r="AI23682" s="80"/>
    </row>
    <row r="23683">
      <c r="AI23683" s="80"/>
    </row>
    <row r="23684">
      <c r="AI23684" s="80"/>
    </row>
    <row r="23685">
      <c r="AI23685" s="80"/>
    </row>
    <row r="23686">
      <c r="AI23686" s="80"/>
    </row>
    <row r="23687">
      <c r="AI23687" s="80"/>
    </row>
    <row r="23688">
      <c r="AI23688" s="80"/>
    </row>
    <row r="23689">
      <c r="AI23689" s="80"/>
    </row>
    <row r="23690">
      <c r="AI23690" s="80"/>
    </row>
    <row r="23691">
      <c r="AI23691" s="80"/>
    </row>
    <row r="23692">
      <c r="AI23692" s="80"/>
    </row>
    <row r="23693">
      <c r="AI23693" s="80"/>
    </row>
    <row r="23694">
      <c r="AI23694" s="80"/>
    </row>
    <row r="23695">
      <c r="AI23695" s="80"/>
    </row>
    <row r="23696">
      <c r="AI23696" s="80"/>
    </row>
    <row r="23697">
      <c r="AI23697" s="80"/>
    </row>
    <row r="23698">
      <c r="AI23698" s="80"/>
    </row>
    <row r="23699">
      <c r="AI23699" s="80"/>
    </row>
    <row r="23700">
      <c r="AI23700" s="80"/>
    </row>
    <row r="23701">
      <c r="AI23701" s="80"/>
    </row>
    <row r="23702">
      <c r="AI23702" s="80"/>
    </row>
    <row r="23703">
      <c r="AI23703" s="80"/>
    </row>
    <row r="23704">
      <c r="AI23704" s="80"/>
    </row>
    <row r="23705">
      <c r="AI23705" s="80"/>
    </row>
    <row r="23706">
      <c r="AI23706" s="80"/>
    </row>
    <row r="23707">
      <c r="AI23707" s="80"/>
    </row>
    <row r="23708">
      <c r="AI23708" s="80"/>
    </row>
    <row r="23709">
      <c r="AI23709" s="80"/>
    </row>
    <row r="23710">
      <c r="AI23710" s="80"/>
    </row>
    <row r="23711">
      <c r="AI23711" s="80"/>
    </row>
    <row r="23712">
      <c r="AI23712" s="80"/>
    </row>
    <row r="23713">
      <c r="AI23713" s="80"/>
    </row>
    <row r="23714">
      <c r="AI23714" s="80"/>
    </row>
    <row r="23715">
      <c r="AI23715" s="80"/>
    </row>
    <row r="23716">
      <c r="AI23716" s="80"/>
    </row>
    <row r="23717">
      <c r="AI23717" s="80"/>
    </row>
    <row r="23718">
      <c r="AI23718" s="80"/>
    </row>
    <row r="23719">
      <c r="AI23719" s="80"/>
    </row>
    <row r="23720">
      <c r="AI23720" s="80"/>
    </row>
    <row r="23721">
      <c r="AI23721" s="80"/>
    </row>
    <row r="23722">
      <c r="AI23722" s="80"/>
    </row>
    <row r="23723">
      <c r="AI23723" s="80"/>
    </row>
    <row r="23724">
      <c r="AI23724" s="80"/>
    </row>
    <row r="23725">
      <c r="AI23725" s="80"/>
    </row>
    <row r="23726">
      <c r="AI23726" s="80"/>
    </row>
    <row r="23727">
      <c r="AI23727" s="80"/>
    </row>
    <row r="23728">
      <c r="AI23728" s="80"/>
    </row>
    <row r="23729">
      <c r="AI23729" s="80"/>
    </row>
    <row r="23730">
      <c r="AI23730" s="80"/>
    </row>
    <row r="23731">
      <c r="AI23731" s="80"/>
    </row>
    <row r="23732">
      <c r="AI23732" s="80"/>
    </row>
    <row r="23733">
      <c r="AI23733" s="80"/>
    </row>
    <row r="23734">
      <c r="AI23734" s="80"/>
    </row>
    <row r="23735">
      <c r="AI23735" s="80"/>
    </row>
    <row r="23736">
      <c r="AI23736" s="80"/>
    </row>
    <row r="23737">
      <c r="AI23737" s="80"/>
    </row>
    <row r="23738">
      <c r="AI23738" s="80"/>
    </row>
    <row r="23739">
      <c r="AI23739" s="80"/>
    </row>
    <row r="23740">
      <c r="AI23740" s="80"/>
    </row>
    <row r="23741">
      <c r="AI23741" s="80"/>
    </row>
    <row r="23742">
      <c r="AI23742" s="80"/>
    </row>
    <row r="23743">
      <c r="AI23743" s="80"/>
    </row>
    <row r="23744">
      <c r="AI23744" s="80"/>
    </row>
    <row r="23745">
      <c r="AI23745" s="80"/>
    </row>
    <row r="23746">
      <c r="AI23746" s="80"/>
    </row>
    <row r="23747">
      <c r="AI23747" s="80"/>
    </row>
    <row r="23748">
      <c r="AI23748" s="80"/>
    </row>
    <row r="23749">
      <c r="AI23749" s="80"/>
    </row>
    <row r="23750">
      <c r="AI23750" s="80"/>
    </row>
    <row r="23751">
      <c r="AI23751" s="80"/>
    </row>
    <row r="23752">
      <c r="AI23752" s="80"/>
    </row>
    <row r="23753">
      <c r="AI23753" s="80"/>
    </row>
    <row r="23754">
      <c r="AI23754" s="80"/>
    </row>
    <row r="23755">
      <c r="AI23755" s="80"/>
    </row>
    <row r="23756">
      <c r="AI23756" s="80"/>
    </row>
    <row r="23757">
      <c r="AI23757" s="80"/>
    </row>
    <row r="23758">
      <c r="AI23758" s="80"/>
    </row>
    <row r="23759">
      <c r="AI23759" s="80"/>
    </row>
    <row r="23760">
      <c r="AI23760" s="80"/>
    </row>
    <row r="23761">
      <c r="AI23761" s="80"/>
    </row>
    <row r="23762">
      <c r="AI23762" s="80"/>
    </row>
    <row r="23763">
      <c r="AI23763" s="80"/>
    </row>
    <row r="23764">
      <c r="AI23764" s="80"/>
    </row>
    <row r="23765">
      <c r="AI23765" s="80"/>
    </row>
    <row r="23766">
      <c r="AI23766" s="80"/>
    </row>
    <row r="23767">
      <c r="AI23767" s="80"/>
    </row>
    <row r="23768">
      <c r="AI23768" s="80"/>
    </row>
    <row r="23769">
      <c r="AI23769" s="80"/>
    </row>
    <row r="23770">
      <c r="AI23770" s="80"/>
    </row>
    <row r="23771">
      <c r="AI23771" s="80"/>
    </row>
    <row r="23772">
      <c r="AI23772" s="80"/>
    </row>
    <row r="23773">
      <c r="AI23773" s="80"/>
    </row>
    <row r="23774">
      <c r="AI23774" s="80"/>
    </row>
    <row r="23775">
      <c r="AI23775" s="80"/>
    </row>
    <row r="23776">
      <c r="AI23776" s="80"/>
    </row>
    <row r="23777">
      <c r="AI23777" s="80"/>
    </row>
    <row r="23778">
      <c r="AI23778" s="80"/>
    </row>
    <row r="23779">
      <c r="AI23779" s="80"/>
    </row>
    <row r="23780">
      <c r="AI23780" s="80"/>
    </row>
    <row r="23781">
      <c r="AI23781" s="80"/>
    </row>
    <row r="23782">
      <c r="AI23782" s="80"/>
    </row>
    <row r="23783">
      <c r="AI23783" s="80"/>
    </row>
    <row r="23784">
      <c r="AI23784" s="80"/>
    </row>
    <row r="23785">
      <c r="AI23785" s="80"/>
    </row>
    <row r="23786">
      <c r="AI23786" s="80"/>
    </row>
    <row r="23787">
      <c r="AI23787" s="80"/>
    </row>
    <row r="23788">
      <c r="AI23788" s="80"/>
    </row>
    <row r="23789">
      <c r="AI23789" s="80"/>
    </row>
    <row r="23790">
      <c r="AI23790" s="80"/>
    </row>
    <row r="23791">
      <c r="AI23791" s="80"/>
    </row>
    <row r="23792">
      <c r="AI23792" s="80"/>
    </row>
    <row r="23793">
      <c r="AI23793" s="80"/>
    </row>
    <row r="23794">
      <c r="AI23794" s="80"/>
    </row>
    <row r="23795">
      <c r="AI23795" s="80"/>
    </row>
    <row r="23796">
      <c r="AI23796" s="80"/>
    </row>
    <row r="23797">
      <c r="AI23797" s="80"/>
    </row>
    <row r="23798">
      <c r="AI23798" s="80"/>
    </row>
    <row r="23799">
      <c r="AI23799" s="80"/>
    </row>
    <row r="23800">
      <c r="AI23800" s="80"/>
    </row>
    <row r="23801">
      <c r="AI23801" s="80"/>
    </row>
    <row r="23802">
      <c r="AI23802" s="80"/>
    </row>
    <row r="23803">
      <c r="AI23803" s="80"/>
    </row>
    <row r="23804">
      <c r="AI23804" s="80"/>
    </row>
    <row r="23805">
      <c r="AI23805" s="80"/>
    </row>
    <row r="23806">
      <c r="AI23806" s="80"/>
    </row>
    <row r="23807">
      <c r="AI23807" s="80"/>
    </row>
    <row r="23808">
      <c r="AI23808" s="80"/>
    </row>
    <row r="23809">
      <c r="AI23809" s="80"/>
    </row>
    <row r="23810">
      <c r="AI23810" s="80"/>
    </row>
    <row r="23811">
      <c r="AI23811" s="80"/>
    </row>
    <row r="23812">
      <c r="AI23812" s="80"/>
    </row>
    <row r="23813">
      <c r="AI23813" s="80"/>
    </row>
    <row r="23814">
      <c r="AI23814" s="80"/>
    </row>
    <row r="23815">
      <c r="AI23815" s="80"/>
    </row>
    <row r="23816">
      <c r="AI23816" s="80"/>
    </row>
    <row r="23817">
      <c r="AI23817" s="80"/>
    </row>
    <row r="23818">
      <c r="AI23818" s="80"/>
    </row>
    <row r="23819">
      <c r="AI23819" s="80"/>
    </row>
    <row r="23820">
      <c r="AI23820" s="80"/>
    </row>
    <row r="23821">
      <c r="AI23821" s="80"/>
    </row>
    <row r="23822">
      <c r="AI23822" s="80"/>
    </row>
    <row r="23823">
      <c r="AI23823" s="80"/>
    </row>
    <row r="23824">
      <c r="AI23824" s="80"/>
    </row>
    <row r="23825">
      <c r="AI23825" s="80"/>
    </row>
    <row r="23826">
      <c r="AI23826" s="80"/>
    </row>
    <row r="23827">
      <c r="AI23827" s="80"/>
    </row>
    <row r="23828">
      <c r="AI23828" s="80"/>
    </row>
    <row r="23829">
      <c r="AI23829" s="80"/>
    </row>
    <row r="23830">
      <c r="AI23830" s="80"/>
    </row>
    <row r="23831">
      <c r="AI23831" s="80"/>
    </row>
    <row r="23832">
      <c r="AI23832" s="80"/>
    </row>
    <row r="23833">
      <c r="AI23833" s="80"/>
    </row>
    <row r="23834">
      <c r="AI23834" s="80"/>
    </row>
    <row r="23835">
      <c r="AI23835" s="80"/>
    </row>
    <row r="23836">
      <c r="AI23836" s="80"/>
    </row>
    <row r="23837">
      <c r="AI23837" s="80"/>
    </row>
    <row r="23838">
      <c r="AI23838" s="80"/>
    </row>
    <row r="23839">
      <c r="AI23839" s="80"/>
    </row>
    <row r="23840">
      <c r="AI23840" s="80"/>
    </row>
    <row r="23841">
      <c r="AI23841" s="80"/>
    </row>
    <row r="23842">
      <c r="AI23842" s="80"/>
    </row>
    <row r="23843">
      <c r="AI23843" s="80"/>
    </row>
    <row r="23844">
      <c r="AI23844" s="80"/>
    </row>
    <row r="23845">
      <c r="AI23845" s="80"/>
    </row>
    <row r="23846">
      <c r="AI23846" s="80"/>
    </row>
    <row r="23847">
      <c r="AI23847" s="80"/>
    </row>
    <row r="23848">
      <c r="AI23848" s="80"/>
    </row>
    <row r="23849">
      <c r="AI23849" s="80"/>
    </row>
    <row r="23850">
      <c r="AI23850" s="80"/>
    </row>
    <row r="23851">
      <c r="AI23851" s="80"/>
    </row>
    <row r="23852">
      <c r="AI23852" s="80"/>
    </row>
    <row r="23853">
      <c r="AI23853" s="80"/>
    </row>
    <row r="23854">
      <c r="AI23854" s="80"/>
    </row>
    <row r="23855">
      <c r="AI23855" s="80"/>
    </row>
    <row r="23856">
      <c r="AI23856" s="80"/>
    </row>
    <row r="23857">
      <c r="AI23857" s="80"/>
    </row>
    <row r="23858">
      <c r="AI23858" s="80"/>
    </row>
    <row r="23859">
      <c r="AI23859" s="80"/>
    </row>
    <row r="23860">
      <c r="AI23860" s="80"/>
    </row>
    <row r="23861">
      <c r="AI23861" s="80"/>
    </row>
    <row r="23862">
      <c r="AI23862" s="80"/>
    </row>
    <row r="23863">
      <c r="AI23863" s="80"/>
    </row>
    <row r="23864">
      <c r="AI23864" s="80"/>
    </row>
    <row r="23865">
      <c r="AI23865" s="80"/>
    </row>
    <row r="23866">
      <c r="AI23866" s="80"/>
    </row>
    <row r="23867">
      <c r="AI23867" s="80"/>
    </row>
    <row r="23868">
      <c r="AI23868" s="80"/>
    </row>
    <row r="23869">
      <c r="AI23869" s="80"/>
    </row>
    <row r="23870">
      <c r="AI23870" s="80"/>
    </row>
    <row r="23871">
      <c r="AI23871" s="80"/>
    </row>
    <row r="23872">
      <c r="AI23872" s="80"/>
    </row>
    <row r="23873">
      <c r="AI23873" s="80"/>
    </row>
    <row r="23874">
      <c r="AI23874" s="80"/>
    </row>
    <row r="23875">
      <c r="AI23875" s="80"/>
    </row>
    <row r="23876">
      <c r="AI23876" s="80"/>
    </row>
    <row r="23877">
      <c r="AI23877" s="80"/>
    </row>
    <row r="23878">
      <c r="AI23878" s="80"/>
    </row>
    <row r="23879">
      <c r="AI23879" s="80"/>
    </row>
    <row r="23880">
      <c r="AI23880" s="80"/>
    </row>
    <row r="23881">
      <c r="AI23881" s="80"/>
    </row>
    <row r="23882">
      <c r="AI23882" s="80"/>
    </row>
    <row r="23883">
      <c r="AI23883" s="80"/>
    </row>
    <row r="23884">
      <c r="AI23884" s="80"/>
    </row>
    <row r="23885">
      <c r="AI23885" s="80"/>
    </row>
    <row r="23886">
      <c r="AI23886" s="80"/>
    </row>
    <row r="23887">
      <c r="AI23887" s="80"/>
    </row>
    <row r="23888">
      <c r="AI23888" s="80"/>
    </row>
    <row r="23889">
      <c r="AI23889" s="80"/>
    </row>
    <row r="23890">
      <c r="AI23890" s="80"/>
    </row>
    <row r="23891">
      <c r="AI23891" s="80"/>
    </row>
    <row r="23892">
      <c r="AI23892" s="80"/>
    </row>
    <row r="23893">
      <c r="AI23893" s="80"/>
    </row>
    <row r="23894">
      <c r="AI23894" s="80"/>
    </row>
    <row r="23895">
      <c r="AI23895" s="80"/>
    </row>
    <row r="23896">
      <c r="AI23896" s="80"/>
    </row>
    <row r="23897">
      <c r="AI23897" s="80"/>
    </row>
    <row r="23898">
      <c r="AI23898" s="80"/>
    </row>
    <row r="23899">
      <c r="AI23899" s="80"/>
    </row>
    <row r="23900">
      <c r="AI23900" s="80"/>
    </row>
    <row r="23901">
      <c r="AI23901" s="80"/>
    </row>
    <row r="23902">
      <c r="AI23902" s="80"/>
    </row>
    <row r="23903">
      <c r="AI23903" s="80"/>
    </row>
    <row r="23904">
      <c r="AI23904" s="80"/>
    </row>
    <row r="23905">
      <c r="AI23905" s="80"/>
    </row>
    <row r="23906">
      <c r="AI23906" s="80"/>
    </row>
    <row r="23907">
      <c r="AI23907" s="80"/>
    </row>
    <row r="23908">
      <c r="AI23908" s="80"/>
    </row>
    <row r="23909">
      <c r="AI23909" s="80"/>
    </row>
    <row r="23910">
      <c r="AI23910" s="80"/>
    </row>
    <row r="23911">
      <c r="AI23911" s="80"/>
    </row>
    <row r="23912">
      <c r="AI23912" s="80"/>
    </row>
    <row r="23913">
      <c r="AI23913" s="80"/>
    </row>
    <row r="23914">
      <c r="AI23914" s="80"/>
    </row>
    <row r="23915">
      <c r="AI23915" s="80"/>
    </row>
    <row r="23916">
      <c r="AI23916" s="80"/>
    </row>
    <row r="23917">
      <c r="AI23917" s="80"/>
    </row>
    <row r="23918">
      <c r="AI23918" s="80"/>
    </row>
    <row r="23919">
      <c r="AI23919" s="80"/>
    </row>
    <row r="23920">
      <c r="AI23920" s="80"/>
    </row>
    <row r="23921">
      <c r="AI23921" s="80"/>
    </row>
    <row r="23922">
      <c r="AI23922" s="80"/>
    </row>
    <row r="23923">
      <c r="AI23923" s="80"/>
    </row>
    <row r="23924">
      <c r="AI23924" s="80"/>
    </row>
    <row r="23925">
      <c r="AI23925" s="80"/>
    </row>
    <row r="23926">
      <c r="AI23926" s="80"/>
    </row>
    <row r="23927">
      <c r="AI23927" s="80"/>
    </row>
    <row r="23928">
      <c r="AI23928" s="80"/>
    </row>
    <row r="23929">
      <c r="AI23929" s="80"/>
    </row>
    <row r="23930">
      <c r="AI23930" s="80"/>
    </row>
    <row r="23931">
      <c r="AI23931" s="80"/>
    </row>
    <row r="23932">
      <c r="AI23932" s="80"/>
    </row>
    <row r="23933">
      <c r="AI23933" s="80"/>
    </row>
    <row r="23934">
      <c r="AI23934" s="80"/>
    </row>
    <row r="23935">
      <c r="AI23935" s="80"/>
    </row>
    <row r="23936">
      <c r="AI23936" s="80"/>
    </row>
    <row r="23937">
      <c r="AI23937" s="80"/>
    </row>
    <row r="23938">
      <c r="AI23938" s="80"/>
    </row>
    <row r="23939">
      <c r="AI23939" s="80"/>
    </row>
    <row r="23940">
      <c r="AI23940" s="80"/>
    </row>
    <row r="23941">
      <c r="AI23941" s="80"/>
    </row>
    <row r="23942">
      <c r="AI23942" s="80"/>
    </row>
    <row r="23943">
      <c r="AI23943" s="80"/>
    </row>
    <row r="23944">
      <c r="AI23944" s="80"/>
    </row>
    <row r="23945">
      <c r="AI23945" s="80"/>
    </row>
    <row r="23946">
      <c r="AI23946" s="80"/>
    </row>
    <row r="23947">
      <c r="AI23947" s="80"/>
    </row>
    <row r="23948">
      <c r="AI23948" s="80"/>
    </row>
    <row r="23949">
      <c r="AI23949" s="80"/>
    </row>
    <row r="23950">
      <c r="AI23950" s="80"/>
    </row>
    <row r="23951">
      <c r="AI23951" s="80"/>
    </row>
    <row r="23952">
      <c r="AI23952" s="80"/>
    </row>
    <row r="23953">
      <c r="AI23953" s="80"/>
    </row>
    <row r="23954">
      <c r="AI23954" s="80"/>
    </row>
    <row r="23955">
      <c r="AI23955" s="80"/>
    </row>
    <row r="23956">
      <c r="AI23956" s="80"/>
    </row>
    <row r="23957">
      <c r="AI23957" s="80"/>
    </row>
    <row r="23958">
      <c r="AI23958" s="80"/>
    </row>
    <row r="23959">
      <c r="AI23959" s="80"/>
    </row>
    <row r="23960">
      <c r="AI23960" s="80"/>
    </row>
    <row r="23961">
      <c r="AI23961" s="80"/>
    </row>
    <row r="23962">
      <c r="AI23962" s="80"/>
    </row>
    <row r="23963">
      <c r="AI23963" s="80"/>
    </row>
    <row r="23964">
      <c r="AI23964" s="80"/>
    </row>
    <row r="23965">
      <c r="AI23965" s="80"/>
    </row>
    <row r="23966">
      <c r="AI23966" s="80"/>
    </row>
    <row r="23967">
      <c r="AI23967" s="80"/>
    </row>
    <row r="23968">
      <c r="AI23968" s="80"/>
    </row>
    <row r="23969">
      <c r="AI23969" s="80"/>
    </row>
    <row r="23970">
      <c r="AI23970" s="80"/>
    </row>
    <row r="23971">
      <c r="AI23971" s="80"/>
    </row>
    <row r="23972">
      <c r="AI23972" s="80"/>
    </row>
    <row r="23973">
      <c r="AI23973" s="80"/>
    </row>
    <row r="23974">
      <c r="AI23974" s="80"/>
    </row>
    <row r="23975">
      <c r="AI23975" s="80"/>
    </row>
    <row r="23976">
      <c r="AI23976" s="80"/>
    </row>
    <row r="23977">
      <c r="AI23977" s="80"/>
    </row>
    <row r="23978">
      <c r="AI23978" s="80"/>
    </row>
    <row r="23979">
      <c r="AI23979" s="80"/>
    </row>
    <row r="23980">
      <c r="AI23980" s="80"/>
    </row>
    <row r="23981">
      <c r="AI23981" s="80"/>
    </row>
    <row r="23982">
      <c r="AI23982" s="80"/>
    </row>
    <row r="23983">
      <c r="AI23983" s="80"/>
    </row>
    <row r="23984">
      <c r="AI23984" s="80"/>
    </row>
    <row r="23985">
      <c r="AI23985" s="80"/>
    </row>
    <row r="23986">
      <c r="AI23986" s="80"/>
    </row>
    <row r="23987">
      <c r="AI23987" s="80"/>
    </row>
    <row r="23988">
      <c r="AI23988" s="80"/>
    </row>
    <row r="23989">
      <c r="AI23989" s="80"/>
    </row>
    <row r="23990">
      <c r="AI23990" s="80"/>
    </row>
    <row r="23991">
      <c r="AI23991" s="80"/>
    </row>
    <row r="23992">
      <c r="AI23992" s="80"/>
    </row>
    <row r="23993">
      <c r="AI23993" s="80"/>
    </row>
    <row r="23994">
      <c r="AI23994" s="80"/>
    </row>
    <row r="23995">
      <c r="AI23995" s="80"/>
    </row>
    <row r="23996">
      <c r="AI23996" s="80"/>
    </row>
    <row r="23997">
      <c r="AI23997" s="80"/>
    </row>
    <row r="23998">
      <c r="AI23998" s="80"/>
    </row>
    <row r="23999">
      <c r="AI23999" s="80"/>
    </row>
    <row r="24000">
      <c r="AI24000" s="80"/>
    </row>
    <row r="24001">
      <c r="AI24001" s="80"/>
    </row>
    <row r="24002">
      <c r="AI24002" s="80"/>
    </row>
    <row r="24003">
      <c r="AI24003" s="80"/>
    </row>
    <row r="24004">
      <c r="AI24004" s="80"/>
    </row>
    <row r="24005">
      <c r="AI24005" s="80"/>
    </row>
    <row r="24006">
      <c r="AI24006" s="80"/>
    </row>
    <row r="24007">
      <c r="AI24007" s="80"/>
    </row>
    <row r="24008">
      <c r="AI24008" s="80"/>
    </row>
    <row r="24009">
      <c r="AI24009" s="80"/>
    </row>
    <row r="24010">
      <c r="AI24010" s="80"/>
    </row>
    <row r="24011">
      <c r="AI24011" s="80"/>
    </row>
    <row r="24012">
      <c r="AI24012" s="80"/>
    </row>
    <row r="24013">
      <c r="AI24013" s="80"/>
    </row>
    <row r="24014">
      <c r="AI24014" s="80"/>
    </row>
    <row r="24015">
      <c r="AI24015" s="80"/>
    </row>
    <row r="24016">
      <c r="AI24016" s="80"/>
    </row>
    <row r="24017">
      <c r="AI24017" s="80"/>
    </row>
    <row r="24018">
      <c r="AI24018" s="80"/>
    </row>
    <row r="24019">
      <c r="AI24019" s="80"/>
    </row>
    <row r="24020">
      <c r="AI24020" s="80"/>
    </row>
    <row r="24021">
      <c r="AI24021" s="80"/>
    </row>
    <row r="24022">
      <c r="AI24022" s="80"/>
    </row>
    <row r="24023">
      <c r="AI24023" s="80"/>
    </row>
    <row r="24024">
      <c r="AI24024" s="80"/>
    </row>
    <row r="24025">
      <c r="AI24025" s="80"/>
    </row>
    <row r="24026">
      <c r="AI24026" s="80"/>
    </row>
    <row r="24027">
      <c r="AI24027" s="80"/>
    </row>
    <row r="24028">
      <c r="AI24028" s="80"/>
    </row>
    <row r="24029">
      <c r="AI24029" s="80"/>
    </row>
    <row r="24030">
      <c r="AI24030" s="80"/>
    </row>
    <row r="24031">
      <c r="AI24031" s="80"/>
    </row>
    <row r="24032">
      <c r="AI24032" s="80"/>
    </row>
    <row r="24033">
      <c r="AI24033" s="80"/>
    </row>
    <row r="24034">
      <c r="AI24034" s="80"/>
    </row>
    <row r="24035">
      <c r="AI24035" s="80"/>
    </row>
    <row r="24036">
      <c r="AI24036" s="80"/>
    </row>
    <row r="24037">
      <c r="AI24037" s="80"/>
    </row>
    <row r="24038">
      <c r="AI24038" s="80"/>
    </row>
    <row r="24039">
      <c r="AI24039" s="80"/>
    </row>
    <row r="24040">
      <c r="AI24040" s="80"/>
    </row>
    <row r="24041">
      <c r="AI24041" s="80"/>
    </row>
    <row r="24042">
      <c r="AI24042" s="80"/>
    </row>
    <row r="24043">
      <c r="AI24043" s="80"/>
    </row>
    <row r="24044">
      <c r="AI24044" s="80"/>
    </row>
    <row r="24045">
      <c r="AI24045" s="80"/>
    </row>
    <row r="24046">
      <c r="AI24046" s="80"/>
    </row>
    <row r="24047">
      <c r="AI24047" s="80"/>
    </row>
    <row r="24048">
      <c r="AI24048" s="80"/>
    </row>
    <row r="24049">
      <c r="AI24049" s="80"/>
    </row>
    <row r="24050">
      <c r="AI24050" s="80"/>
    </row>
    <row r="24051">
      <c r="AI24051" s="80"/>
    </row>
    <row r="24052">
      <c r="AI24052" s="80"/>
    </row>
    <row r="24053">
      <c r="AI24053" s="80"/>
    </row>
    <row r="24054">
      <c r="AI24054" s="80"/>
    </row>
    <row r="24055">
      <c r="AI24055" s="80"/>
    </row>
    <row r="24056">
      <c r="AI24056" s="80"/>
    </row>
    <row r="24057">
      <c r="AI24057" s="80"/>
    </row>
    <row r="24058">
      <c r="AI24058" s="80"/>
    </row>
    <row r="24059">
      <c r="AI24059" s="80"/>
    </row>
    <row r="24060">
      <c r="AI24060" s="80"/>
    </row>
    <row r="24061">
      <c r="AI24061" s="80"/>
    </row>
    <row r="24062">
      <c r="AI24062" s="80"/>
    </row>
    <row r="24063">
      <c r="AI24063" s="80"/>
    </row>
    <row r="24064">
      <c r="AI24064" s="80"/>
    </row>
    <row r="24065">
      <c r="AI24065" s="80"/>
    </row>
    <row r="24066">
      <c r="AI24066" s="80"/>
    </row>
    <row r="24067">
      <c r="AI24067" s="80"/>
    </row>
    <row r="24068">
      <c r="AI24068" s="80"/>
    </row>
    <row r="24069">
      <c r="AI24069" s="80"/>
    </row>
    <row r="24070">
      <c r="AI24070" s="80"/>
    </row>
    <row r="24071">
      <c r="AI24071" s="80"/>
    </row>
    <row r="24072">
      <c r="AI24072" s="80"/>
    </row>
    <row r="24073">
      <c r="AI24073" s="80"/>
    </row>
    <row r="24074">
      <c r="AI24074" s="80"/>
    </row>
    <row r="24075">
      <c r="AI24075" s="80"/>
    </row>
    <row r="24076">
      <c r="AI24076" s="80"/>
    </row>
    <row r="24077">
      <c r="AI24077" s="80"/>
    </row>
    <row r="24078">
      <c r="AI24078" s="80"/>
    </row>
    <row r="24079">
      <c r="AI24079" s="80"/>
    </row>
    <row r="24080">
      <c r="AI24080" s="80"/>
    </row>
    <row r="24081">
      <c r="AI24081" s="80"/>
    </row>
    <row r="24082">
      <c r="AI24082" s="80"/>
    </row>
    <row r="24083">
      <c r="AI24083" s="80"/>
    </row>
    <row r="24084">
      <c r="AI24084" s="80"/>
    </row>
    <row r="24085">
      <c r="AI24085" s="80"/>
    </row>
    <row r="24086">
      <c r="AI24086" s="80"/>
    </row>
    <row r="24087">
      <c r="AI24087" s="80"/>
    </row>
    <row r="24088">
      <c r="AI24088" s="80"/>
    </row>
    <row r="24089">
      <c r="AI24089" s="80"/>
    </row>
    <row r="24090">
      <c r="AI24090" s="80"/>
    </row>
    <row r="24091">
      <c r="AI24091" s="80"/>
    </row>
    <row r="24092">
      <c r="AI24092" s="80"/>
    </row>
    <row r="24093">
      <c r="AI24093" s="80"/>
    </row>
    <row r="24094">
      <c r="AI24094" s="80"/>
    </row>
    <row r="24095">
      <c r="AI24095" s="80"/>
    </row>
    <row r="24096">
      <c r="AI24096" s="80"/>
    </row>
    <row r="24097">
      <c r="AI24097" s="80"/>
    </row>
    <row r="24098">
      <c r="AI24098" s="80"/>
    </row>
    <row r="24099">
      <c r="AI24099" s="80"/>
    </row>
    <row r="24100">
      <c r="AI24100" s="80"/>
    </row>
    <row r="24101">
      <c r="AI24101" s="80"/>
    </row>
    <row r="24102">
      <c r="AI24102" s="80"/>
    </row>
    <row r="24103">
      <c r="AI24103" s="80"/>
    </row>
    <row r="24104">
      <c r="AI24104" s="80"/>
    </row>
    <row r="24105">
      <c r="AI24105" s="80"/>
    </row>
    <row r="24106">
      <c r="AI24106" s="80"/>
    </row>
    <row r="24107">
      <c r="AI24107" s="80"/>
    </row>
    <row r="24108">
      <c r="AI24108" s="80"/>
    </row>
    <row r="24109">
      <c r="AI24109" s="80"/>
    </row>
    <row r="24110">
      <c r="AI24110" s="80"/>
    </row>
    <row r="24111">
      <c r="AI24111" s="80"/>
    </row>
    <row r="24112">
      <c r="AI24112" s="80"/>
    </row>
    <row r="24113">
      <c r="AI24113" s="80"/>
    </row>
    <row r="24114">
      <c r="AI24114" s="80"/>
    </row>
    <row r="24115">
      <c r="AI24115" s="80"/>
    </row>
    <row r="24116">
      <c r="AI24116" s="80"/>
    </row>
    <row r="24117">
      <c r="AI24117" s="80"/>
    </row>
    <row r="24118">
      <c r="AI24118" s="80"/>
    </row>
    <row r="24119">
      <c r="AI24119" s="80"/>
    </row>
    <row r="24120">
      <c r="AI24120" s="80"/>
    </row>
    <row r="24121">
      <c r="AI24121" s="80"/>
    </row>
    <row r="24122">
      <c r="AI24122" s="80"/>
    </row>
    <row r="24123">
      <c r="AI24123" s="80"/>
    </row>
    <row r="24124">
      <c r="AI24124" s="80"/>
    </row>
    <row r="24125">
      <c r="AI24125" s="80"/>
    </row>
    <row r="24126">
      <c r="AI24126" s="80"/>
    </row>
    <row r="24127">
      <c r="AI24127" s="80"/>
    </row>
    <row r="24128">
      <c r="AI24128" s="80"/>
    </row>
    <row r="24129">
      <c r="AI24129" s="80"/>
    </row>
    <row r="24130">
      <c r="AI24130" s="80"/>
    </row>
    <row r="24131">
      <c r="AI24131" s="80"/>
    </row>
    <row r="24132">
      <c r="AI24132" s="80"/>
    </row>
    <row r="24133">
      <c r="AI24133" s="80"/>
    </row>
    <row r="24134">
      <c r="AI24134" s="80"/>
    </row>
    <row r="24135">
      <c r="AI24135" s="80"/>
    </row>
    <row r="24136">
      <c r="AI24136" s="80"/>
    </row>
    <row r="24137">
      <c r="AI24137" s="80"/>
    </row>
    <row r="24138">
      <c r="AI24138" s="80"/>
    </row>
    <row r="24139">
      <c r="AI24139" s="80"/>
    </row>
    <row r="24140">
      <c r="AI24140" s="80"/>
    </row>
    <row r="24141">
      <c r="AI24141" s="80"/>
    </row>
    <row r="24142">
      <c r="AI24142" s="80"/>
    </row>
    <row r="24143">
      <c r="AI24143" s="80"/>
    </row>
    <row r="24144">
      <c r="AI24144" s="80"/>
    </row>
    <row r="24145">
      <c r="AI24145" s="80"/>
    </row>
    <row r="24146">
      <c r="AI24146" s="80"/>
    </row>
    <row r="24147">
      <c r="AI24147" s="80"/>
    </row>
    <row r="24148">
      <c r="AI24148" s="80"/>
    </row>
    <row r="24149">
      <c r="AI24149" s="80"/>
    </row>
    <row r="24150">
      <c r="AI24150" s="80"/>
    </row>
    <row r="24151">
      <c r="AI24151" s="80"/>
    </row>
    <row r="24152">
      <c r="AI24152" s="80"/>
    </row>
    <row r="24153">
      <c r="AI24153" s="80"/>
    </row>
    <row r="24154">
      <c r="AI24154" s="80"/>
    </row>
    <row r="24155">
      <c r="AI24155" s="80"/>
    </row>
    <row r="24156">
      <c r="AI24156" s="80"/>
    </row>
    <row r="24157">
      <c r="AI24157" s="80"/>
    </row>
    <row r="24158">
      <c r="AI24158" s="80"/>
    </row>
    <row r="24159">
      <c r="AI24159" s="80"/>
    </row>
    <row r="24160">
      <c r="AI24160" s="80"/>
    </row>
    <row r="24161">
      <c r="AI24161" s="80"/>
    </row>
    <row r="24162">
      <c r="AI24162" s="80"/>
    </row>
    <row r="24163">
      <c r="AI24163" s="80"/>
    </row>
    <row r="24164">
      <c r="AI24164" s="80"/>
    </row>
    <row r="24165">
      <c r="AI24165" s="80"/>
    </row>
    <row r="24166">
      <c r="AI24166" s="80"/>
    </row>
    <row r="24167">
      <c r="AI24167" s="80"/>
    </row>
    <row r="24168">
      <c r="AI24168" s="80"/>
    </row>
    <row r="24169">
      <c r="AI24169" s="80"/>
    </row>
    <row r="24170">
      <c r="AI24170" s="80"/>
    </row>
    <row r="24171">
      <c r="AI24171" s="80"/>
    </row>
    <row r="24172">
      <c r="AI24172" s="80"/>
    </row>
    <row r="24173">
      <c r="AI24173" s="80"/>
    </row>
    <row r="24174">
      <c r="AI24174" s="80"/>
    </row>
    <row r="24175">
      <c r="AI24175" s="80"/>
    </row>
    <row r="24176">
      <c r="AI24176" s="80"/>
    </row>
    <row r="24177">
      <c r="AI24177" s="80"/>
    </row>
    <row r="24178">
      <c r="AI24178" s="80"/>
    </row>
    <row r="24179">
      <c r="AI24179" s="80"/>
    </row>
    <row r="24180">
      <c r="AI24180" s="80"/>
    </row>
    <row r="24181">
      <c r="AI24181" s="80"/>
    </row>
    <row r="24182">
      <c r="AI24182" s="80"/>
    </row>
    <row r="24183">
      <c r="AI24183" s="80"/>
    </row>
    <row r="24184">
      <c r="AI24184" s="80"/>
    </row>
    <row r="24185">
      <c r="AI24185" s="80"/>
    </row>
    <row r="24186">
      <c r="AI24186" s="80"/>
    </row>
    <row r="24187">
      <c r="AI24187" s="80"/>
    </row>
    <row r="24188">
      <c r="AI24188" s="80"/>
    </row>
    <row r="24189">
      <c r="AI24189" s="80"/>
    </row>
    <row r="24190">
      <c r="AI24190" s="80"/>
    </row>
    <row r="24191">
      <c r="AI24191" s="80"/>
    </row>
    <row r="24192">
      <c r="AI24192" s="80"/>
    </row>
    <row r="24193">
      <c r="AI24193" s="80"/>
    </row>
    <row r="24194">
      <c r="AI24194" s="80"/>
    </row>
    <row r="24195">
      <c r="AI24195" s="80"/>
    </row>
    <row r="24196">
      <c r="AI24196" s="80"/>
    </row>
    <row r="24197">
      <c r="AI24197" s="80"/>
    </row>
    <row r="24198">
      <c r="AI24198" s="80"/>
    </row>
    <row r="24199">
      <c r="AI24199" s="80"/>
    </row>
    <row r="24200">
      <c r="AI24200" s="80"/>
    </row>
    <row r="24201">
      <c r="AI24201" s="80"/>
    </row>
    <row r="24202">
      <c r="AI24202" s="80"/>
    </row>
    <row r="24203">
      <c r="AI24203" s="80"/>
    </row>
    <row r="24204">
      <c r="AI24204" s="80"/>
    </row>
    <row r="24205">
      <c r="AI24205" s="80"/>
    </row>
    <row r="24206">
      <c r="AI24206" s="80"/>
    </row>
    <row r="24207">
      <c r="AI24207" s="80"/>
    </row>
    <row r="24208">
      <c r="AI24208" s="80"/>
    </row>
    <row r="24209">
      <c r="AI24209" s="80"/>
    </row>
    <row r="24210">
      <c r="AI24210" s="80"/>
    </row>
    <row r="24211">
      <c r="AI24211" s="80"/>
    </row>
    <row r="24212">
      <c r="AI24212" s="80"/>
    </row>
    <row r="24213">
      <c r="AI24213" s="80"/>
    </row>
    <row r="24214">
      <c r="AI24214" s="80"/>
    </row>
    <row r="24215">
      <c r="AI24215" s="80"/>
    </row>
    <row r="24216">
      <c r="AI24216" s="80"/>
    </row>
    <row r="24217">
      <c r="AI24217" s="80"/>
    </row>
    <row r="24218">
      <c r="AI24218" s="80"/>
    </row>
    <row r="24219">
      <c r="AI24219" s="80"/>
    </row>
    <row r="24220">
      <c r="AI24220" s="80"/>
    </row>
    <row r="24221">
      <c r="AI24221" s="80"/>
    </row>
    <row r="24222">
      <c r="AI24222" s="80"/>
    </row>
    <row r="24223">
      <c r="AI24223" s="80"/>
    </row>
    <row r="24224">
      <c r="AI24224" s="80"/>
    </row>
    <row r="24225">
      <c r="AI24225" s="80"/>
    </row>
    <row r="24226">
      <c r="AI24226" s="80"/>
    </row>
    <row r="24227">
      <c r="AI24227" s="80"/>
    </row>
    <row r="24228">
      <c r="AI24228" s="80"/>
    </row>
    <row r="24229">
      <c r="AI24229" s="80"/>
    </row>
    <row r="24230">
      <c r="AI24230" s="80"/>
    </row>
    <row r="24231">
      <c r="AI24231" s="80"/>
    </row>
    <row r="24232">
      <c r="AI24232" s="80"/>
    </row>
    <row r="24233">
      <c r="AI24233" s="80"/>
    </row>
    <row r="24234">
      <c r="AI24234" s="80"/>
    </row>
    <row r="24235">
      <c r="AI24235" s="80"/>
    </row>
    <row r="24236">
      <c r="AI24236" s="80"/>
    </row>
    <row r="24237">
      <c r="AI24237" s="80"/>
    </row>
    <row r="24238">
      <c r="AI24238" s="80"/>
    </row>
    <row r="24239">
      <c r="AI24239" s="80"/>
    </row>
    <row r="24240">
      <c r="AI24240" s="80"/>
    </row>
    <row r="24241">
      <c r="AI24241" s="80"/>
    </row>
    <row r="24242">
      <c r="AI24242" s="80"/>
    </row>
    <row r="24243">
      <c r="AI24243" s="80"/>
    </row>
    <row r="24244">
      <c r="AI24244" s="80"/>
    </row>
    <row r="24245">
      <c r="AI24245" s="80"/>
    </row>
    <row r="24246">
      <c r="AI24246" s="80"/>
    </row>
    <row r="24247">
      <c r="AI24247" s="80"/>
    </row>
    <row r="24248">
      <c r="AI24248" s="80"/>
    </row>
    <row r="24249">
      <c r="AI24249" s="80"/>
    </row>
    <row r="24250">
      <c r="AI24250" s="80"/>
    </row>
    <row r="24251">
      <c r="AI24251" s="80"/>
    </row>
    <row r="24252">
      <c r="AI24252" s="80"/>
    </row>
    <row r="24253">
      <c r="AI24253" s="80"/>
    </row>
    <row r="24254">
      <c r="AI24254" s="80"/>
    </row>
    <row r="24255">
      <c r="AI24255" s="80"/>
    </row>
    <row r="24256">
      <c r="AI24256" s="80"/>
    </row>
    <row r="24257">
      <c r="AI24257" s="80"/>
    </row>
    <row r="24258">
      <c r="AI24258" s="80"/>
    </row>
    <row r="24259">
      <c r="AI24259" s="80"/>
    </row>
    <row r="24260">
      <c r="AI24260" s="80"/>
    </row>
    <row r="24261">
      <c r="AI24261" s="80"/>
    </row>
    <row r="24262">
      <c r="AI24262" s="80"/>
    </row>
    <row r="24263">
      <c r="AI24263" s="80"/>
    </row>
    <row r="24264">
      <c r="AI24264" s="80"/>
    </row>
    <row r="24265">
      <c r="AI24265" s="80"/>
    </row>
    <row r="24266">
      <c r="AI24266" s="80"/>
    </row>
    <row r="24267">
      <c r="AI24267" s="80"/>
    </row>
    <row r="24268">
      <c r="AI24268" s="80"/>
    </row>
    <row r="24269">
      <c r="AI24269" s="80"/>
    </row>
    <row r="24270">
      <c r="AI24270" s="80"/>
    </row>
    <row r="24271">
      <c r="AI24271" s="80"/>
    </row>
    <row r="24272">
      <c r="AI24272" s="80"/>
    </row>
    <row r="24273">
      <c r="AI24273" s="80"/>
    </row>
    <row r="24274">
      <c r="AI24274" s="80"/>
    </row>
    <row r="24275">
      <c r="AI24275" s="80"/>
    </row>
    <row r="24276">
      <c r="AI24276" s="80"/>
    </row>
    <row r="24277">
      <c r="AI24277" s="80"/>
    </row>
    <row r="24278">
      <c r="AI24278" s="80"/>
    </row>
    <row r="24279">
      <c r="AI24279" s="80"/>
    </row>
    <row r="24280">
      <c r="AI24280" s="80"/>
    </row>
    <row r="24281">
      <c r="AI24281" s="80"/>
    </row>
    <row r="24282">
      <c r="AI24282" s="80"/>
    </row>
    <row r="24283">
      <c r="AI24283" s="80"/>
    </row>
    <row r="24284">
      <c r="AI24284" s="80"/>
    </row>
    <row r="24285">
      <c r="AI24285" s="80"/>
    </row>
    <row r="24286">
      <c r="AI24286" s="80"/>
    </row>
    <row r="24287">
      <c r="AI24287" s="80"/>
    </row>
    <row r="24288">
      <c r="AI24288" s="80"/>
    </row>
    <row r="24289">
      <c r="AI24289" s="80"/>
    </row>
    <row r="24290">
      <c r="AI24290" s="80"/>
    </row>
    <row r="24291">
      <c r="AI24291" s="80"/>
    </row>
    <row r="24292">
      <c r="AI24292" s="80"/>
    </row>
    <row r="24293">
      <c r="AI24293" s="80"/>
    </row>
    <row r="24294">
      <c r="AI24294" s="80"/>
    </row>
    <row r="24295">
      <c r="AI24295" s="80"/>
    </row>
    <row r="24296">
      <c r="AI24296" s="80"/>
    </row>
    <row r="24297">
      <c r="AI24297" s="80"/>
    </row>
    <row r="24298">
      <c r="AI24298" s="80"/>
    </row>
    <row r="24299">
      <c r="AI24299" s="80"/>
    </row>
    <row r="24300">
      <c r="AI24300" s="80"/>
    </row>
    <row r="24301">
      <c r="AI24301" s="80"/>
    </row>
    <row r="24302">
      <c r="AI24302" s="80"/>
    </row>
    <row r="24303">
      <c r="AI24303" s="80"/>
    </row>
    <row r="24304">
      <c r="AI24304" s="80"/>
    </row>
    <row r="24305">
      <c r="AI24305" s="80"/>
    </row>
    <row r="24306">
      <c r="AI24306" s="80"/>
    </row>
    <row r="24307">
      <c r="AI24307" s="80"/>
    </row>
    <row r="24308">
      <c r="AI24308" s="80"/>
    </row>
    <row r="24309">
      <c r="AI24309" s="80"/>
    </row>
    <row r="24310">
      <c r="AI24310" s="80"/>
    </row>
    <row r="24311">
      <c r="AI24311" s="80"/>
    </row>
    <row r="24312">
      <c r="AI24312" s="80"/>
    </row>
    <row r="24313">
      <c r="AI24313" s="80"/>
    </row>
    <row r="24314">
      <c r="AI24314" s="80"/>
    </row>
    <row r="24315">
      <c r="AI24315" s="80"/>
    </row>
    <row r="24316">
      <c r="AI24316" s="80"/>
    </row>
    <row r="24317">
      <c r="AI24317" s="80"/>
    </row>
    <row r="24318">
      <c r="AI24318" s="80"/>
    </row>
    <row r="24319">
      <c r="AI24319" s="80"/>
    </row>
    <row r="24320">
      <c r="AI24320" s="80"/>
    </row>
    <row r="24321">
      <c r="AI24321" s="80"/>
    </row>
    <row r="24322">
      <c r="AI24322" s="80"/>
    </row>
    <row r="24323">
      <c r="AI24323" s="80"/>
    </row>
    <row r="24324">
      <c r="AI24324" s="80"/>
    </row>
    <row r="24325">
      <c r="AI24325" s="80"/>
    </row>
    <row r="24326">
      <c r="AI24326" s="80"/>
    </row>
    <row r="24327">
      <c r="AI24327" s="80"/>
    </row>
    <row r="24328">
      <c r="AI24328" s="80"/>
    </row>
    <row r="24329">
      <c r="AI24329" s="80"/>
    </row>
    <row r="24330">
      <c r="AI24330" s="80"/>
    </row>
    <row r="24331">
      <c r="AI24331" s="80"/>
    </row>
    <row r="24332">
      <c r="AI24332" s="80"/>
    </row>
    <row r="24333">
      <c r="AI24333" s="80"/>
    </row>
    <row r="24334">
      <c r="AI24334" s="80"/>
    </row>
    <row r="24335">
      <c r="AI24335" s="80"/>
    </row>
    <row r="24336">
      <c r="AI24336" s="80"/>
    </row>
    <row r="24337">
      <c r="AI24337" s="80"/>
    </row>
    <row r="24338">
      <c r="AI24338" s="80"/>
    </row>
    <row r="24339">
      <c r="AI24339" s="80"/>
    </row>
    <row r="24340">
      <c r="AI24340" s="80"/>
    </row>
    <row r="24341">
      <c r="AI24341" s="80"/>
    </row>
    <row r="24342">
      <c r="AI24342" s="80"/>
    </row>
    <row r="24343">
      <c r="AI24343" s="80"/>
    </row>
    <row r="24344">
      <c r="AI24344" s="80"/>
    </row>
    <row r="24345">
      <c r="AI24345" s="80"/>
    </row>
    <row r="24346">
      <c r="AI24346" s="80"/>
    </row>
    <row r="24347">
      <c r="AI24347" s="80"/>
    </row>
    <row r="24348">
      <c r="AI24348" s="80"/>
    </row>
    <row r="24349">
      <c r="AI24349" s="80"/>
    </row>
    <row r="24350">
      <c r="AI24350" s="80"/>
    </row>
    <row r="24351">
      <c r="AI24351" s="80"/>
    </row>
    <row r="24352">
      <c r="AI24352" s="80"/>
    </row>
    <row r="24353">
      <c r="AI24353" s="80"/>
    </row>
    <row r="24354">
      <c r="AI24354" s="80"/>
    </row>
    <row r="24355">
      <c r="AI24355" s="80"/>
    </row>
    <row r="24356">
      <c r="AI24356" s="80"/>
    </row>
    <row r="24357">
      <c r="AI24357" s="80"/>
    </row>
    <row r="24358">
      <c r="AI24358" s="80"/>
    </row>
    <row r="24359">
      <c r="AI24359" s="80"/>
    </row>
    <row r="24360">
      <c r="AI24360" s="80"/>
    </row>
    <row r="24361">
      <c r="AI24361" s="80"/>
    </row>
    <row r="24362">
      <c r="AI24362" s="80"/>
    </row>
    <row r="24363">
      <c r="AI24363" s="80"/>
    </row>
    <row r="24364">
      <c r="AI24364" s="80"/>
    </row>
    <row r="24365">
      <c r="AI24365" s="80"/>
    </row>
    <row r="24366">
      <c r="AI24366" s="80"/>
    </row>
    <row r="24367">
      <c r="AI24367" s="80"/>
    </row>
    <row r="24368">
      <c r="AI24368" s="80"/>
    </row>
    <row r="24369">
      <c r="AI24369" s="80"/>
    </row>
    <row r="24370">
      <c r="AI24370" s="80"/>
    </row>
    <row r="24371">
      <c r="AI24371" s="80"/>
    </row>
    <row r="24372">
      <c r="AI24372" s="80"/>
    </row>
    <row r="24373">
      <c r="AI24373" s="80"/>
    </row>
    <row r="24374">
      <c r="AI24374" s="80"/>
    </row>
    <row r="24375">
      <c r="AI24375" s="80"/>
    </row>
    <row r="24376">
      <c r="AI24376" s="80"/>
    </row>
    <row r="24377">
      <c r="AI24377" s="80"/>
    </row>
    <row r="24378">
      <c r="AI24378" s="80"/>
    </row>
    <row r="24379">
      <c r="AI24379" s="80"/>
    </row>
    <row r="24380">
      <c r="AI24380" s="80"/>
    </row>
    <row r="24381">
      <c r="AI24381" s="80"/>
    </row>
    <row r="24382">
      <c r="AI24382" s="80"/>
    </row>
    <row r="24383">
      <c r="AI24383" s="80"/>
    </row>
    <row r="24384">
      <c r="AI24384" s="80"/>
    </row>
    <row r="24385">
      <c r="AI24385" s="80"/>
    </row>
    <row r="24386">
      <c r="AI24386" s="80"/>
    </row>
    <row r="24387">
      <c r="AI24387" s="80"/>
    </row>
    <row r="24388">
      <c r="AI24388" s="80"/>
    </row>
    <row r="24389">
      <c r="AI24389" s="80"/>
    </row>
    <row r="24390">
      <c r="AI24390" s="80"/>
    </row>
    <row r="24391">
      <c r="AI24391" s="80"/>
    </row>
    <row r="24392">
      <c r="AI24392" s="80"/>
    </row>
    <row r="24393">
      <c r="AI24393" s="80"/>
    </row>
    <row r="24394">
      <c r="AI24394" s="80"/>
    </row>
    <row r="24395">
      <c r="AI24395" s="80"/>
    </row>
    <row r="24396">
      <c r="AI24396" s="80"/>
    </row>
    <row r="24397">
      <c r="AI24397" s="80"/>
    </row>
    <row r="24398">
      <c r="AI24398" s="80"/>
    </row>
    <row r="24399">
      <c r="AI24399" s="80"/>
    </row>
    <row r="24400">
      <c r="AI24400" s="80"/>
    </row>
    <row r="24401">
      <c r="AI24401" s="80"/>
    </row>
    <row r="24402">
      <c r="AI24402" s="80"/>
    </row>
    <row r="24403">
      <c r="AI24403" s="80"/>
    </row>
    <row r="24404">
      <c r="AI24404" s="80"/>
    </row>
    <row r="24405">
      <c r="AI24405" s="80"/>
    </row>
    <row r="24406">
      <c r="AI24406" s="80"/>
    </row>
    <row r="24407">
      <c r="AI24407" s="80"/>
    </row>
    <row r="24408">
      <c r="AI24408" s="80"/>
    </row>
    <row r="24409">
      <c r="AI24409" s="80"/>
    </row>
    <row r="24410">
      <c r="AI24410" s="80"/>
    </row>
    <row r="24411">
      <c r="AI24411" s="80"/>
    </row>
    <row r="24412">
      <c r="AI24412" s="80"/>
    </row>
    <row r="24413">
      <c r="AI24413" s="80"/>
    </row>
    <row r="24414">
      <c r="AI24414" s="80"/>
    </row>
    <row r="24415">
      <c r="AI24415" s="80"/>
    </row>
    <row r="24416">
      <c r="AI24416" s="80"/>
    </row>
    <row r="24417">
      <c r="AI24417" s="80"/>
    </row>
    <row r="24418">
      <c r="AI24418" s="80"/>
    </row>
    <row r="24419">
      <c r="AI24419" s="80"/>
    </row>
    <row r="24420">
      <c r="AI24420" s="80"/>
    </row>
    <row r="24421">
      <c r="AI24421" s="80"/>
    </row>
    <row r="24422">
      <c r="AI24422" s="80"/>
    </row>
    <row r="24423">
      <c r="AI24423" s="80"/>
    </row>
    <row r="24424">
      <c r="AI24424" s="80"/>
    </row>
    <row r="24425">
      <c r="AI24425" s="80"/>
    </row>
    <row r="24426">
      <c r="AI24426" s="80"/>
    </row>
    <row r="24427">
      <c r="AI24427" s="80"/>
    </row>
    <row r="24428">
      <c r="AI24428" s="80"/>
    </row>
    <row r="24429">
      <c r="AI24429" s="80"/>
    </row>
    <row r="24430">
      <c r="AI24430" s="80"/>
    </row>
    <row r="24431">
      <c r="AI24431" s="80"/>
    </row>
    <row r="24432">
      <c r="AI24432" s="80"/>
    </row>
    <row r="24433">
      <c r="AI24433" s="80"/>
    </row>
    <row r="24434">
      <c r="AI24434" s="80"/>
    </row>
    <row r="24435">
      <c r="AI24435" s="80"/>
    </row>
    <row r="24436">
      <c r="AI24436" s="80"/>
    </row>
    <row r="24437">
      <c r="AI24437" s="80"/>
    </row>
    <row r="24438">
      <c r="AI24438" s="80"/>
    </row>
    <row r="24439">
      <c r="AI24439" s="80"/>
    </row>
    <row r="24440">
      <c r="AI24440" s="80"/>
    </row>
    <row r="24441">
      <c r="AI24441" s="80"/>
    </row>
    <row r="24442">
      <c r="AI24442" s="80"/>
    </row>
    <row r="24443">
      <c r="AI24443" s="80"/>
    </row>
    <row r="24444">
      <c r="AI24444" s="80"/>
    </row>
    <row r="24445">
      <c r="AI24445" s="80"/>
    </row>
    <row r="24446">
      <c r="AI24446" s="80"/>
    </row>
    <row r="24447">
      <c r="AI24447" s="80"/>
    </row>
    <row r="24448">
      <c r="AI24448" s="80"/>
    </row>
    <row r="24449">
      <c r="AI24449" s="80"/>
    </row>
    <row r="24450">
      <c r="AI24450" s="80"/>
    </row>
    <row r="24451">
      <c r="AI24451" s="80"/>
    </row>
    <row r="24452">
      <c r="AI24452" s="80"/>
    </row>
    <row r="24453">
      <c r="AI24453" s="80"/>
    </row>
    <row r="24454">
      <c r="AI24454" s="80"/>
    </row>
    <row r="24455">
      <c r="AI24455" s="80"/>
    </row>
    <row r="24456">
      <c r="AI24456" s="80"/>
    </row>
    <row r="24457">
      <c r="AI24457" s="80"/>
    </row>
    <row r="24458">
      <c r="AI24458" s="80"/>
    </row>
    <row r="24459">
      <c r="AI24459" s="80"/>
    </row>
    <row r="24460">
      <c r="AI24460" s="80"/>
    </row>
    <row r="24461">
      <c r="AI24461" s="80"/>
    </row>
    <row r="24462">
      <c r="AI24462" s="80"/>
    </row>
    <row r="24463">
      <c r="AI24463" s="80"/>
    </row>
    <row r="24464">
      <c r="AI24464" s="80"/>
    </row>
    <row r="24465">
      <c r="AI24465" s="80"/>
    </row>
    <row r="24466">
      <c r="AI24466" s="80"/>
    </row>
    <row r="24467">
      <c r="AI24467" s="80"/>
    </row>
    <row r="24468">
      <c r="AI24468" s="80"/>
    </row>
    <row r="24469">
      <c r="AI24469" s="80"/>
    </row>
    <row r="24470">
      <c r="AI24470" s="80"/>
    </row>
    <row r="24471">
      <c r="AI24471" s="80"/>
    </row>
    <row r="24472">
      <c r="AI24472" s="80"/>
    </row>
    <row r="24473">
      <c r="AI24473" s="80"/>
    </row>
    <row r="24474">
      <c r="AI24474" s="80"/>
    </row>
    <row r="24475">
      <c r="AI24475" s="80"/>
    </row>
    <row r="24476">
      <c r="AI24476" s="80"/>
    </row>
    <row r="24477">
      <c r="AI24477" s="80"/>
    </row>
    <row r="24478">
      <c r="AI24478" s="80"/>
    </row>
    <row r="24479">
      <c r="AI24479" s="80"/>
    </row>
    <row r="24480">
      <c r="AI24480" s="80"/>
    </row>
    <row r="24481">
      <c r="AI24481" s="80"/>
    </row>
    <row r="24482">
      <c r="AI24482" s="80"/>
    </row>
    <row r="24483">
      <c r="AI24483" s="80"/>
    </row>
    <row r="24484">
      <c r="AI24484" s="80"/>
    </row>
    <row r="24485">
      <c r="AI24485" s="80"/>
    </row>
    <row r="24486">
      <c r="AI24486" s="80"/>
    </row>
    <row r="24487">
      <c r="AI24487" s="80"/>
    </row>
    <row r="24488">
      <c r="AI24488" s="80"/>
    </row>
    <row r="24489">
      <c r="AI24489" s="80"/>
    </row>
    <row r="24490">
      <c r="AI24490" s="80"/>
    </row>
    <row r="24491">
      <c r="AI24491" s="80"/>
    </row>
    <row r="24492">
      <c r="AI24492" s="80"/>
    </row>
    <row r="24493">
      <c r="AI24493" s="80"/>
    </row>
    <row r="24494">
      <c r="AI24494" s="80"/>
    </row>
    <row r="24495">
      <c r="AI24495" s="80"/>
    </row>
    <row r="24496">
      <c r="AI24496" s="80"/>
    </row>
    <row r="24497">
      <c r="AI24497" s="80"/>
    </row>
    <row r="24498">
      <c r="AI24498" s="80"/>
    </row>
    <row r="24499">
      <c r="AI24499" s="80"/>
    </row>
    <row r="24500">
      <c r="AI24500" s="80"/>
    </row>
    <row r="24501">
      <c r="AI24501" s="80"/>
    </row>
    <row r="24502">
      <c r="AI24502" s="80"/>
    </row>
    <row r="24503">
      <c r="AI24503" s="80"/>
    </row>
    <row r="24504">
      <c r="AI24504" s="80"/>
    </row>
    <row r="24505">
      <c r="AI24505" s="80"/>
    </row>
    <row r="24506">
      <c r="AI24506" s="80"/>
    </row>
    <row r="24507">
      <c r="AI24507" s="80"/>
    </row>
    <row r="24508">
      <c r="AI24508" s="80"/>
    </row>
    <row r="24509">
      <c r="AI24509" s="80"/>
    </row>
    <row r="24510">
      <c r="AI24510" s="80"/>
    </row>
    <row r="24511">
      <c r="AI24511" s="80"/>
    </row>
    <row r="24512">
      <c r="AI24512" s="80"/>
    </row>
    <row r="24513">
      <c r="AI24513" s="80"/>
    </row>
    <row r="24514">
      <c r="AI24514" s="80"/>
    </row>
    <row r="24515">
      <c r="AI24515" s="80"/>
    </row>
    <row r="24516">
      <c r="AI24516" s="80"/>
    </row>
    <row r="24517">
      <c r="AI24517" s="80"/>
    </row>
    <row r="24518">
      <c r="AI24518" s="80"/>
    </row>
    <row r="24519">
      <c r="AI24519" s="80"/>
    </row>
    <row r="24520">
      <c r="AI24520" s="80"/>
    </row>
    <row r="24521">
      <c r="AI24521" s="80"/>
    </row>
    <row r="24522">
      <c r="AI24522" s="80"/>
    </row>
    <row r="24523">
      <c r="AI24523" s="80"/>
    </row>
    <row r="24524">
      <c r="AI24524" s="80"/>
    </row>
    <row r="24525">
      <c r="AI24525" s="80"/>
    </row>
    <row r="24526">
      <c r="AI24526" s="80"/>
    </row>
    <row r="24527">
      <c r="AI24527" s="80"/>
    </row>
    <row r="24528">
      <c r="AI24528" s="80"/>
    </row>
    <row r="24529">
      <c r="AI24529" s="80"/>
    </row>
    <row r="24530">
      <c r="AI24530" s="80"/>
    </row>
    <row r="24531">
      <c r="AI24531" s="80"/>
    </row>
    <row r="24532">
      <c r="AI24532" s="80"/>
    </row>
    <row r="24533">
      <c r="AI24533" s="80"/>
    </row>
    <row r="24534">
      <c r="AI24534" s="80"/>
    </row>
    <row r="24535">
      <c r="AI24535" s="80"/>
    </row>
    <row r="24536">
      <c r="AI24536" s="80"/>
    </row>
    <row r="24537">
      <c r="AI24537" s="80"/>
    </row>
    <row r="24538">
      <c r="AI24538" s="80"/>
    </row>
    <row r="24539">
      <c r="AI24539" s="80"/>
    </row>
    <row r="24540">
      <c r="AI24540" s="80"/>
    </row>
    <row r="24541">
      <c r="AI24541" s="80"/>
    </row>
    <row r="24542">
      <c r="AI24542" s="80"/>
    </row>
    <row r="24543">
      <c r="AI24543" s="80"/>
    </row>
    <row r="24544">
      <c r="AI24544" s="80"/>
    </row>
    <row r="24545">
      <c r="AI24545" s="80"/>
    </row>
    <row r="24546">
      <c r="AI24546" s="80"/>
    </row>
    <row r="24547">
      <c r="AI24547" s="80"/>
    </row>
    <row r="24548">
      <c r="AI24548" s="80"/>
    </row>
    <row r="24549">
      <c r="AI24549" s="80"/>
    </row>
    <row r="24550">
      <c r="AI24550" s="80"/>
    </row>
    <row r="24551">
      <c r="AI24551" s="80"/>
    </row>
    <row r="24552">
      <c r="AI24552" s="80"/>
    </row>
    <row r="24553">
      <c r="AI24553" s="80"/>
    </row>
    <row r="24554">
      <c r="AI24554" s="80"/>
    </row>
    <row r="24555">
      <c r="AI24555" s="80"/>
    </row>
    <row r="24556">
      <c r="AI24556" s="80"/>
    </row>
    <row r="24557">
      <c r="AI24557" s="80"/>
    </row>
    <row r="24558">
      <c r="AI24558" s="80"/>
    </row>
    <row r="24559">
      <c r="AI24559" s="80"/>
    </row>
    <row r="24560">
      <c r="AI24560" s="80"/>
    </row>
    <row r="24561">
      <c r="AI24561" s="80"/>
    </row>
    <row r="24562">
      <c r="AI24562" s="80"/>
    </row>
    <row r="24563">
      <c r="AI24563" s="80"/>
    </row>
    <row r="24564">
      <c r="AI24564" s="80"/>
    </row>
    <row r="24565">
      <c r="AI24565" s="80"/>
    </row>
    <row r="24566">
      <c r="AI24566" s="80"/>
    </row>
    <row r="24567">
      <c r="AI24567" s="80"/>
    </row>
    <row r="24568">
      <c r="AI24568" s="80"/>
    </row>
    <row r="24569">
      <c r="AI24569" s="80"/>
    </row>
    <row r="24570">
      <c r="AI24570" s="80"/>
    </row>
    <row r="24571">
      <c r="AI24571" s="80"/>
    </row>
    <row r="24572">
      <c r="AI24572" s="80"/>
    </row>
    <row r="24573">
      <c r="AI24573" s="80"/>
    </row>
    <row r="24574">
      <c r="AI24574" s="80"/>
    </row>
    <row r="24575">
      <c r="AI24575" s="80"/>
    </row>
    <row r="24576">
      <c r="AI24576" s="80"/>
    </row>
    <row r="24577">
      <c r="AI24577" s="80"/>
    </row>
    <row r="24578">
      <c r="AI24578" s="80"/>
    </row>
    <row r="24579">
      <c r="AI24579" s="80"/>
    </row>
    <row r="24580">
      <c r="AI24580" s="80"/>
    </row>
    <row r="24581">
      <c r="AI24581" s="80"/>
    </row>
    <row r="24582">
      <c r="AI24582" s="80"/>
    </row>
    <row r="24583">
      <c r="AI24583" s="80"/>
    </row>
    <row r="24584">
      <c r="AI24584" s="80"/>
    </row>
    <row r="24585">
      <c r="AI24585" s="80"/>
    </row>
    <row r="24586">
      <c r="AI24586" s="80"/>
    </row>
    <row r="24587">
      <c r="AI24587" s="80"/>
    </row>
    <row r="24588">
      <c r="AI24588" s="80"/>
    </row>
    <row r="24589">
      <c r="AI24589" s="80"/>
    </row>
    <row r="24590">
      <c r="AI24590" s="80"/>
    </row>
    <row r="24591">
      <c r="AI24591" s="80"/>
    </row>
    <row r="24592">
      <c r="AI24592" s="80"/>
    </row>
    <row r="24593">
      <c r="AI24593" s="80"/>
    </row>
    <row r="24594">
      <c r="AI24594" s="80"/>
    </row>
    <row r="24595">
      <c r="AI24595" s="80"/>
    </row>
    <row r="24596">
      <c r="AI24596" s="80"/>
    </row>
    <row r="24597">
      <c r="AI24597" s="80"/>
    </row>
    <row r="24598">
      <c r="AI24598" s="80"/>
    </row>
    <row r="24599">
      <c r="AI24599" s="80"/>
    </row>
    <row r="24600">
      <c r="AI24600" s="80"/>
    </row>
    <row r="24601">
      <c r="AI24601" s="80"/>
    </row>
    <row r="24602">
      <c r="AI24602" s="80"/>
    </row>
    <row r="24603">
      <c r="AI24603" s="80"/>
    </row>
    <row r="24604">
      <c r="AI24604" s="80"/>
    </row>
    <row r="24605">
      <c r="AI24605" s="80"/>
    </row>
    <row r="24606">
      <c r="AI24606" s="80"/>
    </row>
    <row r="24607">
      <c r="AI24607" s="80"/>
    </row>
    <row r="24608">
      <c r="AI24608" s="80"/>
    </row>
    <row r="24609">
      <c r="AI24609" s="80"/>
    </row>
    <row r="24610">
      <c r="AI24610" s="80"/>
    </row>
    <row r="24611">
      <c r="AI24611" s="80"/>
    </row>
    <row r="24612">
      <c r="AI24612" s="80"/>
    </row>
    <row r="24613">
      <c r="AI24613" s="80"/>
    </row>
    <row r="24614">
      <c r="AI24614" s="80"/>
    </row>
    <row r="24615">
      <c r="AI24615" s="80"/>
    </row>
    <row r="24616">
      <c r="AI24616" s="80"/>
    </row>
    <row r="24617">
      <c r="AI24617" s="80"/>
    </row>
    <row r="24618">
      <c r="AI24618" s="80"/>
    </row>
    <row r="24619">
      <c r="AI24619" s="80"/>
    </row>
    <row r="24620">
      <c r="AI24620" s="80"/>
    </row>
    <row r="24621">
      <c r="AI24621" s="80"/>
    </row>
    <row r="24622">
      <c r="AI24622" s="80"/>
    </row>
    <row r="24623">
      <c r="AI24623" s="80"/>
    </row>
    <row r="24624">
      <c r="AI24624" s="80"/>
    </row>
    <row r="24625">
      <c r="AI24625" s="80"/>
    </row>
    <row r="24626">
      <c r="AI24626" s="80"/>
    </row>
    <row r="24627">
      <c r="AI24627" s="80"/>
    </row>
    <row r="24628">
      <c r="AI24628" s="80"/>
    </row>
    <row r="24629">
      <c r="AI24629" s="80"/>
    </row>
    <row r="24630">
      <c r="AI24630" s="80"/>
    </row>
    <row r="24631">
      <c r="AI24631" s="80"/>
    </row>
    <row r="24632">
      <c r="AI24632" s="80"/>
    </row>
    <row r="24633">
      <c r="AI24633" s="80"/>
    </row>
    <row r="24634">
      <c r="AI24634" s="80"/>
    </row>
    <row r="24635">
      <c r="AI24635" s="80"/>
    </row>
    <row r="24636">
      <c r="AI24636" s="80"/>
    </row>
    <row r="24637">
      <c r="AI24637" s="80"/>
    </row>
    <row r="24638">
      <c r="AI24638" s="80"/>
    </row>
    <row r="24639">
      <c r="AI24639" s="80"/>
    </row>
    <row r="24640">
      <c r="AI24640" s="80"/>
    </row>
    <row r="24641">
      <c r="AI24641" s="80"/>
    </row>
    <row r="24642">
      <c r="AI24642" s="80"/>
    </row>
    <row r="24643">
      <c r="AI24643" s="80"/>
    </row>
    <row r="24644">
      <c r="AI24644" s="80"/>
    </row>
    <row r="24645">
      <c r="AI24645" s="80"/>
    </row>
    <row r="24646">
      <c r="AI24646" s="80"/>
    </row>
    <row r="24647">
      <c r="AI24647" s="80"/>
    </row>
    <row r="24648">
      <c r="AI24648" s="80"/>
    </row>
    <row r="24649">
      <c r="AI24649" s="80"/>
    </row>
    <row r="24650">
      <c r="AI24650" s="80"/>
    </row>
    <row r="24651">
      <c r="AI24651" s="80"/>
    </row>
    <row r="24652">
      <c r="AI24652" s="80"/>
    </row>
    <row r="24653">
      <c r="AI24653" s="80"/>
    </row>
    <row r="24654">
      <c r="AI24654" s="80"/>
    </row>
    <row r="24655">
      <c r="AI24655" s="80"/>
    </row>
    <row r="24656">
      <c r="AI24656" s="80"/>
    </row>
    <row r="24657">
      <c r="AI24657" s="80"/>
    </row>
    <row r="24658">
      <c r="AI24658" s="80"/>
    </row>
    <row r="24659">
      <c r="AI24659" s="80"/>
    </row>
    <row r="24660">
      <c r="AI24660" s="80"/>
    </row>
    <row r="24661">
      <c r="AI24661" s="80"/>
    </row>
    <row r="24662">
      <c r="AI24662" s="80"/>
    </row>
    <row r="24663">
      <c r="AI24663" s="80"/>
    </row>
    <row r="24664">
      <c r="AI24664" s="80"/>
    </row>
    <row r="24665">
      <c r="AI24665" s="80"/>
    </row>
    <row r="24666">
      <c r="AI24666" s="80"/>
    </row>
    <row r="24667">
      <c r="AI24667" s="80"/>
    </row>
    <row r="24668">
      <c r="AI24668" s="80"/>
    </row>
    <row r="24669">
      <c r="AI24669" s="80"/>
    </row>
    <row r="24670">
      <c r="AI24670" s="80"/>
    </row>
    <row r="24671">
      <c r="AI24671" s="80"/>
    </row>
    <row r="24672">
      <c r="AI24672" s="80"/>
    </row>
    <row r="24673">
      <c r="AI24673" s="80"/>
    </row>
    <row r="24674">
      <c r="AI24674" s="80"/>
    </row>
    <row r="24675">
      <c r="AI24675" s="80"/>
    </row>
    <row r="24676">
      <c r="AI24676" s="80"/>
    </row>
    <row r="24677">
      <c r="AI24677" s="80"/>
    </row>
    <row r="24678">
      <c r="AI24678" s="80"/>
    </row>
    <row r="24679">
      <c r="AI24679" s="80"/>
    </row>
    <row r="24680">
      <c r="AI24680" s="80"/>
    </row>
    <row r="24681">
      <c r="AI24681" s="80"/>
    </row>
    <row r="24682">
      <c r="AI24682" s="80"/>
    </row>
    <row r="24683">
      <c r="AI24683" s="80"/>
    </row>
    <row r="24684">
      <c r="AI24684" s="80"/>
    </row>
    <row r="24685">
      <c r="AI24685" s="80"/>
    </row>
    <row r="24686">
      <c r="AI24686" s="80"/>
    </row>
    <row r="24687">
      <c r="AI24687" s="80"/>
    </row>
    <row r="24688">
      <c r="AI24688" s="80"/>
    </row>
    <row r="24689">
      <c r="AI24689" s="80"/>
    </row>
    <row r="24690">
      <c r="AI24690" s="80"/>
    </row>
    <row r="24691">
      <c r="AI24691" s="80"/>
    </row>
    <row r="24692">
      <c r="AI24692" s="80"/>
    </row>
    <row r="24693">
      <c r="AI24693" s="80"/>
    </row>
    <row r="24694">
      <c r="AI24694" s="80"/>
    </row>
    <row r="24695">
      <c r="AI24695" s="80"/>
    </row>
    <row r="24696">
      <c r="AI24696" s="80"/>
    </row>
    <row r="24697">
      <c r="AI24697" s="80"/>
    </row>
    <row r="24698">
      <c r="AI24698" s="80"/>
    </row>
    <row r="24699">
      <c r="AI24699" s="80"/>
    </row>
    <row r="24700">
      <c r="AI24700" s="80"/>
    </row>
    <row r="24701">
      <c r="AI24701" s="80"/>
    </row>
    <row r="24702">
      <c r="AI24702" s="80"/>
    </row>
    <row r="24703">
      <c r="AI24703" s="80"/>
    </row>
    <row r="24704">
      <c r="AI24704" s="80"/>
    </row>
    <row r="24705">
      <c r="AI24705" s="80"/>
    </row>
    <row r="24706">
      <c r="AI24706" s="80"/>
    </row>
    <row r="24707">
      <c r="AI24707" s="80"/>
    </row>
    <row r="24708">
      <c r="AI24708" s="80"/>
    </row>
    <row r="24709">
      <c r="AI24709" s="80"/>
    </row>
    <row r="24710">
      <c r="AI24710" s="80"/>
    </row>
    <row r="24711">
      <c r="AI24711" s="80"/>
    </row>
    <row r="24712">
      <c r="AI24712" s="80"/>
    </row>
    <row r="24713">
      <c r="AI24713" s="80"/>
    </row>
    <row r="24714">
      <c r="AI24714" s="80"/>
    </row>
    <row r="24715">
      <c r="AI24715" s="80"/>
    </row>
    <row r="24716">
      <c r="AI24716" s="80"/>
    </row>
    <row r="24717">
      <c r="AI24717" s="80"/>
    </row>
    <row r="24718">
      <c r="AI24718" s="80"/>
    </row>
    <row r="24719">
      <c r="AI24719" s="80"/>
    </row>
    <row r="24720">
      <c r="AI24720" s="80"/>
    </row>
    <row r="24721">
      <c r="AI24721" s="80"/>
    </row>
    <row r="24722">
      <c r="AI24722" s="80"/>
    </row>
    <row r="24723">
      <c r="AI24723" s="80"/>
    </row>
    <row r="24724">
      <c r="AI24724" s="80"/>
    </row>
    <row r="24725">
      <c r="AI24725" s="80"/>
    </row>
    <row r="24726">
      <c r="AI24726" s="80"/>
    </row>
    <row r="24727">
      <c r="AI24727" s="80"/>
    </row>
    <row r="24728">
      <c r="AI24728" s="80"/>
    </row>
    <row r="24729">
      <c r="AI24729" s="80"/>
    </row>
    <row r="24730">
      <c r="AI24730" s="80"/>
    </row>
    <row r="24731">
      <c r="AI24731" s="80"/>
    </row>
    <row r="24732">
      <c r="AI24732" s="80"/>
    </row>
    <row r="24733">
      <c r="AI24733" s="80"/>
    </row>
    <row r="24734">
      <c r="AI24734" s="80"/>
    </row>
    <row r="24735">
      <c r="AI24735" s="80"/>
    </row>
    <row r="24736">
      <c r="AI24736" s="80"/>
    </row>
    <row r="24737">
      <c r="AI24737" s="80"/>
    </row>
    <row r="24738">
      <c r="AI24738" s="80"/>
    </row>
    <row r="24739">
      <c r="AI24739" s="80"/>
    </row>
    <row r="24740">
      <c r="AI24740" s="80"/>
    </row>
    <row r="24741">
      <c r="AI24741" s="80"/>
    </row>
    <row r="24742">
      <c r="AI24742" s="80"/>
    </row>
    <row r="24743">
      <c r="AI24743" s="80"/>
    </row>
    <row r="24744">
      <c r="AI24744" s="80"/>
    </row>
    <row r="24745">
      <c r="AI24745" s="80"/>
    </row>
    <row r="24746">
      <c r="AI24746" s="80"/>
    </row>
    <row r="24747">
      <c r="AI24747" s="80"/>
    </row>
    <row r="24748">
      <c r="AI24748" s="80"/>
    </row>
    <row r="24749">
      <c r="AI24749" s="80"/>
    </row>
    <row r="24750">
      <c r="AI24750" s="80"/>
    </row>
    <row r="24751">
      <c r="AI24751" s="80"/>
    </row>
    <row r="24752">
      <c r="AI24752" s="80"/>
    </row>
    <row r="24753">
      <c r="AI24753" s="80"/>
    </row>
    <row r="24754">
      <c r="AI24754" s="80"/>
    </row>
    <row r="24755">
      <c r="AI24755" s="80"/>
    </row>
    <row r="24756">
      <c r="AI24756" s="80"/>
    </row>
    <row r="24757">
      <c r="AI24757" s="80"/>
    </row>
    <row r="24758">
      <c r="AI24758" s="80"/>
    </row>
    <row r="24759">
      <c r="AI24759" s="80"/>
    </row>
    <row r="24760">
      <c r="AI24760" s="80"/>
    </row>
    <row r="24761">
      <c r="AI24761" s="80"/>
    </row>
    <row r="24762">
      <c r="AI24762" s="80"/>
    </row>
    <row r="24763">
      <c r="AI24763" s="80"/>
    </row>
    <row r="24764">
      <c r="AI24764" s="80"/>
    </row>
    <row r="24765">
      <c r="AI24765" s="80"/>
    </row>
    <row r="24766">
      <c r="AI24766" s="80"/>
    </row>
    <row r="24767">
      <c r="AI24767" s="80"/>
    </row>
    <row r="24768">
      <c r="AI24768" s="80"/>
    </row>
    <row r="24769">
      <c r="AI24769" s="80"/>
    </row>
    <row r="24770">
      <c r="AI24770" s="80"/>
    </row>
    <row r="24771">
      <c r="AI24771" s="80"/>
    </row>
    <row r="24772">
      <c r="AI24772" s="80"/>
    </row>
    <row r="24773">
      <c r="AI24773" s="80"/>
    </row>
    <row r="24774">
      <c r="AI24774" s="80"/>
    </row>
    <row r="24775">
      <c r="AI24775" s="80"/>
    </row>
    <row r="24776">
      <c r="AI24776" s="80"/>
    </row>
    <row r="24777">
      <c r="AI24777" s="80"/>
    </row>
    <row r="24778">
      <c r="AI24778" s="80"/>
    </row>
    <row r="24779">
      <c r="AI24779" s="80"/>
    </row>
    <row r="24780">
      <c r="AI24780" s="80"/>
    </row>
    <row r="24781">
      <c r="AI24781" s="80"/>
    </row>
    <row r="24782">
      <c r="AI24782" s="80"/>
    </row>
    <row r="24783">
      <c r="AI24783" s="80"/>
    </row>
    <row r="24784">
      <c r="AI24784" s="80"/>
    </row>
    <row r="24785">
      <c r="AI24785" s="80"/>
    </row>
    <row r="24786">
      <c r="AI24786" s="80"/>
    </row>
    <row r="24787">
      <c r="AI24787" s="80"/>
    </row>
    <row r="24788">
      <c r="AI24788" s="80"/>
    </row>
    <row r="24789">
      <c r="AI24789" s="80"/>
    </row>
    <row r="24790">
      <c r="AI24790" s="80"/>
    </row>
    <row r="24791">
      <c r="AI24791" s="80"/>
    </row>
    <row r="24792">
      <c r="AI24792" s="80"/>
    </row>
    <row r="24793">
      <c r="AI24793" s="80"/>
    </row>
    <row r="24794">
      <c r="AI24794" s="80"/>
    </row>
    <row r="24795">
      <c r="AI24795" s="80"/>
    </row>
    <row r="24796">
      <c r="AI24796" s="80"/>
    </row>
    <row r="24797">
      <c r="AI24797" s="80"/>
    </row>
    <row r="24798">
      <c r="AI24798" s="80"/>
    </row>
    <row r="24799">
      <c r="AI24799" s="80"/>
    </row>
    <row r="24800">
      <c r="AI24800" s="80"/>
    </row>
    <row r="24801">
      <c r="AI24801" s="80"/>
    </row>
    <row r="24802">
      <c r="AI24802" s="80"/>
    </row>
    <row r="24803">
      <c r="AI24803" s="80"/>
    </row>
    <row r="24804">
      <c r="AI24804" s="80"/>
    </row>
    <row r="24805">
      <c r="AI24805" s="80"/>
    </row>
    <row r="24806">
      <c r="AI24806" s="80"/>
    </row>
    <row r="24807">
      <c r="AI24807" s="80"/>
    </row>
    <row r="24808">
      <c r="AI24808" s="80"/>
    </row>
    <row r="24809">
      <c r="AI24809" s="80"/>
    </row>
    <row r="24810">
      <c r="AI24810" s="80"/>
    </row>
    <row r="24811">
      <c r="AI24811" s="80"/>
    </row>
    <row r="24812">
      <c r="AI24812" s="80"/>
    </row>
    <row r="24813">
      <c r="AI24813" s="80"/>
    </row>
    <row r="24814">
      <c r="AI24814" s="80"/>
    </row>
    <row r="24815">
      <c r="AI24815" s="80"/>
    </row>
    <row r="24816">
      <c r="AI24816" s="80"/>
    </row>
    <row r="24817">
      <c r="AI24817" s="80"/>
    </row>
    <row r="24818">
      <c r="AI24818" s="80"/>
    </row>
    <row r="24819">
      <c r="AI24819" s="80"/>
    </row>
    <row r="24820">
      <c r="AI24820" s="80"/>
    </row>
    <row r="24821">
      <c r="AI24821" s="80"/>
    </row>
    <row r="24822">
      <c r="AI24822" s="80"/>
    </row>
    <row r="24823">
      <c r="AI24823" s="80"/>
    </row>
    <row r="24824">
      <c r="AI24824" s="80"/>
    </row>
    <row r="24825">
      <c r="AI24825" s="80"/>
    </row>
    <row r="24826">
      <c r="AI24826" s="80"/>
    </row>
    <row r="24827">
      <c r="AI24827" s="80"/>
    </row>
    <row r="24828">
      <c r="AI24828" s="80"/>
    </row>
    <row r="24829">
      <c r="AI24829" s="80"/>
    </row>
    <row r="24830">
      <c r="AI24830" s="80"/>
    </row>
    <row r="24831">
      <c r="AI24831" s="80"/>
    </row>
    <row r="24832">
      <c r="AI24832" s="80"/>
    </row>
    <row r="24833">
      <c r="AI24833" s="80"/>
    </row>
    <row r="24834">
      <c r="AI24834" s="80"/>
    </row>
    <row r="24835">
      <c r="AI24835" s="80"/>
    </row>
    <row r="24836">
      <c r="AI24836" s="80"/>
    </row>
    <row r="24837">
      <c r="AI24837" s="80"/>
    </row>
    <row r="24838">
      <c r="AI24838" s="80"/>
    </row>
    <row r="24839">
      <c r="AI24839" s="80"/>
    </row>
    <row r="24840">
      <c r="AI24840" s="80"/>
    </row>
    <row r="24841">
      <c r="AI24841" s="80"/>
    </row>
    <row r="24842">
      <c r="AI24842" s="80"/>
    </row>
    <row r="24843">
      <c r="AI24843" s="80"/>
    </row>
    <row r="24844">
      <c r="AI24844" s="80"/>
    </row>
    <row r="24845">
      <c r="AI24845" s="80"/>
    </row>
    <row r="24846">
      <c r="AI24846" s="80"/>
    </row>
    <row r="24847">
      <c r="AI24847" s="80"/>
    </row>
    <row r="24848">
      <c r="AI24848" s="80"/>
    </row>
    <row r="24849">
      <c r="AI24849" s="80"/>
    </row>
    <row r="24850">
      <c r="AI24850" s="80"/>
    </row>
    <row r="24851">
      <c r="AI24851" s="80"/>
    </row>
    <row r="24852">
      <c r="AI24852" s="80"/>
    </row>
    <row r="24853">
      <c r="AI24853" s="80"/>
    </row>
    <row r="24854">
      <c r="AI24854" s="80"/>
    </row>
    <row r="24855">
      <c r="AI24855" s="80"/>
    </row>
    <row r="24856">
      <c r="AI24856" s="80"/>
    </row>
    <row r="24857">
      <c r="AI24857" s="80"/>
    </row>
    <row r="24858">
      <c r="AI24858" s="80"/>
    </row>
    <row r="24859">
      <c r="AI24859" s="80"/>
    </row>
    <row r="24860">
      <c r="AI24860" s="80"/>
    </row>
    <row r="24861">
      <c r="AI24861" s="80"/>
    </row>
    <row r="24862">
      <c r="AI24862" s="80"/>
    </row>
    <row r="24863">
      <c r="AI24863" s="80"/>
    </row>
    <row r="24864">
      <c r="AI24864" s="80"/>
    </row>
    <row r="24865">
      <c r="AI24865" s="80"/>
    </row>
    <row r="24866">
      <c r="AI24866" s="80"/>
    </row>
    <row r="24867">
      <c r="AI24867" s="80"/>
    </row>
    <row r="24868">
      <c r="AI24868" s="80"/>
    </row>
    <row r="24869">
      <c r="AI24869" s="80"/>
    </row>
    <row r="24870">
      <c r="AI24870" s="80"/>
    </row>
    <row r="24871">
      <c r="AI24871" s="80"/>
    </row>
    <row r="24872">
      <c r="AI24872" s="80"/>
    </row>
    <row r="24873">
      <c r="AI24873" s="80"/>
    </row>
    <row r="24874">
      <c r="AI24874" s="80"/>
    </row>
    <row r="24875">
      <c r="AI24875" s="80"/>
    </row>
    <row r="24876">
      <c r="AI24876" s="80"/>
    </row>
    <row r="24877">
      <c r="AI24877" s="80"/>
    </row>
    <row r="24878">
      <c r="AI24878" s="80"/>
    </row>
    <row r="24879">
      <c r="AI24879" s="80"/>
    </row>
    <row r="24880">
      <c r="AI24880" s="80"/>
    </row>
    <row r="24881">
      <c r="AI24881" s="80"/>
    </row>
    <row r="24882">
      <c r="AI24882" s="80"/>
    </row>
    <row r="24883">
      <c r="AI24883" s="80"/>
    </row>
    <row r="24884">
      <c r="AI24884" s="80"/>
    </row>
    <row r="24885">
      <c r="AI24885" s="80"/>
    </row>
    <row r="24886">
      <c r="AI24886" s="80"/>
    </row>
    <row r="24887">
      <c r="AI24887" s="80"/>
    </row>
    <row r="24888">
      <c r="AI24888" s="80"/>
    </row>
    <row r="24889">
      <c r="AI24889" s="80"/>
    </row>
    <row r="24890">
      <c r="AI24890" s="80"/>
    </row>
    <row r="24891">
      <c r="AI24891" s="80"/>
    </row>
    <row r="24892">
      <c r="AI24892" s="80"/>
    </row>
    <row r="24893">
      <c r="AI24893" s="80"/>
    </row>
    <row r="24894">
      <c r="AI24894" s="80"/>
    </row>
    <row r="24895">
      <c r="AI24895" s="80"/>
    </row>
    <row r="24896">
      <c r="AI24896" s="80"/>
    </row>
    <row r="24897">
      <c r="AI24897" s="80"/>
    </row>
    <row r="24898">
      <c r="AI24898" s="80"/>
    </row>
    <row r="24899">
      <c r="AI24899" s="80"/>
    </row>
    <row r="24900">
      <c r="AI24900" s="80"/>
    </row>
    <row r="24901">
      <c r="AI24901" s="80"/>
    </row>
    <row r="24902">
      <c r="AI24902" s="80"/>
    </row>
    <row r="24903">
      <c r="AI24903" s="80"/>
    </row>
    <row r="24904">
      <c r="AI24904" s="80"/>
    </row>
    <row r="24905">
      <c r="AI24905" s="80"/>
    </row>
    <row r="24906">
      <c r="AI24906" s="80"/>
    </row>
    <row r="24907">
      <c r="AI24907" s="80"/>
    </row>
    <row r="24908">
      <c r="AI24908" s="80"/>
    </row>
    <row r="24909">
      <c r="AI24909" s="80"/>
    </row>
    <row r="24910">
      <c r="AI24910" s="80"/>
    </row>
    <row r="24911">
      <c r="AI24911" s="80"/>
    </row>
    <row r="24912">
      <c r="AI24912" s="80"/>
    </row>
    <row r="24913">
      <c r="AI24913" s="80"/>
    </row>
    <row r="24914">
      <c r="AI24914" s="80"/>
    </row>
    <row r="24915">
      <c r="AI24915" s="80"/>
    </row>
    <row r="24916">
      <c r="AI24916" s="80"/>
    </row>
    <row r="24917">
      <c r="AI24917" s="80"/>
    </row>
    <row r="24918">
      <c r="AI24918" s="80"/>
    </row>
    <row r="24919">
      <c r="AI24919" s="80"/>
    </row>
    <row r="24920">
      <c r="AI24920" s="80"/>
    </row>
    <row r="24921">
      <c r="AI24921" s="80"/>
    </row>
    <row r="24922">
      <c r="AI24922" s="80"/>
    </row>
    <row r="24923">
      <c r="AI24923" s="80"/>
    </row>
    <row r="24924">
      <c r="AI24924" s="80"/>
    </row>
    <row r="24925">
      <c r="AI24925" s="80"/>
    </row>
    <row r="24926">
      <c r="AI24926" s="80"/>
    </row>
    <row r="24927">
      <c r="AI24927" s="80"/>
    </row>
    <row r="24928">
      <c r="AI24928" s="80"/>
    </row>
    <row r="24929">
      <c r="AI24929" s="80"/>
    </row>
    <row r="24930">
      <c r="AI24930" s="80"/>
    </row>
    <row r="24931">
      <c r="AI24931" s="80"/>
    </row>
    <row r="24932">
      <c r="AI24932" s="80"/>
    </row>
    <row r="24933">
      <c r="AI24933" s="80"/>
    </row>
    <row r="24934">
      <c r="AI24934" s="80"/>
    </row>
    <row r="24935">
      <c r="AI24935" s="80"/>
    </row>
    <row r="24936">
      <c r="AI24936" s="80"/>
    </row>
    <row r="24937">
      <c r="AI24937" s="80"/>
    </row>
    <row r="24938">
      <c r="AI24938" s="80"/>
    </row>
    <row r="24939">
      <c r="AI24939" s="80"/>
    </row>
    <row r="24940">
      <c r="AI24940" s="80"/>
    </row>
    <row r="24941">
      <c r="AI24941" s="80"/>
    </row>
    <row r="24942">
      <c r="AI24942" s="80"/>
    </row>
    <row r="24943">
      <c r="AI24943" s="80"/>
    </row>
    <row r="24944">
      <c r="AI24944" s="80"/>
    </row>
    <row r="24945">
      <c r="AI24945" s="80"/>
    </row>
    <row r="24946">
      <c r="AI24946" s="80"/>
    </row>
    <row r="24947">
      <c r="AI24947" s="80"/>
    </row>
    <row r="24948">
      <c r="AI24948" s="80"/>
    </row>
    <row r="24949">
      <c r="AI24949" s="80"/>
    </row>
    <row r="24950">
      <c r="AI24950" s="80"/>
    </row>
    <row r="24951">
      <c r="AI24951" s="80"/>
    </row>
    <row r="24952">
      <c r="AI24952" s="80"/>
    </row>
    <row r="24953">
      <c r="AI24953" s="80"/>
    </row>
    <row r="24954">
      <c r="AI24954" s="80"/>
    </row>
    <row r="24955">
      <c r="AI24955" s="80"/>
    </row>
    <row r="24956">
      <c r="AI24956" s="80"/>
    </row>
    <row r="24957">
      <c r="AI24957" s="80"/>
    </row>
    <row r="24958">
      <c r="AI24958" s="80"/>
    </row>
    <row r="24959">
      <c r="AI24959" s="80"/>
    </row>
    <row r="24960">
      <c r="AI24960" s="80"/>
    </row>
    <row r="24961">
      <c r="AI24961" s="80"/>
    </row>
    <row r="24962">
      <c r="AI24962" s="80"/>
    </row>
    <row r="24963">
      <c r="AI24963" s="80"/>
    </row>
    <row r="24964">
      <c r="AI24964" s="80"/>
    </row>
    <row r="24965">
      <c r="AI24965" s="80"/>
    </row>
    <row r="24966">
      <c r="AI24966" s="80"/>
    </row>
    <row r="24967">
      <c r="AI24967" s="80"/>
    </row>
    <row r="24968">
      <c r="AI24968" s="80"/>
    </row>
    <row r="24969">
      <c r="AI24969" s="80"/>
    </row>
    <row r="24970">
      <c r="AI24970" s="80"/>
    </row>
    <row r="24971">
      <c r="AI24971" s="80"/>
    </row>
    <row r="24972">
      <c r="AI24972" s="80"/>
    </row>
    <row r="24973">
      <c r="AI24973" s="80"/>
    </row>
    <row r="24974">
      <c r="AI24974" s="80"/>
    </row>
    <row r="24975">
      <c r="AI24975" s="80"/>
    </row>
    <row r="24976">
      <c r="AI24976" s="80"/>
    </row>
    <row r="24977">
      <c r="AI24977" s="80"/>
    </row>
    <row r="24978">
      <c r="AI24978" s="80"/>
    </row>
    <row r="24979">
      <c r="AI24979" s="80"/>
    </row>
    <row r="24980">
      <c r="AI24980" s="80"/>
    </row>
    <row r="24981">
      <c r="AI24981" s="80"/>
    </row>
    <row r="24982">
      <c r="AI24982" s="80"/>
    </row>
    <row r="24983">
      <c r="AI24983" s="80"/>
    </row>
    <row r="24984">
      <c r="AI24984" s="80"/>
    </row>
    <row r="24985">
      <c r="AI24985" s="80"/>
    </row>
    <row r="24986">
      <c r="AI24986" s="80"/>
    </row>
    <row r="24987">
      <c r="AI24987" s="80"/>
    </row>
    <row r="24988">
      <c r="AI24988" s="80"/>
    </row>
    <row r="24989">
      <c r="AI24989" s="80"/>
    </row>
    <row r="24990">
      <c r="AI24990" s="80"/>
    </row>
    <row r="24991">
      <c r="AI24991" s="80"/>
    </row>
    <row r="24992">
      <c r="AI24992" s="80"/>
    </row>
    <row r="24993">
      <c r="AI24993" s="80"/>
    </row>
    <row r="24994">
      <c r="AI24994" s="80"/>
    </row>
    <row r="24995">
      <c r="AI24995" s="80"/>
    </row>
    <row r="24996">
      <c r="AI24996" s="80"/>
    </row>
    <row r="24997">
      <c r="AI24997" s="80"/>
    </row>
    <row r="24998">
      <c r="AI24998" s="80"/>
    </row>
    <row r="24999">
      <c r="AI24999" s="80"/>
    </row>
    <row r="25000">
      <c r="AI25000" s="80"/>
    </row>
    <row r="25001">
      <c r="AI25001" s="80"/>
    </row>
    <row r="25002">
      <c r="AI25002" s="80"/>
    </row>
    <row r="25003">
      <c r="AI25003" s="80"/>
    </row>
    <row r="25004">
      <c r="AI25004" s="80"/>
    </row>
    <row r="25005">
      <c r="AI25005" s="80"/>
    </row>
    <row r="25006">
      <c r="AI25006" s="80"/>
    </row>
    <row r="25007">
      <c r="AI25007" s="80"/>
    </row>
    <row r="25008">
      <c r="AI25008" s="80"/>
    </row>
    <row r="25009">
      <c r="AI25009" s="80"/>
    </row>
    <row r="25010">
      <c r="AI25010" s="80"/>
    </row>
    <row r="25011">
      <c r="AI25011" s="80"/>
    </row>
    <row r="25012">
      <c r="AI25012" s="80"/>
    </row>
    <row r="25013">
      <c r="AI25013" s="80"/>
    </row>
    <row r="25014">
      <c r="AI25014" s="80"/>
    </row>
    <row r="25015">
      <c r="AI25015" s="80"/>
    </row>
    <row r="25016">
      <c r="AI25016" s="80"/>
    </row>
    <row r="25017">
      <c r="AI25017" s="80"/>
    </row>
    <row r="25018">
      <c r="AI25018" s="80"/>
    </row>
    <row r="25019">
      <c r="AI25019" s="80"/>
    </row>
    <row r="25020">
      <c r="AI25020" s="80"/>
    </row>
    <row r="25021">
      <c r="AI25021" s="80"/>
    </row>
    <row r="25022">
      <c r="AI25022" s="80"/>
    </row>
    <row r="25023">
      <c r="AI25023" s="80"/>
    </row>
    <row r="25024">
      <c r="AI25024" s="80"/>
    </row>
    <row r="25025">
      <c r="AI25025" s="80"/>
    </row>
    <row r="25026">
      <c r="AI25026" s="80"/>
    </row>
    <row r="25027">
      <c r="AI25027" s="80"/>
    </row>
    <row r="25028">
      <c r="AI25028" s="80"/>
    </row>
    <row r="25029">
      <c r="AI25029" s="80"/>
    </row>
    <row r="25030">
      <c r="AI25030" s="80"/>
    </row>
    <row r="25031">
      <c r="AI25031" s="80"/>
    </row>
    <row r="25032">
      <c r="AI25032" s="80"/>
    </row>
    <row r="25033">
      <c r="AI25033" s="80"/>
    </row>
    <row r="25034">
      <c r="AI25034" s="80"/>
    </row>
    <row r="25035">
      <c r="AI25035" s="80"/>
    </row>
    <row r="25036">
      <c r="AI25036" s="80"/>
    </row>
    <row r="25037">
      <c r="AI25037" s="80"/>
    </row>
    <row r="25038">
      <c r="AI25038" s="80"/>
    </row>
    <row r="25039">
      <c r="AI25039" s="80"/>
    </row>
    <row r="25040">
      <c r="AI25040" s="80"/>
    </row>
    <row r="25041">
      <c r="AI25041" s="80"/>
    </row>
    <row r="25042">
      <c r="AI25042" s="80"/>
    </row>
    <row r="25043">
      <c r="AI25043" s="80"/>
    </row>
    <row r="25044">
      <c r="AI25044" s="80"/>
    </row>
    <row r="25045">
      <c r="AI25045" s="80"/>
    </row>
    <row r="25046">
      <c r="AI25046" s="80"/>
    </row>
    <row r="25047">
      <c r="AI25047" s="80"/>
    </row>
    <row r="25048">
      <c r="AI25048" s="80"/>
    </row>
    <row r="25049">
      <c r="AI25049" s="80"/>
    </row>
    <row r="25050">
      <c r="AI25050" s="80"/>
    </row>
    <row r="25051">
      <c r="AI25051" s="80"/>
    </row>
    <row r="25052">
      <c r="AI25052" s="80"/>
    </row>
    <row r="25053">
      <c r="AI25053" s="80"/>
    </row>
    <row r="25054">
      <c r="AI25054" s="80"/>
    </row>
    <row r="25055">
      <c r="AI25055" s="80"/>
    </row>
    <row r="25056">
      <c r="AI25056" s="80"/>
    </row>
    <row r="25057">
      <c r="AI25057" s="80"/>
    </row>
    <row r="25058">
      <c r="AI25058" s="80"/>
    </row>
    <row r="25059">
      <c r="AI25059" s="80"/>
    </row>
    <row r="25060">
      <c r="AI25060" s="80"/>
    </row>
    <row r="25061">
      <c r="AI25061" s="80"/>
    </row>
    <row r="25062">
      <c r="AI25062" s="80"/>
    </row>
    <row r="25063">
      <c r="AI25063" s="80"/>
    </row>
    <row r="25064">
      <c r="AI25064" s="80"/>
    </row>
    <row r="25065">
      <c r="AI25065" s="80"/>
    </row>
    <row r="25066">
      <c r="AI25066" s="80"/>
    </row>
    <row r="25067">
      <c r="AI25067" s="80"/>
    </row>
    <row r="25068">
      <c r="AI25068" s="80"/>
    </row>
    <row r="25069">
      <c r="AI25069" s="80"/>
    </row>
    <row r="25070">
      <c r="AI25070" s="80"/>
    </row>
    <row r="25071">
      <c r="AI25071" s="80"/>
    </row>
    <row r="25072">
      <c r="AI25072" s="80"/>
    </row>
    <row r="25073">
      <c r="AI25073" s="80"/>
    </row>
    <row r="25074">
      <c r="AI25074" s="80"/>
    </row>
    <row r="25075">
      <c r="AI25075" s="80"/>
    </row>
    <row r="25076">
      <c r="AI25076" s="80"/>
    </row>
    <row r="25077">
      <c r="AI25077" s="80"/>
    </row>
    <row r="25078">
      <c r="AI25078" s="80"/>
    </row>
    <row r="25079">
      <c r="AI25079" s="80"/>
    </row>
    <row r="25080">
      <c r="AI25080" s="80"/>
    </row>
    <row r="25081">
      <c r="AI25081" s="80"/>
    </row>
    <row r="25082">
      <c r="AI25082" s="80"/>
    </row>
    <row r="25083">
      <c r="AI25083" s="80"/>
    </row>
    <row r="25084">
      <c r="AI25084" s="80"/>
    </row>
    <row r="25085">
      <c r="AI25085" s="80"/>
    </row>
    <row r="25086">
      <c r="AI25086" s="80"/>
    </row>
    <row r="25087">
      <c r="AI25087" s="80"/>
    </row>
    <row r="25088">
      <c r="AI25088" s="80"/>
    </row>
    <row r="25089">
      <c r="AI25089" s="80"/>
    </row>
    <row r="25090">
      <c r="AI25090" s="80"/>
    </row>
    <row r="25091">
      <c r="AI25091" s="80"/>
    </row>
    <row r="25092">
      <c r="AI25092" s="80"/>
    </row>
    <row r="25093">
      <c r="AI25093" s="80"/>
    </row>
    <row r="25094">
      <c r="AI25094" s="80"/>
    </row>
    <row r="25095">
      <c r="AI25095" s="80"/>
    </row>
    <row r="25096">
      <c r="AI25096" s="80"/>
    </row>
    <row r="25097">
      <c r="AI25097" s="80"/>
    </row>
    <row r="25098">
      <c r="AI25098" s="80"/>
    </row>
    <row r="25099">
      <c r="AI25099" s="80"/>
    </row>
    <row r="25100">
      <c r="AI25100" s="80"/>
    </row>
    <row r="25101">
      <c r="AI25101" s="80"/>
    </row>
    <row r="25102">
      <c r="AI25102" s="80"/>
    </row>
    <row r="25103">
      <c r="AI25103" s="80"/>
    </row>
    <row r="25104">
      <c r="AI25104" s="80"/>
    </row>
    <row r="25105">
      <c r="AI25105" s="80"/>
    </row>
    <row r="25106">
      <c r="AI25106" s="80"/>
    </row>
    <row r="25107">
      <c r="AI25107" s="80"/>
    </row>
    <row r="25108">
      <c r="AI25108" s="80"/>
    </row>
    <row r="25109">
      <c r="AI25109" s="80"/>
    </row>
    <row r="25110">
      <c r="AI25110" s="80"/>
    </row>
    <row r="25111">
      <c r="AI25111" s="80"/>
    </row>
    <row r="25112">
      <c r="AI25112" s="80"/>
    </row>
    <row r="25113">
      <c r="AI25113" s="80"/>
    </row>
    <row r="25114">
      <c r="AI25114" s="80"/>
    </row>
    <row r="25115">
      <c r="AI25115" s="80"/>
    </row>
    <row r="25116">
      <c r="AI25116" s="80"/>
    </row>
    <row r="25117">
      <c r="AI25117" s="80"/>
    </row>
    <row r="25118">
      <c r="AI25118" s="80"/>
    </row>
    <row r="25119">
      <c r="AI25119" s="80"/>
    </row>
    <row r="25120">
      <c r="AI25120" s="80"/>
    </row>
    <row r="25121">
      <c r="AI25121" s="80"/>
    </row>
    <row r="25122">
      <c r="AI25122" s="80"/>
    </row>
    <row r="25123">
      <c r="AI25123" s="80"/>
    </row>
    <row r="25124">
      <c r="AI25124" s="80"/>
    </row>
    <row r="25125">
      <c r="AI25125" s="80"/>
    </row>
    <row r="25126">
      <c r="AI25126" s="80"/>
    </row>
    <row r="25127">
      <c r="AI25127" s="80"/>
    </row>
    <row r="25128">
      <c r="AI25128" s="80"/>
    </row>
    <row r="25129">
      <c r="AI25129" s="80"/>
    </row>
    <row r="25130">
      <c r="AI25130" s="80"/>
    </row>
    <row r="25131">
      <c r="AI25131" s="80"/>
    </row>
    <row r="25132">
      <c r="AI25132" s="80"/>
    </row>
    <row r="25133">
      <c r="AI25133" s="80"/>
    </row>
    <row r="25134">
      <c r="AI25134" s="80"/>
    </row>
    <row r="25135">
      <c r="AI25135" s="80"/>
    </row>
    <row r="25136">
      <c r="AI25136" s="80"/>
    </row>
    <row r="25137">
      <c r="AI25137" s="80"/>
    </row>
    <row r="25138">
      <c r="AI25138" s="80"/>
    </row>
    <row r="25139">
      <c r="AI25139" s="80"/>
    </row>
    <row r="25140">
      <c r="AI25140" s="80"/>
    </row>
    <row r="25141">
      <c r="AI25141" s="80"/>
    </row>
    <row r="25142">
      <c r="AI25142" s="80"/>
    </row>
    <row r="25143">
      <c r="AI25143" s="80"/>
    </row>
    <row r="25144">
      <c r="AI25144" s="80"/>
    </row>
    <row r="25145">
      <c r="AI25145" s="80"/>
    </row>
    <row r="25146">
      <c r="AI25146" s="80"/>
    </row>
    <row r="25147">
      <c r="AI25147" s="80"/>
    </row>
    <row r="25148">
      <c r="AI25148" s="80"/>
    </row>
    <row r="25149">
      <c r="AI25149" s="80"/>
    </row>
    <row r="25150">
      <c r="AI25150" s="80"/>
    </row>
    <row r="25151">
      <c r="AI25151" s="80"/>
    </row>
    <row r="25152">
      <c r="AI25152" s="80"/>
    </row>
    <row r="25153">
      <c r="AI25153" s="80"/>
    </row>
    <row r="25154">
      <c r="AI25154" s="80"/>
    </row>
    <row r="25155">
      <c r="AI25155" s="80"/>
    </row>
    <row r="25156">
      <c r="AI25156" s="80"/>
    </row>
    <row r="25157">
      <c r="AI25157" s="80"/>
    </row>
    <row r="25158">
      <c r="AI25158" s="80"/>
    </row>
    <row r="25159">
      <c r="AI25159" s="80"/>
    </row>
    <row r="25160">
      <c r="AI25160" s="80"/>
    </row>
    <row r="25161">
      <c r="AI25161" s="80"/>
    </row>
    <row r="25162">
      <c r="AI25162" s="80"/>
    </row>
    <row r="25163">
      <c r="AI25163" s="80"/>
    </row>
    <row r="25164">
      <c r="AI25164" s="80"/>
    </row>
    <row r="25165">
      <c r="AI25165" s="80"/>
    </row>
    <row r="25166">
      <c r="AI25166" s="80"/>
    </row>
    <row r="25167">
      <c r="AI25167" s="80"/>
    </row>
    <row r="25168">
      <c r="AI25168" s="80"/>
    </row>
    <row r="25169">
      <c r="AI25169" s="80"/>
    </row>
    <row r="25170">
      <c r="AI25170" s="80"/>
    </row>
    <row r="25171">
      <c r="AI25171" s="80"/>
    </row>
    <row r="25172">
      <c r="AI25172" s="80"/>
    </row>
    <row r="25173">
      <c r="AI25173" s="80"/>
    </row>
    <row r="25174">
      <c r="AI25174" s="80"/>
    </row>
    <row r="25175">
      <c r="AI25175" s="80"/>
    </row>
    <row r="25176">
      <c r="AI25176" s="80"/>
    </row>
    <row r="25177">
      <c r="AI25177" s="80"/>
    </row>
    <row r="25178">
      <c r="AI25178" s="80"/>
    </row>
    <row r="25179">
      <c r="AI25179" s="80"/>
    </row>
    <row r="25180">
      <c r="AI25180" s="80"/>
    </row>
    <row r="25181">
      <c r="AI25181" s="80"/>
    </row>
    <row r="25182">
      <c r="AI25182" s="80"/>
    </row>
    <row r="25183">
      <c r="AI25183" s="80"/>
    </row>
    <row r="25184">
      <c r="AI25184" s="80"/>
    </row>
    <row r="25185">
      <c r="AI25185" s="80"/>
    </row>
    <row r="25186">
      <c r="AI25186" s="80"/>
    </row>
    <row r="25187">
      <c r="AI25187" s="80"/>
    </row>
    <row r="25188">
      <c r="AI25188" s="80"/>
    </row>
    <row r="25189">
      <c r="AI25189" s="80"/>
    </row>
    <row r="25190">
      <c r="AI25190" s="80"/>
    </row>
    <row r="25191">
      <c r="AI25191" s="80"/>
    </row>
    <row r="25192">
      <c r="AI25192" s="80"/>
    </row>
    <row r="25193">
      <c r="AI25193" s="80"/>
    </row>
    <row r="25194">
      <c r="AI25194" s="80"/>
    </row>
    <row r="25195">
      <c r="AI25195" s="80"/>
    </row>
    <row r="25196">
      <c r="AI25196" s="80"/>
    </row>
    <row r="25197">
      <c r="AI25197" s="80"/>
    </row>
    <row r="25198">
      <c r="AI25198" s="80"/>
    </row>
    <row r="25199">
      <c r="AI25199" s="80"/>
    </row>
    <row r="25200">
      <c r="AI25200" s="80"/>
    </row>
    <row r="25201">
      <c r="AI25201" s="80"/>
    </row>
    <row r="25202">
      <c r="AI25202" s="80"/>
    </row>
    <row r="25203">
      <c r="AI25203" s="80"/>
    </row>
    <row r="25204">
      <c r="AI25204" s="80"/>
    </row>
    <row r="25205">
      <c r="AI25205" s="80"/>
    </row>
    <row r="25206">
      <c r="AI25206" s="80"/>
    </row>
    <row r="25207">
      <c r="AI25207" s="80"/>
    </row>
    <row r="25208">
      <c r="AI25208" s="80"/>
    </row>
    <row r="25209">
      <c r="AI25209" s="80"/>
    </row>
    <row r="25210">
      <c r="AI25210" s="80"/>
    </row>
    <row r="25211">
      <c r="AI25211" s="80"/>
    </row>
    <row r="25212">
      <c r="AI25212" s="80"/>
    </row>
    <row r="25213">
      <c r="AI25213" s="80"/>
    </row>
    <row r="25214">
      <c r="AI25214" s="80"/>
    </row>
    <row r="25215">
      <c r="AI25215" s="80"/>
    </row>
    <row r="25216">
      <c r="AI25216" s="80"/>
    </row>
    <row r="25217">
      <c r="AI25217" s="80"/>
    </row>
    <row r="25218">
      <c r="AI25218" s="80"/>
    </row>
    <row r="25219">
      <c r="AI25219" s="80"/>
    </row>
    <row r="25220">
      <c r="AI25220" s="80"/>
    </row>
    <row r="25221">
      <c r="AI25221" s="80"/>
    </row>
    <row r="25222">
      <c r="AI25222" s="80"/>
    </row>
    <row r="25223">
      <c r="AI25223" s="80"/>
    </row>
    <row r="25224">
      <c r="AI25224" s="80"/>
    </row>
    <row r="25225">
      <c r="AI25225" s="80"/>
    </row>
    <row r="25226">
      <c r="AI25226" s="80"/>
    </row>
    <row r="25227">
      <c r="AI25227" s="80"/>
    </row>
    <row r="25228">
      <c r="AI25228" s="80"/>
    </row>
    <row r="25229">
      <c r="AI25229" s="80"/>
    </row>
    <row r="25230">
      <c r="AI25230" s="80"/>
    </row>
    <row r="25231">
      <c r="AI25231" s="80"/>
    </row>
    <row r="25232">
      <c r="AI25232" s="80"/>
    </row>
    <row r="25233">
      <c r="AI25233" s="80"/>
    </row>
    <row r="25234">
      <c r="AI25234" s="80"/>
    </row>
    <row r="25235">
      <c r="AI25235" s="80"/>
    </row>
    <row r="25236">
      <c r="AI25236" s="80"/>
    </row>
    <row r="25237">
      <c r="AI25237" s="80"/>
    </row>
    <row r="25238">
      <c r="AI25238" s="80"/>
    </row>
    <row r="25239">
      <c r="AI25239" s="80"/>
    </row>
    <row r="25240">
      <c r="AI25240" s="80"/>
    </row>
    <row r="25241">
      <c r="AI25241" s="80"/>
    </row>
    <row r="25242">
      <c r="AI25242" s="80"/>
    </row>
    <row r="25243">
      <c r="AI25243" s="80"/>
    </row>
    <row r="25244">
      <c r="AI25244" s="80"/>
    </row>
    <row r="25245">
      <c r="AI25245" s="80"/>
    </row>
    <row r="25246">
      <c r="AI25246" s="80"/>
    </row>
    <row r="25247">
      <c r="AI25247" s="80"/>
    </row>
    <row r="25248">
      <c r="AI25248" s="80"/>
    </row>
    <row r="25249">
      <c r="AI25249" s="80"/>
    </row>
    <row r="25250">
      <c r="AI25250" s="80"/>
    </row>
    <row r="25251">
      <c r="AI25251" s="80"/>
    </row>
    <row r="25252">
      <c r="AI25252" s="80"/>
    </row>
    <row r="25253">
      <c r="AI25253" s="80"/>
    </row>
    <row r="25254">
      <c r="AI25254" s="80"/>
    </row>
    <row r="25255">
      <c r="AI25255" s="80"/>
    </row>
    <row r="25256">
      <c r="AI25256" s="80"/>
    </row>
    <row r="25257">
      <c r="AI25257" s="80"/>
    </row>
    <row r="25258">
      <c r="AI25258" s="80"/>
    </row>
    <row r="25259">
      <c r="AI25259" s="80"/>
    </row>
    <row r="25260">
      <c r="AI25260" s="80"/>
    </row>
    <row r="25261">
      <c r="AI25261" s="80"/>
    </row>
    <row r="25262">
      <c r="AI25262" s="80"/>
    </row>
    <row r="25263">
      <c r="AI25263" s="80"/>
    </row>
    <row r="25264">
      <c r="AI25264" s="80"/>
    </row>
    <row r="25265">
      <c r="AI25265" s="80"/>
    </row>
    <row r="25266">
      <c r="AI25266" s="80"/>
    </row>
    <row r="25267">
      <c r="AI25267" s="80"/>
    </row>
    <row r="25268">
      <c r="AI25268" s="80"/>
    </row>
    <row r="25269">
      <c r="AI25269" s="80"/>
    </row>
    <row r="25270">
      <c r="AI25270" s="80"/>
    </row>
    <row r="25271">
      <c r="AI25271" s="80"/>
    </row>
    <row r="25272">
      <c r="AI25272" s="80"/>
    </row>
    <row r="25273">
      <c r="AI25273" s="80"/>
    </row>
    <row r="25274">
      <c r="AI25274" s="80"/>
    </row>
    <row r="25275">
      <c r="AI25275" s="80"/>
    </row>
    <row r="25276">
      <c r="AI25276" s="80"/>
    </row>
    <row r="25277">
      <c r="AI25277" s="80"/>
    </row>
    <row r="25278">
      <c r="AI25278" s="80"/>
    </row>
    <row r="25279">
      <c r="AI25279" s="80"/>
    </row>
    <row r="25280">
      <c r="AI25280" s="80"/>
    </row>
    <row r="25281">
      <c r="AI25281" s="80"/>
    </row>
    <row r="25282">
      <c r="AI25282" s="80"/>
    </row>
    <row r="25283">
      <c r="AI25283" s="80"/>
    </row>
    <row r="25284">
      <c r="AI25284" s="80"/>
    </row>
    <row r="25285">
      <c r="AI25285" s="80"/>
    </row>
    <row r="25286">
      <c r="AI25286" s="80"/>
    </row>
    <row r="25287">
      <c r="AI25287" s="80"/>
    </row>
    <row r="25288">
      <c r="AI25288" s="80"/>
    </row>
    <row r="25289">
      <c r="AI25289" s="80"/>
    </row>
    <row r="25290">
      <c r="AI25290" s="80"/>
    </row>
    <row r="25291">
      <c r="AI25291" s="80"/>
    </row>
    <row r="25292">
      <c r="AI25292" s="80"/>
    </row>
    <row r="25293">
      <c r="AI25293" s="80"/>
    </row>
    <row r="25294">
      <c r="AI25294" s="80"/>
    </row>
    <row r="25295">
      <c r="AI25295" s="80"/>
    </row>
    <row r="25296">
      <c r="AI25296" s="80"/>
    </row>
    <row r="25297">
      <c r="AI25297" s="80"/>
    </row>
    <row r="25298">
      <c r="AI25298" s="80"/>
    </row>
    <row r="25299">
      <c r="AI25299" s="80"/>
    </row>
    <row r="25300">
      <c r="AI25300" s="80"/>
    </row>
    <row r="25301">
      <c r="AI25301" s="80"/>
    </row>
    <row r="25302">
      <c r="AI25302" s="80"/>
    </row>
    <row r="25303">
      <c r="AI25303" s="80"/>
    </row>
    <row r="25304">
      <c r="AI25304" s="80"/>
    </row>
    <row r="25305">
      <c r="AI25305" s="80"/>
    </row>
    <row r="25306">
      <c r="AI25306" s="80"/>
    </row>
    <row r="25307">
      <c r="AI25307" s="80"/>
    </row>
    <row r="25308">
      <c r="AI25308" s="80"/>
    </row>
    <row r="25309">
      <c r="AI25309" s="80"/>
    </row>
    <row r="25310">
      <c r="AI25310" s="80"/>
    </row>
    <row r="25311">
      <c r="AI25311" s="80"/>
    </row>
    <row r="25312">
      <c r="AI25312" s="80"/>
    </row>
    <row r="25313">
      <c r="AI25313" s="80"/>
    </row>
    <row r="25314">
      <c r="AI25314" s="80"/>
    </row>
    <row r="25315">
      <c r="AI25315" s="80"/>
    </row>
    <row r="25316">
      <c r="AI25316" s="80"/>
    </row>
    <row r="25317">
      <c r="AI25317" s="80"/>
    </row>
    <row r="25318">
      <c r="AI25318" s="80"/>
    </row>
    <row r="25319">
      <c r="AI25319" s="80"/>
    </row>
    <row r="25320">
      <c r="AI25320" s="80"/>
    </row>
    <row r="25321">
      <c r="AI25321" s="80"/>
    </row>
    <row r="25322">
      <c r="AI25322" s="80"/>
    </row>
    <row r="25323">
      <c r="AI25323" s="80"/>
    </row>
    <row r="25324">
      <c r="AI25324" s="80"/>
    </row>
    <row r="25325">
      <c r="AI25325" s="80"/>
    </row>
    <row r="25326">
      <c r="AI25326" s="80"/>
    </row>
    <row r="25327">
      <c r="AI25327" s="80"/>
    </row>
    <row r="25328">
      <c r="AI25328" s="80"/>
    </row>
    <row r="25329">
      <c r="AI25329" s="80"/>
    </row>
    <row r="25330">
      <c r="AI25330" s="80"/>
    </row>
    <row r="25331">
      <c r="AI25331" s="80"/>
    </row>
    <row r="25332">
      <c r="AI25332" s="80"/>
    </row>
    <row r="25333">
      <c r="AI25333" s="80"/>
    </row>
    <row r="25334">
      <c r="AI25334" s="80"/>
    </row>
    <row r="25335">
      <c r="AI25335" s="80"/>
    </row>
    <row r="25336">
      <c r="AI25336" s="80"/>
    </row>
    <row r="25337">
      <c r="AI25337" s="80"/>
    </row>
    <row r="25338">
      <c r="AI25338" s="80"/>
    </row>
    <row r="25339">
      <c r="AI25339" s="80"/>
    </row>
    <row r="25340">
      <c r="AI25340" s="80"/>
    </row>
    <row r="25341">
      <c r="AI25341" s="80"/>
    </row>
    <row r="25342">
      <c r="AI25342" s="80"/>
    </row>
    <row r="25343">
      <c r="AI25343" s="80"/>
    </row>
    <row r="25344">
      <c r="AI25344" s="80"/>
    </row>
    <row r="25345">
      <c r="AI25345" s="80"/>
    </row>
    <row r="25346">
      <c r="AI25346" s="80"/>
    </row>
    <row r="25347">
      <c r="AI25347" s="80"/>
    </row>
    <row r="25348">
      <c r="AI25348" s="80"/>
    </row>
    <row r="25349">
      <c r="AI25349" s="80"/>
    </row>
    <row r="25350">
      <c r="AI25350" s="80"/>
    </row>
    <row r="25351">
      <c r="AI25351" s="80"/>
    </row>
    <row r="25352">
      <c r="AI25352" s="80"/>
    </row>
    <row r="25353">
      <c r="AI25353" s="80"/>
    </row>
    <row r="25354">
      <c r="AI25354" s="80"/>
    </row>
    <row r="25355">
      <c r="AI25355" s="80"/>
    </row>
    <row r="25356">
      <c r="AI25356" s="80"/>
    </row>
    <row r="25357">
      <c r="AI25357" s="80"/>
    </row>
    <row r="25358">
      <c r="AI25358" s="80"/>
    </row>
    <row r="25359">
      <c r="AI25359" s="80"/>
    </row>
    <row r="25360">
      <c r="AI25360" s="80"/>
    </row>
    <row r="25361">
      <c r="AI25361" s="80"/>
    </row>
    <row r="25362">
      <c r="AI25362" s="80"/>
    </row>
    <row r="25363">
      <c r="AI25363" s="80"/>
    </row>
    <row r="25364">
      <c r="AI25364" s="80"/>
    </row>
    <row r="25365">
      <c r="AI25365" s="80"/>
    </row>
    <row r="25366">
      <c r="AI25366" s="80"/>
    </row>
    <row r="25367">
      <c r="AI25367" s="80"/>
    </row>
    <row r="25368">
      <c r="AI25368" s="80"/>
    </row>
    <row r="25369">
      <c r="AI25369" s="80"/>
    </row>
    <row r="25370">
      <c r="AI25370" s="80"/>
    </row>
    <row r="25371">
      <c r="AI25371" s="80"/>
    </row>
    <row r="25372">
      <c r="AI25372" s="80"/>
    </row>
    <row r="25373">
      <c r="AI25373" s="80"/>
    </row>
    <row r="25374">
      <c r="AI25374" s="80"/>
    </row>
    <row r="25375">
      <c r="AI25375" s="80"/>
    </row>
    <row r="25376">
      <c r="AI25376" s="80"/>
    </row>
    <row r="25377">
      <c r="AI25377" s="80"/>
    </row>
    <row r="25378">
      <c r="AI25378" s="80"/>
    </row>
    <row r="25379">
      <c r="AI25379" s="80"/>
    </row>
    <row r="25380">
      <c r="AI25380" s="80"/>
    </row>
    <row r="25381">
      <c r="AI25381" s="80"/>
    </row>
    <row r="25382">
      <c r="AI25382" s="80"/>
    </row>
    <row r="25383">
      <c r="AI25383" s="80"/>
    </row>
    <row r="25384">
      <c r="AI25384" s="80"/>
    </row>
    <row r="25385">
      <c r="AI25385" s="80"/>
    </row>
    <row r="25386">
      <c r="AI25386" s="80"/>
    </row>
    <row r="25387">
      <c r="AI25387" s="80"/>
    </row>
    <row r="25388">
      <c r="AI25388" s="80"/>
    </row>
    <row r="25389">
      <c r="AI25389" s="80"/>
    </row>
    <row r="25390">
      <c r="AI25390" s="80"/>
    </row>
    <row r="25391">
      <c r="AI25391" s="80"/>
    </row>
    <row r="25392">
      <c r="AI25392" s="80"/>
    </row>
    <row r="25393">
      <c r="AI25393" s="80"/>
    </row>
    <row r="25394">
      <c r="AI25394" s="80"/>
    </row>
    <row r="25395">
      <c r="AI25395" s="80"/>
    </row>
    <row r="25396">
      <c r="AI25396" s="80"/>
    </row>
    <row r="25397">
      <c r="AI25397" s="80"/>
    </row>
    <row r="25398">
      <c r="AI25398" s="80"/>
    </row>
    <row r="25399">
      <c r="AI25399" s="80"/>
    </row>
    <row r="25400">
      <c r="AI25400" s="80"/>
    </row>
    <row r="25401">
      <c r="AI25401" s="80"/>
    </row>
    <row r="25402">
      <c r="AI25402" s="80"/>
    </row>
    <row r="25403">
      <c r="AI25403" s="80"/>
    </row>
    <row r="25404">
      <c r="AI25404" s="80"/>
    </row>
    <row r="25405">
      <c r="AI25405" s="80"/>
    </row>
    <row r="25406">
      <c r="AI25406" s="80"/>
    </row>
    <row r="25407">
      <c r="AI25407" s="80"/>
    </row>
    <row r="25408">
      <c r="AI25408" s="80"/>
    </row>
    <row r="25409">
      <c r="AI25409" s="80"/>
    </row>
    <row r="25410">
      <c r="AI25410" s="80"/>
    </row>
    <row r="25411">
      <c r="AI25411" s="80"/>
    </row>
    <row r="25412">
      <c r="AI25412" s="80"/>
    </row>
    <row r="25413">
      <c r="AI25413" s="80"/>
    </row>
    <row r="25414">
      <c r="AI25414" s="80"/>
    </row>
    <row r="25415">
      <c r="AI25415" s="80"/>
    </row>
    <row r="25416">
      <c r="AI25416" s="80"/>
    </row>
    <row r="25417">
      <c r="AI25417" s="80"/>
    </row>
    <row r="25418">
      <c r="AI25418" s="80"/>
    </row>
    <row r="25419">
      <c r="AI25419" s="80"/>
    </row>
    <row r="25420">
      <c r="AI25420" s="80"/>
    </row>
    <row r="25421">
      <c r="AI25421" s="80"/>
    </row>
    <row r="25422">
      <c r="AI25422" s="80"/>
    </row>
    <row r="25423">
      <c r="AI25423" s="80"/>
    </row>
    <row r="25424">
      <c r="AI25424" s="80"/>
    </row>
    <row r="25425">
      <c r="AI25425" s="80"/>
    </row>
    <row r="25426">
      <c r="AI25426" s="80"/>
    </row>
    <row r="25427">
      <c r="AI25427" s="80"/>
    </row>
    <row r="25428">
      <c r="AI25428" s="80"/>
    </row>
    <row r="25429">
      <c r="AI25429" s="80"/>
    </row>
    <row r="25430">
      <c r="AI25430" s="80"/>
    </row>
    <row r="25431">
      <c r="AI25431" s="80"/>
    </row>
    <row r="25432">
      <c r="AI25432" s="80"/>
    </row>
    <row r="25433">
      <c r="AI25433" s="80"/>
    </row>
    <row r="25434">
      <c r="AI25434" s="80"/>
    </row>
    <row r="25435">
      <c r="AI25435" s="80"/>
    </row>
    <row r="25436">
      <c r="AI25436" s="80"/>
    </row>
    <row r="25437">
      <c r="AI25437" s="80"/>
    </row>
    <row r="25438">
      <c r="AI25438" s="80"/>
    </row>
    <row r="25439">
      <c r="AI25439" s="80"/>
    </row>
    <row r="25440">
      <c r="AI25440" s="80"/>
    </row>
    <row r="25441">
      <c r="AI25441" s="80"/>
    </row>
    <row r="25442">
      <c r="AI25442" s="80"/>
    </row>
    <row r="25443">
      <c r="AI25443" s="80"/>
    </row>
    <row r="25444">
      <c r="AI25444" s="80"/>
    </row>
    <row r="25445">
      <c r="AI25445" s="80"/>
    </row>
    <row r="25446">
      <c r="AI25446" s="80"/>
    </row>
    <row r="25447">
      <c r="AI25447" s="80"/>
    </row>
    <row r="25448">
      <c r="AI25448" s="80"/>
    </row>
    <row r="25449">
      <c r="AI25449" s="80"/>
    </row>
    <row r="25450">
      <c r="AI25450" s="80"/>
    </row>
    <row r="25451">
      <c r="AI25451" s="80"/>
    </row>
    <row r="25452">
      <c r="AI25452" s="80"/>
    </row>
    <row r="25453">
      <c r="AI25453" s="80"/>
    </row>
    <row r="25454">
      <c r="AI25454" s="80"/>
    </row>
    <row r="25455">
      <c r="AI25455" s="80"/>
    </row>
    <row r="25456">
      <c r="AI25456" s="80"/>
    </row>
    <row r="25457">
      <c r="AI25457" s="80"/>
    </row>
    <row r="25458">
      <c r="AI25458" s="80"/>
    </row>
    <row r="25459">
      <c r="AI25459" s="80"/>
    </row>
    <row r="25460">
      <c r="AI25460" s="80"/>
    </row>
    <row r="25461">
      <c r="AI25461" s="80"/>
    </row>
    <row r="25462">
      <c r="AI25462" s="80"/>
    </row>
    <row r="25463">
      <c r="AI25463" s="80"/>
    </row>
    <row r="25464">
      <c r="AI25464" s="80"/>
    </row>
    <row r="25465">
      <c r="AI25465" s="80"/>
    </row>
    <row r="25466">
      <c r="AI25466" s="80"/>
    </row>
    <row r="25467">
      <c r="AI25467" s="80"/>
    </row>
    <row r="25468">
      <c r="AI25468" s="80"/>
    </row>
    <row r="25469">
      <c r="AI25469" s="80"/>
    </row>
    <row r="25470">
      <c r="AI25470" s="80"/>
    </row>
    <row r="25471">
      <c r="AI25471" s="80"/>
    </row>
    <row r="25472">
      <c r="AI25472" s="80"/>
    </row>
    <row r="25473">
      <c r="AI25473" s="80"/>
    </row>
    <row r="25474">
      <c r="AI25474" s="80"/>
    </row>
    <row r="25475">
      <c r="AI25475" s="80"/>
    </row>
    <row r="25476">
      <c r="AI25476" s="80"/>
    </row>
    <row r="25477">
      <c r="AI25477" s="80"/>
    </row>
    <row r="25478">
      <c r="AI25478" s="80"/>
    </row>
    <row r="25479">
      <c r="AI25479" s="80"/>
    </row>
    <row r="25480">
      <c r="AI25480" s="80"/>
    </row>
    <row r="25481">
      <c r="AI25481" s="80"/>
    </row>
    <row r="25482">
      <c r="AI25482" s="80"/>
    </row>
    <row r="25483">
      <c r="AI25483" s="80"/>
    </row>
    <row r="25484">
      <c r="AI25484" s="80"/>
    </row>
    <row r="25485">
      <c r="AI25485" s="80"/>
    </row>
    <row r="25486">
      <c r="AI25486" s="80"/>
    </row>
    <row r="25487">
      <c r="AI25487" s="80"/>
    </row>
    <row r="25488">
      <c r="AI25488" s="80"/>
    </row>
    <row r="25489">
      <c r="AI25489" s="80"/>
    </row>
    <row r="25490">
      <c r="AI25490" s="80"/>
    </row>
    <row r="25491">
      <c r="AI25491" s="80"/>
    </row>
    <row r="25492">
      <c r="AI25492" s="80"/>
    </row>
    <row r="25493">
      <c r="AI25493" s="80"/>
    </row>
    <row r="25494">
      <c r="AI25494" s="80"/>
    </row>
    <row r="25495">
      <c r="AI25495" s="80"/>
    </row>
    <row r="25496">
      <c r="AI25496" s="80"/>
    </row>
    <row r="25497">
      <c r="AI25497" s="80"/>
    </row>
    <row r="25498">
      <c r="AI25498" s="80"/>
    </row>
    <row r="25499">
      <c r="AI25499" s="80"/>
    </row>
    <row r="25500">
      <c r="AI25500" s="80"/>
    </row>
    <row r="25501">
      <c r="AI25501" s="80"/>
    </row>
    <row r="25502">
      <c r="AI25502" s="80"/>
    </row>
    <row r="25503">
      <c r="AI25503" s="80"/>
    </row>
    <row r="25504">
      <c r="AI25504" s="80"/>
    </row>
    <row r="25505">
      <c r="AI25505" s="80"/>
    </row>
    <row r="25506">
      <c r="AI25506" s="80"/>
    </row>
    <row r="25507">
      <c r="AI25507" s="80"/>
    </row>
    <row r="25508">
      <c r="AI25508" s="80"/>
    </row>
    <row r="25509">
      <c r="AI25509" s="80"/>
    </row>
    <row r="25510">
      <c r="AI25510" s="80"/>
    </row>
    <row r="25511">
      <c r="AI25511" s="80"/>
    </row>
    <row r="25512">
      <c r="AI25512" s="80"/>
    </row>
    <row r="25513">
      <c r="AI25513" s="80"/>
    </row>
    <row r="25514">
      <c r="AI25514" s="80"/>
    </row>
    <row r="25515">
      <c r="AI25515" s="80"/>
    </row>
    <row r="25516">
      <c r="AI25516" s="80"/>
    </row>
    <row r="25517">
      <c r="AI25517" s="80"/>
    </row>
    <row r="25518">
      <c r="AI25518" s="80"/>
    </row>
    <row r="25519">
      <c r="AI25519" s="80"/>
    </row>
    <row r="25520">
      <c r="AI25520" s="80"/>
    </row>
    <row r="25521">
      <c r="AI25521" s="80"/>
    </row>
    <row r="25522">
      <c r="AI25522" s="80"/>
    </row>
    <row r="25523">
      <c r="AI25523" s="80"/>
    </row>
    <row r="25524">
      <c r="AI25524" s="80"/>
    </row>
    <row r="25525">
      <c r="AI25525" s="80"/>
    </row>
    <row r="25526">
      <c r="AI25526" s="80"/>
    </row>
    <row r="25527">
      <c r="AI25527" s="80"/>
    </row>
    <row r="25528">
      <c r="AI25528" s="80"/>
    </row>
    <row r="25529">
      <c r="AI25529" s="80"/>
    </row>
    <row r="25530">
      <c r="AI25530" s="80"/>
    </row>
    <row r="25531">
      <c r="AI25531" s="80"/>
    </row>
    <row r="25532">
      <c r="AI25532" s="80"/>
    </row>
    <row r="25533">
      <c r="AI25533" s="80"/>
    </row>
    <row r="25534">
      <c r="AI25534" s="80"/>
    </row>
    <row r="25535">
      <c r="AI25535" s="80"/>
    </row>
    <row r="25536">
      <c r="AI25536" s="80"/>
    </row>
    <row r="25537">
      <c r="AI25537" s="80"/>
    </row>
    <row r="25538">
      <c r="AI25538" s="80"/>
    </row>
    <row r="25539">
      <c r="AI25539" s="80"/>
    </row>
    <row r="25540">
      <c r="AI25540" s="80"/>
    </row>
    <row r="25541">
      <c r="AI25541" s="80"/>
    </row>
    <row r="25542">
      <c r="AI25542" s="80"/>
    </row>
    <row r="25543">
      <c r="AI25543" s="80"/>
    </row>
    <row r="25544">
      <c r="AI25544" s="80"/>
    </row>
    <row r="25545">
      <c r="AI25545" s="80"/>
    </row>
    <row r="25546">
      <c r="AI25546" s="80"/>
    </row>
    <row r="25547">
      <c r="AI25547" s="80"/>
    </row>
    <row r="25548">
      <c r="AI25548" s="80"/>
    </row>
    <row r="25549">
      <c r="AI25549" s="80"/>
    </row>
    <row r="25550">
      <c r="AI25550" s="80"/>
    </row>
    <row r="25551">
      <c r="AI25551" s="80"/>
    </row>
    <row r="25552">
      <c r="AI25552" s="80"/>
    </row>
    <row r="25553">
      <c r="AI25553" s="80"/>
    </row>
    <row r="25554">
      <c r="AI25554" s="80"/>
    </row>
    <row r="25555">
      <c r="AI25555" s="80"/>
    </row>
    <row r="25556">
      <c r="AI25556" s="80"/>
    </row>
    <row r="25557">
      <c r="AI25557" s="80"/>
    </row>
    <row r="25558">
      <c r="AI25558" s="80"/>
    </row>
    <row r="25559">
      <c r="AI25559" s="80"/>
    </row>
    <row r="25560">
      <c r="AI25560" s="80"/>
    </row>
    <row r="25561">
      <c r="AI25561" s="80"/>
    </row>
    <row r="25562">
      <c r="AI25562" s="80"/>
    </row>
    <row r="25563">
      <c r="AI25563" s="80"/>
    </row>
    <row r="25564">
      <c r="AI25564" s="80"/>
    </row>
    <row r="25565">
      <c r="AI25565" s="80"/>
    </row>
    <row r="25566">
      <c r="AI25566" s="80"/>
    </row>
    <row r="25567">
      <c r="AI25567" s="80"/>
    </row>
    <row r="25568">
      <c r="AI25568" s="80"/>
    </row>
    <row r="25569">
      <c r="AI25569" s="80"/>
    </row>
    <row r="25570">
      <c r="AI25570" s="80"/>
    </row>
    <row r="25571">
      <c r="AI25571" s="80"/>
    </row>
    <row r="25572">
      <c r="AI25572" s="80"/>
    </row>
    <row r="25573">
      <c r="AI25573" s="80"/>
    </row>
    <row r="25574">
      <c r="AI25574" s="80"/>
    </row>
    <row r="25575">
      <c r="AI25575" s="80"/>
    </row>
    <row r="25576">
      <c r="AI25576" s="80"/>
    </row>
    <row r="25577">
      <c r="AI25577" s="80"/>
    </row>
    <row r="25578">
      <c r="AI25578" s="80"/>
    </row>
    <row r="25579">
      <c r="AI25579" s="80"/>
    </row>
    <row r="25580">
      <c r="AI25580" s="80"/>
    </row>
    <row r="25581">
      <c r="AI25581" s="80"/>
    </row>
    <row r="25582">
      <c r="AI25582" s="80"/>
    </row>
    <row r="25583">
      <c r="AI25583" s="80"/>
    </row>
    <row r="25584">
      <c r="AI25584" s="80"/>
    </row>
    <row r="25585">
      <c r="AI25585" s="80"/>
    </row>
    <row r="25586">
      <c r="AI25586" s="80"/>
    </row>
    <row r="25587">
      <c r="AI25587" s="80"/>
    </row>
    <row r="25588">
      <c r="AI25588" s="80"/>
    </row>
    <row r="25589">
      <c r="AI25589" s="80"/>
    </row>
    <row r="25590">
      <c r="AI25590" s="80"/>
    </row>
    <row r="25591">
      <c r="AI25591" s="80"/>
    </row>
    <row r="25592">
      <c r="AI25592" s="80"/>
    </row>
    <row r="25593">
      <c r="AI25593" s="80"/>
    </row>
    <row r="25594">
      <c r="AI25594" s="80"/>
    </row>
    <row r="25595">
      <c r="AI25595" s="80"/>
    </row>
    <row r="25596">
      <c r="AI25596" s="80"/>
    </row>
    <row r="25597">
      <c r="AI25597" s="80"/>
    </row>
    <row r="25598">
      <c r="AI25598" s="80"/>
    </row>
    <row r="25599">
      <c r="AI25599" s="80"/>
    </row>
    <row r="25600">
      <c r="AI25600" s="80"/>
    </row>
    <row r="25601">
      <c r="AI25601" s="80"/>
    </row>
    <row r="25602">
      <c r="AI25602" s="80"/>
    </row>
    <row r="25603">
      <c r="AI25603" s="80"/>
    </row>
    <row r="25604">
      <c r="AI25604" s="80"/>
    </row>
    <row r="25605">
      <c r="AI25605" s="80"/>
    </row>
    <row r="25606">
      <c r="AI25606" s="80"/>
    </row>
    <row r="25607">
      <c r="AI25607" s="80"/>
    </row>
    <row r="25608">
      <c r="AI25608" s="80"/>
    </row>
    <row r="25609">
      <c r="AI25609" s="80"/>
    </row>
    <row r="25610">
      <c r="AI25610" s="80"/>
    </row>
    <row r="25611">
      <c r="AI25611" s="80"/>
    </row>
    <row r="25612">
      <c r="AI25612" s="80"/>
    </row>
    <row r="25613">
      <c r="AI25613" s="80"/>
    </row>
    <row r="25614">
      <c r="AI25614" s="80"/>
    </row>
    <row r="25615">
      <c r="AI25615" s="80"/>
    </row>
    <row r="25616">
      <c r="AI25616" s="80"/>
    </row>
    <row r="25617">
      <c r="AI25617" s="80"/>
    </row>
    <row r="25618">
      <c r="AI25618" s="80"/>
    </row>
    <row r="25619">
      <c r="AI25619" s="80"/>
    </row>
    <row r="25620">
      <c r="AI25620" s="80"/>
    </row>
    <row r="25621">
      <c r="AI25621" s="80"/>
    </row>
    <row r="25622">
      <c r="AI25622" s="80"/>
    </row>
    <row r="25623">
      <c r="AI25623" s="80"/>
    </row>
    <row r="25624">
      <c r="AI25624" s="80"/>
    </row>
    <row r="25625">
      <c r="AI25625" s="80"/>
    </row>
    <row r="25626">
      <c r="AI25626" s="80"/>
    </row>
    <row r="25627">
      <c r="AI25627" s="80"/>
    </row>
    <row r="25628">
      <c r="AI25628" s="80"/>
    </row>
    <row r="25629">
      <c r="AI25629" s="80"/>
    </row>
    <row r="25630">
      <c r="AI25630" s="80"/>
    </row>
    <row r="25631">
      <c r="AI25631" s="80"/>
    </row>
    <row r="25632">
      <c r="AI25632" s="80"/>
    </row>
    <row r="25633">
      <c r="AI25633" s="80"/>
    </row>
    <row r="25634">
      <c r="AI25634" s="80"/>
    </row>
    <row r="25635">
      <c r="AI25635" s="80"/>
    </row>
    <row r="25636">
      <c r="AI25636" s="80"/>
    </row>
    <row r="25637">
      <c r="AI25637" s="80"/>
    </row>
    <row r="25638">
      <c r="AI25638" s="80"/>
    </row>
    <row r="25639">
      <c r="AI25639" s="80"/>
    </row>
    <row r="25640">
      <c r="AI25640" s="80"/>
    </row>
    <row r="25641">
      <c r="AI25641" s="80"/>
    </row>
    <row r="25642">
      <c r="AI25642" s="80"/>
    </row>
    <row r="25643">
      <c r="AI25643" s="80"/>
    </row>
    <row r="25644">
      <c r="AI25644" s="80"/>
    </row>
    <row r="25645">
      <c r="AI25645" s="80"/>
    </row>
    <row r="25646">
      <c r="AI25646" s="80"/>
    </row>
    <row r="25647">
      <c r="AI25647" s="80"/>
    </row>
    <row r="25648">
      <c r="AI25648" s="80"/>
    </row>
    <row r="25649">
      <c r="AI25649" s="80"/>
    </row>
    <row r="25650">
      <c r="AI25650" s="80"/>
    </row>
    <row r="25651">
      <c r="AI25651" s="80"/>
    </row>
    <row r="25652">
      <c r="AI25652" s="80"/>
    </row>
    <row r="25653">
      <c r="AI25653" s="80"/>
    </row>
    <row r="25654">
      <c r="AI25654" s="80"/>
    </row>
    <row r="25655">
      <c r="AI25655" s="80"/>
    </row>
    <row r="25656">
      <c r="AI25656" s="80"/>
    </row>
    <row r="25657">
      <c r="AI25657" s="80"/>
    </row>
    <row r="25658">
      <c r="AI25658" s="80"/>
    </row>
    <row r="25659">
      <c r="AI25659" s="80"/>
    </row>
    <row r="25660">
      <c r="AI25660" s="80"/>
    </row>
    <row r="25661">
      <c r="AI25661" s="80"/>
    </row>
    <row r="25662">
      <c r="AI25662" s="80"/>
    </row>
    <row r="25663">
      <c r="AI25663" s="80"/>
    </row>
    <row r="25664">
      <c r="AI25664" s="80"/>
    </row>
    <row r="25665">
      <c r="AI25665" s="80"/>
    </row>
    <row r="25666">
      <c r="AI25666" s="80"/>
    </row>
    <row r="25667">
      <c r="AI25667" s="80"/>
    </row>
    <row r="25668">
      <c r="AI25668" s="80"/>
    </row>
    <row r="25669">
      <c r="AI25669" s="80"/>
    </row>
    <row r="25670">
      <c r="AI25670" s="80"/>
    </row>
    <row r="25671">
      <c r="AI25671" s="80"/>
    </row>
    <row r="25672">
      <c r="AI25672" s="80"/>
    </row>
    <row r="25673">
      <c r="AI25673" s="80"/>
    </row>
    <row r="25674">
      <c r="AI25674" s="80"/>
    </row>
    <row r="25675">
      <c r="AI25675" s="80"/>
    </row>
    <row r="25676">
      <c r="AI25676" s="80"/>
    </row>
    <row r="25677">
      <c r="AI25677" s="80"/>
    </row>
    <row r="25678">
      <c r="AI25678" s="80"/>
    </row>
    <row r="25679">
      <c r="AI25679" s="80"/>
    </row>
    <row r="25680">
      <c r="AI25680" s="80"/>
    </row>
    <row r="25681">
      <c r="AI25681" s="80"/>
    </row>
    <row r="25682">
      <c r="AI25682" s="80"/>
    </row>
    <row r="25683">
      <c r="AI25683" s="80"/>
    </row>
    <row r="25684">
      <c r="AI25684" s="80"/>
    </row>
    <row r="25685">
      <c r="AI25685" s="80"/>
    </row>
    <row r="25686">
      <c r="AI25686" s="80"/>
    </row>
    <row r="25687">
      <c r="AI25687" s="80"/>
    </row>
    <row r="25688">
      <c r="AI25688" s="80"/>
    </row>
    <row r="25689">
      <c r="AI25689" s="80"/>
    </row>
    <row r="25690">
      <c r="AI25690" s="80"/>
    </row>
    <row r="25691">
      <c r="AI25691" s="80"/>
    </row>
    <row r="25692">
      <c r="AI25692" s="80"/>
    </row>
    <row r="25693">
      <c r="AI25693" s="80"/>
    </row>
    <row r="25694">
      <c r="AI25694" s="80"/>
    </row>
    <row r="25695">
      <c r="AI25695" s="80"/>
    </row>
    <row r="25696">
      <c r="AI25696" s="80"/>
    </row>
    <row r="25697">
      <c r="AI25697" s="80"/>
    </row>
    <row r="25698">
      <c r="AI25698" s="80"/>
    </row>
    <row r="25699">
      <c r="AI25699" s="80"/>
    </row>
    <row r="25700">
      <c r="AI25700" s="80"/>
    </row>
    <row r="25701">
      <c r="AI25701" s="80"/>
    </row>
    <row r="25702">
      <c r="AI25702" s="80"/>
    </row>
    <row r="25703">
      <c r="AI25703" s="80"/>
    </row>
    <row r="25704">
      <c r="AI25704" s="80"/>
    </row>
    <row r="25705">
      <c r="AI25705" s="80"/>
    </row>
    <row r="25706">
      <c r="AI25706" s="80"/>
    </row>
    <row r="25707">
      <c r="AI25707" s="80"/>
    </row>
    <row r="25708">
      <c r="AI25708" s="80"/>
    </row>
    <row r="25709">
      <c r="AI25709" s="80"/>
    </row>
    <row r="25710">
      <c r="AI25710" s="80"/>
    </row>
    <row r="25711">
      <c r="AI25711" s="80"/>
    </row>
    <row r="25712">
      <c r="AI25712" s="80"/>
    </row>
    <row r="25713">
      <c r="AI25713" s="80"/>
    </row>
    <row r="25714">
      <c r="AI25714" s="80"/>
    </row>
    <row r="25715">
      <c r="AI25715" s="80"/>
    </row>
    <row r="25716">
      <c r="AI25716" s="80"/>
    </row>
    <row r="25717">
      <c r="AI25717" s="80"/>
    </row>
    <row r="25718">
      <c r="AI25718" s="80"/>
    </row>
    <row r="25719">
      <c r="AI25719" s="80"/>
    </row>
    <row r="25720">
      <c r="AI25720" s="80"/>
    </row>
    <row r="25721">
      <c r="AI25721" s="80"/>
    </row>
    <row r="25722">
      <c r="AI25722" s="80"/>
    </row>
    <row r="25723">
      <c r="AI25723" s="80"/>
    </row>
    <row r="25724">
      <c r="AI25724" s="80"/>
    </row>
    <row r="25725">
      <c r="AI25725" s="80"/>
    </row>
    <row r="25726">
      <c r="AI25726" s="80"/>
    </row>
    <row r="25727">
      <c r="AI25727" s="80"/>
    </row>
    <row r="25728">
      <c r="AI25728" s="80"/>
    </row>
    <row r="25729">
      <c r="AI25729" s="80"/>
    </row>
    <row r="25730">
      <c r="AI25730" s="80"/>
    </row>
    <row r="25731">
      <c r="AI25731" s="80"/>
    </row>
    <row r="25732">
      <c r="AI25732" s="80"/>
    </row>
    <row r="25733">
      <c r="AI25733" s="80"/>
    </row>
    <row r="25734">
      <c r="AI25734" s="80"/>
    </row>
    <row r="25735">
      <c r="AI25735" s="80"/>
    </row>
    <row r="25736">
      <c r="AI25736" s="80"/>
    </row>
    <row r="25737">
      <c r="AI25737" s="80"/>
    </row>
    <row r="25738">
      <c r="AI25738" s="80"/>
    </row>
    <row r="25739">
      <c r="AI25739" s="80"/>
    </row>
    <row r="25740">
      <c r="AI25740" s="80"/>
    </row>
    <row r="25741">
      <c r="AI25741" s="80"/>
    </row>
    <row r="25742">
      <c r="AI25742" s="80"/>
    </row>
    <row r="25743">
      <c r="AI25743" s="80"/>
    </row>
    <row r="25744">
      <c r="AI25744" s="80"/>
    </row>
    <row r="25745">
      <c r="AI25745" s="80"/>
    </row>
    <row r="25746">
      <c r="AI25746" s="80"/>
    </row>
    <row r="25747">
      <c r="AI25747" s="80"/>
    </row>
    <row r="25748">
      <c r="AI25748" s="80"/>
    </row>
    <row r="25749">
      <c r="AI25749" s="80"/>
    </row>
    <row r="25750">
      <c r="AI25750" s="80"/>
    </row>
    <row r="25751">
      <c r="AI25751" s="80"/>
    </row>
    <row r="25752">
      <c r="AI25752" s="80"/>
    </row>
    <row r="25753">
      <c r="AI25753" s="80"/>
    </row>
    <row r="25754">
      <c r="AI25754" s="80"/>
    </row>
    <row r="25755">
      <c r="AI25755" s="80"/>
    </row>
    <row r="25756">
      <c r="AI25756" s="80"/>
    </row>
    <row r="25757">
      <c r="AI25757" s="80"/>
    </row>
    <row r="25758">
      <c r="AI25758" s="80"/>
    </row>
    <row r="25759">
      <c r="AI25759" s="80"/>
    </row>
    <row r="25760">
      <c r="AI25760" s="80"/>
    </row>
    <row r="25761">
      <c r="AI25761" s="80"/>
    </row>
    <row r="25762">
      <c r="AI25762" s="80"/>
    </row>
    <row r="25763">
      <c r="AI25763" s="80"/>
    </row>
    <row r="25764">
      <c r="AI25764" s="80"/>
    </row>
    <row r="25765">
      <c r="AI25765" s="80"/>
    </row>
    <row r="25766">
      <c r="AI25766" s="80"/>
    </row>
    <row r="25767">
      <c r="AI25767" s="80"/>
    </row>
    <row r="25768">
      <c r="AI25768" s="80"/>
    </row>
    <row r="25769">
      <c r="AI25769" s="80"/>
    </row>
    <row r="25770">
      <c r="AI25770" s="80"/>
    </row>
    <row r="25771">
      <c r="AI25771" s="80"/>
    </row>
    <row r="25772">
      <c r="AI25772" s="80"/>
    </row>
    <row r="25773">
      <c r="AI25773" s="80"/>
    </row>
    <row r="25774">
      <c r="AI25774" s="80"/>
    </row>
    <row r="25775">
      <c r="AI25775" s="80"/>
    </row>
    <row r="25776">
      <c r="AI25776" s="80"/>
    </row>
    <row r="25777">
      <c r="AI25777" s="80"/>
    </row>
    <row r="25778">
      <c r="AI25778" s="80"/>
    </row>
    <row r="25779">
      <c r="AI25779" s="80"/>
    </row>
    <row r="25780">
      <c r="AI25780" s="80"/>
    </row>
    <row r="25781">
      <c r="AI25781" s="80"/>
    </row>
    <row r="25782">
      <c r="AI25782" s="80"/>
    </row>
    <row r="25783">
      <c r="AI25783" s="80"/>
    </row>
    <row r="25784">
      <c r="AI25784" s="80"/>
    </row>
    <row r="25785">
      <c r="AI25785" s="80"/>
    </row>
    <row r="25786">
      <c r="AI25786" s="80"/>
    </row>
    <row r="25787">
      <c r="AI25787" s="80"/>
    </row>
    <row r="25788">
      <c r="AI25788" s="80"/>
    </row>
    <row r="25789">
      <c r="AI25789" s="80"/>
    </row>
    <row r="25790">
      <c r="AI25790" s="80"/>
    </row>
    <row r="25791">
      <c r="AI25791" s="80"/>
    </row>
    <row r="25792">
      <c r="AI25792" s="80"/>
    </row>
    <row r="25793">
      <c r="AI25793" s="80"/>
    </row>
    <row r="25794">
      <c r="AI25794" s="80"/>
    </row>
    <row r="25795">
      <c r="AI25795" s="80"/>
    </row>
    <row r="25796">
      <c r="AI25796" s="80"/>
    </row>
    <row r="25797">
      <c r="AI25797" s="80"/>
    </row>
    <row r="25798">
      <c r="AI25798" s="80"/>
    </row>
    <row r="25799">
      <c r="AI25799" s="80"/>
    </row>
    <row r="25800">
      <c r="AI25800" s="80"/>
    </row>
    <row r="25801">
      <c r="AI25801" s="80"/>
    </row>
    <row r="25802">
      <c r="AI25802" s="80"/>
    </row>
    <row r="25803">
      <c r="AI25803" s="80"/>
    </row>
    <row r="25804">
      <c r="AI25804" s="80"/>
    </row>
    <row r="25805">
      <c r="AI25805" s="80"/>
    </row>
    <row r="25806">
      <c r="AI25806" s="80"/>
    </row>
    <row r="25807">
      <c r="AI25807" s="80"/>
    </row>
    <row r="25808">
      <c r="AI25808" s="80"/>
    </row>
    <row r="25809">
      <c r="AI25809" s="80"/>
    </row>
    <row r="25810">
      <c r="AI25810" s="80"/>
    </row>
    <row r="25811">
      <c r="AI25811" s="80"/>
    </row>
    <row r="25812">
      <c r="AI25812" s="80"/>
    </row>
    <row r="25813">
      <c r="AI25813" s="80"/>
    </row>
    <row r="25814">
      <c r="AI25814" s="80"/>
    </row>
    <row r="25815">
      <c r="AI25815" s="80"/>
    </row>
    <row r="25816">
      <c r="AI25816" s="80"/>
    </row>
    <row r="25817">
      <c r="AI25817" s="80"/>
    </row>
    <row r="25818">
      <c r="AI25818" s="80"/>
    </row>
    <row r="25819">
      <c r="AI25819" s="80"/>
    </row>
    <row r="25820">
      <c r="AI25820" s="80"/>
    </row>
    <row r="25821">
      <c r="AI25821" s="80"/>
    </row>
    <row r="25822">
      <c r="AI25822" s="80"/>
    </row>
    <row r="25823">
      <c r="AI25823" s="80"/>
    </row>
    <row r="25824">
      <c r="AI25824" s="80"/>
    </row>
    <row r="25825">
      <c r="AI25825" s="80"/>
    </row>
    <row r="25826">
      <c r="AI25826" s="80"/>
    </row>
    <row r="25827">
      <c r="AI25827" s="80"/>
    </row>
    <row r="25828">
      <c r="AI25828" s="80"/>
    </row>
    <row r="25829">
      <c r="AI25829" s="80"/>
    </row>
    <row r="25830">
      <c r="AI25830" s="80"/>
    </row>
    <row r="25831">
      <c r="AI25831" s="80"/>
    </row>
    <row r="25832">
      <c r="AI25832" s="80"/>
    </row>
    <row r="25833">
      <c r="AI25833" s="80"/>
    </row>
    <row r="25834">
      <c r="AI25834" s="80"/>
    </row>
    <row r="25835">
      <c r="AI25835" s="80"/>
    </row>
    <row r="25836">
      <c r="AI25836" s="80"/>
    </row>
    <row r="25837">
      <c r="AI25837" s="80"/>
    </row>
    <row r="25838">
      <c r="AI25838" s="80"/>
    </row>
    <row r="25839">
      <c r="AI25839" s="80"/>
    </row>
    <row r="25840">
      <c r="AI25840" s="80"/>
    </row>
    <row r="25841">
      <c r="AI25841" s="80"/>
    </row>
    <row r="25842">
      <c r="AI25842" s="80"/>
    </row>
    <row r="25843">
      <c r="AI25843" s="80"/>
    </row>
    <row r="25844">
      <c r="AI25844" s="80"/>
    </row>
    <row r="25845">
      <c r="AI25845" s="80"/>
    </row>
    <row r="25846">
      <c r="AI25846" s="80"/>
    </row>
    <row r="25847">
      <c r="AI25847" s="80"/>
    </row>
    <row r="25848">
      <c r="AI25848" s="80"/>
    </row>
    <row r="25849">
      <c r="AI25849" s="80"/>
    </row>
    <row r="25850">
      <c r="AI25850" s="80"/>
    </row>
    <row r="25851">
      <c r="AI25851" s="80"/>
    </row>
    <row r="25852">
      <c r="AI25852" s="80"/>
    </row>
    <row r="25853">
      <c r="AI25853" s="80"/>
    </row>
    <row r="25854">
      <c r="AI25854" s="80"/>
    </row>
    <row r="25855">
      <c r="AI25855" s="80"/>
    </row>
    <row r="25856">
      <c r="AI25856" s="80"/>
    </row>
    <row r="25857">
      <c r="AI25857" s="80"/>
    </row>
    <row r="25858">
      <c r="AI25858" s="80"/>
    </row>
    <row r="25859">
      <c r="AI25859" s="80"/>
    </row>
    <row r="25860">
      <c r="AI25860" s="80"/>
    </row>
    <row r="25861">
      <c r="AI25861" s="80"/>
    </row>
    <row r="25862">
      <c r="AI25862" s="80"/>
    </row>
    <row r="25863">
      <c r="AI25863" s="80"/>
    </row>
    <row r="25864">
      <c r="AI25864" s="80"/>
    </row>
    <row r="25865">
      <c r="AI25865" s="80"/>
    </row>
    <row r="25866">
      <c r="AI25866" s="80"/>
    </row>
    <row r="25867">
      <c r="AI25867" s="80"/>
    </row>
    <row r="25868">
      <c r="AI25868" s="80"/>
    </row>
    <row r="25869">
      <c r="AI25869" s="80"/>
    </row>
    <row r="25870">
      <c r="AI25870" s="80"/>
    </row>
    <row r="25871">
      <c r="AI25871" s="80"/>
    </row>
    <row r="25872">
      <c r="AI25872" s="80"/>
    </row>
    <row r="25873">
      <c r="AI25873" s="80"/>
    </row>
    <row r="25874">
      <c r="AI25874" s="80"/>
    </row>
    <row r="25875">
      <c r="AI25875" s="80"/>
    </row>
    <row r="25876">
      <c r="AI25876" s="80"/>
    </row>
    <row r="25877">
      <c r="AI25877" s="80"/>
    </row>
    <row r="25878">
      <c r="AI25878" s="80"/>
    </row>
    <row r="25879">
      <c r="AI25879" s="80"/>
    </row>
    <row r="25880">
      <c r="AI25880" s="80"/>
    </row>
    <row r="25881">
      <c r="AI25881" s="80"/>
    </row>
    <row r="25882">
      <c r="AI25882" s="80"/>
    </row>
    <row r="25883">
      <c r="AI25883" s="80"/>
    </row>
    <row r="25884">
      <c r="AI25884" s="80"/>
    </row>
    <row r="25885">
      <c r="AI25885" s="80"/>
    </row>
    <row r="25886">
      <c r="AI25886" s="80"/>
    </row>
    <row r="25887">
      <c r="AI25887" s="80"/>
    </row>
    <row r="25888">
      <c r="AI25888" s="80"/>
    </row>
    <row r="25889">
      <c r="AI25889" s="80"/>
    </row>
    <row r="25890">
      <c r="AI25890" s="80"/>
    </row>
    <row r="25891">
      <c r="AI25891" s="80"/>
    </row>
    <row r="25892">
      <c r="AI25892" s="80"/>
    </row>
    <row r="25893">
      <c r="AI25893" s="80"/>
    </row>
    <row r="25894">
      <c r="AI25894" s="80"/>
    </row>
    <row r="25895">
      <c r="AI25895" s="80"/>
    </row>
    <row r="25896">
      <c r="AI25896" s="80"/>
    </row>
    <row r="25897">
      <c r="AI25897" s="80"/>
    </row>
    <row r="25898">
      <c r="AI25898" s="80"/>
    </row>
    <row r="25899">
      <c r="AI25899" s="80"/>
    </row>
    <row r="25900">
      <c r="AI25900" s="80"/>
    </row>
    <row r="25901">
      <c r="AI25901" s="80"/>
    </row>
    <row r="25902">
      <c r="AI25902" s="80"/>
    </row>
    <row r="25903">
      <c r="AI25903" s="80"/>
    </row>
    <row r="25904">
      <c r="AI25904" s="80"/>
    </row>
    <row r="25905">
      <c r="AI25905" s="80"/>
    </row>
    <row r="25906">
      <c r="AI25906" s="80"/>
    </row>
    <row r="25907">
      <c r="AI25907" s="80"/>
    </row>
    <row r="25908">
      <c r="AI25908" s="80"/>
    </row>
    <row r="25909">
      <c r="AI25909" s="80"/>
    </row>
    <row r="25910">
      <c r="AI25910" s="80"/>
    </row>
    <row r="25911">
      <c r="AI25911" s="80"/>
    </row>
    <row r="25912">
      <c r="AI25912" s="80"/>
    </row>
    <row r="25913">
      <c r="AI25913" s="80"/>
    </row>
    <row r="25914">
      <c r="AI25914" s="80"/>
    </row>
    <row r="25915">
      <c r="AI25915" s="80"/>
    </row>
    <row r="25916">
      <c r="AI25916" s="80"/>
    </row>
    <row r="25917">
      <c r="AI25917" s="80"/>
    </row>
    <row r="25918">
      <c r="AI25918" s="80"/>
    </row>
    <row r="25919">
      <c r="AI25919" s="80"/>
    </row>
    <row r="25920">
      <c r="AI25920" s="80"/>
    </row>
    <row r="25921">
      <c r="AI25921" s="80"/>
    </row>
    <row r="25922">
      <c r="AI25922" s="80"/>
    </row>
    <row r="25923">
      <c r="AI25923" s="80"/>
    </row>
    <row r="25924">
      <c r="AI25924" s="80"/>
    </row>
    <row r="25925">
      <c r="AI25925" s="80"/>
    </row>
    <row r="25926">
      <c r="AI25926" s="80"/>
    </row>
    <row r="25927">
      <c r="AI25927" s="80"/>
    </row>
    <row r="25928">
      <c r="AI25928" s="80"/>
    </row>
    <row r="25929">
      <c r="AI25929" s="80"/>
    </row>
    <row r="25930">
      <c r="AI25930" s="80"/>
    </row>
    <row r="25931">
      <c r="AI25931" s="80"/>
    </row>
    <row r="25932">
      <c r="AI25932" s="80"/>
    </row>
    <row r="25933">
      <c r="AI25933" s="80"/>
    </row>
    <row r="25934">
      <c r="AI25934" s="80"/>
    </row>
    <row r="25935">
      <c r="AI25935" s="80"/>
    </row>
    <row r="25936">
      <c r="AI25936" s="80"/>
    </row>
    <row r="25937">
      <c r="AI25937" s="80"/>
    </row>
    <row r="25938">
      <c r="AI25938" s="80"/>
    </row>
    <row r="25939">
      <c r="AI25939" s="80"/>
    </row>
    <row r="25940">
      <c r="AI25940" s="80"/>
    </row>
    <row r="25941">
      <c r="AI25941" s="80"/>
    </row>
    <row r="25942">
      <c r="AI25942" s="80"/>
    </row>
    <row r="25943">
      <c r="AI25943" s="80"/>
    </row>
    <row r="25944">
      <c r="AI25944" s="80"/>
    </row>
    <row r="25945">
      <c r="AI25945" s="80"/>
    </row>
    <row r="25946">
      <c r="AI25946" s="80"/>
    </row>
    <row r="25947">
      <c r="AI25947" s="80"/>
    </row>
    <row r="25948">
      <c r="AI25948" s="80"/>
    </row>
    <row r="25949">
      <c r="AI25949" s="80"/>
    </row>
    <row r="25950">
      <c r="AI25950" s="80"/>
    </row>
    <row r="25951">
      <c r="AI25951" s="80"/>
    </row>
    <row r="25952">
      <c r="AI25952" s="80"/>
    </row>
    <row r="25953">
      <c r="AI25953" s="80"/>
    </row>
    <row r="25954">
      <c r="AI25954" s="80"/>
    </row>
    <row r="25955">
      <c r="AI25955" s="80"/>
    </row>
    <row r="25956">
      <c r="AI25956" s="80"/>
    </row>
    <row r="25957">
      <c r="AI25957" s="80"/>
    </row>
    <row r="25958">
      <c r="AI25958" s="80"/>
    </row>
    <row r="25959">
      <c r="AI25959" s="80"/>
    </row>
    <row r="25960">
      <c r="AI25960" s="80"/>
    </row>
    <row r="25961">
      <c r="AI25961" s="80"/>
    </row>
    <row r="25962">
      <c r="AI25962" s="80"/>
    </row>
    <row r="25963">
      <c r="AI25963" s="80"/>
    </row>
    <row r="25964">
      <c r="AI25964" s="80"/>
    </row>
    <row r="25965">
      <c r="AI25965" s="80"/>
    </row>
    <row r="25966">
      <c r="AI25966" s="80"/>
    </row>
    <row r="25967">
      <c r="AI25967" s="80"/>
    </row>
    <row r="25968">
      <c r="AI25968" s="80"/>
    </row>
    <row r="25969">
      <c r="AI25969" s="80"/>
    </row>
    <row r="25970">
      <c r="AI25970" s="80"/>
    </row>
    <row r="25971">
      <c r="AI25971" s="80"/>
    </row>
    <row r="25972">
      <c r="AI25972" s="80"/>
    </row>
    <row r="25973">
      <c r="AI25973" s="80"/>
    </row>
    <row r="25974">
      <c r="AI25974" s="80"/>
    </row>
    <row r="25975">
      <c r="AI25975" s="80"/>
    </row>
    <row r="25976">
      <c r="AI25976" s="80"/>
    </row>
    <row r="25977">
      <c r="AI25977" s="80"/>
    </row>
    <row r="25978">
      <c r="AI25978" s="80"/>
    </row>
    <row r="25979">
      <c r="AI25979" s="80"/>
    </row>
    <row r="25980">
      <c r="AI25980" s="80"/>
    </row>
    <row r="25981">
      <c r="AI25981" s="80"/>
    </row>
    <row r="25982">
      <c r="AI25982" s="80"/>
    </row>
    <row r="25983">
      <c r="AI25983" s="80"/>
    </row>
    <row r="25984">
      <c r="AI25984" s="80"/>
    </row>
    <row r="25985">
      <c r="AI25985" s="80"/>
    </row>
    <row r="25986">
      <c r="AI25986" s="80"/>
    </row>
    <row r="25987">
      <c r="AI25987" s="80"/>
    </row>
    <row r="25988">
      <c r="AI25988" s="80"/>
    </row>
    <row r="25989">
      <c r="AI25989" s="80"/>
    </row>
    <row r="25990">
      <c r="AI25990" s="80"/>
    </row>
    <row r="25991">
      <c r="AI25991" s="80"/>
    </row>
    <row r="25992">
      <c r="AI25992" s="80"/>
    </row>
    <row r="25993">
      <c r="AI25993" s="80"/>
    </row>
    <row r="25994">
      <c r="AI25994" s="80"/>
    </row>
    <row r="25995">
      <c r="AI25995" s="80"/>
    </row>
    <row r="25996">
      <c r="AI25996" s="80"/>
    </row>
    <row r="25997">
      <c r="AI25997" s="80"/>
    </row>
    <row r="25998">
      <c r="AI25998" s="80"/>
    </row>
    <row r="25999">
      <c r="AI25999" s="80"/>
    </row>
    <row r="26000">
      <c r="AI26000" s="80"/>
    </row>
    <row r="26001">
      <c r="AI26001" s="80"/>
    </row>
    <row r="26002">
      <c r="AI26002" s="80"/>
    </row>
    <row r="26003">
      <c r="AI26003" s="80"/>
    </row>
    <row r="26004">
      <c r="AI26004" s="80"/>
    </row>
    <row r="26005">
      <c r="AI26005" s="80"/>
    </row>
    <row r="26006">
      <c r="AI26006" s="80"/>
    </row>
    <row r="26007">
      <c r="AI26007" s="80"/>
    </row>
    <row r="26008">
      <c r="AI26008" s="80"/>
    </row>
    <row r="26009">
      <c r="AI26009" s="80"/>
    </row>
    <row r="26010">
      <c r="AI26010" s="80"/>
    </row>
    <row r="26011">
      <c r="AI26011" s="80"/>
    </row>
    <row r="26012">
      <c r="AI26012" s="80"/>
    </row>
    <row r="26013">
      <c r="AI26013" s="80"/>
    </row>
    <row r="26014">
      <c r="AI26014" s="80"/>
    </row>
    <row r="26015">
      <c r="AI26015" s="80"/>
    </row>
    <row r="26016">
      <c r="AI26016" s="80"/>
    </row>
    <row r="26017">
      <c r="AI26017" s="80"/>
    </row>
    <row r="26018">
      <c r="AI26018" s="80"/>
    </row>
    <row r="26019">
      <c r="AI26019" s="80"/>
    </row>
    <row r="26020">
      <c r="AI26020" s="80"/>
    </row>
    <row r="26021">
      <c r="AI26021" s="80"/>
    </row>
    <row r="26022">
      <c r="AI26022" s="80"/>
    </row>
    <row r="26023">
      <c r="AI26023" s="80"/>
    </row>
    <row r="26024">
      <c r="AI26024" s="80"/>
    </row>
    <row r="26025">
      <c r="AI26025" s="80"/>
    </row>
    <row r="26026">
      <c r="AI26026" s="80"/>
    </row>
    <row r="26027">
      <c r="AI26027" s="80"/>
    </row>
    <row r="26028">
      <c r="AI26028" s="80"/>
    </row>
    <row r="26029">
      <c r="AI26029" s="80"/>
    </row>
    <row r="26030">
      <c r="AI26030" s="80"/>
    </row>
    <row r="26031">
      <c r="AI26031" s="80"/>
    </row>
    <row r="26032">
      <c r="AI26032" s="80"/>
    </row>
    <row r="26033">
      <c r="AI26033" s="80"/>
    </row>
    <row r="26034">
      <c r="AI26034" s="80"/>
    </row>
    <row r="26035">
      <c r="AI26035" s="80"/>
    </row>
    <row r="26036">
      <c r="AI26036" s="80"/>
    </row>
    <row r="26037">
      <c r="AI26037" s="80"/>
    </row>
    <row r="26038">
      <c r="AI26038" s="80"/>
    </row>
    <row r="26039">
      <c r="AI26039" s="80"/>
    </row>
    <row r="26040">
      <c r="AI26040" s="80"/>
    </row>
    <row r="26041">
      <c r="AI26041" s="80"/>
    </row>
    <row r="26042">
      <c r="AI26042" s="80"/>
    </row>
    <row r="26043">
      <c r="AI26043" s="80"/>
    </row>
    <row r="26044">
      <c r="AI26044" s="80"/>
    </row>
    <row r="26045">
      <c r="AI26045" s="80"/>
    </row>
    <row r="26046">
      <c r="AI26046" s="80"/>
    </row>
    <row r="26047">
      <c r="AI26047" s="80"/>
    </row>
    <row r="26048">
      <c r="AI26048" s="80"/>
    </row>
    <row r="26049">
      <c r="AI26049" s="80"/>
    </row>
    <row r="26050">
      <c r="AI26050" s="80"/>
    </row>
    <row r="26051">
      <c r="AI26051" s="80"/>
    </row>
    <row r="26052">
      <c r="AI26052" s="80"/>
    </row>
    <row r="26053">
      <c r="AI26053" s="80"/>
    </row>
    <row r="26054">
      <c r="AI26054" s="80"/>
    </row>
    <row r="26055">
      <c r="AI26055" s="80"/>
    </row>
    <row r="26056">
      <c r="AI26056" s="80"/>
    </row>
    <row r="26057">
      <c r="AI26057" s="80"/>
    </row>
    <row r="26058">
      <c r="AI26058" s="80"/>
    </row>
    <row r="26059">
      <c r="AI26059" s="80"/>
    </row>
    <row r="26060">
      <c r="AI26060" s="80"/>
    </row>
    <row r="26061">
      <c r="AI26061" s="80"/>
    </row>
    <row r="26062">
      <c r="AI26062" s="80"/>
    </row>
    <row r="26063">
      <c r="AI26063" s="80"/>
    </row>
    <row r="26064">
      <c r="AI26064" s="80"/>
    </row>
    <row r="26065">
      <c r="AI26065" s="80"/>
    </row>
    <row r="26066">
      <c r="AI26066" s="80"/>
    </row>
    <row r="26067">
      <c r="AI26067" s="80"/>
    </row>
    <row r="26068">
      <c r="AI26068" s="80"/>
    </row>
    <row r="26069">
      <c r="AI26069" s="80"/>
    </row>
    <row r="26070">
      <c r="AI26070" s="80"/>
    </row>
    <row r="26071">
      <c r="AI26071" s="80"/>
    </row>
    <row r="26072">
      <c r="AI26072" s="80"/>
    </row>
    <row r="26073">
      <c r="AI26073" s="80"/>
    </row>
    <row r="26074">
      <c r="AI26074" s="80"/>
    </row>
    <row r="26075">
      <c r="AI26075" s="80"/>
    </row>
    <row r="26076">
      <c r="AI26076" s="80"/>
    </row>
    <row r="26077">
      <c r="AI26077" s="80"/>
    </row>
    <row r="26078">
      <c r="AI26078" s="80"/>
    </row>
    <row r="26079">
      <c r="AI26079" s="80"/>
    </row>
    <row r="26080">
      <c r="AI26080" s="80"/>
    </row>
    <row r="26081">
      <c r="AI26081" s="80"/>
    </row>
    <row r="26082">
      <c r="AI26082" s="80"/>
    </row>
    <row r="26083">
      <c r="AI26083" s="80"/>
    </row>
    <row r="26084">
      <c r="AI26084" s="80"/>
    </row>
    <row r="26085">
      <c r="AI26085" s="80"/>
    </row>
    <row r="26086">
      <c r="AI26086" s="80"/>
    </row>
    <row r="26087">
      <c r="AI26087" s="80"/>
    </row>
    <row r="26088">
      <c r="AI26088" s="80"/>
    </row>
    <row r="26089">
      <c r="AI26089" s="80"/>
    </row>
    <row r="26090">
      <c r="AI26090" s="80"/>
    </row>
    <row r="26091">
      <c r="AI26091" s="80"/>
    </row>
    <row r="26092">
      <c r="AI26092" s="80"/>
    </row>
    <row r="26093">
      <c r="AI26093" s="80"/>
    </row>
    <row r="26094">
      <c r="AI26094" s="80"/>
    </row>
    <row r="26095">
      <c r="AI26095" s="80"/>
    </row>
    <row r="26096">
      <c r="AI26096" s="80"/>
    </row>
    <row r="26097">
      <c r="AI26097" s="80"/>
    </row>
    <row r="26098">
      <c r="AI26098" s="80"/>
    </row>
    <row r="26099">
      <c r="AI26099" s="80"/>
    </row>
    <row r="26100">
      <c r="AI26100" s="80"/>
    </row>
    <row r="26101">
      <c r="AI26101" s="80"/>
    </row>
    <row r="26102">
      <c r="AI26102" s="80"/>
    </row>
    <row r="26103">
      <c r="AI26103" s="80"/>
    </row>
    <row r="26104">
      <c r="AI26104" s="80"/>
    </row>
    <row r="26105">
      <c r="AI26105" s="80"/>
    </row>
    <row r="26106">
      <c r="AI26106" s="80"/>
    </row>
    <row r="26107">
      <c r="AI26107" s="80"/>
    </row>
    <row r="26108">
      <c r="AI26108" s="80"/>
    </row>
    <row r="26109">
      <c r="AI26109" s="80"/>
    </row>
    <row r="26110">
      <c r="AI26110" s="80"/>
    </row>
    <row r="26111">
      <c r="AI26111" s="80"/>
    </row>
    <row r="26112">
      <c r="AI26112" s="80"/>
    </row>
    <row r="26113">
      <c r="AI26113" s="80"/>
    </row>
    <row r="26114">
      <c r="AI26114" s="80"/>
    </row>
    <row r="26115">
      <c r="AI26115" s="80"/>
    </row>
    <row r="26116">
      <c r="AI26116" s="80"/>
    </row>
    <row r="26117">
      <c r="AI26117" s="80"/>
    </row>
    <row r="26118">
      <c r="AI26118" s="80"/>
    </row>
    <row r="26119">
      <c r="AI26119" s="80"/>
    </row>
    <row r="26120">
      <c r="AI26120" s="80"/>
    </row>
    <row r="26121">
      <c r="AI26121" s="80"/>
    </row>
    <row r="26122">
      <c r="AI26122" s="80"/>
    </row>
    <row r="26123">
      <c r="AI26123" s="80"/>
    </row>
    <row r="26124">
      <c r="AI26124" s="80"/>
    </row>
    <row r="26125">
      <c r="AI26125" s="80"/>
    </row>
    <row r="26126">
      <c r="AI26126" s="80"/>
    </row>
    <row r="26127">
      <c r="AI26127" s="80"/>
    </row>
    <row r="26128">
      <c r="AI26128" s="80"/>
    </row>
    <row r="26129">
      <c r="AI26129" s="80"/>
    </row>
    <row r="26130">
      <c r="AI26130" s="80"/>
    </row>
    <row r="26131">
      <c r="AI26131" s="80"/>
    </row>
    <row r="26132">
      <c r="AI26132" s="80"/>
    </row>
    <row r="26133">
      <c r="AI26133" s="80"/>
    </row>
    <row r="26134">
      <c r="AI26134" s="80"/>
    </row>
    <row r="26135">
      <c r="AI26135" s="80"/>
    </row>
    <row r="26136">
      <c r="AI26136" s="80"/>
    </row>
    <row r="26137">
      <c r="AI26137" s="80"/>
    </row>
    <row r="26138">
      <c r="AI26138" s="80"/>
    </row>
    <row r="26139">
      <c r="AI26139" s="80"/>
    </row>
    <row r="26140">
      <c r="AI26140" s="80"/>
    </row>
    <row r="26141">
      <c r="AI26141" s="80"/>
    </row>
    <row r="26142">
      <c r="AI26142" s="80"/>
    </row>
    <row r="26143">
      <c r="AI26143" s="80"/>
    </row>
    <row r="26144">
      <c r="AI26144" s="80"/>
    </row>
    <row r="26145">
      <c r="AI26145" s="80"/>
    </row>
    <row r="26146">
      <c r="AI26146" s="80"/>
    </row>
    <row r="26147">
      <c r="AI26147" s="80"/>
    </row>
    <row r="26148">
      <c r="AI26148" s="80"/>
    </row>
    <row r="26149">
      <c r="AI26149" s="80"/>
    </row>
    <row r="26150">
      <c r="AI26150" s="80"/>
    </row>
    <row r="26151">
      <c r="AI26151" s="80"/>
    </row>
    <row r="26152">
      <c r="AI26152" s="80"/>
    </row>
    <row r="26153">
      <c r="AI26153" s="80"/>
    </row>
    <row r="26154">
      <c r="AI26154" s="80"/>
    </row>
    <row r="26155">
      <c r="AI26155" s="80"/>
    </row>
    <row r="26156">
      <c r="AI26156" s="80"/>
    </row>
    <row r="26157">
      <c r="AI26157" s="80"/>
    </row>
    <row r="26158">
      <c r="AI26158" s="80"/>
    </row>
    <row r="26159">
      <c r="AI26159" s="80"/>
    </row>
    <row r="26160">
      <c r="AI26160" s="80"/>
    </row>
    <row r="26161">
      <c r="AI26161" s="80"/>
    </row>
    <row r="26162">
      <c r="AI26162" s="80"/>
    </row>
    <row r="26163">
      <c r="AI26163" s="80"/>
    </row>
    <row r="26164">
      <c r="AI26164" s="80"/>
    </row>
    <row r="26165">
      <c r="AI26165" s="80"/>
    </row>
    <row r="26166">
      <c r="AI26166" s="80"/>
    </row>
    <row r="26167">
      <c r="AI26167" s="80"/>
    </row>
    <row r="26168">
      <c r="AI26168" s="80"/>
    </row>
    <row r="26169">
      <c r="AI26169" s="80"/>
    </row>
    <row r="26170">
      <c r="AI26170" s="80"/>
    </row>
    <row r="26171">
      <c r="AI26171" s="80"/>
    </row>
    <row r="26172">
      <c r="AI26172" s="80"/>
    </row>
    <row r="26173">
      <c r="AI26173" s="80"/>
    </row>
    <row r="26174">
      <c r="AI26174" s="80"/>
    </row>
    <row r="26175">
      <c r="AI26175" s="80"/>
    </row>
    <row r="26176">
      <c r="AI26176" s="80"/>
    </row>
    <row r="26177">
      <c r="AI26177" s="80"/>
    </row>
    <row r="26178">
      <c r="AI26178" s="80"/>
    </row>
    <row r="26179">
      <c r="AI26179" s="80"/>
    </row>
    <row r="26180">
      <c r="AI26180" s="80"/>
    </row>
    <row r="26181">
      <c r="AI26181" s="80"/>
    </row>
    <row r="26182">
      <c r="AI26182" s="80"/>
    </row>
    <row r="26183">
      <c r="AI26183" s="80"/>
    </row>
    <row r="26184">
      <c r="AI26184" s="80"/>
    </row>
    <row r="26185">
      <c r="AI26185" s="80"/>
    </row>
    <row r="26186">
      <c r="AI26186" s="80"/>
    </row>
    <row r="26187">
      <c r="AI26187" s="80"/>
    </row>
    <row r="26188">
      <c r="AI26188" s="80"/>
    </row>
    <row r="26189">
      <c r="AI26189" s="80"/>
    </row>
    <row r="26190">
      <c r="AI26190" s="80"/>
    </row>
    <row r="26191">
      <c r="AI26191" s="80"/>
    </row>
    <row r="26192">
      <c r="AI26192" s="80"/>
    </row>
    <row r="26193">
      <c r="AI26193" s="80"/>
    </row>
    <row r="26194">
      <c r="AI26194" s="80"/>
    </row>
    <row r="26195">
      <c r="AI26195" s="80"/>
    </row>
    <row r="26196">
      <c r="AI26196" s="80"/>
    </row>
    <row r="26197">
      <c r="AI26197" s="80"/>
    </row>
    <row r="26198">
      <c r="AI26198" s="80"/>
    </row>
    <row r="26199">
      <c r="AI26199" s="80"/>
    </row>
    <row r="26200">
      <c r="AI26200" s="80"/>
    </row>
    <row r="26201">
      <c r="AI26201" s="80"/>
    </row>
    <row r="26202">
      <c r="AI26202" s="80"/>
    </row>
    <row r="26203">
      <c r="AI26203" s="80"/>
    </row>
    <row r="26204">
      <c r="AI26204" s="80"/>
    </row>
    <row r="26205">
      <c r="AI26205" s="80"/>
    </row>
    <row r="26206">
      <c r="AI26206" s="80"/>
    </row>
    <row r="26207">
      <c r="AI26207" s="80"/>
    </row>
    <row r="26208">
      <c r="AI26208" s="80"/>
    </row>
    <row r="26209">
      <c r="AI26209" s="80"/>
    </row>
    <row r="26210">
      <c r="AI26210" s="80"/>
    </row>
    <row r="26211">
      <c r="AI26211" s="80"/>
    </row>
    <row r="26212">
      <c r="AI26212" s="80"/>
    </row>
    <row r="26213">
      <c r="AI26213" s="80"/>
    </row>
    <row r="26214">
      <c r="AI26214" s="80"/>
    </row>
    <row r="26215">
      <c r="AI26215" s="80"/>
    </row>
    <row r="26216">
      <c r="AI26216" s="80"/>
    </row>
    <row r="26217">
      <c r="AI26217" s="80"/>
    </row>
    <row r="26218">
      <c r="AI26218" s="80"/>
    </row>
    <row r="26219">
      <c r="AI26219" s="80"/>
    </row>
    <row r="26220">
      <c r="AI26220" s="80"/>
    </row>
    <row r="26221">
      <c r="AI26221" s="80"/>
    </row>
    <row r="26222">
      <c r="AI26222" s="80"/>
    </row>
    <row r="26223">
      <c r="AI26223" s="80"/>
    </row>
    <row r="26224">
      <c r="AI26224" s="80"/>
    </row>
    <row r="26225">
      <c r="AI26225" s="80"/>
    </row>
    <row r="26226">
      <c r="AI26226" s="80"/>
    </row>
    <row r="26227">
      <c r="AI26227" s="80"/>
    </row>
    <row r="26228">
      <c r="AI26228" s="80"/>
    </row>
    <row r="26229">
      <c r="AI26229" s="80"/>
    </row>
    <row r="26230">
      <c r="AI26230" s="80"/>
    </row>
    <row r="26231">
      <c r="AI26231" s="80"/>
    </row>
    <row r="26232">
      <c r="AI26232" s="80"/>
    </row>
    <row r="26233">
      <c r="AI26233" s="80"/>
    </row>
    <row r="26234">
      <c r="AI26234" s="80"/>
    </row>
    <row r="26235">
      <c r="AI26235" s="80"/>
    </row>
    <row r="26236">
      <c r="AI26236" s="80"/>
    </row>
    <row r="26237">
      <c r="AI26237" s="80"/>
    </row>
    <row r="26238">
      <c r="AI26238" s="80"/>
    </row>
    <row r="26239">
      <c r="AI26239" s="80"/>
    </row>
    <row r="26240">
      <c r="AI26240" s="80"/>
    </row>
    <row r="26241">
      <c r="AI26241" s="80"/>
    </row>
    <row r="26242">
      <c r="AI26242" s="80"/>
    </row>
    <row r="26243">
      <c r="AI26243" s="80"/>
    </row>
    <row r="26244">
      <c r="AI26244" s="80"/>
    </row>
    <row r="26245">
      <c r="AI26245" s="80"/>
    </row>
    <row r="26246">
      <c r="AI26246" s="80"/>
    </row>
    <row r="26247">
      <c r="AI26247" s="80"/>
    </row>
    <row r="26248">
      <c r="AI26248" s="80"/>
    </row>
    <row r="26249">
      <c r="AI26249" s="80"/>
    </row>
    <row r="26250">
      <c r="AI26250" s="80"/>
    </row>
    <row r="26251">
      <c r="AI26251" s="80"/>
    </row>
    <row r="26252">
      <c r="AI26252" s="80"/>
    </row>
    <row r="26253">
      <c r="AI26253" s="80"/>
    </row>
    <row r="26254">
      <c r="AI26254" s="80"/>
    </row>
    <row r="26255">
      <c r="AI26255" s="80"/>
    </row>
    <row r="26256">
      <c r="AI26256" s="80"/>
    </row>
    <row r="26257">
      <c r="AI26257" s="80"/>
    </row>
    <row r="26258">
      <c r="AI26258" s="80"/>
    </row>
    <row r="26259">
      <c r="AI26259" s="80"/>
    </row>
    <row r="26260">
      <c r="AI26260" s="80"/>
    </row>
    <row r="26261">
      <c r="AI26261" s="80"/>
    </row>
    <row r="26262">
      <c r="AI26262" s="80"/>
    </row>
    <row r="26263">
      <c r="AI26263" s="80"/>
    </row>
    <row r="26264">
      <c r="AI26264" s="80"/>
    </row>
    <row r="26265">
      <c r="AI26265" s="80"/>
    </row>
    <row r="26266">
      <c r="AI26266" s="80"/>
    </row>
    <row r="26267">
      <c r="AI26267" s="80"/>
    </row>
    <row r="26268">
      <c r="AI26268" s="80"/>
    </row>
    <row r="26269">
      <c r="AI26269" s="80"/>
    </row>
    <row r="26270">
      <c r="AI26270" s="80"/>
    </row>
    <row r="26271">
      <c r="AI26271" s="80"/>
    </row>
    <row r="26272">
      <c r="AI26272" s="80"/>
    </row>
    <row r="26273">
      <c r="AI26273" s="80"/>
    </row>
    <row r="26274">
      <c r="AI26274" s="80"/>
    </row>
    <row r="26275">
      <c r="AI26275" s="80"/>
    </row>
    <row r="26276">
      <c r="AI26276" s="80"/>
    </row>
    <row r="26277">
      <c r="AI26277" s="80"/>
    </row>
    <row r="26278">
      <c r="AI26278" s="80"/>
    </row>
    <row r="26279">
      <c r="AI26279" s="80"/>
    </row>
    <row r="26280">
      <c r="AI26280" s="80"/>
    </row>
    <row r="26281">
      <c r="AI26281" s="80"/>
    </row>
    <row r="26282">
      <c r="AI26282" s="80"/>
    </row>
    <row r="26283">
      <c r="AI26283" s="80"/>
    </row>
    <row r="26284">
      <c r="AI26284" s="80"/>
    </row>
    <row r="26285">
      <c r="AI26285" s="80"/>
    </row>
    <row r="26286">
      <c r="AI26286" s="80"/>
    </row>
    <row r="26287">
      <c r="AI26287" s="80"/>
    </row>
    <row r="26288">
      <c r="AI26288" s="80"/>
    </row>
    <row r="26289">
      <c r="AI26289" s="80"/>
    </row>
    <row r="26290">
      <c r="AI26290" s="80"/>
    </row>
    <row r="26291">
      <c r="AI26291" s="80"/>
    </row>
    <row r="26292">
      <c r="AI26292" s="80"/>
    </row>
    <row r="26293">
      <c r="AI26293" s="80"/>
    </row>
    <row r="26294">
      <c r="AI26294" s="80"/>
    </row>
    <row r="26295">
      <c r="AI26295" s="80"/>
    </row>
    <row r="26296">
      <c r="AI26296" s="80"/>
    </row>
    <row r="26297">
      <c r="AI26297" s="80"/>
    </row>
    <row r="26298">
      <c r="AI26298" s="80"/>
    </row>
    <row r="26299">
      <c r="AI26299" s="80"/>
    </row>
    <row r="26300">
      <c r="AI26300" s="80"/>
    </row>
    <row r="26301">
      <c r="AI26301" s="80"/>
    </row>
    <row r="26302">
      <c r="AI26302" s="80"/>
    </row>
    <row r="26303">
      <c r="AI26303" s="80"/>
    </row>
    <row r="26304">
      <c r="AI26304" s="80"/>
    </row>
    <row r="26305">
      <c r="AI26305" s="80"/>
    </row>
    <row r="26306">
      <c r="AI26306" s="80"/>
    </row>
    <row r="26307">
      <c r="AI26307" s="80"/>
    </row>
    <row r="26308">
      <c r="AI26308" s="80"/>
    </row>
    <row r="26309">
      <c r="AI26309" s="80"/>
    </row>
    <row r="26310">
      <c r="AI26310" s="80"/>
    </row>
    <row r="26311">
      <c r="AI26311" s="80"/>
    </row>
    <row r="26312">
      <c r="AI26312" s="80"/>
    </row>
    <row r="26313">
      <c r="AI26313" s="80"/>
    </row>
    <row r="26314">
      <c r="AI26314" s="80"/>
    </row>
    <row r="26315">
      <c r="AI26315" s="80"/>
    </row>
    <row r="26316">
      <c r="AI26316" s="80"/>
    </row>
    <row r="26317">
      <c r="AI26317" s="80"/>
    </row>
    <row r="26318">
      <c r="AI26318" s="80"/>
    </row>
    <row r="26319">
      <c r="AI26319" s="80"/>
    </row>
    <row r="26320">
      <c r="AI26320" s="80"/>
    </row>
    <row r="26321">
      <c r="AI26321" s="80"/>
    </row>
    <row r="26322">
      <c r="AI26322" s="80"/>
    </row>
    <row r="26323">
      <c r="AI26323" s="80"/>
    </row>
    <row r="26324">
      <c r="AI26324" s="80"/>
    </row>
    <row r="26325">
      <c r="AI26325" s="80"/>
    </row>
    <row r="26326">
      <c r="AI26326" s="80"/>
    </row>
    <row r="26327">
      <c r="AI26327" s="80"/>
    </row>
    <row r="26328">
      <c r="AI26328" s="80"/>
    </row>
    <row r="26329">
      <c r="AI26329" s="80"/>
    </row>
    <row r="26330">
      <c r="AI26330" s="80"/>
    </row>
    <row r="26331">
      <c r="AI26331" s="80"/>
    </row>
    <row r="26332">
      <c r="AI26332" s="80"/>
    </row>
    <row r="26333">
      <c r="AI26333" s="80"/>
    </row>
    <row r="26334">
      <c r="AI26334" s="80"/>
    </row>
    <row r="26335">
      <c r="AI26335" s="80"/>
    </row>
    <row r="26336">
      <c r="AI26336" s="80"/>
    </row>
    <row r="26337">
      <c r="AI26337" s="80"/>
    </row>
    <row r="26338">
      <c r="AI26338" s="80"/>
    </row>
    <row r="26339">
      <c r="AI26339" s="80"/>
    </row>
    <row r="26340">
      <c r="AI26340" s="80"/>
    </row>
    <row r="26341">
      <c r="AI26341" s="80"/>
    </row>
    <row r="26342">
      <c r="AI26342" s="80"/>
    </row>
    <row r="26343">
      <c r="AI26343" s="80"/>
    </row>
    <row r="26344">
      <c r="AI26344" s="80"/>
    </row>
    <row r="26345">
      <c r="AI26345" s="80"/>
    </row>
    <row r="26346">
      <c r="AI26346" s="80"/>
    </row>
    <row r="26347">
      <c r="AI26347" s="80"/>
    </row>
    <row r="26348">
      <c r="AI26348" s="80"/>
    </row>
    <row r="26349">
      <c r="AI26349" s="80"/>
    </row>
    <row r="26350">
      <c r="AI26350" s="80"/>
    </row>
    <row r="26351">
      <c r="AI26351" s="80"/>
    </row>
    <row r="26352">
      <c r="AI26352" s="80"/>
    </row>
    <row r="26353">
      <c r="AI26353" s="80"/>
    </row>
    <row r="26354">
      <c r="AI26354" s="80"/>
    </row>
    <row r="26355">
      <c r="AI26355" s="80"/>
    </row>
    <row r="26356">
      <c r="AI26356" s="80"/>
    </row>
    <row r="26357">
      <c r="AI26357" s="80"/>
    </row>
    <row r="26358">
      <c r="AI26358" s="80"/>
    </row>
    <row r="26359">
      <c r="AI26359" s="80"/>
    </row>
    <row r="26360">
      <c r="AI26360" s="80"/>
    </row>
    <row r="26361">
      <c r="AI26361" s="80"/>
    </row>
    <row r="26362">
      <c r="AI26362" s="80"/>
    </row>
    <row r="26363">
      <c r="AI26363" s="80"/>
    </row>
    <row r="26364">
      <c r="AI26364" s="80"/>
    </row>
    <row r="26365">
      <c r="AI26365" s="80"/>
    </row>
    <row r="26366">
      <c r="AI26366" s="80"/>
    </row>
    <row r="26367">
      <c r="AI26367" s="80"/>
    </row>
    <row r="26368">
      <c r="AI26368" s="80"/>
    </row>
    <row r="26369">
      <c r="AI26369" s="80"/>
    </row>
    <row r="26370">
      <c r="AI26370" s="80"/>
    </row>
    <row r="26371">
      <c r="AI26371" s="80"/>
    </row>
    <row r="26372">
      <c r="AI26372" s="80"/>
    </row>
    <row r="26373">
      <c r="AI26373" s="80"/>
    </row>
    <row r="26374">
      <c r="AI26374" s="80"/>
    </row>
    <row r="26375">
      <c r="AI26375" s="80"/>
    </row>
    <row r="26376">
      <c r="AI26376" s="80"/>
    </row>
    <row r="26377">
      <c r="AI26377" s="80"/>
    </row>
    <row r="26378">
      <c r="AI26378" s="80"/>
    </row>
    <row r="26379">
      <c r="AI26379" s="80"/>
    </row>
    <row r="26380">
      <c r="AI26380" s="80"/>
    </row>
    <row r="26381">
      <c r="AI26381" s="80"/>
    </row>
    <row r="26382">
      <c r="AI26382" s="80"/>
    </row>
    <row r="26383">
      <c r="AI26383" s="80"/>
    </row>
    <row r="26384">
      <c r="AI26384" s="80"/>
    </row>
    <row r="26385">
      <c r="AI26385" s="80"/>
    </row>
    <row r="26386">
      <c r="AI26386" s="80"/>
    </row>
    <row r="26387">
      <c r="AI26387" s="80"/>
    </row>
    <row r="26388">
      <c r="AI26388" s="80"/>
    </row>
    <row r="26389">
      <c r="AI26389" s="80"/>
    </row>
    <row r="26390">
      <c r="AI26390" s="80"/>
    </row>
    <row r="26391">
      <c r="AI26391" s="80"/>
    </row>
    <row r="26392">
      <c r="AI26392" s="80"/>
    </row>
    <row r="26393">
      <c r="AI26393" s="80"/>
    </row>
    <row r="26394">
      <c r="AI26394" s="80"/>
    </row>
    <row r="26395">
      <c r="AI26395" s="80"/>
    </row>
    <row r="26396">
      <c r="AI26396" s="80"/>
    </row>
    <row r="26397">
      <c r="AI26397" s="80"/>
    </row>
    <row r="26398">
      <c r="AI26398" s="80"/>
    </row>
    <row r="26399">
      <c r="AI26399" s="80"/>
    </row>
    <row r="26400">
      <c r="AI26400" s="80"/>
    </row>
    <row r="26401">
      <c r="AI26401" s="80"/>
    </row>
    <row r="26402">
      <c r="AI26402" s="80"/>
    </row>
    <row r="26403">
      <c r="AI26403" s="80"/>
    </row>
    <row r="26404">
      <c r="AI26404" s="80"/>
    </row>
    <row r="26405">
      <c r="AI26405" s="80"/>
    </row>
    <row r="26406">
      <c r="AI26406" s="80"/>
    </row>
    <row r="26407">
      <c r="AI26407" s="80"/>
    </row>
    <row r="26408">
      <c r="AI26408" s="80"/>
    </row>
    <row r="26409">
      <c r="AI26409" s="80"/>
    </row>
    <row r="26410">
      <c r="AI26410" s="80"/>
    </row>
    <row r="26411">
      <c r="AI26411" s="80"/>
    </row>
    <row r="26412">
      <c r="AI26412" s="80"/>
    </row>
    <row r="26413">
      <c r="AI26413" s="80"/>
    </row>
    <row r="26414">
      <c r="AI26414" s="80"/>
    </row>
    <row r="26415">
      <c r="AI26415" s="80"/>
    </row>
    <row r="26416">
      <c r="AI26416" s="80"/>
    </row>
    <row r="26417">
      <c r="AI26417" s="80"/>
    </row>
    <row r="26418">
      <c r="AI26418" s="80"/>
    </row>
    <row r="26419">
      <c r="AI26419" s="80"/>
    </row>
    <row r="26420">
      <c r="AI26420" s="80"/>
    </row>
    <row r="26421">
      <c r="AI26421" s="80"/>
    </row>
    <row r="26422">
      <c r="AI26422" s="80"/>
    </row>
    <row r="26423">
      <c r="AI26423" s="80"/>
    </row>
    <row r="26424">
      <c r="AI26424" s="80"/>
    </row>
    <row r="26425">
      <c r="AI26425" s="80"/>
    </row>
    <row r="26426">
      <c r="AI26426" s="80"/>
    </row>
    <row r="26427">
      <c r="AI26427" s="80"/>
    </row>
    <row r="26428">
      <c r="AI26428" s="80"/>
    </row>
    <row r="26429">
      <c r="AI26429" s="80"/>
    </row>
    <row r="26430">
      <c r="AI26430" s="80"/>
    </row>
    <row r="26431">
      <c r="AI26431" s="80"/>
    </row>
    <row r="26432">
      <c r="AI26432" s="80"/>
    </row>
    <row r="26433">
      <c r="AI26433" s="80"/>
    </row>
    <row r="26434">
      <c r="AI26434" s="80"/>
    </row>
    <row r="26435">
      <c r="AI26435" s="80"/>
    </row>
    <row r="26436">
      <c r="AI26436" s="80"/>
    </row>
    <row r="26437">
      <c r="AI26437" s="80"/>
    </row>
    <row r="26438">
      <c r="AI26438" s="80"/>
    </row>
    <row r="26439">
      <c r="AI26439" s="80"/>
    </row>
    <row r="26440">
      <c r="AI26440" s="80"/>
    </row>
    <row r="26441">
      <c r="AI26441" s="80"/>
    </row>
    <row r="26442">
      <c r="AI26442" s="80"/>
    </row>
    <row r="26443">
      <c r="AI26443" s="80"/>
    </row>
    <row r="26444">
      <c r="AI26444" s="80"/>
    </row>
    <row r="26445">
      <c r="AI26445" s="80"/>
    </row>
    <row r="26446">
      <c r="AI26446" s="80"/>
    </row>
    <row r="26447">
      <c r="AI26447" s="80"/>
    </row>
    <row r="26448">
      <c r="AI26448" s="80"/>
    </row>
    <row r="26449">
      <c r="AI26449" s="80"/>
    </row>
    <row r="26450">
      <c r="AI26450" s="80"/>
    </row>
    <row r="26451">
      <c r="AI26451" s="80"/>
    </row>
    <row r="26452">
      <c r="AI26452" s="80"/>
    </row>
    <row r="26453">
      <c r="AI26453" s="80"/>
    </row>
    <row r="26454">
      <c r="AI26454" s="80"/>
    </row>
    <row r="26455">
      <c r="AI26455" s="80"/>
    </row>
    <row r="26456">
      <c r="AI26456" s="80"/>
    </row>
    <row r="26457">
      <c r="AI26457" s="80"/>
    </row>
    <row r="26458">
      <c r="AI26458" s="80"/>
    </row>
    <row r="26459">
      <c r="AI26459" s="80"/>
    </row>
    <row r="26460">
      <c r="AI26460" s="80"/>
    </row>
    <row r="26461">
      <c r="AI26461" s="80"/>
    </row>
    <row r="26462">
      <c r="AI26462" s="80"/>
    </row>
    <row r="26463">
      <c r="AI26463" s="80"/>
    </row>
    <row r="26464">
      <c r="AI26464" s="80"/>
    </row>
    <row r="26465">
      <c r="AI26465" s="80"/>
    </row>
    <row r="26466">
      <c r="AI26466" s="80"/>
    </row>
    <row r="26467">
      <c r="AI26467" s="80"/>
    </row>
    <row r="26468">
      <c r="AI26468" s="80"/>
    </row>
    <row r="26469">
      <c r="AI26469" s="80"/>
    </row>
    <row r="26470">
      <c r="AI26470" s="80"/>
    </row>
    <row r="26471">
      <c r="AI26471" s="80"/>
    </row>
    <row r="26472">
      <c r="AI26472" s="80"/>
    </row>
    <row r="26473">
      <c r="AI26473" s="80"/>
    </row>
    <row r="26474">
      <c r="AI26474" s="80"/>
    </row>
    <row r="26475">
      <c r="AI26475" s="80"/>
    </row>
    <row r="26476">
      <c r="AI26476" s="80"/>
    </row>
    <row r="26477">
      <c r="AI26477" s="80"/>
    </row>
    <row r="26478">
      <c r="AI26478" s="80"/>
    </row>
    <row r="26479">
      <c r="AI26479" s="80"/>
    </row>
    <row r="26480">
      <c r="AI26480" s="80"/>
    </row>
    <row r="26481">
      <c r="AI26481" s="80"/>
    </row>
    <row r="26482">
      <c r="AI26482" s="80"/>
    </row>
    <row r="26483">
      <c r="AI26483" s="80"/>
    </row>
    <row r="26484">
      <c r="AI26484" s="80"/>
    </row>
    <row r="26485">
      <c r="AI26485" s="80"/>
    </row>
    <row r="26486">
      <c r="AI26486" s="80"/>
    </row>
    <row r="26487">
      <c r="AI26487" s="80"/>
    </row>
    <row r="26488">
      <c r="AI26488" s="80"/>
    </row>
    <row r="26489">
      <c r="AI26489" s="80"/>
    </row>
    <row r="26490">
      <c r="AI26490" s="80"/>
    </row>
    <row r="26491">
      <c r="AI26491" s="80"/>
    </row>
    <row r="26492">
      <c r="AI26492" s="80"/>
    </row>
    <row r="26493">
      <c r="AI26493" s="80"/>
    </row>
    <row r="26494">
      <c r="AI26494" s="80"/>
    </row>
    <row r="26495">
      <c r="AI26495" s="80"/>
    </row>
    <row r="26496">
      <c r="AI26496" s="80"/>
    </row>
    <row r="26497">
      <c r="AI26497" s="80"/>
    </row>
    <row r="26498">
      <c r="AI26498" s="80"/>
    </row>
    <row r="26499">
      <c r="AI26499" s="80"/>
    </row>
    <row r="26500">
      <c r="AI26500" s="80"/>
    </row>
    <row r="26501">
      <c r="AI26501" s="80"/>
    </row>
    <row r="26502">
      <c r="AI26502" s="80"/>
    </row>
    <row r="26503">
      <c r="AI26503" s="80"/>
    </row>
    <row r="26504">
      <c r="AI26504" s="80"/>
    </row>
    <row r="26505">
      <c r="AI26505" s="80"/>
    </row>
    <row r="26506">
      <c r="AI26506" s="80"/>
    </row>
    <row r="26507">
      <c r="AI26507" s="80"/>
    </row>
    <row r="26508">
      <c r="AI26508" s="80"/>
    </row>
    <row r="26509">
      <c r="AI26509" s="80"/>
    </row>
    <row r="26510">
      <c r="AI26510" s="80"/>
    </row>
    <row r="26511">
      <c r="AI26511" s="80"/>
    </row>
    <row r="26512">
      <c r="AI26512" s="80"/>
    </row>
    <row r="26513">
      <c r="AI26513" s="80"/>
    </row>
    <row r="26514">
      <c r="AI26514" s="80"/>
    </row>
    <row r="26515">
      <c r="AI26515" s="80"/>
    </row>
    <row r="26516">
      <c r="AI26516" s="80"/>
    </row>
    <row r="26517">
      <c r="AI26517" s="80"/>
    </row>
    <row r="26518">
      <c r="AI26518" s="80"/>
    </row>
    <row r="26519">
      <c r="AI26519" s="80"/>
    </row>
    <row r="26520">
      <c r="AI26520" s="80"/>
    </row>
    <row r="26521">
      <c r="AI26521" s="80"/>
    </row>
    <row r="26522">
      <c r="AI26522" s="80"/>
    </row>
    <row r="26523">
      <c r="AI26523" s="80"/>
    </row>
    <row r="26524">
      <c r="AI26524" s="80"/>
    </row>
    <row r="26525">
      <c r="AI26525" s="80"/>
    </row>
    <row r="26526">
      <c r="AI26526" s="80"/>
    </row>
    <row r="26527">
      <c r="AI26527" s="80"/>
    </row>
    <row r="26528">
      <c r="AI26528" s="80"/>
    </row>
    <row r="26529">
      <c r="AI26529" s="80"/>
    </row>
    <row r="26530">
      <c r="AI26530" s="80"/>
    </row>
    <row r="26531">
      <c r="AI26531" s="80"/>
    </row>
    <row r="26532">
      <c r="AI26532" s="80"/>
    </row>
    <row r="26533">
      <c r="AI26533" s="80"/>
    </row>
    <row r="26534">
      <c r="AI26534" s="80"/>
    </row>
    <row r="26535">
      <c r="AI26535" s="80"/>
    </row>
    <row r="26536">
      <c r="AI26536" s="80"/>
    </row>
    <row r="26537">
      <c r="AI26537" s="80"/>
    </row>
    <row r="26538">
      <c r="AI26538" s="80"/>
    </row>
    <row r="26539">
      <c r="AI26539" s="80"/>
    </row>
    <row r="26540">
      <c r="AI26540" s="80"/>
    </row>
    <row r="26541">
      <c r="AI26541" s="80"/>
    </row>
    <row r="26542">
      <c r="AI26542" s="80"/>
    </row>
    <row r="26543">
      <c r="AI26543" s="80"/>
    </row>
    <row r="26544">
      <c r="AI26544" s="80"/>
    </row>
    <row r="26545">
      <c r="AI26545" s="80"/>
    </row>
    <row r="26546">
      <c r="AI26546" s="80"/>
    </row>
    <row r="26547">
      <c r="AI26547" s="80"/>
    </row>
    <row r="26548">
      <c r="AI26548" s="80"/>
    </row>
    <row r="26549">
      <c r="AI26549" s="80"/>
    </row>
    <row r="26550">
      <c r="AI26550" s="80"/>
    </row>
    <row r="26551">
      <c r="AI26551" s="80"/>
    </row>
    <row r="26552">
      <c r="AI26552" s="80"/>
    </row>
    <row r="26553">
      <c r="AI26553" s="80"/>
    </row>
    <row r="26554">
      <c r="AI26554" s="80"/>
    </row>
    <row r="26555">
      <c r="AI26555" s="80"/>
    </row>
    <row r="26556">
      <c r="AI26556" s="80"/>
    </row>
    <row r="26557">
      <c r="AI26557" s="80"/>
    </row>
    <row r="26558">
      <c r="AI26558" s="80"/>
    </row>
    <row r="26559">
      <c r="AI26559" s="80"/>
    </row>
    <row r="26560">
      <c r="AI26560" s="80"/>
    </row>
    <row r="26561">
      <c r="AI26561" s="80"/>
    </row>
    <row r="26562">
      <c r="AI26562" s="80"/>
    </row>
    <row r="26563">
      <c r="AI26563" s="80"/>
    </row>
    <row r="26564">
      <c r="AI26564" s="80"/>
    </row>
    <row r="26565">
      <c r="AI26565" s="80"/>
    </row>
    <row r="26566">
      <c r="AI26566" s="80"/>
    </row>
    <row r="26567">
      <c r="AI26567" s="80"/>
    </row>
    <row r="26568">
      <c r="AI26568" s="80"/>
    </row>
    <row r="26569">
      <c r="AI26569" s="80"/>
    </row>
    <row r="26570">
      <c r="AI26570" s="80"/>
    </row>
    <row r="26571">
      <c r="AI26571" s="80"/>
    </row>
    <row r="26572">
      <c r="AI26572" s="80"/>
    </row>
    <row r="26573">
      <c r="AI26573" s="80"/>
    </row>
    <row r="26574">
      <c r="AI26574" s="80"/>
    </row>
    <row r="26575">
      <c r="AI26575" s="80"/>
    </row>
    <row r="26576">
      <c r="AI26576" s="80"/>
    </row>
    <row r="26577">
      <c r="AI26577" s="80"/>
    </row>
    <row r="26578">
      <c r="AI26578" s="80"/>
    </row>
    <row r="26579">
      <c r="AI26579" s="80"/>
    </row>
    <row r="26580">
      <c r="AI26580" s="80"/>
    </row>
    <row r="26581">
      <c r="AI26581" s="80"/>
    </row>
    <row r="26582">
      <c r="AI26582" s="80"/>
    </row>
    <row r="26583">
      <c r="AI26583" s="80"/>
    </row>
    <row r="26584">
      <c r="AI26584" s="80"/>
    </row>
    <row r="26585">
      <c r="AI26585" s="80"/>
    </row>
    <row r="26586">
      <c r="AI26586" s="80"/>
    </row>
    <row r="26587">
      <c r="AI26587" s="80"/>
    </row>
    <row r="26588">
      <c r="AI26588" s="80"/>
    </row>
    <row r="26589">
      <c r="AI26589" s="80"/>
    </row>
    <row r="26590">
      <c r="AI26590" s="80"/>
    </row>
    <row r="26591">
      <c r="AI26591" s="80"/>
    </row>
    <row r="26592">
      <c r="AI26592" s="80"/>
    </row>
    <row r="26593">
      <c r="AI26593" s="80"/>
    </row>
    <row r="26594">
      <c r="AI26594" s="80"/>
    </row>
    <row r="26595">
      <c r="AI26595" s="80"/>
    </row>
    <row r="26596">
      <c r="AI26596" s="80"/>
    </row>
    <row r="26597">
      <c r="AI26597" s="80"/>
    </row>
    <row r="26598">
      <c r="AI26598" s="80"/>
    </row>
    <row r="26599">
      <c r="AI26599" s="80"/>
    </row>
    <row r="26600">
      <c r="AI26600" s="80"/>
    </row>
    <row r="26601">
      <c r="AI26601" s="80"/>
    </row>
    <row r="26602">
      <c r="AI26602" s="80"/>
    </row>
    <row r="26603">
      <c r="AI26603" s="80"/>
    </row>
    <row r="26604">
      <c r="AI26604" s="80"/>
    </row>
    <row r="26605">
      <c r="AI26605" s="80"/>
    </row>
    <row r="26606">
      <c r="AI26606" s="80"/>
    </row>
    <row r="26607">
      <c r="AI26607" s="80"/>
    </row>
    <row r="26608">
      <c r="AI26608" s="80"/>
    </row>
    <row r="26609">
      <c r="AI26609" s="80"/>
    </row>
    <row r="26610">
      <c r="AI26610" s="80"/>
    </row>
    <row r="26611">
      <c r="AI26611" s="80"/>
    </row>
    <row r="26612">
      <c r="AI26612" s="80"/>
    </row>
    <row r="26613">
      <c r="AI26613" s="80"/>
    </row>
    <row r="26614">
      <c r="AI26614" s="80"/>
    </row>
    <row r="26615">
      <c r="AI26615" s="80"/>
    </row>
    <row r="26616">
      <c r="AI26616" s="80"/>
    </row>
    <row r="26617">
      <c r="AI26617" s="80"/>
    </row>
    <row r="26618">
      <c r="AI26618" s="80"/>
    </row>
    <row r="26619">
      <c r="AI26619" s="80"/>
    </row>
    <row r="26620">
      <c r="AI26620" s="80"/>
    </row>
    <row r="26621">
      <c r="AI26621" s="80"/>
    </row>
    <row r="26622">
      <c r="AI26622" s="80"/>
    </row>
    <row r="26623">
      <c r="AI26623" s="80"/>
    </row>
    <row r="26624">
      <c r="AI26624" s="80"/>
    </row>
    <row r="26625">
      <c r="AI26625" s="80"/>
    </row>
    <row r="26626">
      <c r="AI26626" s="80"/>
    </row>
    <row r="26627">
      <c r="AI26627" s="80"/>
    </row>
    <row r="26628">
      <c r="AI26628" s="80"/>
    </row>
    <row r="26629">
      <c r="AI26629" s="80"/>
    </row>
    <row r="26630">
      <c r="AI26630" s="80"/>
    </row>
    <row r="26631">
      <c r="AI26631" s="80"/>
    </row>
    <row r="26632">
      <c r="AI26632" s="80"/>
    </row>
    <row r="26633">
      <c r="AI26633" s="80"/>
    </row>
    <row r="26634">
      <c r="AI26634" s="80"/>
    </row>
    <row r="26635">
      <c r="AI26635" s="80"/>
    </row>
    <row r="26636">
      <c r="AI26636" s="80"/>
    </row>
    <row r="26637">
      <c r="AI26637" s="80"/>
    </row>
    <row r="26638">
      <c r="AI26638" s="80"/>
    </row>
    <row r="26639">
      <c r="AI26639" s="80"/>
    </row>
    <row r="26640">
      <c r="AI26640" s="80"/>
    </row>
    <row r="26641">
      <c r="AI26641" s="80"/>
    </row>
    <row r="26642">
      <c r="AI26642" s="80"/>
    </row>
    <row r="26643">
      <c r="AI26643" s="80"/>
    </row>
    <row r="26644">
      <c r="AI26644" s="80"/>
    </row>
    <row r="26645">
      <c r="AI26645" s="80"/>
    </row>
    <row r="26646">
      <c r="AI26646" s="80"/>
    </row>
    <row r="26647">
      <c r="AI26647" s="80"/>
    </row>
    <row r="26648">
      <c r="AI26648" s="80"/>
    </row>
    <row r="26649">
      <c r="AI26649" s="80"/>
    </row>
    <row r="26650">
      <c r="AI26650" s="80"/>
    </row>
    <row r="26651">
      <c r="AI26651" s="80"/>
    </row>
    <row r="26652">
      <c r="AI26652" s="80"/>
    </row>
    <row r="26653">
      <c r="AI26653" s="80"/>
    </row>
    <row r="26654">
      <c r="AI26654" s="80"/>
    </row>
    <row r="26655">
      <c r="AI26655" s="80"/>
    </row>
    <row r="26656">
      <c r="AI26656" s="80"/>
    </row>
    <row r="26657">
      <c r="AI26657" s="80"/>
    </row>
    <row r="26658">
      <c r="AI26658" s="80"/>
    </row>
    <row r="26659">
      <c r="AI26659" s="80"/>
    </row>
    <row r="26660">
      <c r="AI26660" s="80"/>
    </row>
    <row r="26661">
      <c r="AI26661" s="80"/>
    </row>
    <row r="26662">
      <c r="AI26662" s="80"/>
    </row>
    <row r="26663">
      <c r="AI26663" s="80"/>
    </row>
    <row r="26664">
      <c r="AI26664" s="80"/>
    </row>
    <row r="26665">
      <c r="AI26665" s="80"/>
    </row>
    <row r="26666">
      <c r="AI26666" s="80"/>
    </row>
    <row r="26667">
      <c r="AI26667" s="80"/>
    </row>
    <row r="26668">
      <c r="AI26668" s="80"/>
    </row>
    <row r="26669">
      <c r="AI26669" s="80"/>
    </row>
    <row r="26670">
      <c r="AI26670" s="80"/>
    </row>
    <row r="26671">
      <c r="AI26671" s="80"/>
    </row>
    <row r="26672">
      <c r="AI26672" s="80"/>
    </row>
    <row r="26673">
      <c r="AI26673" s="80"/>
    </row>
    <row r="26674">
      <c r="AI26674" s="80"/>
    </row>
    <row r="26675">
      <c r="AI26675" s="80"/>
    </row>
    <row r="26676">
      <c r="AI26676" s="80"/>
    </row>
    <row r="26677">
      <c r="AI26677" s="80"/>
    </row>
    <row r="26678">
      <c r="AI26678" s="80"/>
    </row>
    <row r="26679">
      <c r="AI26679" s="80"/>
    </row>
    <row r="26680">
      <c r="AI26680" s="80"/>
    </row>
    <row r="26681">
      <c r="AI26681" s="80"/>
    </row>
    <row r="26682">
      <c r="AI26682" s="80"/>
    </row>
    <row r="26683">
      <c r="AI26683" s="80"/>
    </row>
    <row r="26684">
      <c r="AI26684" s="80"/>
    </row>
    <row r="26685">
      <c r="AI26685" s="80"/>
    </row>
    <row r="26686">
      <c r="AI26686" s="80"/>
    </row>
    <row r="26687">
      <c r="AI26687" s="80"/>
    </row>
    <row r="26688">
      <c r="AI26688" s="80"/>
    </row>
    <row r="26689">
      <c r="AI26689" s="80"/>
    </row>
    <row r="26690">
      <c r="AI26690" s="80"/>
    </row>
    <row r="26691">
      <c r="AI26691" s="80"/>
    </row>
    <row r="26692">
      <c r="AI26692" s="80"/>
    </row>
    <row r="26693">
      <c r="AI26693" s="80"/>
    </row>
    <row r="26694">
      <c r="AI26694" s="80"/>
    </row>
    <row r="26695">
      <c r="AI26695" s="80"/>
    </row>
    <row r="26696">
      <c r="AI26696" s="80"/>
    </row>
    <row r="26697">
      <c r="AI26697" s="80"/>
    </row>
    <row r="26698">
      <c r="AI26698" s="80"/>
    </row>
    <row r="26699">
      <c r="AI26699" s="80"/>
    </row>
    <row r="26700">
      <c r="AI26700" s="80"/>
    </row>
    <row r="26701">
      <c r="AI26701" s="80"/>
    </row>
    <row r="26702">
      <c r="AI26702" s="80"/>
    </row>
    <row r="26703">
      <c r="AI26703" s="80"/>
    </row>
    <row r="26704">
      <c r="AI26704" s="80"/>
    </row>
    <row r="26705">
      <c r="AI26705" s="80"/>
    </row>
    <row r="26706">
      <c r="AI26706" s="80"/>
    </row>
    <row r="26707">
      <c r="AI26707" s="80"/>
    </row>
    <row r="26708">
      <c r="AI26708" s="80"/>
    </row>
    <row r="26709">
      <c r="AI26709" s="80"/>
    </row>
    <row r="26710">
      <c r="AI26710" s="80"/>
    </row>
    <row r="26711">
      <c r="AI26711" s="80"/>
    </row>
    <row r="26712">
      <c r="AI26712" s="80"/>
    </row>
    <row r="26713">
      <c r="AI26713" s="80"/>
    </row>
    <row r="26714">
      <c r="AI26714" s="80"/>
    </row>
    <row r="26715">
      <c r="AI26715" s="80"/>
    </row>
    <row r="26716">
      <c r="AI26716" s="80"/>
    </row>
    <row r="26717">
      <c r="AI26717" s="80"/>
    </row>
    <row r="26718">
      <c r="AI26718" s="80"/>
    </row>
    <row r="26719">
      <c r="AI26719" s="80"/>
    </row>
    <row r="26720">
      <c r="AI26720" s="80"/>
    </row>
    <row r="26721">
      <c r="AI26721" s="80"/>
    </row>
    <row r="26722">
      <c r="AI26722" s="80"/>
    </row>
    <row r="26723">
      <c r="AI26723" s="80"/>
    </row>
    <row r="26724">
      <c r="AI26724" s="80"/>
    </row>
    <row r="26725">
      <c r="AI26725" s="80"/>
    </row>
    <row r="26726">
      <c r="AI26726" s="80"/>
    </row>
    <row r="26727">
      <c r="AI26727" s="80"/>
    </row>
    <row r="26728">
      <c r="AI26728" s="80"/>
    </row>
    <row r="26729">
      <c r="AI26729" s="80"/>
    </row>
    <row r="26730">
      <c r="AI26730" s="80"/>
    </row>
    <row r="26731">
      <c r="AI26731" s="80"/>
    </row>
    <row r="26732">
      <c r="AI26732" s="80"/>
    </row>
    <row r="26733">
      <c r="AI26733" s="80"/>
    </row>
    <row r="26734">
      <c r="AI26734" s="80"/>
    </row>
    <row r="26735">
      <c r="AI26735" s="80"/>
    </row>
    <row r="26736">
      <c r="AI26736" s="80"/>
    </row>
    <row r="26737">
      <c r="AI26737" s="80"/>
    </row>
    <row r="26738">
      <c r="AI26738" s="80"/>
    </row>
    <row r="26739">
      <c r="AI26739" s="80"/>
    </row>
    <row r="26740">
      <c r="AI26740" s="80"/>
    </row>
    <row r="26741">
      <c r="AI26741" s="80"/>
    </row>
    <row r="26742">
      <c r="AI26742" s="80"/>
    </row>
    <row r="26743">
      <c r="AI26743" s="80"/>
    </row>
    <row r="26744">
      <c r="AI26744" s="80"/>
    </row>
    <row r="26745">
      <c r="AI26745" s="80"/>
    </row>
    <row r="26746">
      <c r="AI26746" s="80"/>
    </row>
    <row r="26747">
      <c r="AI26747" s="80"/>
    </row>
    <row r="26748">
      <c r="AI26748" s="80"/>
    </row>
    <row r="26749">
      <c r="AI26749" s="80"/>
    </row>
    <row r="26750">
      <c r="AI26750" s="80"/>
    </row>
    <row r="26751">
      <c r="AI26751" s="80"/>
    </row>
    <row r="26752">
      <c r="AI26752" s="80"/>
    </row>
    <row r="26753">
      <c r="AI26753" s="80"/>
    </row>
    <row r="26754">
      <c r="AI26754" s="80"/>
    </row>
    <row r="26755">
      <c r="AI26755" s="80"/>
    </row>
    <row r="26756">
      <c r="AI26756" s="80"/>
    </row>
    <row r="26757">
      <c r="AI26757" s="80"/>
    </row>
    <row r="26758">
      <c r="AI26758" s="80"/>
    </row>
    <row r="26759">
      <c r="AI26759" s="80"/>
    </row>
    <row r="26760">
      <c r="AI26760" s="80"/>
    </row>
    <row r="26761">
      <c r="AI26761" s="80"/>
    </row>
    <row r="26762">
      <c r="AI26762" s="80"/>
    </row>
    <row r="26763">
      <c r="AI26763" s="80"/>
    </row>
    <row r="26764">
      <c r="AI26764" s="80"/>
    </row>
    <row r="26765">
      <c r="AI26765" s="80"/>
    </row>
    <row r="26766">
      <c r="AI26766" s="80"/>
    </row>
    <row r="26767">
      <c r="AI26767" s="80"/>
    </row>
    <row r="26768">
      <c r="AI26768" s="80"/>
    </row>
    <row r="26769">
      <c r="AI26769" s="80"/>
    </row>
    <row r="26770">
      <c r="AI26770" s="80"/>
    </row>
    <row r="26771">
      <c r="AI26771" s="80"/>
    </row>
    <row r="26772">
      <c r="AI26772" s="80"/>
    </row>
    <row r="26773">
      <c r="AI26773" s="80"/>
    </row>
    <row r="26774">
      <c r="AI26774" s="80"/>
    </row>
    <row r="26775">
      <c r="AI26775" s="80"/>
    </row>
    <row r="26776">
      <c r="AI26776" s="80"/>
    </row>
    <row r="26777">
      <c r="AI26777" s="80"/>
    </row>
    <row r="26778">
      <c r="AI26778" s="80"/>
    </row>
    <row r="26779">
      <c r="AI26779" s="80"/>
    </row>
    <row r="26780">
      <c r="AI26780" s="80"/>
    </row>
    <row r="26781">
      <c r="AI26781" s="80"/>
    </row>
    <row r="26782">
      <c r="AI26782" s="80"/>
    </row>
    <row r="26783">
      <c r="AI26783" s="80"/>
    </row>
    <row r="26784">
      <c r="AI26784" s="80"/>
    </row>
    <row r="26785">
      <c r="AI26785" s="80"/>
    </row>
    <row r="26786">
      <c r="AI26786" s="80"/>
    </row>
    <row r="26787">
      <c r="AI26787" s="80"/>
    </row>
    <row r="26788">
      <c r="AI26788" s="80"/>
    </row>
    <row r="26789">
      <c r="AI26789" s="80"/>
    </row>
    <row r="26790">
      <c r="AI26790" s="80"/>
    </row>
    <row r="26791">
      <c r="AI26791" s="80"/>
    </row>
    <row r="26792">
      <c r="AI26792" s="80"/>
    </row>
    <row r="26793">
      <c r="AI26793" s="80"/>
    </row>
    <row r="26794">
      <c r="AI26794" s="80"/>
    </row>
    <row r="26795">
      <c r="AI26795" s="80"/>
    </row>
    <row r="26796">
      <c r="AI26796" s="80"/>
    </row>
    <row r="26797">
      <c r="AI26797" s="80"/>
    </row>
    <row r="26798">
      <c r="AI26798" s="80"/>
    </row>
    <row r="26799">
      <c r="AI26799" s="80"/>
    </row>
    <row r="26800">
      <c r="AI26800" s="80"/>
    </row>
    <row r="26801">
      <c r="AI26801" s="80"/>
    </row>
    <row r="26802">
      <c r="AI26802" s="80"/>
    </row>
    <row r="26803">
      <c r="AI26803" s="80"/>
    </row>
    <row r="26804">
      <c r="AI26804" s="80"/>
    </row>
    <row r="26805">
      <c r="AI26805" s="80"/>
    </row>
    <row r="26806">
      <c r="AI26806" s="80"/>
    </row>
    <row r="26807">
      <c r="AI26807" s="80"/>
    </row>
    <row r="26808">
      <c r="AI26808" s="80"/>
    </row>
    <row r="26809">
      <c r="AI26809" s="80"/>
    </row>
    <row r="26810">
      <c r="AI26810" s="80"/>
    </row>
    <row r="26811">
      <c r="AI26811" s="80"/>
    </row>
    <row r="26812">
      <c r="AI26812" s="80"/>
    </row>
    <row r="26813">
      <c r="AI26813" s="80"/>
    </row>
    <row r="26814">
      <c r="AI26814" s="80"/>
    </row>
    <row r="26815">
      <c r="AI26815" s="80"/>
    </row>
    <row r="26816">
      <c r="AI26816" s="80"/>
    </row>
    <row r="26817">
      <c r="AI26817" s="80"/>
    </row>
    <row r="26818">
      <c r="AI26818" s="80"/>
    </row>
    <row r="26819">
      <c r="AI26819" s="80"/>
    </row>
    <row r="26820">
      <c r="AI26820" s="80"/>
    </row>
    <row r="26821">
      <c r="AI26821" s="80"/>
    </row>
    <row r="26822">
      <c r="AI26822" s="80"/>
    </row>
    <row r="26823">
      <c r="AI26823" s="80"/>
    </row>
    <row r="26824">
      <c r="AI26824" s="80"/>
    </row>
    <row r="26825">
      <c r="AI26825" s="80"/>
    </row>
    <row r="26826">
      <c r="AI26826" s="80"/>
    </row>
    <row r="26827">
      <c r="AI26827" s="80"/>
    </row>
    <row r="26828">
      <c r="AI26828" s="80"/>
    </row>
    <row r="26829">
      <c r="AI26829" s="80"/>
    </row>
    <row r="26830">
      <c r="AI26830" s="80"/>
    </row>
    <row r="26831">
      <c r="AI26831" s="80"/>
    </row>
    <row r="26832">
      <c r="AI26832" s="80"/>
    </row>
    <row r="26833">
      <c r="AI26833" s="80"/>
    </row>
    <row r="26834">
      <c r="AI26834" s="80"/>
    </row>
    <row r="26835">
      <c r="AI26835" s="80"/>
    </row>
    <row r="26836">
      <c r="AI26836" s="80"/>
    </row>
    <row r="26837">
      <c r="AI26837" s="80"/>
    </row>
    <row r="26838">
      <c r="AI26838" s="80"/>
    </row>
    <row r="26839">
      <c r="AI26839" s="80"/>
    </row>
    <row r="26840">
      <c r="AI26840" s="80"/>
    </row>
    <row r="26841">
      <c r="AI26841" s="80"/>
    </row>
    <row r="26842">
      <c r="AI26842" s="80"/>
    </row>
    <row r="26843">
      <c r="AI26843" s="80"/>
    </row>
    <row r="26844">
      <c r="AI26844" s="80"/>
    </row>
    <row r="26845">
      <c r="AI26845" s="80"/>
    </row>
    <row r="26846">
      <c r="AI26846" s="80"/>
    </row>
    <row r="26847">
      <c r="AI26847" s="80"/>
    </row>
    <row r="26848">
      <c r="AI26848" s="80"/>
    </row>
    <row r="26849">
      <c r="AI26849" s="80"/>
    </row>
    <row r="26850">
      <c r="AI26850" s="80"/>
    </row>
    <row r="26851">
      <c r="AI26851" s="80"/>
    </row>
    <row r="26852">
      <c r="AI26852" s="80"/>
    </row>
    <row r="26853">
      <c r="AI26853" s="80"/>
    </row>
    <row r="26854">
      <c r="AI26854" s="80"/>
    </row>
    <row r="26855">
      <c r="AI26855" s="80"/>
    </row>
    <row r="26856">
      <c r="AI26856" s="80"/>
    </row>
    <row r="26857">
      <c r="AI26857" s="80"/>
    </row>
    <row r="26858">
      <c r="AI26858" s="80"/>
    </row>
    <row r="26859">
      <c r="AI26859" s="80"/>
    </row>
    <row r="26860">
      <c r="AI26860" s="80"/>
    </row>
    <row r="26861">
      <c r="AI26861" s="80"/>
    </row>
    <row r="26862">
      <c r="AI26862" s="80"/>
    </row>
    <row r="26863">
      <c r="AI26863" s="80"/>
    </row>
    <row r="26864">
      <c r="AI26864" s="80"/>
    </row>
    <row r="26865">
      <c r="AI26865" s="80"/>
    </row>
    <row r="26866">
      <c r="AI26866" s="80"/>
    </row>
    <row r="26867">
      <c r="AI26867" s="80"/>
    </row>
    <row r="26868">
      <c r="AI26868" s="80"/>
    </row>
    <row r="26869">
      <c r="AI26869" s="80"/>
    </row>
    <row r="26870">
      <c r="AI26870" s="80"/>
    </row>
    <row r="26871">
      <c r="AI26871" s="80"/>
    </row>
    <row r="26872">
      <c r="AI26872" s="80"/>
    </row>
    <row r="26873">
      <c r="AI26873" s="80"/>
    </row>
    <row r="26874">
      <c r="AI26874" s="80"/>
    </row>
    <row r="26875">
      <c r="AI26875" s="80"/>
    </row>
    <row r="26876">
      <c r="AI26876" s="80"/>
    </row>
    <row r="26877">
      <c r="AI26877" s="80"/>
    </row>
    <row r="26878">
      <c r="AI26878" s="80"/>
    </row>
    <row r="26879">
      <c r="AI26879" s="80"/>
    </row>
    <row r="26880">
      <c r="AI26880" s="80"/>
    </row>
    <row r="26881">
      <c r="AI26881" s="80"/>
    </row>
    <row r="26882">
      <c r="AI26882" s="80"/>
    </row>
    <row r="26883">
      <c r="AI26883" s="80"/>
    </row>
    <row r="26884">
      <c r="AI26884" s="80"/>
    </row>
    <row r="26885">
      <c r="AI26885" s="80"/>
    </row>
    <row r="26886">
      <c r="AI26886" s="80"/>
    </row>
    <row r="26887">
      <c r="AI26887" s="80"/>
    </row>
    <row r="26888">
      <c r="AI26888" s="80"/>
    </row>
    <row r="26889">
      <c r="AI26889" s="80"/>
    </row>
    <row r="26890">
      <c r="AI26890" s="80"/>
    </row>
    <row r="26891">
      <c r="AI26891" s="80"/>
    </row>
    <row r="26892">
      <c r="AI26892" s="80"/>
    </row>
    <row r="26893">
      <c r="AI26893" s="80"/>
    </row>
    <row r="26894">
      <c r="AI26894" s="80"/>
    </row>
    <row r="26895">
      <c r="AI26895" s="80"/>
    </row>
    <row r="26896">
      <c r="AI26896" s="80"/>
    </row>
    <row r="26897">
      <c r="AI26897" s="80"/>
    </row>
    <row r="26898">
      <c r="AI26898" s="80"/>
    </row>
    <row r="26899">
      <c r="AI26899" s="80"/>
    </row>
    <row r="26900">
      <c r="AI26900" s="80"/>
    </row>
    <row r="26901">
      <c r="AI26901" s="80"/>
    </row>
    <row r="26902">
      <c r="AI26902" s="80"/>
    </row>
    <row r="26903">
      <c r="AI26903" s="80"/>
    </row>
    <row r="26904">
      <c r="AI26904" s="80"/>
    </row>
    <row r="26905">
      <c r="AI26905" s="80"/>
    </row>
    <row r="26906">
      <c r="AI26906" s="80"/>
    </row>
    <row r="26907">
      <c r="AI26907" s="80"/>
    </row>
    <row r="26908">
      <c r="AI26908" s="80"/>
    </row>
    <row r="26909">
      <c r="AI26909" s="80"/>
    </row>
    <row r="26910">
      <c r="AI26910" s="80"/>
    </row>
    <row r="26911">
      <c r="AI26911" s="80"/>
    </row>
    <row r="26912">
      <c r="AI26912" s="80"/>
    </row>
    <row r="26913">
      <c r="AI26913" s="80"/>
    </row>
    <row r="26914">
      <c r="AI26914" s="80"/>
    </row>
    <row r="26915">
      <c r="AI26915" s="80"/>
    </row>
    <row r="26916">
      <c r="AI26916" s="80"/>
    </row>
    <row r="26917">
      <c r="AI26917" s="80"/>
    </row>
    <row r="26918">
      <c r="AI26918" s="80"/>
    </row>
    <row r="26919">
      <c r="AI26919" s="80"/>
    </row>
    <row r="26920">
      <c r="AI26920" s="80"/>
    </row>
    <row r="26921">
      <c r="AI26921" s="80"/>
    </row>
    <row r="26922">
      <c r="AI26922" s="80"/>
    </row>
    <row r="26923">
      <c r="AI26923" s="80"/>
    </row>
    <row r="26924">
      <c r="AI26924" s="80"/>
    </row>
    <row r="26925">
      <c r="AI26925" s="80"/>
    </row>
    <row r="26926">
      <c r="AI26926" s="80"/>
    </row>
    <row r="26927">
      <c r="AI26927" s="80"/>
    </row>
    <row r="26928">
      <c r="AI26928" s="80"/>
    </row>
    <row r="26929">
      <c r="AI26929" s="80"/>
    </row>
    <row r="26930">
      <c r="AI26930" s="80"/>
    </row>
    <row r="26931">
      <c r="AI26931" s="80"/>
    </row>
    <row r="26932">
      <c r="AI26932" s="80"/>
    </row>
    <row r="26933">
      <c r="AI26933" s="80"/>
    </row>
    <row r="26934">
      <c r="AI26934" s="80"/>
    </row>
    <row r="26935">
      <c r="AI26935" s="80"/>
    </row>
    <row r="26936">
      <c r="AI26936" s="80"/>
    </row>
    <row r="26937">
      <c r="AI26937" s="80"/>
    </row>
    <row r="26938">
      <c r="AI26938" s="80"/>
    </row>
    <row r="26939">
      <c r="AI26939" s="80"/>
    </row>
    <row r="26940">
      <c r="AI26940" s="80"/>
    </row>
    <row r="26941">
      <c r="AI26941" s="80"/>
    </row>
    <row r="26942">
      <c r="AI26942" s="80"/>
    </row>
    <row r="26943">
      <c r="AI26943" s="80"/>
    </row>
    <row r="26944">
      <c r="AI26944" s="80"/>
    </row>
    <row r="26945">
      <c r="AI26945" s="80"/>
    </row>
    <row r="26946">
      <c r="AI26946" s="80"/>
    </row>
    <row r="26947">
      <c r="AI26947" s="80"/>
    </row>
    <row r="26948">
      <c r="AI26948" s="80"/>
    </row>
    <row r="26949">
      <c r="AI26949" s="80"/>
    </row>
    <row r="26950">
      <c r="AI26950" s="80"/>
    </row>
    <row r="26951">
      <c r="AI26951" s="80"/>
    </row>
    <row r="26952">
      <c r="AI26952" s="80"/>
    </row>
    <row r="26953">
      <c r="AI26953" s="80"/>
    </row>
    <row r="26954">
      <c r="AI26954" s="80"/>
    </row>
    <row r="26955">
      <c r="AI26955" s="80"/>
    </row>
    <row r="26956">
      <c r="AI26956" s="80"/>
    </row>
    <row r="26957">
      <c r="AI26957" s="80"/>
    </row>
    <row r="26958">
      <c r="AI26958" s="80"/>
    </row>
    <row r="26959">
      <c r="AI26959" s="80"/>
    </row>
    <row r="26960">
      <c r="AI26960" s="80"/>
    </row>
    <row r="26961">
      <c r="AI26961" s="80"/>
    </row>
    <row r="26962">
      <c r="AI26962" s="80"/>
    </row>
    <row r="26963">
      <c r="AI26963" s="80"/>
    </row>
    <row r="26964">
      <c r="AI26964" s="80"/>
    </row>
    <row r="26965">
      <c r="AI26965" s="80"/>
    </row>
    <row r="26966">
      <c r="AI26966" s="80"/>
    </row>
    <row r="26967">
      <c r="AI26967" s="80"/>
    </row>
    <row r="26968">
      <c r="AI26968" s="80"/>
    </row>
    <row r="26969">
      <c r="AI26969" s="80"/>
    </row>
    <row r="26970">
      <c r="AI26970" s="80"/>
    </row>
    <row r="26971">
      <c r="AI26971" s="80"/>
    </row>
    <row r="26972">
      <c r="AI26972" s="80"/>
    </row>
    <row r="26973">
      <c r="AI26973" s="80"/>
    </row>
    <row r="26974">
      <c r="AI26974" s="80"/>
    </row>
    <row r="26975">
      <c r="AI26975" s="80"/>
    </row>
    <row r="26976">
      <c r="AI26976" s="80"/>
    </row>
    <row r="26977">
      <c r="AI26977" s="80"/>
    </row>
    <row r="26978">
      <c r="AI26978" s="80"/>
    </row>
    <row r="26979">
      <c r="AI26979" s="80"/>
    </row>
    <row r="26980">
      <c r="AI26980" s="80"/>
    </row>
    <row r="26981">
      <c r="AI26981" s="80"/>
    </row>
    <row r="26982">
      <c r="AI26982" s="80"/>
    </row>
    <row r="26983">
      <c r="AI26983" s="80"/>
    </row>
    <row r="26984">
      <c r="AI26984" s="80"/>
    </row>
    <row r="26985">
      <c r="AI26985" s="80"/>
    </row>
    <row r="26986">
      <c r="AI26986" s="80"/>
    </row>
    <row r="26987">
      <c r="AI26987" s="80"/>
    </row>
    <row r="26988">
      <c r="AI26988" s="80"/>
    </row>
    <row r="26989">
      <c r="AI26989" s="80"/>
    </row>
    <row r="26990">
      <c r="AI26990" s="80"/>
    </row>
    <row r="26991">
      <c r="AI26991" s="80"/>
    </row>
    <row r="26992">
      <c r="AI26992" s="80"/>
    </row>
    <row r="26993">
      <c r="AI26993" s="80"/>
    </row>
    <row r="26994">
      <c r="AI26994" s="80"/>
    </row>
    <row r="26995">
      <c r="AI26995" s="80"/>
    </row>
    <row r="26996">
      <c r="AI26996" s="80"/>
    </row>
    <row r="26997">
      <c r="AI26997" s="80"/>
    </row>
    <row r="26998">
      <c r="AI26998" s="80"/>
    </row>
    <row r="26999">
      <c r="AI26999" s="80"/>
    </row>
    <row r="27000">
      <c r="AI27000" s="80"/>
    </row>
    <row r="27001">
      <c r="AI27001" s="80"/>
    </row>
    <row r="27002">
      <c r="AI27002" s="80"/>
    </row>
    <row r="27003">
      <c r="AI27003" s="80"/>
    </row>
    <row r="27004">
      <c r="AI27004" s="80"/>
    </row>
    <row r="27005">
      <c r="AI27005" s="80"/>
    </row>
    <row r="27006">
      <c r="AI27006" s="80"/>
    </row>
    <row r="27007">
      <c r="AI27007" s="80"/>
    </row>
    <row r="27008">
      <c r="AI27008" s="80"/>
    </row>
    <row r="27009">
      <c r="AI27009" s="80"/>
    </row>
    <row r="27010">
      <c r="AI27010" s="80"/>
    </row>
    <row r="27011">
      <c r="AI27011" s="80"/>
    </row>
    <row r="27012">
      <c r="AI27012" s="80"/>
    </row>
    <row r="27013">
      <c r="AI27013" s="80"/>
    </row>
    <row r="27014">
      <c r="AI27014" s="80"/>
    </row>
    <row r="27015">
      <c r="AI27015" s="80"/>
    </row>
    <row r="27016">
      <c r="AI27016" s="80"/>
    </row>
    <row r="27017">
      <c r="AI27017" s="80"/>
    </row>
    <row r="27018">
      <c r="AI27018" s="80"/>
    </row>
    <row r="27019">
      <c r="AI27019" s="80"/>
    </row>
    <row r="27020">
      <c r="AI27020" s="80"/>
    </row>
    <row r="27021">
      <c r="AI27021" s="80"/>
    </row>
    <row r="27022">
      <c r="AI27022" s="80"/>
    </row>
    <row r="27023">
      <c r="AI27023" s="80"/>
    </row>
    <row r="27024">
      <c r="AI27024" s="80"/>
    </row>
    <row r="27025">
      <c r="AI27025" s="80"/>
    </row>
    <row r="27026">
      <c r="AI27026" s="80"/>
    </row>
    <row r="27027">
      <c r="AI27027" s="80"/>
    </row>
    <row r="27028">
      <c r="AI27028" s="80"/>
    </row>
    <row r="27029">
      <c r="AI27029" s="80"/>
    </row>
    <row r="27030">
      <c r="AI27030" s="80"/>
    </row>
    <row r="27031">
      <c r="AI27031" s="80"/>
    </row>
    <row r="27032">
      <c r="AI27032" s="80"/>
    </row>
    <row r="27033">
      <c r="AI27033" s="80"/>
    </row>
    <row r="27034">
      <c r="AI27034" s="80"/>
    </row>
    <row r="27035">
      <c r="AI27035" s="80"/>
    </row>
    <row r="27036">
      <c r="AI27036" s="80"/>
    </row>
    <row r="27037">
      <c r="AI27037" s="80"/>
    </row>
    <row r="27038">
      <c r="AI27038" s="80"/>
    </row>
    <row r="27039">
      <c r="AI27039" s="80"/>
    </row>
    <row r="27040">
      <c r="AI27040" s="80"/>
    </row>
    <row r="27041">
      <c r="AI27041" s="80"/>
    </row>
    <row r="27042">
      <c r="AI27042" s="80"/>
    </row>
    <row r="27043">
      <c r="AI27043" s="80"/>
    </row>
    <row r="27044">
      <c r="AI27044" s="80"/>
    </row>
    <row r="27045">
      <c r="AI27045" s="80"/>
    </row>
    <row r="27046">
      <c r="AI27046" s="80"/>
    </row>
    <row r="27047">
      <c r="AI27047" s="80"/>
    </row>
    <row r="27048">
      <c r="AI27048" s="80"/>
    </row>
    <row r="27049">
      <c r="AI27049" s="80"/>
    </row>
    <row r="27050">
      <c r="AI27050" s="80"/>
    </row>
    <row r="27051">
      <c r="AI27051" s="80"/>
    </row>
    <row r="27052">
      <c r="AI27052" s="80"/>
    </row>
    <row r="27053">
      <c r="AI27053" s="80"/>
    </row>
    <row r="27054">
      <c r="AI27054" s="80"/>
    </row>
    <row r="27055">
      <c r="AI27055" s="80"/>
    </row>
    <row r="27056">
      <c r="AI27056" s="80"/>
    </row>
    <row r="27057">
      <c r="AI27057" s="80"/>
    </row>
    <row r="27058">
      <c r="AI27058" s="80"/>
    </row>
    <row r="27059">
      <c r="AI27059" s="80"/>
    </row>
    <row r="27060">
      <c r="AI27060" s="80"/>
    </row>
    <row r="27061">
      <c r="AI27061" s="80"/>
    </row>
    <row r="27062">
      <c r="AI27062" s="80"/>
    </row>
    <row r="27063">
      <c r="AI27063" s="80"/>
    </row>
    <row r="27064">
      <c r="AI27064" s="80"/>
    </row>
    <row r="27065">
      <c r="AI27065" s="80"/>
    </row>
    <row r="27066">
      <c r="AI27066" s="80"/>
    </row>
    <row r="27067">
      <c r="AI27067" s="80"/>
    </row>
    <row r="27068">
      <c r="AI27068" s="80"/>
    </row>
    <row r="27069">
      <c r="AI27069" s="80"/>
    </row>
    <row r="27070">
      <c r="AI27070" s="80"/>
    </row>
    <row r="27071">
      <c r="AI27071" s="80"/>
    </row>
    <row r="27072">
      <c r="AI27072" s="80"/>
    </row>
    <row r="27073">
      <c r="AI27073" s="80"/>
    </row>
    <row r="27074">
      <c r="AI27074" s="80"/>
    </row>
    <row r="27075">
      <c r="AI27075" s="80"/>
    </row>
    <row r="27076">
      <c r="AI27076" s="80"/>
    </row>
    <row r="27077">
      <c r="AI27077" s="80"/>
    </row>
    <row r="27078">
      <c r="AI27078" s="80"/>
    </row>
    <row r="27079">
      <c r="AI27079" s="80"/>
    </row>
    <row r="27080">
      <c r="AI27080" s="80"/>
    </row>
    <row r="27081">
      <c r="AI27081" s="80"/>
    </row>
    <row r="27082">
      <c r="AI27082" s="80"/>
    </row>
    <row r="27083">
      <c r="AI27083" s="80"/>
    </row>
    <row r="27084">
      <c r="AI27084" s="80"/>
    </row>
    <row r="27085">
      <c r="AI27085" s="80"/>
    </row>
    <row r="27086">
      <c r="AI27086" s="80"/>
    </row>
    <row r="27087">
      <c r="AI27087" s="80"/>
    </row>
    <row r="27088">
      <c r="AI27088" s="80"/>
    </row>
    <row r="27089">
      <c r="AI27089" s="80"/>
    </row>
    <row r="27090">
      <c r="AI27090" s="80"/>
    </row>
    <row r="27091">
      <c r="AI27091" s="80"/>
    </row>
    <row r="27092">
      <c r="AI27092" s="80"/>
    </row>
    <row r="27093">
      <c r="AI27093" s="80"/>
    </row>
    <row r="27094">
      <c r="AI27094" s="80"/>
    </row>
    <row r="27095">
      <c r="AI27095" s="80"/>
    </row>
    <row r="27096">
      <c r="AI27096" s="80"/>
    </row>
    <row r="27097">
      <c r="AI27097" s="80"/>
    </row>
    <row r="27098">
      <c r="AI27098" s="80"/>
    </row>
    <row r="27099">
      <c r="AI27099" s="80"/>
    </row>
    <row r="27100">
      <c r="AI27100" s="80"/>
    </row>
    <row r="27101">
      <c r="AI27101" s="80"/>
    </row>
    <row r="27102">
      <c r="AI27102" s="80"/>
    </row>
    <row r="27103">
      <c r="AI27103" s="80"/>
    </row>
    <row r="27104">
      <c r="AI27104" s="80"/>
    </row>
    <row r="27105">
      <c r="AI27105" s="80"/>
    </row>
    <row r="27106">
      <c r="AI27106" s="80"/>
    </row>
    <row r="27107">
      <c r="AI27107" s="80"/>
    </row>
    <row r="27108">
      <c r="AI27108" s="80"/>
    </row>
    <row r="27109">
      <c r="AI27109" s="80"/>
    </row>
    <row r="27110">
      <c r="AI27110" s="80"/>
    </row>
    <row r="27111">
      <c r="AI27111" s="80"/>
    </row>
    <row r="27112">
      <c r="AI27112" s="80"/>
    </row>
    <row r="27113">
      <c r="AI27113" s="80"/>
    </row>
    <row r="27114">
      <c r="AI27114" s="80"/>
    </row>
    <row r="27115">
      <c r="AI27115" s="80"/>
    </row>
    <row r="27116">
      <c r="AI27116" s="80"/>
    </row>
    <row r="27117">
      <c r="AI27117" s="80"/>
    </row>
    <row r="27118">
      <c r="AI27118" s="80"/>
    </row>
    <row r="27119">
      <c r="AI27119" s="80"/>
    </row>
    <row r="27120">
      <c r="AI27120" s="80"/>
    </row>
    <row r="27121">
      <c r="AI27121" s="80"/>
    </row>
    <row r="27122">
      <c r="AI27122" s="80"/>
    </row>
    <row r="27123">
      <c r="AI27123" s="80"/>
    </row>
    <row r="27124">
      <c r="AI27124" s="80"/>
    </row>
    <row r="27125">
      <c r="AI27125" s="80"/>
    </row>
    <row r="27126">
      <c r="AI27126" s="80"/>
    </row>
    <row r="27127">
      <c r="AI27127" s="80"/>
    </row>
    <row r="27128">
      <c r="AI27128" s="80"/>
    </row>
    <row r="27129">
      <c r="AI27129" s="80"/>
    </row>
    <row r="27130">
      <c r="AI27130" s="80"/>
    </row>
    <row r="27131">
      <c r="AI27131" s="80"/>
    </row>
    <row r="27132">
      <c r="AI27132" s="80"/>
    </row>
    <row r="27133">
      <c r="AI27133" s="80"/>
    </row>
    <row r="27134">
      <c r="AI27134" s="80"/>
    </row>
    <row r="27135">
      <c r="AI27135" s="80"/>
    </row>
    <row r="27136">
      <c r="AI27136" s="80"/>
    </row>
    <row r="27137">
      <c r="AI27137" s="80"/>
    </row>
    <row r="27138">
      <c r="AI27138" s="80"/>
    </row>
    <row r="27139">
      <c r="AI27139" s="80"/>
    </row>
    <row r="27140">
      <c r="AI27140" s="80"/>
    </row>
    <row r="27141">
      <c r="AI27141" s="80"/>
    </row>
    <row r="27142">
      <c r="AI27142" s="80"/>
    </row>
    <row r="27143">
      <c r="AI27143" s="80"/>
    </row>
    <row r="27144">
      <c r="AI27144" s="80"/>
    </row>
    <row r="27145">
      <c r="AI27145" s="80"/>
    </row>
    <row r="27146">
      <c r="AI27146" s="80"/>
    </row>
    <row r="27147">
      <c r="AI27147" s="80"/>
    </row>
    <row r="27148">
      <c r="AI27148" s="80"/>
    </row>
    <row r="27149">
      <c r="AI27149" s="80"/>
    </row>
    <row r="27150">
      <c r="AI27150" s="80"/>
    </row>
    <row r="27151">
      <c r="AI27151" s="80"/>
    </row>
    <row r="27152">
      <c r="AI27152" s="80"/>
    </row>
    <row r="27153">
      <c r="AI27153" s="80"/>
    </row>
    <row r="27154">
      <c r="AI27154" s="80"/>
    </row>
    <row r="27155">
      <c r="AI27155" s="80"/>
    </row>
    <row r="27156">
      <c r="AI27156" s="80"/>
    </row>
    <row r="27157">
      <c r="AI27157" s="80"/>
    </row>
    <row r="27158">
      <c r="AI27158" s="80"/>
    </row>
    <row r="27159">
      <c r="AI27159" s="80"/>
    </row>
    <row r="27160">
      <c r="AI27160" s="80"/>
    </row>
    <row r="27161">
      <c r="AI27161" s="80"/>
    </row>
    <row r="27162">
      <c r="AI27162" s="80"/>
    </row>
    <row r="27163">
      <c r="AI27163" s="80"/>
    </row>
    <row r="27164">
      <c r="AI27164" s="80"/>
    </row>
    <row r="27165">
      <c r="AI27165" s="80"/>
    </row>
    <row r="27166">
      <c r="AI27166" s="80"/>
    </row>
    <row r="27167">
      <c r="AI27167" s="80"/>
    </row>
    <row r="27168">
      <c r="AI27168" s="80"/>
    </row>
    <row r="27169">
      <c r="AI27169" s="80"/>
    </row>
    <row r="27170">
      <c r="AI27170" s="80"/>
    </row>
    <row r="27171">
      <c r="AI27171" s="80"/>
    </row>
    <row r="27172">
      <c r="AI27172" s="80"/>
    </row>
    <row r="27173">
      <c r="AI27173" s="80"/>
    </row>
    <row r="27174">
      <c r="AI27174" s="80"/>
    </row>
    <row r="27175">
      <c r="AI27175" s="80"/>
    </row>
    <row r="27176">
      <c r="AI27176" s="80"/>
    </row>
    <row r="27177">
      <c r="AI27177" s="80"/>
    </row>
    <row r="27178">
      <c r="AI27178" s="80"/>
    </row>
    <row r="27179">
      <c r="AI27179" s="80"/>
    </row>
    <row r="27180">
      <c r="AI27180" s="80"/>
    </row>
    <row r="27181">
      <c r="AI27181" s="80"/>
    </row>
    <row r="27182">
      <c r="AI27182" s="80"/>
    </row>
    <row r="27183">
      <c r="AI27183" s="80"/>
    </row>
    <row r="27184">
      <c r="AI27184" s="80"/>
    </row>
    <row r="27185">
      <c r="AI27185" s="80"/>
    </row>
    <row r="27186">
      <c r="AI27186" s="80"/>
    </row>
    <row r="27187">
      <c r="AI27187" s="80"/>
    </row>
    <row r="27188">
      <c r="AI27188" s="80"/>
    </row>
    <row r="27189">
      <c r="AI27189" s="80"/>
    </row>
    <row r="27190">
      <c r="AI27190" s="80"/>
    </row>
    <row r="27191">
      <c r="AI27191" s="80"/>
    </row>
    <row r="27192">
      <c r="AI27192" s="80"/>
    </row>
    <row r="27193">
      <c r="AI27193" s="80"/>
    </row>
    <row r="27194">
      <c r="AI27194" s="80"/>
    </row>
    <row r="27195">
      <c r="AI27195" s="80"/>
    </row>
    <row r="27196">
      <c r="AI27196" s="80"/>
    </row>
    <row r="27197">
      <c r="AI27197" s="80"/>
    </row>
    <row r="27198">
      <c r="AI27198" s="80"/>
    </row>
    <row r="27199">
      <c r="AI27199" s="80"/>
    </row>
    <row r="27200">
      <c r="AI27200" s="80"/>
    </row>
    <row r="27201">
      <c r="AI27201" s="80"/>
    </row>
    <row r="27202">
      <c r="AI27202" s="80"/>
    </row>
    <row r="27203">
      <c r="AI27203" s="80"/>
    </row>
    <row r="27204">
      <c r="AI27204" s="80"/>
    </row>
    <row r="27205">
      <c r="AI27205" s="80"/>
    </row>
    <row r="27206">
      <c r="AI27206" s="80"/>
    </row>
    <row r="27207">
      <c r="AI27207" s="80"/>
    </row>
    <row r="27208">
      <c r="AI27208" s="80"/>
    </row>
    <row r="27209">
      <c r="AI27209" s="80"/>
    </row>
    <row r="27210">
      <c r="AI27210" s="80"/>
    </row>
    <row r="27211">
      <c r="AI27211" s="80"/>
    </row>
    <row r="27212">
      <c r="AI27212" s="80"/>
    </row>
    <row r="27213">
      <c r="AI27213" s="80"/>
    </row>
    <row r="27214">
      <c r="AI27214" s="80"/>
    </row>
    <row r="27215">
      <c r="AI27215" s="80"/>
    </row>
    <row r="27216">
      <c r="AI27216" s="80"/>
    </row>
    <row r="27217">
      <c r="AI27217" s="80"/>
    </row>
    <row r="27218">
      <c r="AI27218" s="80"/>
    </row>
    <row r="27219">
      <c r="AI27219" s="80"/>
    </row>
    <row r="27220">
      <c r="AI27220" s="80"/>
    </row>
    <row r="27221">
      <c r="AI27221" s="80"/>
    </row>
    <row r="27222">
      <c r="AI27222" s="80"/>
    </row>
    <row r="27223">
      <c r="AI27223" s="80"/>
    </row>
    <row r="27224">
      <c r="AI27224" s="80"/>
    </row>
    <row r="27225">
      <c r="AI27225" s="80"/>
    </row>
    <row r="27226">
      <c r="AI27226" s="80"/>
    </row>
    <row r="27227">
      <c r="AI27227" s="80"/>
    </row>
    <row r="27228">
      <c r="AI27228" s="80"/>
    </row>
    <row r="27229">
      <c r="AI27229" s="80"/>
    </row>
    <row r="27230">
      <c r="AI27230" s="80"/>
    </row>
    <row r="27231">
      <c r="AI27231" s="80"/>
    </row>
    <row r="27232">
      <c r="AI27232" s="80"/>
    </row>
    <row r="27233">
      <c r="AI27233" s="80"/>
    </row>
    <row r="27234">
      <c r="AI27234" s="80"/>
    </row>
    <row r="27235">
      <c r="AI27235" s="80"/>
    </row>
    <row r="27236">
      <c r="AI27236" s="80"/>
    </row>
    <row r="27237">
      <c r="AI27237" s="80"/>
    </row>
    <row r="27238">
      <c r="AI27238" s="80"/>
    </row>
    <row r="27239">
      <c r="AI27239" s="80"/>
    </row>
    <row r="27240">
      <c r="AI27240" s="80"/>
    </row>
    <row r="27241">
      <c r="AI27241" s="80"/>
    </row>
    <row r="27242">
      <c r="AI27242" s="80"/>
    </row>
    <row r="27243">
      <c r="AI27243" s="80"/>
    </row>
    <row r="27244">
      <c r="AI27244" s="80"/>
    </row>
    <row r="27245">
      <c r="AI27245" s="80"/>
    </row>
    <row r="27246">
      <c r="AI27246" s="80"/>
    </row>
    <row r="27247">
      <c r="AI27247" s="80"/>
    </row>
    <row r="27248">
      <c r="AI27248" s="80"/>
    </row>
    <row r="27249">
      <c r="AI27249" s="80"/>
    </row>
    <row r="27250">
      <c r="AI27250" s="80"/>
    </row>
    <row r="27251">
      <c r="AI27251" s="80"/>
    </row>
    <row r="27252">
      <c r="AI27252" s="80"/>
    </row>
    <row r="27253">
      <c r="AI27253" s="80"/>
    </row>
    <row r="27254">
      <c r="AI27254" s="80"/>
    </row>
    <row r="27255">
      <c r="AI27255" s="80"/>
    </row>
    <row r="27256">
      <c r="AI27256" s="80"/>
    </row>
    <row r="27257">
      <c r="AI27257" s="80"/>
    </row>
    <row r="27258">
      <c r="AI27258" s="80"/>
    </row>
    <row r="27259">
      <c r="AI27259" s="80"/>
    </row>
    <row r="27260">
      <c r="AI27260" s="80"/>
    </row>
    <row r="27261">
      <c r="AI27261" s="80"/>
    </row>
    <row r="27262">
      <c r="AI27262" s="80"/>
    </row>
    <row r="27263">
      <c r="AI27263" s="80"/>
    </row>
    <row r="27264">
      <c r="AI27264" s="80"/>
    </row>
    <row r="27265">
      <c r="AI27265" s="80"/>
    </row>
    <row r="27266">
      <c r="AI27266" s="80"/>
    </row>
    <row r="27267">
      <c r="AI27267" s="80"/>
    </row>
    <row r="27268">
      <c r="AI27268" s="80"/>
    </row>
    <row r="27269">
      <c r="AI27269" s="80"/>
    </row>
    <row r="27270">
      <c r="AI27270" s="80"/>
    </row>
    <row r="27271">
      <c r="AI27271" s="80"/>
    </row>
    <row r="27272">
      <c r="AI27272" s="80"/>
    </row>
    <row r="27273">
      <c r="AI27273" s="80"/>
    </row>
    <row r="27274">
      <c r="AI27274" s="80"/>
    </row>
    <row r="27275">
      <c r="AI27275" s="80"/>
    </row>
    <row r="27276">
      <c r="AI27276" s="80"/>
    </row>
    <row r="27277">
      <c r="AI27277" s="80"/>
    </row>
    <row r="27278">
      <c r="AI27278" s="80"/>
    </row>
    <row r="27279">
      <c r="AI27279" s="80"/>
    </row>
    <row r="27280">
      <c r="AI27280" s="80"/>
    </row>
    <row r="27281">
      <c r="AI27281" s="80"/>
    </row>
    <row r="27282">
      <c r="AI27282" s="80"/>
    </row>
    <row r="27283">
      <c r="AI27283" s="80"/>
    </row>
    <row r="27284">
      <c r="AI27284" s="80"/>
    </row>
    <row r="27285">
      <c r="AI27285" s="80"/>
    </row>
    <row r="27286">
      <c r="AI27286" s="80"/>
    </row>
    <row r="27287">
      <c r="AI27287" s="80"/>
    </row>
    <row r="27288">
      <c r="AI27288" s="80"/>
    </row>
    <row r="27289">
      <c r="AI27289" s="80"/>
    </row>
    <row r="27290">
      <c r="AI27290" s="80"/>
    </row>
    <row r="27291">
      <c r="AI27291" s="80"/>
    </row>
    <row r="27292">
      <c r="AI27292" s="80"/>
    </row>
    <row r="27293">
      <c r="AI27293" s="80"/>
    </row>
    <row r="27294">
      <c r="AI27294" s="80"/>
    </row>
    <row r="27295">
      <c r="AI27295" s="80"/>
    </row>
    <row r="27296">
      <c r="AI27296" s="80"/>
    </row>
    <row r="27297">
      <c r="AI27297" s="80"/>
    </row>
    <row r="27298">
      <c r="AI27298" s="80"/>
    </row>
    <row r="27299">
      <c r="AI27299" s="80"/>
    </row>
    <row r="27300">
      <c r="AI27300" s="80"/>
    </row>
    <row r="27301">
      <c r="AI27301" s="80"/>
    </row>
    <row r="27302">
      <c r="AI27302" s="80"/>
    </row>
    <row r="27303">
      <c r="AI27303" s="80"/>
    </row>
    <row r="27304">
      <c r="AI27304" s="80"/>
    </row>
    <row r="27305">
      <c r="AI27305" s="80"/>
    </row>
    <row r="27306">
      <c r="AI27306" s="80"/>
    </row>
    <row r="27307">
      <c r="AI27307" s="80"/>
    </row>
    <row r="27308">
      <c r="AI27308" s="80"/>
    </row>
    <row r="27309">
      <c r="AI27309" s="80"/>
    </row>
    <row r="27310">
      <c r="AI27310" s="80"/>
    </row>
    <row r="27311">
      <c r="AI27311" s="80"/>
    </row>
    <row r="27312">
      <c r="AI27312" s="80"/>
    </row>
    <row r="27313">
      <c r="AI27313" s="80"/>
    </row>
    <row r="27314">
      <c r="AI27314" s="80"/>
    </row>
    <row r="27315">
      <c r="AI27315" s="80"/>
    </row>
    <row r="27316">
      <c r="AI27316" s="80"/>
    </row>
    <row r="27317">
      <c r="AI27317" s="80"/>
    </row>
    <row r="27318">
      <c r="AI27318" s="80"/>
    </row>
    <row r="27319">
      <c r="AI27319" s="80"/>
    </row>
    <row r="27320">
      <c r="AI27320" s="80"/>
    </row>
    <row r="27321">
      <c r="AI27321" s="80"/>
    </row>
    <row r="27322">
      <c r="AI27322" s="80"/>
    </row>
    <row r="27323">
      <c r="AI27323" s="80"/>
    </row>
    <row r="27324">
      <c r="AI27324" s="80"/>
    </row>
    <row r="27325">
      <c r="AI27325" s="80"/>
    </row>
    <row r="27326">
      <c r="AI27326" s="80"/>
    </row>
    <row r="27327">
      <c r="AI27327" s="80"/>
    </row>
    <row r="27328">
      <c r="AI27328" s="80"/>
    </row>
    <row r="27329">
      <c r="AI27329" s="80"/>
    </row>
    <row r="27330">
      <c r="AI27330" s="80"/>
    </row>
    <row r="27331">
      <c r="AI27331" s="80"/>
    </row>
    <row r="27332">
      <c r="AI27332" s="80"/>
    </row>
    <row r="27333">
      <c r="AI27333" s="80"/>
    </row>
    <row r="27334">
      <c r="AI27334" s="80"/>
    </row>
    <row r="27335">
      <c r="AI27335" s="80"/>
    </row>
    <row r="27336">
      <c r="AI27336" s="80"/>
    </row>
    <row r="27337">
      <c r="AI27337" s="80"/>
    </row>
    <row r="27338">
      <c r="AI27338" s="80"/>
    </row>
    <row r="27339">
      <c r="AI27339" s="80"/>
    </row>
    <row r="27340">
      <c r="AI27340" s="80"/>
    </row>
    <row r="27341">
      <c r="AI27341" s="80"/>
    </row>
    <row r="27342">
      <c r="AI27342" s="80"/>
    </row>
    <row r="27343">
      <c r="AI27343" s="80"/>
    </row>
    <row r="27344">
      <c r="AI27344" s="80"/>
    </row>
    <row r="27345">
      <c r="AI27345" s="80"/>
    </row>
    <row r="27346">
      <c r="AI27346" s="80"/>
    </row>
    <row r="27347">
      <c r="AI27347" s="80"/>
    </row>
    <row r="27348">
      <c r="AI27348" s="80"/>
    </row>
    <row r="27349">
      <c r="AI27349" s="80"/>
    </row>
    <row r="27350">
      <c r="AI27350" s="80"/>
    </row>
    <row r="27351">
      <c r="AI27351" s="80"/>
    </row>
    <row r="27352">
      <c r="AI27352" s="80"/>
    </row>
    <row r="27353">
      <c r="AI27353" s="80"/>
    </row>
    <row r="27354">
      <c r="AI27354" s="80"/>
    </row>
    <row r="27355">
      <c r="AI27355" s="80"/>
    </row>
    <row r="27356">
      <c r="AI27356" s="80"/>
    </row>
    <row r="27357">
      <c r="AI27357" s="80"/>
    </row>
    <row r="27358">
      <c r="AI27358" s="80"/>
    </row>
    <row r="27359">
      <c r="AI27359" s="80"/>
    </row>
    <row r="27360">
      <c r="AI27360" s="80"/>
    </row>
    <row r="27361">
      <c r="AI27361" s="80"/>
    </row>
    <row r="27362">
      <c r="AI27362" s="80"/>
    </row>
    <row r="27363">
      <c r="AI27363" s="80"/>
    </row>
    <row r="27364">
      <c r="AI27364" s="80"/>
    </row>
    <row r="27365">
      <c r="AI27365" s="80"/>
    </row>
    <row r="27366">
      <c r="AI27366" s="80"/>
    </row>
    <row r="27367">
      <c r="AI27367" s="80"/>
    </row>
    <row r="27368">
      <c r="AI27368" s="80"/>
    </row>
    <row r="27369">
      <c r="AI27369" s="80"/>
    </row>
    <row r="27370">
      <c r="AI27370" s="80"/>
    </row>
    <row r="27371">
      <c r="AI27371" s="80"/>
    </row>
    <row r="27372">
      <c r="AI27372" s="80"/>
    </row>
    <row r="27373">
      <c r="AI27373" s="80"/>
    </row>
    <row r="27374">
      <c r="AI27374" s="80"/>
    </row>
    <row r="27375">
      <c r="AI27375" s="80"/>
    </row>
    <row r="27376">
      <c r="AI27376" s="80"/>
    </row>
    <row r="27377">
      <c r="AI27377" s="80"/>
    </row>
    <row r="27378">
      <c r="AI27378" s="80"/>
    </row>
    <row r="27379">
      <c r="AI27379" s="80"/>
    </row>
    <row r="27380">
      <c r="AI27380" s="80"/>
    </row>
    <row r="27381">
      <c r="AI27381" s="80"/>
    </row>
    <row r="27382">
      <c r="AI27382" s="80"/>
    </row>
    <row r="27383">
      <c r="AI27383" s="80"/>
    </row>
    <row r="27384">
      <c r="AI27384" s="80"/>
    </row>
    <row r="27385">
      <c r="AI27385" s="80"/>
    </row>
    <row r="27386">
      <c r="AI27386" s="80"/>
    </row>
    <row r="27387">
      <c r="AI27387" s="80"/>
    </row>
    <row r="27388">
      <c r="AI27388" s="80"/>
    </row>
    <row r="27389">
      <c r="AI27389" s="80"/>
    </row>
    <row r="27390">
      <c r="AI27390" s="80"/>
    </row>
    <row r="27391">
      <c r="AI27391" s="80"/>
    </row>
    <row r="27392">
      <c r="AI27392" s="80"/>
    </row>
    <row r="27393">
      <c r="AI27393" s="80"/>
    </row>
    <row r="27394">
      <c r="AI27394" s="80"/>
    </row>
    <row r="27395">
      <c r="AI27395" s="80"/>
    </row>
    <row r="27396">
      <c r="AI27396" s="80"/>
    </row>
    <row r="27397">
      <c r="AI27397" s="80"/>
    </row>
    <row r="27398">
      <c r="AI27398" s="80"/>
    </row>
    <row r="27399">
      <c r="AI27399" s="80"/>
    </row>
    <row r="27400">
      <c r="AI27400" s="80"/>
    </row>
    <row r="27401">
      <c r="AI27401" s="80"/>
    </row>
    <row r="27402">
      <c r="AI27402" s="80"/>
    </row>
    <row r="27403">
      <c r="AI27403" s="80"/>
    </row>
    <row r="27404">
      <c r="AI27404" s="80"/>
    </row>
    <row r="27405">
      <c r="AI27405" s="80"/>
    </row>
    <row r="27406">
      <c r="AI27406" s="80"/>
    </row>
    <row r="27407">
      <c r="AI27407" s="80"/>
    </row>
    <row r="27408">
      <c r="AI27408" s="80"/>
    </row>
    <row r="27409">
      <c r="AI27409" s="80"/>
    </row>
    <row r="27410">
      <c r="AI27410" s="80"/>
    </row>
    <row r="27411">
      <c r="AI27411" s="80"/>
    </row>
    <row r="27412">
      <c r="AI27412" s="80"/>
    </row>
    <row r="27413">
      <c r="AI27413" s="80"/>
    </row>
    <row r="27414">
      <c r="AI27414" s="80"/>
    </row>
    <row r="27415">
      <c r="AI27415" s="80"/>
    </row>
    <row r="27416">
      <c r="AI27416" s="80"/>
    </row>
    <row r="27417">
      <c r="AI27417" s="80"/>
    </row>
    <row r="27418">
      <c r="AI27418" s="80"/>
    </row>
    <row r="27419">
      <c r="AI27419" s="80"/>
    </row>
    <row r="27420">
      <c r="AI27420" s="80"/>
    </row>
    <row r="27421">
      <c r="AI27421" s="80"/>
    </row>
    <row r="27422">
      <c r="AI27422" s="80"/>
    </row>
    <row r="27423">
      <c r="AI27423" s="80"/>
    </row>
    <row r="27424">
      <c r="AI27424" s="80"/>
    </row>
    <row r="27425">
      <c r="AI27425" s="80"/>
    </row>
    <row r="27426">
      <c r="AI27426" s="80"/>
    </row>
    <row r="27427">
      <c r="AI27427" s="80"/>
    </row>
    <row r="27428">
      <c r="AI27428" s="80"/>
    </row>
    <row r="27429">
      <c r="AI27429" s="80"/>
    </row>
    <row r="27430">
      <c r="AI27430" s="80"/>
    </row>
    <row r="27431">
      <c r="AI27431" s="80"/>
    </row>
    <row r="27432">
      <c r="AI27432" s="80"/>
    </row>
    <row r="27433">
      <c r="AI27433" s="80"/>
    </row>
    <row r="27434">
      <c r="AI27434" s="80"/>
    </row>
    <row r="27435">
      <c r="AI27435" s="80"/>
    </row>
    <row r="27436">
      <c r="AI27436" s="80"/>
    </row>
    <row r="27437">
      <c r="AI27437" s="80"/>
    </row>
    <row r="27438">
      <c r="AI27438" s="80"/>
    </row>
    <row r="27439">
      <c r="AI27439" s="80"/>
    </row>
    <row r="27440">
      <c r="AI27440" s="80"/>
    </row>
    <row r="27441">
      <c r="AI27441" s="80"/>
    </row>
    <row r="27442">
      <c r="AI27442" s="80"/>
    </row>
    <row r="27443">
      <c r="AI27443" s="80"/>
    </row>
    <row r="27444">
      <c r="AI27444" s="80"/>
    </row>
    <row r="27445">
      <c r="AI27445" s="80"/>
    </row>
    <row r="27446">
      <c r="AI27446" s="80"/>
    </row>
    <row r="27447">
      <c r="AI27447" s="80"/>
    </row>
    <row r="27448">
      <c r="AI27448" s="80"/>
    </row>
    <row r="27449">
      <c r="AI27449" s="80"/>
    </row>
    <row r="27450">
      <c r="AI27450" s="80"/>
    </row>
    <row r="27451">
      <c r="AI27451" s="80"/>
    </row>
    <row r="27452">
      <c r="AI27452" s="80"/>
    </row>
    <row r="27453">
      <c r="AI27453" s="80"/>
    </row>
    <row r="27454">
      <c r="AI27454" s="80"/>
    </row>
    <row r="27455">
      <c r="AI27455" s="80"/>
    </row>
    <row r="27456">
      <c r="AI27456" s="80"/>
    </row>
    <row r="27457">
      <c r="AI27457" s="80"/>
    </row>
    <row r="27458">
      <c r="AI27458" s="80"/>
    </row>
    <row r="27459">
      <c r="AI27459" s="80"/>
    </row>
    <row r="27460">
      <c r="AI27460" s="80"/>
    </row>
    <row r="27461">
      <c r="AI27461" s="80"/>
    </row>
    <row r="27462">
      <c r="AI27462" s="80"/>
    </row>
    <row r="27463">
      <c r="AI27463" s="80"/>
    </row>
    <row r="27464">
      <c r="AI27464" s="80"/>
    </row>
    <row r="27465">
      <c r="AI27465" s="80"/>
    </row>
    <row r="27466">
      <c r="AI27466" s="80"/>
    </row>
    <row r="27467">
      <c r="AI27467" s="80"/>
    </row>
    <row r="27468">
      <c r="AI27468" s="80"/>
    </row>
    <row r="27469">
      <c r="AI27469" s="80"/>
    </row>
    <row r="27470">
      <c r="AI27470" s="80"/>
    </row>
    <row r="27471">
      <c r="AI27471" s="80"/>
    </row>
    <row r="27472">
      <c r="AI27472" s="80"/>
    </row>
    <row r="27473">
      <c r="AI27473" s="80"/>
    </row>
    <row r="27474">
      <c r="AI27474" s="80"/>
    </row>
    <row r="27475">
      <c r="AI27475" s="80"/>
    </row>
    <row r="27476">
      <c r="AI27476" s="80"/>
    </row>
    <row r="27477">
      <c r="AI27477" s="80"/>
    </row>
    <row r="27478">
      <c r="AI27478" s="80"/>
    </row>
    <row r="27479">
      <c r="AI27479" s="80"/>
    </row>
    <row r="27480">
      <c r="AI27480" s="80"/>
    </row>
    <row r="27481">
      <c r="AI27481" s="80"/>
    </row>
    <row r="27482">
      <c r="AI27482" s="80"/>
    </row>
    <row r="27483">
      <c r="AI27483" s="80"/>
    </row>
    <row r="27484">
      <c r="AI27484" s="80"/>
    </row>
    <row r="27485">
      <c r="AI27485" s="80"/>
    </row>
    <row r="27486">
      <c r="AI27486" s="80"/>
    </row>
    <row r="27487">
      <c r="AI27487" s="80"/>
    </row>
    <row r="27488">
      <c r="AI27488" s="80"/>
    </row>
    <row r="27489">
      <c r="AI27489" s="80"/>
    </row>
    <row r="27490">
      <c r="AI27490" s="80"/>
    </row>
    <row r="27491">
      <c r="AI27491" s="80"/>
    </row>
    <row r="27492">
      <c r="AI27492" s="80"/>
    </row>
    <row r="27493">
      <c r="AI27493" s="80"/>
    </row>
    <row r="27494">
      <c r="AI27494" s="80"/>
    </row>
    <row r="27495">
      <c r="AI27495" s="80"/>
    </row>
    <row r="27496">
      <c r="AI27496" s="80"/>
    </row>
    <row r="27497">
      <c r="AI27497" s="80"/>
    </row>
    <row r="27498">
      <c r="AI27498" s="80"/>
    </row>
    <row r="27499">
      <c r="AI27499" s="80"/>
    </row>
    <row r="27500">
      <c r="AI27500" s="80"/>
    </row>
    <row r="27501">
      <c r="AI27501" s="80"/>
    </row>
    <row r="27502">
      <c r="AI27502" s="80"/>
    </row>
    <row r="27503">
      <c r="AI27503" s="80"/>
    </row>
    <row r="27504">
      <c r="AI27504" s="80"/>
    </row>
    <row r="27505">
      <c r="AI27505" s="80"/>
    </row>
    <row r="27506">
      <c r="AI27506" s="80"/>
    </row>
    <row r="27507">
      <c r="AI27507" s="80"/>
    </row>
    <row r="27508">
      <c r="AI27508" s="80"/>
    </row>
    <row r="27509">
      <c r="AI27509" s="80"/>
    </row>
    <row r="27510">
      <c r="AI27510" s="80"/>
    </row>
    <row r="27511">
      <c r="AI27511" s="80"/>
    </row>
    <row r="27512">
      <c r="AI27512" s="80"/>
    </row>
    <row r="27513">
      <c r="AI27513" s="80"/>
    </row>
    <row r="27514">
      <c r="AI27514" s="80"/>
    </row>
    <row r="27515">
      <c r="AI27515" s="80"/>
    </row>
    <row r="27516">
      <c r="AI27516" s="80"/>
    </row>
    <row r="27517">
      <c r="AI27517" s="80"/>
    </row>
    <row r="27518">
      <c r="AI27518" s="80"/>
    </row>
    <row r="27519">
      <c r="AI27519" s="80"/>
    </row>
    <row r="27520">
      <c r="AI27520" s="80"/>
    </row>
    <row r="27521">
      <c r="AI27521" s="80"/>
    </row>
    <row r="27522">
      <c r="AI27522" s="80"/>
    </row>
    <row r="27523">
      <c r="AI27523" s="80"/>
    </row>
    <row r="27524">
      <c r="AI27524" s="80"/>
    </row>
    <row r="27525">
      <c r="AI27525" s="80"/>
    </row>
    <row r="27526">
      <c r="AI27526" s="80"/>
    </row>
    <row r="27527">
      <c r="AI27527" s="80"/>
    </row>
    <row r="27528">
      <c r="AI27528" s="80"/>
    </row>
    <row r="27529">
      <c r="AI27529" s="80"/>
    </row>
    <row r="27530">
      <c r="AI27530" s="80"/>
    </row>
    <row r="27531">
      <c r="AI27531" s="80"/>
    </row>
    <row r="27532">
      <c r="AI27532" s="80"/>
    </row>
    <row r="27533">
      <c r="AI27533" s="80"/>
    </row>
    <row r="27534">
      <c r="AI27534" s="80"/>
    </row>
    <row r="27535">
      <c r="AI27535" s="80"/>
    </row>
    <row r="27536">
      <c r="AI27536" s="80"/>
    </row>
    <row r="27537">
      <c r="AI27537" s="80"/>
    </row>
    <row r="27538">
      <c r="AI27538" s="80"/>
    </row>
    <row r="27539">
      <c r="AI27539" s="80"/>
    </row>
    <row r="27540">
      <c r="AI27540" s="80"/>
    </row>
    <row r="27541">
      <c r="AI27541" s="80"/>
    </row>
    <row r="27542">
      <c r="AI27542" s="80"/>
    </row>
    <row r="27543">
      <c r="AI27543" s="80"/>
    </row>
    <row r="27544">
      <c r="AI27544" s="80"/>
    </row>
    <row r="27545">
      <c r="AI27545" s="80"/>
    </row>
    <row r="27546">
      <c r="AI27546" s="80"/>
    </row>
    <row r="27547">
      <c r="AI27547" s="80"/>
    </row>
    <row r="27548">
      <c r="AI27548" s="80"/>
    </row>
    <row r="27549">
      <c r="AI27549" s="80"/>
    </row>
    <row r="27550">
      <c r="AI27550" s="80"/>
    </row>
    <row r="27551">
      <c r="AI27551" s="80"/>
    </row>
    <row r="27552">
      <c r="AI27552" s="80"/>
    </row>
    <row r="27553">
      <c r="AI27553" s="80"/>
    </row>
    <row r="27554">
      <c r="AI27554" s="80"/>
    </row>
    <row r="27555">
      <c r="AI27555" s="80"/>
    </row>
    <row r="27556">
      <c r="AI27556" s="80"/>
    </row>
    <row r="27557">
      <c r="AI27557" s="80"/>
    </row>
    <row r="27558">
      <c r="AI27558" s="80"/>
    </row>
    <row r="27559">
      <c r="AI27559" s="80"/>
    </row>
    <row r="27560">
      <c r="AI27560" s="80"/>
    </row>
    <row r="27561">
      <c r="AI27561" s="80"/>
    </row>
    <row r="27562">
      <c r="AI27562" s="80"/>
    </row>
    <row r="27563">
      <c r="AI27563" s="80"/>
    </row>
    <row r="27564">
      <c r="AI27564" s="80"/>
    </row>
    <row r="27565">
      <c r="AI27565" s="80"/>
    </row>
    <row r="27566">
      <c r="AI27566" s="80"/>
    </row>
    <row r="27567">
      <c r="AI27567" s="80"/>
    </row>
    <row r="27568">
      <c r="AI27568" s="80"/>
    </row>
    <row r="27569">
      <c r="AI27569" s="80"/>
    </row>
    <row r="27570">
      <c r="AI27570" s="80"/>
    </row>
    <row r="27571">
      <c r="AI27571" s="80"/>
    </row>
    <row r="27572">
      <c r="AI27572" s="80"/>
    </row>
    <row r="27573">
      <c r="AI27573" s="80"/>
    </row>
    <row r="27574">
      <c r="AI27574" s="80"/>
    </row>
    <row r="27575">
      <c r="AI27575" s="80"/>
    </row>
    <row r="27576">
      <c r="AI27576" s="80"/>
    </row>
    <row r="27577">
      <c r="AI27577" s="80"/>
    </row>
    <row r="27578">
      <c r="AI27578" s="80"/>
    </row>
    <row r="27579">
      <c r="AI27579" s="80"/>
    </row>
    <row r="27580">
      <c r="AI27580" s="80"/>
    </row>
    <row r="27581">
      <c r="AI27581" s="80"/>
    </row>
    <row r="27582">
      <c r="AI27582" s="80"/>
    </row>
    <row r="27583">
      <c r="AI27583" s="80"/>
    </row>
    <row r="27584">
      <c r="AI27584" s="80"/>
    </row>
    <row r="27585">
      <c r="AI27585" s="80"/>
    </row>
    <row r="27586">
      <c r="AI27586" s="80"/>
    </row>
    <row r="27587">
      <c r="AI27587" s="80"/>
    </row>
    <row r="27588">
      <c r="AI27588" s="80"/>
    </row>
    <row r="27589">
      <c r="AI27589" s="80"/>
    </row>
    <row r="27590">
      <c r="AI27590" s="80"/>
    </row>
    <row r="27591">
      <c r="AI27591" s="80"/>
    </row>
    <row r="27592">
      <c r="AI27592" s="80"/>
    </row>
    <row r="27593">
      <c r="AI27593" s="80"/>
    </row>
    <row r="27594">
      <c r="AI27594" s="80"/>
    </row>
    <row r="27595">
      <c r="AI27595" s="80"/>
    </row>
    <row r="27596">
      <c r="AI27596" s="80"/>
    </row>
    <row r="27597">
      <c r="AI27597" s="80"/>
    </row>
    <row r="27598">
      <c r="AI27598" s="80"/>
    </row>
    <row r="27599">
      <c r="AI27599" s="80"/>
    </row>
    <row r="27600">
      <c r="AI27600" s="80"/>
    </row>
    <row r="27601">
      <c r="AI27601" s="80"/>
    </row>
    <row r="27602">
      <c r="AI27602" s="80"/>
    </row>
    <row r="27603">
      <c r="AI27603" s="80"/>
    </row>
    <row r="27604">
      <c r="AI27604" s="80"/>
    </row>
    <row r="27605">
      <c r="AI27605" s="80"/>
    </row>
    <row r="27606">
      <c r="AI27606" s="80"/>
    </row>
    <row r="27607">
      <c r="AI27607" s="80"/>
    </row>
    <row r="27608">
      <c r="AI27608" s="80"/>
    </row>
    <row r="27609">
      <c r="AI27609" s="80"/>
    </row>
    <row r="27610">
      <c r="AI27610" s="80"/>
    </row>
    <row r="27611">
      <c r="AI27611" s="80"/>
    </row>
    <row r="27612">
      <c r="AI27612" s="80"/>
    </row>
    <row r="27613">
      <c r="AI27613" s="80"/>
    </row>
    <row r="27614">
      <c r="AI27614" s="80"/>
    </row>
    <row r="27615">
      <c r="AI27615" s="80"/>
    </row>
    <row r="27616">
      <c r="AI27616" s="80"/>
    </row>
    <row r="27617">
      <c r="AI27617" s="80"/>
    </row>
    <row r="27618">
      <c r="AI27618" s="80"/>
    </row>
    <row r="27619">
      <c r="AI27619" s="80"/>
    </row>
    <row r="27620">
      <c r="AI27620" s="80"/>
    </row>
    <row r="27621">
      <c r="AI27621" s="80"/>
    </row>
    <row r="27622">
      <c r="AI27622" s="80"/>
    </row>
    <row r="27623">
      <c r="AI27623" s="80"/>
    </row>
    <row r="27624">
      <c r="AI27624" s="80"/>
    </row>
    <row r="27625">
      <c r="AI27625" s="80"/>
    </row>
    <row r="27626">
      <c r="AI27626" s="80"/>
    </row>
    <row r="27627">
      <c r="AI27627" s="80"/>
    </row>
    <row r="27628">
      <c r="AI27628" s="80"/>
    </row>
    <row r="27629">
      <c r="AI27629" s="80"/>
    </row>
    <row r="27630">
      <c r="AI27630" s="80"/>
    </row>
    <row r="27631">
      <c r="AI27631" s="80"/>
    </row>
    <row r="27632">
      <c r="AI27632" s="80"/>
    </row>
    <row r="27633">
      <c r="AI27633" s="80"/>
    </row>
    <row r="27634">
      <c r="AI27634" s="80"/>
    </row>
    <row r="27635">
      <c r="AI27635" s="80"/>
    </row>
    <row r="27636">
      <c r="AI27636" s="80"/>
    </row>
    <row r="27637">
      <c r="AI27637" s="80"/>
    </row>
    <row r="27638">
      <c r="AI27638" s="80"/>
    </row>
    <row r="27639">
      <c r="AI27639" s="80"/>
    </row>
    <row r="27640">
      <c r="AI27640" s="80"/>
    </row>
    <row r="27641">
      <c r="AI27641" s="80"/>
    </row>
    <row r="27642">
      <c r="AI27642" s="80"/>
    </row>
    <row r="27643">
      <c r="AI27643" s="80"/>
    </row>
    <row r="27644">
      <c r="AI27644" s="80"/>
    </row>
    <row r="27645">
      <c r="AI27645" s="80"/>
    </row>
    <row r="27646">
      <c r="AI27646" s="80"/>
    </row>
    <row r="27647">
      <c r="AI27647" s="80"/>
    </row>
    <row r="27648">
      <c r="AI27648" s="80"/>
    </row>
    <row r="27649">
      <c r="AI27649" s="80"/>
    </row>
    <row r="27650">
      <c r="AI27650" s="80"/>
    </row>
    <row r="27651">
      <c r="AI27651" s="80"/>
    </row>
    <row r="27652">
      <c r="AI27652" s="80"/>
    </row>
    <row r="27653">
      <c r="AI27653" s="80"/>
    </row>
    <row r="27654">
      <c r="AI27654" s="80"/>
    </row>
    <row r="27655">
      <c r="AI27655" s="80"/>
    </row>
    <row r="27656">
      <c r="AI27656" s="80"/>
    </row>
    <row r="27657">
      <c r="AI27657" s="80"/>
    </row>
    <row r="27658">
      <c r="AI27658" s="80"/>
    </row>
    <row r="27659">
      <c r="AI27659" s="80"/>
    </row>
    <row r="27660">
      <c r="AI27660" s="80"/>
    </row>
    <row r="27661">
      <c r="AI27661" s="80"/>
    </row>
    <row r="27662">
      <c r="AI27662" s="80"/>
    </row>
    <row r="27663">
      <c r="AI27663" s="80"/>
    </row>
    <row r="27664">
      <c r="AI27664" s="80"/>
    </row>
    <row r="27665">
      <c r="AI27665" s="80"/>
    </row>
    <row r="27666">
      <c r="AI27666" s="80"/>
    </row>
    <row r="27667">
      <c r="AI27667" s="80"/>
    </row>
    <row r="27668">
      <c r="AI27668" s="80"/>
    </row>
    <row r="27669">
      <c r="AI27669" s="80"/>
    </row>
    <row r="27670">
      <c r="AI27670" s="80"/>
    </row>
    <row r="27671">
      <c r="AI27671" s="80"/>
    </row>
    <row r="27672">
      <c r="AI27672" s="80"/>
    </row>
    <row r="27673">
      <c r="AI27673" s="80"/>
    </row>
    <row r="27674">
      <c r="AI27674" s="80"/>
    </row>
    <row r="27675">
      <c r="AI27675" s="80"/>
    </row>
    <row r="27676">
      <c r="AI27676" s="80"/>
    </row>
    <row r="27677">
      <c r="AI27677" s="80"/>
    </row>
    <row r="27678">
      <c r="AI27678" s="80"/>
    </row>
    <row r="27679">
      <c r="AI27679" s="80"/>
    </row>
    <row r="27680">
      <c r="AI27680" s="80"/>
    </row>
    <row r="27681">
      <c r="AI27681" s="80"/>
    </row>
    <row r="27682">
      <c r="AI27682" s="80"/>
    </row>
    <row r="27683">
      <c r="AI27683" s="80"/>
    </row>
    <row r="27684">
      <c r="AI27684" s="80"/>
    </row>
    <row r="27685">
      <c r="AI27685" s="80"/>
    </row>
    <row r="27686">
      <c r="AI27686" s="80"/>
    </row>
    <row r="27687">
      <c r="AI27687" s="80"/>
    </row>
    <row r="27688">
      <c r="AI27688" s="80"/>
    </row>
    <row r="27689">
      <c r="AI27689" s="80"/>
    </row>
    <row r="27690">
      <c r="AI27690" s="80"/>
    </row>
    <row r="27691">
      <c r="AI27691" s="80"/>
    </row>
    <row r="27692">
      <c r="AI27692" s="80"/>
    </row>
    <row r="27693">
      <c r="AI27693" s="80"/>
    </row>
    <row r="27694">
      <c r="AI27694" s="80"/>
    </row>
    <row r="27695">
      <c r="AI27695" s="80"/>
    </row>
    <row r="27696">
      <c r="AI27696" s="80"/>
    </row>
    <row r="27697">
      <c r="AI27697" s="80"/>
    </row>
    <row r="27698">
      <c r="AI27698" s="80"/>
    </row>
    <row r="27699">
      <c r="AI27699" s="80"/>
    </row>
    <row r="27700">
      <c r="AI27700" s="80"/>
    </row>
    <row r="27701">
      <c r="AI27701" s="80"/>
    </row>
    <row r="27702">
      <c r="AI27702" s="80"/>
    </row>
    <row r="27703">
      <c r="AI27703" s="80"/>
    </row>
    <row r="27704">
      <c r="AI27704" s="80"/>
    </row>
    <row r="27705">
      <c r="AI27705" s="80"/>
    </row>
    <row r="27706">
      <c r="AI27706" s="80"/>
    </row>
    <row r="27707">
      <c r="AI27707" s="80"/>
    </row>
    <row r="27708">
      <c r="AI27708" s="80"/>
    </row>
    <row r="27709">
      <c r="AI27709" s="80"/>
    </row>
    <row r="27710">
      <c r="AI27710" s="80"/>
    </row>
    <row r="27711">
      <c r="AI27711" s="80"/>
    </row>
    <row r="27712">
      <c r="AI27712" s="80"/>
    </row>
    <row r="27713">
      <c r="AI27713" s="80"/>
    </row>
    <row r="27714">
      <c r="AI27714" s="80"/>
    </row>
    <row r="27715">
      <c r="AI27715" s="80"/>
    </row>
    <row r="27716">
      <c r="AI27716" s="80"/>
    </row>
    <row r="27717">
      <c r="AI27717" s="80"/>
    </row>
    <row r="27718">
      <c r="AI27718" s="80"/>
    </row>
    <row r="27719">
      <c r="AI27719" s="80"/>
    </row>
    <row r="27720">
      <c r="AI27720" s="80"/>
    </row>
    <row r="27721">
      <c r="AI27721" s="80"/>
    </row>
    <row r="27722">
      <c r="AI27722" s="80"/>
    </row>
    <row r="27723">
      <c r="AI27723" s="80"/>
    </row>
    <row r="27724">
      <c r="AI27724" s="80"/>
    </row>
    <row r="27725">
      <c r="AI27725" s="80"/>
    </row>
    <row r="27726">
      <c r="AI27726" s="80"/>
    </row>
    <row r="27727">
      <c r="AI27727" s="80"/>
    </row>
    <row r="27728">
      <c r="AI27728" s="80"/>
    </row>
    <row r="27729">
      <c r="AI27729" s="80"/>
    </row>
    <row r="27730">
      <c r="AI27730" s="80"/>
    </row>
    <row r="27731">
      <c r="AI27731" s="80"/>
    </row>
    <row r="27732">
      <c r="AI27732" s="80"/>
    </row>
    <row r="27733">
      <c r="AI27733" s="80"/>
    </row>
    <row r="27734">
      <c r="AI27734" s="80"/>
    </row>
    <row r="27735">
      <c r="AI27735" s="80"/>
    </row>
    <row r="27736">
      <c r="AI27736" s="80"/>
    </row>
    <row r="27737">
      <c r="AI27737" s="80"/>
    </row>
    <row r="27738">
      <c r="AI27738" s="80"/>
    </row>
    <row r="27739">
      <c r="AI27739" s="80"/>
    </row>
    <row r="27740">
      <c r="AI27740" s="80"/>
    </row>
    <row r="27741">
      <c r="AI27741" s="80"/>
    </row>
    <row r="27742">
      <c r="AI27742" s="80"/>
    </row>
    <row r="27743">
      <c r="AI27743" s="80"/>
    </row>
    <row r="27744">
      <c r="AI27744" s="80"/>
    </row>
    <row r="27745">
      <c r="AI27745" s="80"/>
    </row>
    <row r="27746">
      <c r="AI27746" s="80"/>
    </row>
    <row r="27747">
      <c r="AI27747" s="80"/>
    </row>
    <row r="27748">
      <c r="AI27748" s="80"/>
    </row>
    <row r="27749">
      <c r="AI27749" s="80"/>
    </row>
    <row r="27750">
      <c r="AI27750" s="80"/>
    </row>
    <row r="27751">
      <c r="AI27751" s="80"/>
    </row>
    <row r="27752">
      <c r="AI27752" s="80"/>
    </row>
    <row r="27753">
      <c r="AI27753" s="80"/>
    </row>
    <row r="27754">
      <c r="AI27754" s="80"/>
    </row>
    <row r="27755">
      <c r="AI27755" s="80"/>
    </row>
    <row r="27756">
      <c r="AI27756" s="80"/>
    </row>
    <row r="27757">
      <c r="AI27757" s="80"/>
    </row>
    <row r="27758">
      <c r="AI27758" s="80"/>
    </row>
    <row r="27759">
      <c r="AI27759" s="80"/>
    </row>
    <row r="27760">
      <c r="AI27760" s="80"/>
    </row>
    <row r="27761">
      <c r="AI27761" s="80"/>
    </row>
    <row r="27762">
      <c r="AI27762" s="80"/>
    </row>
    <row r="27763">
      <c r="AI27763" s="80"/>
    </row>
    <row r="27764">
      <c r="AI27764" s="80"/>
    </row>
    <row r="27765">
      <c r="AI27765" s="80"/>
    </row>
    <row r="27766">
      <c r="AI27766" s="80"/>
    </row>
    <row r="27767">
      <c r="AI27767" s="80"/>
    </row>
    <row r="27768">
      <c r="AI27768" s="80"/>
    </row>
    <row r="27769">
      <c r="AI27769" s="80"/>
    </row>
    <row r="27770">
      <c r="AI27770" s="80"/>
    </row>
    <row r="27771">
      <c r="AI27771" s="80"/>
    </row>
    <row r="27772">
      <c r="AI27772" s="80"/>
    </row>
    <row r="27773">
      <c r="AI27773" s="80"/>
    </row>
    <row r="27774">
      <c r="AI27774" s="80"/>
    </row>
    <row r="27775">
      <c r="AI27775" s="80"/>
    </row>
    <row r="27776">
      <c r="AI27776" s="80"/>
    </row>
    <row r="27777">
      <c r="AI27777" s="80"/>
    </row>
    <row r="27778">
      <c r="AI27778" s="80"/>
    </row>
    <row r="27779">
      <c r="AI27779" s="80"/>
    </row>
    <row r="27780">
      <c r="AI27780" s="80"/>
    </row>
    <row r="27781">
      <c r="AI27781" s="80"/>
    </row>
    <row r="27782">
      <c r="AI27782" s="80"/>
    </row>
    <row r="27783">
      <c r="AI27783" s="80"/>
    </row>
    <row r="27784">
      <c r="AI27784" s="80"/>
    </row>
    <row r="27785">
      <c r="AI27785" s="80"/>
    </row>
    <row r="27786">
      <c r="AI27786" s="80"/>
    </row>
    <row r="27787">
      <c r="AI27787" s="80"/>
    </row>
    <row r="27788">
      <c r="AI27788" s="80"/>
    </row>
    <row r="27789">
      <c r="AI27789" s="80"/>
    </row>
    <row r="27790">
      <c r="AI27790" s="80"/>
    </row>
    <row r="27791">
      <c r="AI27791" s="80"/>
    </row>
    <row r="27792">
      <c r="AI27792" s="80"/>
    </row>
    <row r="27793">
      <c r="AI27793" s="80"/>
    </row>
    <row r="27794">
      <c r="AI27794" s="80"/>
    </row>
    <row r="27795">
      <c r="AI27795" s="80"/>
    </row>
    <row r="27796">
      <c r="AI27796" s="80"/>
    </row>
    <row r="27797">
      <c r="AI27797" s="80"/>
    </row>
    <row r="27798">
      <c r="AI27798" s="80"/>
    </row>
    <row r="27799">
      <c r="AI27799" s="80"/>
    </row>
    <row r="27800">
      <c r="AI27800" s="80"/>
    </row>
    <row r="27801">
      <c r="AI27801" s="80"/>
    </row>
    <row r="27802">
      <c r="AI27802" s="80"/>
    </row>
    <row r="27803">
      <c r="AI27803" s="80"/>
    </row>
    <row r="27804">
      <c r="AI27804" s="80"/>
    </row>
    <row r="27805">
      <c r="AI27805" s="80"/>
    </row>
    <row r="27806">
      <c r="AI27806" s="80"/>
    </row>
    <row r="27807">
      <c r="AI27807" s="80"/>
    </row>
    <row r="27808">
      <c r="AI27808" s="80"/>
    </row>
    <row r="27809">
      <c r="AI27809" s="80"/>
    </row>
    <row r="27810">
      <c r="AI27810" s="80"/>
    </row>
    <row r="27811">
      <c r="AI27811" s="80"/>
    </row>
    <row r="27812">
      <c r="AI27812" s="80"/>
    </row>
    <row r="27813">
      <c r="AI27813" s="80"/>
    </row>
    <row r="27814">
      <c r="AI27814" s="80"/>
    </row>
    <row r="27815">
      <c r="AI27815" s="80"/>
    </row>
    <row r="27816">
      <c r="AI27816" s="80"/>
    </row>
    <row r="27817">
      <c r="AI27817" s="80"/>
    </row>
    <row r="27818">
      <c r="AI27818" s="80"/>
    </row>
    <row r="27819">
      <c r="AI27819" s="80"/>
    </row>
    <row r="27820">
      <c r="AI27820" s="80"/>
    </row>
    <row r="27821">
      <c r="AI27821" s="80"/>
    </row>
    <row r="27822">
      <c r="AI27822" s="80"/>
    </row>
    <row r="27823">
      <c r="AI27823" s="80"/>
    </row>
    <row r="27824">
      <c r="AI27824" s="80"/>
    </row>
    <row r="27825">
      <c r="AI27825" s="80"/>
    </row>
    <row r="27826">
      <c r="AI27826" s="80"/>
    </row>
    <row r="27827">
      <c r="AI27827" s="80"/>
    </row>
    <row r="27828">
      <c r="AI27828" s="80"/>
    </row>
    <row r="27829">
      <c r="AI27829" s="80"/>
    </row>
    <row r="27830">
      <c r="AI27830" s="80"/>
    </row>
    <row r="27831">
      <c r="AI27831" s="80"/>
    </row>
    <row r="27832">
      <c r="AI27832" s="80"/>
    </row>
    <row r="27833">
      <c r="AI27833" s="80"/>
    </row>
    <row r="27834">
      <c r="AI27834" s="80"/>
    </row>
    <row r="27835">
      <c r="AI27835" s="80"/>
    </row>
    <row r="27836">
      <c r="AI27836" s="80"/>
    </row>
    <row r="27837">
      <c r="AI27837" s="80"/>
    </row>
    <row r="27838">
      <c r="AI27838" s="80"/>
    </row>
    <row r="27839">
      <c r="AI27839" s="80"/>
    </row>
    <row r="27840">
      <c r="AI27840" s="80"/>
    </row>
    <row r="27841">
      <c r="AI27841" s="80"/>
    </row>
    <row r="27842">
      <c r="AI27842" s="80"/>
    </row>
    <row r="27843">
      <c r="AI27843" s="80"/>
    </row>
    <row r="27844">
      <c r="AI27844" s="80"/>
    </row>
    <row r="27845">
      <c r="AI27845" s="80"/>
    </row>
    <row r="27846">
      <c r="AI27846" s="80"/>
    </row>
    <row r="27847">
      <c r="AI27847" s="80"/>
    </row>
    <row r="27848">
      <c r="AI27848" s="80"/>
    </row>
    <row r="27849">
      <c r="AI27849" s="80"/>
    </row>
    <row r="27850">
      <c r="AI27850" s="80"/>
    </row>
    <row r="27851">
      <c r="AI27851" s="80"/>
    </row>
    <row r="27852">
      <c r="AI27852" s="80"/>
    </row>
    <row r="27853">
      <c r="AI27853" s="80"/>
    </row>
    <row r="27854">
      <c r="AI27854" s="80"/>
    </row>
    <row r="27855">
      <c r="AI27855" s="80"/>
    </row>
    <row r="27856">
      <c r="AI27856" s="80"/>
    </row>
    <row r="27857">
      <c r="AI27857" s="80"/>
    </row>
    <row r="27858">
      <c r="AI27858" s="80"/>
    </row>
    <row r="27859">
      <c r="AI27859" s="80"/>
    </row>
    <row r="27860">
      <c r="AI27860" s="80"/>
    </row>
    <row r="27861">
      <c r="AI27861" s="80"/>
    </row>
    <row r="27862">
      <c r="AI27862" s="80"/>
    </row>
    <row r="27863">
      <c r="AI27863" s="80"/>
    </row>
    <row r="27864">
      <c r="AI27864" s="80"/>
    </row>
    <row r="27865">
      <c r="AI27865" s="80"/>
    </row>
    <row r="27866">
      <c r="AI27866" s="80"/>
    </row>
    <row r="27867">
      <c r="AI27867" s="80"/>
    </row>
    <row r="27868">
      <c r="AI27868" s="80"/>
    </row>
    <row r="27869">
      <c r="AI27869" s="80"/>
    </row>
    <row r="27870">
      <c r="AI27870" s="80"/>
    </row>
    <row r="27871">
      <c r="AI27871" s="80"/>
    </row>
    <row r="27872">
      <c r="AI27872" s="80"/>
    </row>
    <row r="27873">
      <c r="AI27873" s="80"/>
    </row>
    <row r="27874">
      <c r="AI27874" s="80"/>
    </row>
    <row r="27875">
      <c r="AI27875" s="80"/>
    </row>
    <row r="27876">
      <c r="AI27876" s="80"/>
    </row>
    <row r="27877">
      <c r="AI27877" s="80"/>
    </row>
    <row r="27878">
      <c r="AI27878" s="80"/>
    </row>
    <row r="27879">
      <c r="AI27879" s="80"/>
    </row>
    <row r="27880">
      <c r="AI27880" s="80"/>
    </row>
    <row r="27881">
      <c r="AI27881" s="80"/>
    </row>
    <row r="27882">
      <c r="AI27882" s="80"/>
    </row>
    <row r="27883">
      <c r="AI27883" s="80"/>
    </row>
    <row r="27884">
      <c r="AI27884" s="80"/>
    </row>
    <row r="27885">
      <c r="AI27885" s="80"/>
    </row>
    <row r="27886">
      <c r="AI27886" s="80"/>
    </row>
    <row r="27887">
      <c r="AI27887" s="80"/>
    </row>
    <row r="27888">
      <c r="AI27888" s="80"/>
    </row>
    <row r="27889">
      <c r="AI27889" s="80"/>
    </row>
    <row r="27890">
      <c r="AI27890" s="80"/>
    </row>
    <row r="27891">
      <c r="AI27891" s="80"/>
    </row>
    <row r="27892">
      <c r="AI27892" s="80"/>
    </row>
    <row r="27893">
      <c r="AI27893" s="80"/>
    </row>
    <row r="27894">
      <c r="AI27894" s="80"/>
    </row>
    <row r="27895">
      <c r="AI27895" s="80"/>
    </row>
    <row r="27896">
      <c r="AI27896" s="80"/>
    </row>
    <row r="27897">
      <c r="AI27897" s="80"/>
    </row>
    <row r="27898">
      <c r="AI27898" s="80"/>
    </row>
    <row r="27899">
      <c r="AI27899" s="80"/>
    </row>
    <row r="27900">
      <c r="AI27900" s="80"/>
    </row>
    <row r="27901">
      <c r="AI27901" s="80"/>
    </row>
    <row r="27902">
      <c r="AI27902" s="80"/>
    </row>
    <row r="27903">
      <c r="AI27903" s="80"/>
    </row>
    <row r="27904">
      <c r="AI27904" s="80"/>
    </row>
    <row r="27905">
      <c r="AI27905" s="80"/>
    </row>
    <row r="27906">
      <c r="AI27906" s="80"/>
    </row>
    <row r="27907">
      <c r="AI27907" s="80"/>
    </row>
    <row r="27908">
      <c r="AI27908" s="80"/>
    </row>
    <row r="27909">
      <c r="AI27909" s="80"/>
    </row>
    <row r="27910">
      <c r="AI27910" s="80"/>
    </row>
    <row r="27911">
      <c r="AI27911" s="80"/>
    </row>
    <row r="27912">
      <c r="AI27912" s="80"/>
    </row>
    <row r="27913">
      <c r="AI27913" s="80"/>
    </row>
    <row r="27914">
      <c r="AI27914" s="80"/>
    </row>
    <row r="27915">
      <c r="AI27915" s="80"/>
    </row>
    <row r="27916">
      <c r="AI27916" s="80"/>
    </row>
    <row r="27917">
      <c r="AI27917" s="80"/>
    </row>
    <row r="27918">
      <c r="AI27918" s="80"/>
    </row>
    <row r="27919">
      <c r="AI27919" s="80"/>
    </row>
    <row r="27920">
      <c r="AI27920" s="80"/>
    </row>
    <row r="27921">
      <c r="AI27921" s="80"/>
    </row>
    <row r="27922">
      <c r="AI27922" s="80"/>
    </row>
    <row r="27923">
      <c r="AI27923" s="80"/>
    </row>
    <row r="27924">
      <c r="AI27924" s="80"/>
    </row>
    <row r="27925">
      <c r="AI27925" s="80"/>
    </row>
    <row r="27926">
      <c r="AI27926" s="80"/>
    </row>
    <row r="27927">
      <c r="AI27927" s="80"/>
    </row>
    <row r="27928">
      <c r="AI27928" s="80"/>
    </row>
    <row r="27929">
      <c r="AI27929" s="80"/>
    </row>
    <row r="27930">
      <c r="AI27930" s="80"/>
    </row>
    <row r="27931">
      <c r="AI27931" s="80"/>
    </row>
    <row r="27932">
      <c r="AI27932" s="80"/>
    </row>
    <row r="27933">
      <c r="AI27933" s="80"/>
    </row>
    <row r="27934">
      <c r="AI27934" s="80"/>
    </row>
    <row r="27935">
      <c r="AI27935" s="80"/>
    </row>
    <row r="27936">
      <c r="AI27936" s="80"/>
    </row>
    <row r="27937">
      <c r="AI27937" s="80"/>
    </row>
    <row r="27938">
      <c r="AI27938" s="80"/>
    </row>
    <row r="27939">
      <c r="AI27939" s="80"/>
    </row>
    <row r="27940">
      <c r="AI27940" s="80"/>
    </row>
    <row r="27941">
      <c r="AI27941" s="80"/>
    </row>
    <row r="27942">
      <c r="AI27942" s="80"/>
    </row>
    <row r="27943">
      <c r="AI27943" s="80"/>
    </row>
    <row r="27944">
      <c r="AI27944" s="80"/>
    </row>
    <row r="27945">
      <c r="AI27945" s="80"/>
    </row>
    <row r="27946">
      <c r="AI27946" s="80"/>
    </row>
    <row r="27947">
      <c r="AI27947" s="80"/>
    </row>
    <row r="27948">
      <c r="AI27948" s="80"/>
    </row>
    <row r="27949">
      <c r="AI27949" s="80"/>
    </row>
    <row r="27950">
      <c r="AI27950" s="80"/>
    </row>
    <row r="27951">
      <c r="AI27951" s="80"/>
    </row>
    <row r="27952">
      <c r="AI27952" s="80"/>
    </row>
    <row r="27953">
      <c r="AI27953" s="80"/>
    </row>
    <row r="27954">
      <c r="AI27954" s="80"/>
    </row>
    <row r="27955">
      <c r="AI27955" s="80"/>
    </row>
    <row r="27956">
      <c r="AI27956" s="80"/>
    </row>
    <row r="27957">
      <c r="AI27957" s="80"/>
    </row>
    <row r="27958">
      <c r="AI27958" s="80"/>
    </row>
    <row r="27959">
      <c r="AI27959" s="80"/>
    </row>
    <row r="27960">
      <c r="AI27960" s="80"/>
    </row>
    <row r="27961">
      <c r="AI27961" s="80"/>
    </row>
    <row r="27962">
      <c r="AI27962" s="80"/>
    </row>
    <row r="27963">
      <c r="AI27963" s="80"/>
    </row>
    <row r="27964">
      <c r="AI27964" s="80"/>
    </row>
    <row r="27965">
      <c r="AI27965" s="80"/>
    </row>
    <row r="27966">
      <c r="AI27966" s="80"/>
    </row>
    <row r="27967">
      <c r="AI27967" s="80"/>
    </row>
    <row r="27968">
      <c r="AI27968" s="80"/>
    </row>
    <row r="27969">
      <c r="AI27969" s="80"/>
    </row>
    <row r="27970">
      <c r="AI27970" s="80"/>
    </row>
    <row r="27971">
      <c r="AI27971" s="80"/>
    </row>
    <row r="27972">
      <c r="AI27972" s="80"/>
    </row>
    <row r="27973">
      <c r="AI27973" s="80"/>
    </row>
    <row r="27974">
      <c r="AI27974" s="80"/>
    </row>
    <row r="27975">
      <c r="AI27975" s="80"/>
    </row>
    <row r="27976">
      <c r="AI27976" s="80"/>
    </row>
    <row r="27977">
      <c r="AI27977" s="80"/>
    </row>
    <row r="27978">
      <c r="AI27978" s="80"/>
    </row>
    <row r="27979">
      <c r="AI27979" s="80"/>
    </row>
    <row r="27980">
      <c r="AI27980" s="80"/>
    </row>
    <row r="27981">
      <c r="AI27981" s="80"/>
    </row>
    <row r="27982">
      <c r="AI27982" s="80"/>
    </row>
    <row r="27983">
      <c r="AI27983" s="80"/>
    </row>
    <row r="27984">
      <c r="AI27984" s="80"/>
    </row>
    <row r="27985">
      <c r="AI27985" s="80"/>
    </row>
    <row r="27986">
      <c r="AI27986" s="80"/>
    </row>
    <row r="27987">
      <c r="AI27987" s="80"/>
    </row>
    <row r="27988">
      <c r="AI27988" s="80"/>
    </row>
    <row r="27989">
      <c r="AI27989" s="80"/>
    </row>
    <row r="27990">
      <c r="AI27990" s="80"/>
    </row>
    <row r="27991">
      <c r="AI27991" s="80"/>
    </row>
    <row r="27992">
      <c r="AI27992" s="80"/>
    </row>
    <row r="27993">
      <c r="AI27993" s="80"/>
    </row>
    <row r="27994">
      <c r="AI27994" s="80"/>
    </row>
    <row r="27995">
      <c r="AI27995" s="80"/>
    </row>
    <row r="27996">
      <c r="AI27996" s="80"/>
    </row>
    <row r="27997">
      <c r="AI27997" s="80"/>
    </row>
    <row r="27998">
      <c r="AI27998" s="80"/>
    </row>
    <row r="27999">
      <c r="AI27999" s="80"/>
    </row>
    <row r="28000">
      <c r="AI28000" s="80"/>
    </row>
    <row r="28001">
      <c r="AI28001" s="80"/>
    </row>
    <row r="28002">
      <c r="AI28002" s="80"/>
    </row>
    <row r="28003">
      <c r="AI28003" s="80"/>
    </row>
    <row r="28004">
      <c r="AI28004" s="80"/>
    </row>
    <row r="28005">
      <c r="AI28005" s="80"/>
    </row>
    <row r="28006">
      <c r="AI28006" s="80"/>
    </row>
    <row r="28007">
      <c r="AI28007" s="80"/>
    </row>
    <row r="28008">
      <c r="AI28008" s="80"/>
    </row>
    <row r="28009">
      <c r="AI28009" s="80"/>
    </row>
    <row r="28010">
      <c r="AI28010" s="80"/>
    </row>
    <row r="28011">
      <c r="AI28011" s="80"/>
    </row>
    <row r="28012">
      <c r="AI28012" s="80"/>
    </row>
    <row r="28013">
      <c r="AI28013" s="80"/>
    </row>
    <row r="28014">
      <c r="AI28014" s="80"/>
    </row>
    <row r="28015">
      <c r="AI28015" s="80"/>
    </row>
    <row r="28016">
      <c r="AI28016" s="80"/>
    </row>
    <row r="28017">
      <c r="AI28017" s="80"/>
    </row>
    <row r="28018">
      <c r="AI28018" s="80"/>
    </row>
    <row r="28019">
      <c r="AI28019" s="80"/>
    </row>
    <row r="28020">
      <c r="AI28020" s="80"/>
    </row>
    <row r="28021">
      <c r="AI28021" s="80"/>
    </row>
    <row r="28022">
      <c r="AI28022" s="80"/>
    </row>
    <row r="28023">
      <c r="AI28023" s="80"/>
    </row>
    <row r="28024">
      <c r="AI28024" s="80"/>
    </row>
    <row r="28025">
      <c r="AI28025" s="80"/>
    </row>
    <row r="28026">
      <c r="AI28026" s="80"/>
    </row>
    <row r="28027">
      <c r="AI28027" s="80"/>
    </row>
    <row r="28028">
      <c r="AI28028" s="80"/>
    </row>
    <row r="28029">
      <c r="AI28029" s="80"/>
    </row>
    <row r="28030">
      <c r="AI28030" s="80"/>
    </row>
    <row r="28031">
      <c r="AI28031" s="80"/>
    </row>
    <row r="28032">
      <c r="AI28032" s="80"/>
    </row>
    <row r="28033">
      <c r="AI28033" s="80"/>
    </row>
    <row r="28034">
      <c r="AI28034" s="80"/>
    </row>
    <row r="28035">
      <c r="AI28035" s="80"/>
    </row>
    <row r="28036">
      <c r="AI28036" s="80"/>
    </row>
    <row r="28037">
      <c r="AI28037" s="80"/>
    </row>
    <row r="28038">
      <c r="AI28038" s="80"/>
    </row>
    <row r="28039">
      <c r="AI28039" s="80"/>
    </row>
    <row r="28040">
      <c r="AI28040" s="80"/>
    </row>
    <row r="28041">
      <c r="AI28041" s="80"/>
    </row>
    <row r="28042">
      <c r="AI28042" s="80"/>
    </row>
    <row r="28043">
      <c r="AI28043" s="80"/>
    </row>
    <row r="28044">
      <c r="AI28044" s="80"/>
    </row>
    <row r="28045">
      <c r="AI28045" s="80"/>
    </row>
    <row r="28046">
      <c r="AI28046" s="80"/>
    </row>
    <row r="28047">
      <c r="AI28047" s="80"/>
    </row>
    <row r="28048">
      <c r="AI28048" s="80"/>
    </row>
    <row r="28049">
      <c r="AI28049" s="80"/>
    </row>
    <row r="28050">
      <c r="AI28050" s="80"/>
    </row>
    <row r="28051">
      <c r="AI28051" s="80"/>
    </row>
    <row r="28052">
      <c r="AI28052" s="80"/>
    </row>
    <row r="28053">
      <c r="AI28053" s="80"/>
    </row>
    <row r="28054">
      <c r="AI28054" s="80"/>
    </row>
    <row r="28055">
      <c r="AI28055" s="80"/>
    </row>
    <row r="28056">
      <c r="AI28056" s="80"/>
    </row>
    <row r="28057">
      <c r="AI28057" s="80"/>
    </row>
    <row r="28058">
      <c r="AI28058" s="80"/>
    </row>
    <row r="28059">
      <c r="AI28059" s="80"/>
    </row>
    <row r="28060">
      <c r="AI28060" s="80"/>
    </row>
    <row r="28061">
      <c r="AI28061" s="80"/>
    </row>
    <row r="28062">
      <c r="AI28062" s="80"/>
    </row>
    <row r="28063">
      <c r="AI28063" s="80"/>
    </row>
    <row r="28064">
      <c r="AI28064" s="80"/>
    </row>
    <row r="28065">
      <c r="AI28065" s="80"/>
    </row>
    <row r="28066">
      <c r="AI28066" s="80"/>
    </row>
    <row r="28067">
      <c r="AI28067" s="80"/>
    </row>
    <row r="28068">
      <c r="AI28068" s="80"/>
    </row>
    <row r="28069">
      <c r="AI28069" s="80"/>
    </row>
    <row r="28070">
      <c r="AI28070" s="80"/>
    </row>
    <row r="28071">
      <c r="AI28071" s="80"/>
    </row>
    <row r="28072">
      <c r="AI28072" s="80"/>
    </row>
    <row r="28073">
      <c r="AI28073" s="80"/>
    </row>
    <row r="28074">
      <c r="AI28074" s="80"/>
    </row>
    <row r="28075">
      <c r="AI28075" s="80"/>
    </row>
    <row r="28076">
      <c r="AI28076" s="80"/>
    </row>
    <row r="28077">
      <c r="AI28077" s="80"/>
    </row>
    <row r="28078">
      <c r="AI28078" s="80"/>
    </row>
    <row r="28079">
      <c r="AI28079" s="80"/>
    </row>
    <row r="28080">
      <c r="AI28080" s="80"/>
    </row>
    <row r="28081">
      <c r="AI28081" s="80"/>
    </row>
    <row r="28082">
      <c r="AI28082" s="80"/>
    </row>
    <row r="28083">
      <c r="AI28083" s="80"/>
    </row>
    <row r="28084">
      <c r="AI28084" s="80"/>
    </row>
    <row r="28085">
      <c r="AI28085" s="80"/>
    </row>
    <row r="28086">
      <c r="AI28086" s="80"/>
    </row>
    <row r="28087">
      <c r="AI28087" s="80"/>
    </row>
    <row r="28088">
      <c r="AI28088" s="80"/>
    </row>
    <row r="28089">
      <c r="AI28089" s="80"/>
    </row>
    <row r="28090">
      <c r="AI28090" s="80"/>
    </row>
    <row r="28091">
      <c r="AI28091" s="80"/>
    </row>
    <row r="28092">
      <c r="AI28092" s="80"/>
    </row>
    <row r="28093">
      <c r="AI28093" s="80"/>
    </row>
    <row r="28094">
      <c r="AI28094" s="80"/>
    </row>
    <row r="28095">
      <c r="AI28095" s="80"/>
    </row>
    <row r="28096">
      <c r="AI28096" s="80"/>
    </row>
    <row r="28097">
      <c r="AI28097" s="80"/>
    </row>
    <row r="28098">
      <c r="AI28098" s="80"/>
    </row>
    <row r="28099">
      <c r="AI28099" s="80"/>
    </row>
    <row r="28100">
      <c r="AI28100" s="80"/>
    </row>
    <row r="28101">
      <c r="AI28101" s="80"/>
    </row>
    <row r="28102">
      <c r="AI28102" s="80"/>
    </row>
    <row r="28103">
      <c r="AI28103" s="80"/>
    </row>
    <row r="28104">
      <c r="AI28104" s="80"/>
    </row>
    <row r="28105">
      <c r="AI28105" s="80"/>
    </row>
    <row r="28106">
      <c r="AI28106" s="80"/>
    </row>
    <row r="28107">
      <c r="AI28107" s="80"/>
    </row>
    <row r="28108">
      <c r="AI28108" s="80"/>
    </row>
    <row r="28109">
      <c r="AI28109" s="80"/>
    </row>
    <row r="28110">
      <c r="AI28110" s="80"/>
    </row>
    <row r="28111">
      <c r="AI28111" s="80"/>
    </row>
    <row r="28112">
      <c r="AI28112" s="80"/>
    </row>
    <row r="28113">
      <c r="AI28113" s="80"/>
    </row>
    <row r="28114">
      <c r="AI28114" s="80"/>
    </row>
    <row r="28115">
      <c r="AI28115" s="80"/>
    </row>
    <row r="28116">
      <c r="AI28116" s="80"/>
    </row>
    <row r="28117">
      <c r="AI28117" s="80"/>
    </row>
    <row r="28118">
      <c r="AI28118" s="80"/>
    </row>
    <row r="28119">
      <c r="AI28119" s="80"/>
    </row>
    <row r="28120">
      <c r="AI28120" s="80"/>
    </row>
    <row r="28121">
      <c r="AI28121" s="80"/>
    </row>
    <row r="28122">
      <c r="AI28122" s="80"/>
    </row>
    <row r="28123">
      <c r="AI28123" s="80"/>
    </row>
    <row r="28124">
      <c r="AI28124" s="80"/>
    </row>
    <row r="28125">
      <c r="AI28125" s="80"/>
    </row>
    <row r="28126">
      <c r="AI28126" s="80"/>
    </row>
    <row r="28127">
      <c r="AI28127" s="80"/>
    </row>
    <row r="28128">
      <c r="AI28128" s="80"/>
    </row>
    <row r="28129">
      <c r="AI28129" s="80"/>
    </row>
    <row r="28130">
      <c r="AI28130" s="80"/>
    </row>
    <row r="28131">
      <c r="AI28131" s="80"/>
    </row>
    <row r="28132">
      <c r="AI28132" s="80"/>
    </row>
    <row r="28133">
      <c r="AI28133" s="80"/>
    </row>
    <row r="28134">
      <c r="AI28134" s="80"/>
    </row>
    <row r="28135">
      <c r="AI28135" s="80"/>
    </row>
    <row r="28136">
      <c r="AI28136" s="80"/>
    </row>
    <row r="28137">
      <c r="AI28137" s="80"/>
    </row>
    <row r="28138">
      <c r="AI28138" s="80"/>
    </row>
    <row r="28139">
      <c r="AI28139" s="80"/>
    </row>
    <row r="28140">
      <c r="AI28140" s="80"/>
    </row>
    <row r="28141">
      <c r="AI28141" s="80"/>
    </row>
    <row r="28142">
      <c r="AI28142" s="80"/>
    </row>
    <row r="28143">
      <c r="AI28143" s="80"/>
    </row>
    <row r="28144">
      <c r="AI28144" s="80"/>
    </row>
    <row r="28145">
      <c r="AI28145" s="80"/>
    </row>
    <row r="28146">
      <c r="AI28146" s="80"/>
    </row>
    <row r="28147">
      <c r="AI28147" s="80"/>
    </row>
    <row r="28148">
      <c r="AI28148" s="80"/>
    </row>
    <row r="28149">
      <c r="AI28149" s="80"/>
    </row>
    <row r="28150">
      <c r="AI28150" s="80"/>
    </row>
    <row r="28151">
      <c r="AI28151" s="80"/>
    </row>
    <row r="28152">
      <c r="AI28152" s="80"/>
    </row>
    <row r="28153">
      <c r="AI28153" s="80"/>
    </row>
    <row r="28154">
      <c r="AI28154" s="80"/>
    </row>
    <row r="28155">
      <c r="AI28155" s="80"/>
    </row>
    <row r="28156">
      <c r="AI28156" s="80"/>
    </row>
    <row r="28157">
      <c r="AI28157" s="80"/>
    </row>
    <row r="28158">
      <c r="AI28158" s="80"/>
    </row>
    <row r="28159">
      <c r="AI28159" s="80"/>
    </row>
    <row r="28160">
      <c r="AI28160" s="80"/>
    </row>
    <row r="28161">
      <c r="AI28161" s="80"/>
    </row>
    <row r="28162">
      <c r="AI28162" s="80"/>
    </row>
    <row r="28163">
      <c r="AI28163" s="80"/>
    </row>
    <row r="28164">
      <c r="AI28164" s="80"/>
    </row>
    <row r="28165">
      <c r="AI28165" s="80"/>
    </row>
    <row r="28166">
      <c r="AI28166" s="80"/>
    </row>
    <row r="28167">
      <c r="AI28167" s="80"/>
    </row>
    <row r="28168">
      <c r="AI28168" s="80"/>
    </row>
    <row r="28169">
      <c r="AI28169" s="80"/>
    </row>
    <row r="28170">
      <c r="AI28170" s="80"/>
    </row>
    <row r="28171">
      <c r="AI28171" s="80"/>
    </row>
    <row r="28172">
      <c r="AI28172" s="80"/>
    </row>
    <row r="28173">
      <c r="AI28173" s="80"/>
    </row>
    <row r="28174">
      <c r="AI28174" s="80"/>
    </row>
    <row r="28175">
      <c r="AI28175" s="80"/>
    </row>
    <row r="28176">
      <c r="AI28176" s="80"/>
    </row>
    <row r="28177">
      <c r="AI28177" s="80"/>
    </row>
    <row r="28178">
      <c r="AI28178" s="80"/>
    </row>
    <row r="28179">
      <c r="AI28179" s="80"/>
    </row>
    <row r="28180">
      <c r="AI28180" s="80"/>
    </row>
    <row r="28181">
      <c r="AI28181" s="80"/>
    </row>
    <row r="28182">
      <c r="AI28182" s="80"/>
    </row>
    <row r="28183">
      <c r="AI28183" s="80"/>
    </row>
    <row r="28184">
      <c r="AI28184" s="80"/>
    </row>
    <row r="28185">
      <c r="AI28185" s="80"/>
    </row>
    <row r="28186">
      <c r="AI28186" s="80"/>
    </row>
    <row r="28187">
      <c r="AI28187" s="80"/>
    </row>
    <row r="28188">
      <c r="AI28188" s="80"/>
    </row>
    <row r="28189">
      <c r="AI28189" s="80"/>
    </row>
    <row r="28190">
      <c r="AI28190" s="80"/>
    </row>
    <row r="28191">
      <c r="AI28191" s="80"/>
    </row>
    <row r="28192">
      <c r="AI28192" s="80"/>
    </row>
    <row r="28193">
      <c r="AI28193" s="80"/>
    </row>
    <row r="28194">
      <c r="AI28194" s="80"/>
    </row>
    <row r="28195">
      <c r="AI28195" s="80"/>
    </row>
    <row r="28196">
      <c r="AI28196" s="80"/>
    </row>
    <row r="28197">
      <c r="AI28197" s="80"/>
    </row>
    <row r="28198">
      <c r="AI28198" s="80"/>
    </row>
    <row r="28199">
      <c r="AI28199" s="80"/>
    </row>
    <row r="28200">
      <c r="AI28200" s="80"/>
    </row>
    <row r="28201">
      <c r="AI28201" s="80"/>
    </row>
    <row r="28202">
      <c r="AI28202" s="80"/>
    </row>
    <row r="28203">
      <c r="AI28203" s="80"/>
    </row>
    <row r="28204">
      <c r="AI28204" s="80"/>
    </row>
    <row r="28205">
      <c r="AI28205" s="80"/>
    </row>
    <row r="28206">
      <c r="AI28206" s="80"/>
    </row>
    <row r="28207">
      <c r="AI28207" s="80"/>
    </row>
    <row r="28208">
      <c r="AI28208" s="80"/>
    </row>
    <row r="28209">
      <c r="AI28209" s="80"/>
    </row>
    <row r="28210">
      <c r="AI28210" s="80"/>
    </row>
    <row r="28211">
      <c r="AI28211" s="80"/>
    </row>
    <row r="28212">
      <c r="AI28212" s="80"/>
    </row>
    <row r="28213">
      <c r="AI28213" s="80"/>
    </row>
    <row r="28214">
      <c r="AI28214" s="80"/>
    </row>
    <row r="28215">
      <c r="AI28215" s="80"/>
    </row>
    <row r="28216">
      <c r="AI28216" s="80"/>
    </row>
    <row r="28217">
      <c r="AI28217" s="80"/>
    </row>
    <row r="28218">
      <c r="AI28218" s="80"/>
    </row>
    <row r="28219">
      <c r="AI28219" s="80"/>
    </row>
    <row r="28220">
      <c r="AI28220" s="80"/>
    </row>
    <row r="28221">
      <c r="AI28221" s="80"/>
    </row>
    <row r="28222">
      <c r="AI28222" s="80"/>
    </row>
    <row r="28223">
      <c r="AI28223" s="80"/>
    </row>
    <row r="28224">
      <c r="AI28224" s="80"/>
    </row>
    <row r="28225">
      <c r="AI28225" s="80"/>
    </row>
    <row r="28226">
      <c r="AI28226" s="80"/>
    </row>
    <row r="28227">
      <c r="AI28227" s="80"/>
    </row>
    <row r="28228">
      <c r="AI28228" s="80"/>
    </row>
    <row r="28229">
      <c r="AI28229" s="80"/>
    </row>
    <row r="28230">
      <c r="AI28230" s="80"/>
    </row>
    <row r="28231">
      <c r="AI28231" s="80"/>
    </row>
    <row r="28232">
      <c r="AI28232" s="80"/>
    </row>
    <row r="28233">
      <c r="AI28233" s="80"/>
    </row>
    <row r="28234">
      <c r="AI28234" s="80"/>
    </row>
    <row r="28235">
      <c r="AI28235" s="80"/>
    </row>
    <row r="28236">
      <c r="AI28236" s="80"/>
    </row>
    <row r="28237">
      <c r="AI28237" s="80"/>
    </row>
    <row r="28238">
      <c r="AI28238" s="80"/>
    </row>
    <row r="28239">
      <c r="AI28239" s="80"/>
    </row>
    <row r="28240">
      <c r="AI28240" s="80"/>
    </row>
    <row r="28241">
      <c r="AI28241" s="80"/>
    </row>
    <row r="28242">
      <c r="AI28242" s="80"/>
    </row>
    <row r="28243">
      <c r="AI28243" s="80"/>
    </row>
    <row r="28244">
      <c r="AI28244" s="80"/>
    </row>
    <row r="28245">
      <c r="AI28245" s="80"/>
    </row>
    <row r="28246">
      <c r="AI28246" s="80"/>
    </row>
    <row r="28247">
      <c r="AI28247" s="80"/>
    </row>
    <row r="28248">
      <c r="AI28248" s="80"/>
    </row>
    <row r="28249">
      <c r="AI28249" s="80"/>
    </row>
    <row r="28250">
      <c r="AI28250" s="80"/>
    </row>
    <row r="28251">
      <c r="AI28251" s="80"/>
    </row>
    <row r="28252">
      <c r="AI28252" s="80"/>
    </row>
    <row r="28253">
      <c r="AI28253" s="80"/>
    </row>
    <row r="28254">
      <c r="AI28254" s="80"/>
    </row>
    <row r="28255">
      <c r="AI28255" s="80"/>
    </row>
    <row r="28256">
      <c r="AI28256" s="80"/>
    </row>
    <row r="28257">
      <c r="AI28257" s="80"/>
    </row>
    <row r="28258">
      <c r="AI28258" s="80"/>
    </row>
    <row r="28259">
      <c r="AI28259" s="80"/>
    </row>
    <row r="28260">
      <c r="AI28260" s="80"/>
    </row>
    <row r="28261">
      <c r="AI28261" s="80"/>
    </row>
    <row r="28262">
      <c r="AI28262" s="80"/>
    </row>
    <row r="28263">
      <c r="AI28263" s="80"/>
    </row>
    <row r="28264">
      <c r="AI28264" s="80"/>
    </row>
    <row r="28265">
      <c r="AI28265" s="80"/>
    </row>
    <row r="28266">
      <c r="AI28266" s="80"/>
    </row>
    <row r="28267">
      <c r="AI28267" s="80"/>
    </row>
    <row r="28268">
      <c r="AI28268" s="80"/>
    </row>
    <row r="28269">
      <c r="AI28269" s="80"/>
    </row>
    <row r="28270">
      <c r="AI28270" s="80"/>
    </row>
    <row r="28271">
      <c r="AI28271" s="80"/>
    </row>
    <row r="28272">
      <c r="AI28272" s="80"/>
    </row>
    <row r="28273">
      <c r="AI28273" s="80"/>
    </row>
    <row r="28274">
      <c r="AI28274" s="80"/>
    </row>
    <row r="28275">
      <c r="AI28275" s="80"/>
    </row>
    <row r="28276">
      <c r="AI28276" s="80"/>
    </row>
    <row r="28277">
      <c r="AI28277" s="80"/>
    </row>
    <row r="28278">
      <c r="AI28278" s="80"/>
    </row>
    <row r="28279">
      <c r="AI28279" s="80"/>
    </row>
    <row r="28280">
      <c r="AI28280" s="80"/>
    </row>
    <row r="28281">
      <c r="AI28281" s="80"/>
    </row>
    <row r="28282">
      <c r="AI28282" s="80"/>
    </row>
    <row r="28283">
      <c r="AI28283" s="80"/>
    </row>
    <row r="28284">
      <c r="AI28284" s="80"/>
    </row>
    <row r="28285">
      <c r="AI28285" s="80"/>
    </row>
    <row r="28286">
      <c r="AI28286" s="80"/>
    </row>
    <row r="28287">
      <c r="AI28287" s="80"/>
    </row>
    <row r="28288">
      <c r="AI28288" s="80"/>
    </row>
    <row r="28289">
      <c r="AI28289" s="80"/>
    </row>
    <row r="28290">
      <c r="AI28290" s="80"/>
    </row>
    <row r="28291">
      <c r="AI28291" s="80"/>
    </row>
    <row r="28292">
      <c r="AI28292" s="80"/>
    </row>
    <row r="28293">
      <c r="AI28293" s="80"/>
    </row>
    <row r="28294">
      <c r="AI28294" s="80"/>
    </row>
    <row r="28295">
      <c r="AI28295" s="80"/>
    </row>
    <row r="28296">
      <c r="AI28296" s="80"/>
    </row>
    <row r="28297">
      <c r="AI28297" s="80"/>
    </row>
    <row r="28298">
      <c r="AI28298" s="80"/>
    </row>
    <row r="28299">
      <c r="AI28299" s="80"/>
    </row>
    <row r="28300">
      <c r="AI28300" s="80"/>
    </row>
    <row r="28301">
      <c r="AI28301" s="80"/>
    </row>
    <row r="28302">
      <c r="AI28302" s="80"/>
    </row>
    <row r="28303">
      <c r="AI28303" s="80"/>
    </row>
    <row r="28304">
      <c r="AI28304" s="80"/>
    </row>
    <row r="28305">
      <c r="AI28305" s="80"/>
    </row>
    <row r="28306">
      <c r="AI28306" s="80"/>
    </row>
    <row r="28307">
      <c r="AI28307" s="80"/>
    </row>
    <row r="28308">
      <c r="AI28308" s="80"/>
    </row>
    <row r="28309">
      <c r="AI28309" s="80"/>
    </row>
    <row r="28310">
      <c r="AI28310" s="80"/>
    </row>
    <row r="28311">
      <c r="AI28311" s="80"/>
    </row>
    <row r="28312">
      <c r="AI28312" s="80"/>
    </row>
    <row r="28313">
      <c r="AI28313" s="80"/>
    </row>
    <row r="28314">
      <c r="AI28314" s="80"/>
    </row>
    <row r="28315">
      <c r="AI28315" s="80"/>
    </row>
    <row r="28316">
      <c r="AI28316" s="80"/>
    </row>
    <row r="28317">
      <c r="AI28317" s="80"/>
    </row>
    <row r="28318">
      <c r="AI28318" s="80"/>
    </row>
    <row r="28319">
      <c r="AI28319" s="80"/>
    </row>
    <row r="28320">
      <c r="AI28320" s="80"/>
    </row>
    <row r="28321">
      <c r="AI28321" s="80"/>
    </row>
    <row r="28322">
      <c r="AI28322" s="80"/>
    </row>
    <row r="28323">
      <c r="AI28323" s="80"/>
    </row>
    <row r="28324">
      <c r="AI28324" s="80"/>
    </row>
    <row r="28325">
      <c r="AI28325" s="80"/>
    </row>
    <row r="28326">
      <c r="AI28326" s="80"/>
    </row>
    <row r="28327">
      <c r="AI28327" s="80"/>
    </row>
    <row r="28328">
      <c r="AI28328" s="80"/>
    </row>
    <row r="28329">
      <c r="AI28329" s="80"/>
    </row>
    <row r="28330">
      <c r="AI28330" s="80"/>
    </row>
    <row r="28331">
      <c r="AI28331" s="80"/>
    </row>
    <row r="28332">
      <c r="AI28332" s="80"/>
    </row>
    <row r="28333">
      <c r="AI28333" s="80"/>
    </row>
    <row r="28334">
      <c r="AI28334" s="80"/>
    </row>
    <row r="28335">
      <c r="AI28335" s="80"/>
    </row>
    <row r="28336">
      <c r="AI28336" s="80"/>
    </row>
    <row r="28337">
      <c r="AI28337" s="80"/>
    </row>
    <row r="28338">
      <c r="AI28338" s="80"/>
    </row>
    <row r="28339">
      <c r="AI28339" s="80"/>
    </row>
    <row r="28340">
      <c r="AI28340" s="80"/>
    </row>
    <row r="28341">
      <c r="AI28341" s="80"/>
    </row>
    <row r="28342">
      <c r="AI28342" s="80"/>
    </row>
    <row r="28343">
      <c r="AI28343" s="80"/>
    </row>
    <row r="28344">
      <c r="AI28344" s="80"/>
    </row>
    <row r="28345">
      <c r="AI28345" s="80"/>
    </row>
    <row r="28346">
      <c r="AI28346" s="80"/>
    </row>
    <row r="28347">
      <c r="AI28347" s="80"/>
    </row>
    <row r="28348">
      <c r="AI28348" s="80"/>
    </row>
    <row r="28349">
      <c r="AI28349" s="80"/>
    </row>
    <row r="28350">
      <c r="AI28350" s="80"/>
    </row>
    <row r="28351">
      <c r="AI28351" s="80"/>
    </row>
    <row r="28352">
      <c r="AI28352" s="80"/>
    </row>
    <row r="28353">
      <c r="AI28353" s="80"/>
    </row>
    <row r="28354">
      <c r="AI28354" s="80"/>
    </row>
    <row r="28355">
      <c r="AI28355" s="80"/>
    </row>
    <row r="28356">
      <c r="AI28356" s="80"/>
    </row>
    <row r="28357">
      <c r="AI28357" s="80"/>
    </row>
    <row r="28358">
      <c r="AI28358" s="80"/>
    </row>
    <row r="28359">
      <c r="AI28359" s="80"/>
    </row>
    <row r="28360">
      <c r="AI28360" s="80"/>
    </row>
    <row r="28361">
      <c r="AI28361" s="80"/>
    </row>
    <row r="28362">
      <c r="AI28362" s="80"/>
    </row>
    <row r="28363">
      <c r="AI28363" s="80"/>
    </row>
    <row r="28364">
      <c r="AI28364" s="80"/>
    </row>
    <row r="28365">
      <c r="AI28365" s="80"/>
    </row>
    <row r="28366">
      <c r="AI28366" s="80"/>
    </row>
    <row r="28367">
      <c r="AI28367" s="80"/>
    </row>
    <row r="28368">
      <c r="AI28368" s="80"/>
    </row>
    <row r="28369">
      <c r="AI28369" s="80"/>
    </row>
    <row r="28370">
      <c r="AI28370" s="80"/>
    </row>
    <row r="28371">
      <c r="AI28371" s="80"/>
    </row>
    <row r="28372">
      <c r="AI28372" s="80"/>
    </row>
    <row r="28373">
      <c r="AI28373" s="80"/>
    </row>
    <row r="28374">
      <c r="AI28374" s="80"/>
    </row>
    <row r="28375">
      <c r="AI28375" s="80"/>
    </row>
    <row r="28376">
      <c r="AI28376" s="80"/>
    </row>
    <row r="28377">
      <c r="AI28377" s="80"/>
    </row>
    <row r="28378">
      <c r="AI28378" s="80"/>
    </row>
    <row r="28379">
      <c r="AI28379" s="80"/>
    </row>
    <row r="28380">
      <c r="AI28380" s="80"/>
    </row>
    <row r="28381">
      <c r="AI28381" s="80"/>
    </row>
    <row r="28382">
      <c r="AI28382" s="80"/>
    </row>
    <row r="28383">
      <c r="AI28383" s="80"/>
    </row>
    <row r="28384">
      <c r="AI28384" s="80"/>
    </row>
    <row r="28385">
      <c r="AI28385" s="80"/>
    </row>
    <row r="28386">
      <c r="AI28386" s="80"/>
    </row>
    <row r="28387">
      <c r="AI28387" s="80"/>
    </row>
    <row r="28388">
      <c r="AI28388" s="80"/>
    </row>
    <row r="28389">
      <c r="AI28389" s="80"/>
    </row>
    <row r="28390">
      <c r="AI28390" s="80"/>
    </row>
    <row r="28391">
      <c r="AI28391" s="80"/>
    </row>
    <row r="28392">
      <c r="AI28392" s="80"/>
    </row>
    <row r="28393">
      <c r="AI28393" s="80"/>
    </row>
    <row r="28394">
      <c r="AI28394" s="80"/>
    </row>
    <row r="28395">
      <c r="AI28395" s="80"/>
    </row>
    <row r="28396">
      <c r="AI28396" s="80"/>
    </row>
    <row r="28397">
      <c r="AI28397" s="80"/>
    </row>
    <row r="28398">
      <c r="AI28398" s="80"/>
    </row>
    <row r="28399">
      <c r="AI28399" s="80"/>
    </row>
    <row r="28400">
      <c r="AI28400" s="80"/>
    </row>
    <row r="28401">
      <c r="AI28401" s="80"/>
    </row>
    <row r="28402">
      <c r="AI28402" s="80"/>
    </row>
    <row r="28403">
      <c r="AI28403" s="80"/>
    </row>
    <row r="28404">
      <c r="AI28404" s="80"/>
    </row>
    <row r="28405">
      <c r="AI28405" s="80"/>
    </row>
    <row r="28406">
      <c r="AI28406" s="80"/>
    </row>
    <row r="28407">
      <c r="AI28407" s="80"/>
    </row>
    <row r="28408">
      <c r="AI28408" s="80"/>
    </row>
    <row r="28409">
      <c r="AI28409" s="80"/>
    </row>
    <row r="28410">
      <c r="AI28410" s="80"/>
    </row>
    <row r="28411">
      <c r="AI28411" s="80"/>
    </row>
    <row r="28412">
      <c r="AI28412" s="80"/>
    </row>
    <row r="28413">
      <c r="AI28413" s="80"/>
    </row>
    <row r="28414">
      <c r="AI28414" s="80"/>
    </row>
    <row r="28415">
      <c r="AI28415" s="80"/>
    </row>
    <row r="28416">
      <c r="AI28416" s="80"/>
    </row>
    <row r="28417">
      <c r="AI28417" s="80"/>
    </row>
    <row r="28418">
      <c r="AI28418" s="80"/>
    </row>
    <row r="28419">
      <c r="AI28419" s="80"/>
    </row>
    <row r="28420">
      <c r="AI28420" s="80"/>
    </row>
    <row r="28421">
      <c r="AI28421" s="80"/>
    </row>
    <row r="28422">
      <c r="AI28422" s="80"/>
    </row>
    <row r="28423">
      <c r="AI28423" s="80"/>
    </row>
    <row r="28424">
      <c r="AI28424" s="80"/>
    </row>
    <row r="28425">
      <c r="AI28425" s="80"/>
    </row>
    <row r="28426">
      <c r="AI28426" s="80"/>
    </row>
    <row r="28427">
      <c r="AI28427" s="80"/>
    </row>
    <row r="28428">
      <c r="AI28428" s="80"/>
    </row>
    <row r="28429">
      <c r="AI28429" s="80"/>
    </row>
    <row r="28430">
      <c r="AI28430" s="80"/>
    </row>
    <row r="28431">
      <c r="AI28431" s="80"/>
    </row>
    <row r="28432">
      <c r="AI28432" s="80"/>
    </row>
    <row r="28433">
      <c r="AI28433" s="80"/>
    </row>
    <row r="28434">
      <c r="AI28434" s="80"/>
    </row>
    <row r="28435">
      <c r="AI28435" s="80"/>
    </row>
    <row r="28436">
      <c r="AI28436" s="80"/>
    </row>
    <row r="28437">
      <c r="AI28437" s="80"/>
    </row>
    <row r="28438">
      <c r="AI28438" s="80"/>
    </row>
    <row r="28439">
      <c r="AI28439" s="80"/>
    </row>
    <row r="28440">
      <c r="AI28440" s="80"/>
    </row>
    <row r="28441">
      <c r="AI28441" s="80"/>
    </row>
    <row r="28442">
      <c r="AI28442" s="80"/>
    </row>
    <row r="28443">
      <c r="AI28443" s="80"/>
    </row>
    <row r="28444">
      <c r="AI28444" s="80"/>
    </row>
    <row r="28445">
      <c r="AI28445" s="80"/>
    </row>
    <row r="28446">
      <c r="AI28446" s="80"/>
    </row>
    <row r="28447">
      <c r="AI28447" s="80"/>
    </row>
    <row r="28448">
      <c r="AI28448" s="80"/>
    </row>
    <row r="28449">
      <c r="AI28449" s="80"/>
    </row>
    <row r="28450">
      <c r="AI28450" s="80"/>
    </row>
    <row r="28451">
      <c r="AI28451" s="80"/>
    </row>
    <row r="28452">
      <c r="AI28452" s="80"/>
    </row>
    <row r="28453">
      <c r="AI28453" s="80"/>
    </row>
    <row r="28454">
      <c r="AI28454" s="80"/>
    </row>
    <row r="28455">
      <c r="AI28455" s="80"/>
    </row>
    <row r="28456">
      <c r="AI28456" s="80"/>
    </row>
    <row r="28457">
      <c r="AI28457" s="80"/>
    </row>
    <row r="28458">
      <c r="AI28458" s="80"/>
    </row>
    <row r="28459">
      <c r="AI28459" s="80"/>
    </row>
    <row r="28460">
      <c r="AI28460" s="80"/>
    </row>
    <row r="28461">
      <c r="AI28461" s="80"/>
    </row>
    <row r="28462">
      <c r="AI28462" s="80"/>
    </row>
    <row r="28463">
      <c r="AI28463" s="80"/>
    </row>
    <row r="28464">
      <c r="AI28464" s="80"/>
    </row>
    <row r="28465">
      <c r="AI28465" s="80"/>
    </row>
    <row r="28466">
      <c r="AI28466" s="80"/>
    </row>
    <row r="28467">
      <c r="AI28467" s="80"/>
    </row>
    <row r="28468">
      <c r="AI28468" s="80"/>
    </row>
    <row r="28469">
      <c r="AI28469" s="80"/>
    </row>
    <row r="28470">
      <c r="AI28470" s="80"/>
    </row>
    <row r="28471">
      <c r="AI28471" s="80"/>
    </row>
    <row r="28472">
      <c r="AI28472" s="80"/>
    </row>
    <row r="28473">
      <c r="AI28473" s="80"/>
    </row>
    <row r="28474">
      <c r="AI28474" s="80"/>
    </row>
    <row r="28475">
      <c r="AI28475" s="80"/>
    </row>
    <row r="28476">
      <c r="AI28476" s="80"/>
    </row>
    <row r="28477">
      <c r="AI28477" s="80"/>
    </row>
    <row r="28478">
      <c r="AI28478" s="80"/>
    </row>
    <row r="28479">
      <c r="AI28479" s="80"/>
    </row>
    <row r="28480">
      <c r="AI28480" s="80"/>
    </row>
    <row r="28481">
      <c r="AI28481" s="80"/>
    </row>
    <row r="28482">
      <c r="AI28482" s="80"/>
    </row>
    <row r="28483">
      <c r="AI28483" s="80"/>
    </row>
    <row r="28484">
      <c r="AI28484" s="80"/>
    </row>
    <row r="28485">
      <c r="AI28485" s="80"/>
    </row>
    <row r="28486">
      <c r="AI28486" s="80"/>
    </row>
    <row r="28487">
      <c r="AI28487" s="80"/>
    </row>
    <row r="28488">
      <c r="AI28488" s="80"/>
    </row>
    <row r="28489">
      <c r="AI28489" s="80"/>
    </row>
    <row r="28490">
      <c r="AI28490" s="80"/>
    </row>
    <row r="28491">
      <c r="AI28491" s="80"/>
    </row>
    <row r="28492">
      <c r="AI28492" s="80"/>
    </row>
    <row r="28493">
      <c r="AI28493" s="80"/>
    </row>
    <row r="28494">
      <c r="AI28494" s="80"/>
    </row>
    <row r="28495">
      <c r="AI28495" s="80"/>
    </row>
    <row r="28496">
      <c r="AI28496" s="80"/>
    </row>
    <row r="28497">
      <c r="AI28497" s="80"/>
    </row>
    <row r="28498">
      <c r="AI28498" s="80"/>
    </row>
    <row r="28499">
      <c r="AI28499" s="80"/>
    </row>
    <row r="28500">
      <c r="AI28500" s="80"/>
    </row>
    <row r="28501">
      <c r="AI28501" s="80"/>
    </row>
    <row r="28502">
      <c r="AI28502" s="80"/>
    </row>
    <row r="28503">
      <c r="AI28503" s="80"/>
    </row>
    <row r="28504">
      <c r="AI28504" s="80"/>
    </row>
    <row r="28505">
      <c r="AI28505" s="80"/>
    </row>
    <row r="28506">
      <c r="AI28506" s="80"/>
    </row>
    <row r="28507">
      <c r="AI28507" s="80"/>
    </row>
    <row r="28508">
      <c r="AI28508" s="80"/>
    </row>
    <row r="28509">
      <c r="AI28509" s="80"/>
    </row>
    <row r="28510">
      <c r="AI28510" s="80"/>
    </row>
    <row r="28511">
      <c r="AI28511" s="80"/>
    </row>
    <row r="28512">
      <c r="AI28512" s="80"/>
    </row>
    <row r="28513">
      <c r="AI28513" s="80"/>
    </row>
    <row r="28514">
      <c r="AI28514" s="80"/>
    </row>
    <row r="28515">
      <c r="AI28515" s="80"/>
    </row>
    <row r="28516">
      <c r="AI28516" s="80"/>
    </row>
    <row r="28517">
      <c r="AI28517" s="80"/>
    </row>
    <row r="28518">
      <c r="AI28518" s="80"/>
    </row>
    <row r="28519">
      <c r="AI28519" s="80"/>
    </row>
    <row r="28520">
      <c r="AI28520" s="80"/>
    </row>
    <row r="28521">
      <c r="AI28521" s="80"/>
    </row>
    <row r="28522">
      <c r="AI28522" s="80"/>
    </row>
    <row r="28523">
      <c r="AI28523" s="80"/>
    </row>
    <row r="28524">
      <c r="AI28524" s="80"/>
    </row>
    <row r="28525">
      <c r="AI28525" s="80"/>
    </row>
    <row r="28526">
      <c r="AI28526" s="80"/>
    </row>
    <row r="28527">
      <c r="AI28527" s="80"/>
    </row>
    <row r="28528">
      <c r="AI28528" s="80"/>
    </row>
    <row r="28529">
      <c r="AI28529" s="80"/>
    </row>
    <row r="28530">
      <c r="AI28530" s="80"/>
    </row>
    <row r="28531">
      <c r="AI28531" s="80"/>
    </row>
    <row r="28532">
      <c r="AI28532" s="80"/>
    </row>
    <row r="28533">
      <c r="AI28533" s="80"/>
    </row>
    <row r="28534">
      <c r="AI28534" s="80"/>
    </row>
    <row r="28535">
      <c r="AI28535" s="80"/>
    </row>
    <row r="28536">
      <c r="AI28536" s="80"/>
    </row>
    <row r="28537">
      <c r="AI28537" s="80"/>
    </row>
    <row r="28538">
      <c r="AI28538" s="80"/>
    </row>
    <row r="28539">
      <c r="AI28539" s="80"/>
    </row>
    <row r="28540">
      <c r="AI28540" s="80"/>
    </row>
    <row r="28541">
      <c r="AI28541" s="80"/>
    </row>
    <row r="28542">
      <c r="AI28542" s="80"/>
    </row>
    <row r="28543">
      <c r="AI28543" s="80"/>
    </row>
    <row r="28544">
      <c r="AI28544" s="80"/>
    </row>
    <row r="28545">
      <c r="AI28545" s="80"/>
    </row>
    <row r="28546">
      <c r="AI28546" s="80"/>
    </row>
    <row r="28547">
      <c r="AI28547" s="80"/>
    </row>
    <row r="28548">
      <c r="AI28548" s="80"/>
    </row>
    <row r="28549">
      <c r="AI28549" s="80"/>
    </row>
    <row r="28550">
      <c r="AI28550" s="80"/>
    </row>
    <row r="28551">
      <c r="AI28551" s="80"/>
    </row>
    <row r="28552">
      <c r="AI28552" s="80"/>
    </row>
    <row r="28553">
      <c r="AI28553" s="80"/>
    </row>
    <row r="28554">
      <c r="AI28554" s="80"/>
    </row>
    <row r="28555">
      <c r="AI28555" s="80"/>
    </row>
    <row r="28556">
      <c r="AI28556" s="80"/>
    </row>
    <row r="28557">
      <c r="AI28557" s="80"/>
    </row>
    <row r="28558">
      <c r="AI28558" s="80"/>
    </row>
    <row r="28559">
      <c r="AI28559" s="80"/>
    </row>
    <row r="28560">
      <c r="AI28560" s="80"/>
    </row>
    <row r="28561">
      <c r="AI28561" s="80"/>
    </row>
    <row r="28562">
      <c r="AI28562" s="80"/>
    </row>
    <row r="28563">
      <c r="AI28563" s="80"/>
    </row>
    <row r="28564">
      <c r="AI28564" s="80"/>
    </row>
    <row r="28565">
      <c r="AI28565" s="80"/>
    </row>
    <row r="28566">
      <c r="AI28566" s="80"/>
    </row>
    <row r="28567">
      <c r="AI28567" s="80"/>
    </row>
    <row r="28568">
      <c r="AI28568" s="80"/>
    </row>
    <row r="28569">
      <c r="AI28569" s="80"/>
    </row>
    <row r="28570">
      <c r="AI28570" s="80"/>
    </row>
    <row r="28571">
      <c r="AI28571" s="80"/>
    </row>
    <row r="28572">
      <c r="AI28572" s="80"/>
    </row>
    <row r="28573">
      <c r="AI28573" s="80"/>
    </row>
    <row r="28574">
      <c r="AI28574" s="80"/>
    </row>
    <row r="28575">
      <c r="AI28575" s="80"/>
    </row>
    <row r="28576">
      <c r="AI28576" s="80"/>
    </row>
    <row r="28577">
      <c r="AI28577" s="80"/>
    </row>
    <row r="28578">
      <c r="AI28578" s="80"/>
    </row>
    <row r="28579">
      <c r="AI28579" s="80"/>
    </row>
    <row r="28580">
      <c r="AI28580" s="80"/>
    </row>
    <row r="28581">
      <c r="AI28581" s="80"/>
    </row>
    <row r="28582">
      <c r="AI28582" s="80"/>
    </row>
    <row r="28583">
      <c r="AI28583" s="80"/>
    </row>
    <row r="28584">
      <c r="AI28584" s="80"/>
    </row>
    <row r="28585">
      <c r="AI28585" s="80"/>
    </row>
    <row r="28586">
      <c r="AI28586" s="80"/>
    </row>
    <row r="28587">
      <c r="AI28587" s="80"/>
    </row>
    <row r="28588">
      <c r="AI28588" s="80"/>
    </row>
    <row r="28589">
      <c r="AI28589" s="80"/>
    </row>
    <row r="28590">
      <c r="AI28590" s="80"/>
    </row>
    <row r="28591">
      <c r="AI28591" s="80"/>
    </row>
    <row r="28592">
      <c r="AI28592" s="80"/>
    </row>
    <row r="28593">
      <c r="AI28593" s="80"/>
    </row>
    <row r="28594">
      <c r="AI28594" s="80"/>
    </row>
    <row r="28595">
      <c r="AI28595" s="80"/>
    </row>
    <row r="28596">
      <c r="AI28596" s="80"/>
    </row>
    <row r="28597">
      <c r="AI28597" s="80"/>
    </row>
    <row r="28598">
      <c r="AI28598" s="80"/>
    </row>
    <row r="28599">
      <c r="AI28599" s="80"/>
    </row>
    <row r="28600">
      <c r="AI28600" s="80"/>
    </row>
    <row r="28601">
      <c r="AI28601" s="80"/>
    </row>
    <row r="28602">
      <c r="AI28602" s="80"/>
    </row>
    <row r="28603">
      <c r="AI28603" s="80"/>
    </row>
    <row r="28604">
      <c r="AI28604" s="80"/>
    </row>
    <row r="28605">
      <c r="AI28605" s="80"/>
    </row>
    <row r="28606">
      <c r="AI28606" s="80"/>
    </row>
    <row r="28607">
      <c r="AI28607" s="80"/>
    </row>
    <row r="28608">
      <c r="AI28608" s="80"/>
    </row>
    <row r="28609">
      <c r="AI28609" s="80"/>
    </row>
    <row r="28610">
      <c r="AI28610" s="80"/>
    </row>
    <row r="28611">
      <c r="AI28611" s="80"/>
    </row>
    <row r="28612">
      <c r="AI28612" s="80"/>
    </row>
    <row r="28613">
      <c r="AI28613" s="80"/>
    </row>
    <row r="28614">
      <c r="AI28614" s="80"/>
    </row>
    <row r="28615">
      <c r="AI28615" s="80"/>
    </row>
    <row r="28616">
      <c r="AI28616" s="80"/>
    </row>
    <row r="28617">
      <c r="AI28617" s="80"/>
    </row>
    <row r="28618">
      <c r="AI28618" s="80"/>
    </row>
    <row r="28619">
      <c r="AI28619" s="80"/>
    </row>
    <row r="28620">
      <c r="AI28620" s="80"/>
    </row>
    <row r="28621">
      <c r="AI28621" s="80"/>
    </row>
    <row r="28622">
      <c r="AI28622" s="80"/>
    </row>
    <row r="28623">
      <c r="AI28623" s="80"/>
    </row>
    <row r="28624">
      <c r="AI28624" s="80"/>
    </row>
    <row r="28625">
      <c r="AI28625" s="80"/>
    </row>
    <row r="28626">
      <c r="AI28626" s="80"/>
    </row>
    <row r="28627">
      <c r="AI28627" s="80"/>
    </row>
    <row r="28628">
      <c r="AI28628" s="80"/>
    </row>
    <row r="28629">
      <c r="AI28629" s="80"/>
    </row>
    <row r="28630">
      <c r="AI28630" s="80"/>
    </row>
    <row r="28631">
      <c r="AI28631" s="80"/>
    </row>
    <row r="28632">
      <c r="AI28632" s="80"/>
    </row>
    <row r="28633">
      <c r="AI28633" s="80"/>
    </row>
    <row r="28634">
      <c r="AI28634" s="80"/>
    </row>
    <row r="28635">
      <c r="AI28635" s="80"/>
    </row>
    <row r="28636">
      <c r="AI28636" s="80"/>
    </row>
    <row r="28637">
      <c r="AI28637" s="80"/>
    </row>
    <row r="28638">
      <c r="AI28638" s="80"/>
    </row>
    <row r="28639">
      <c r="AI28639" s="80"/>
    </row>
    <row r="28640">
      <c r="AI28640" s="80"/>
    </row>
    <row r="28641">
      <c r="AI28641" s="80"/>
    </row>
    <row r="28642">
      <c r="AI28642" s="80"/>
    </row>
    <row r="28643">
      <c r="AI28643" s="80"/>
    </row>
    <row r="28644">
      <c r="AI28644" s="80"/>
    </row>
    <row r="28645">
      <c r="AI28645" s="80"/>
    </row>
    <row r="28646">
      <c r="AI28646" s="80"/>
    </row>
    <row r="28647">
      <c r="AI28647" s="80"/>
    </row>
    <row r="28648">
      <c r="AI28648" s="80"/>
    </row>
    <row r="28649">
      <c r="AI28649" s="80"/>
    </row>
    <row r="28650">
      <c r="AI28650" s="80"/>
    </row>
    <row r="28651">
      <c r="AI28651" s="80"/>
    </row>
    <row r="28652">
      <c r="AI28652" s="80"/>
    </row>
    <row r="28653">
      <c r="AI28653" s="80"/>
    </row>
    <row r="28654">
      <c r="AI28654" s="80"/>
    </row>
    <row r="28655">
      <c r="AI28655" s="80"/>
    </row>
    <row r="28656">
      <c r="AI28656" s="80"/>
    </row>
    <row r="28657">
      <c r="AI28657" s="80"/>
    </row>
    <row r="28658">
      <c r="AI28658" s="80"/>
    </row>
    <row r="28659">
      <c r="AI28659" s="80"/>
    </row>
    <row r="28660">
      <c r="AI28660" s="80"/>
    </row>
    <row r="28661">
      <c r="AI28661" s="80"/>
    </row>
    <row r="28662">
      <c r="AI28662" s="80"/>
    </row>
    <row r="28663">
      <c r="AI28663" s="80"/>
    </row>
    <row r="28664">
      <c r="AI28664" s="80"/>
    </row>
    <row r="28665">
      <c r="AI28665" s="80"/>
    </row>
    <row r="28666">
      <c r="AI28666" s="80"/>
    </row>
    <row r="28667">
      <c r="AI28667" s="80"/>
    </row>
    <row r="28668">
      <c r="AI28668" s="80"/>
    </row>
    <row r="28669">
      <c r="AI28669" s="80"/>
    </row>
    <row r="28670">
      <c r="AI28670" s="80"/>
    </row>
    <row r="28671">
      <c r="AI28671" s="80"/>
    </row>
    <row r="28672">
      <c r="AI28672" s="80"/>
    </row>
    <row r="28673">
      <c r="AI28673" s="80"/>
    </row>
    <row r="28674">
      <c r="AI28674" s="80"/>
    </row>
    <row r="28675">
      <c r="AI28675" s="80"/>
    </row>
    <row r="28676">
      <c r="AI28676" s="80"/>
    </row>
    <row r="28677">
      <c r="AI28677" s="80"/>
    </row>
    <row r="28678">
      <c r="AI28678" s="80"/>
    </row>
    <row r="28679">
      <c r="AI28679" s="80"/>
    </row>
    <row r="28680">
      <c r="AI28680" s="80"/>
    </row>
    <row r="28681">
      <c r="AI28681" s="80"/>
    </row>
    <row r="28682">
      <c r="AI28682" s="80"/>
    </row>
    <row r="28683">
      <c r="AI28683" s="80"/>
    </row>
    <row r="28684">
      <c r="AI28684" s="80"/>
    </row>
    <row r="28685">
      <c r="AI28685" s="80"/>
    </row>
    <row r="28686">
      <c r="AI28686" s="80"/>
    </row>
    <row r="28687">
      <c r="AI28687" s="80"/>
    </row>
    <row r="28688">
      <c r="AI28688" s="80"/>
    </row>
    <row r="28689">
      <c r="AI28689" s="80"/>
    </row>
    <row r="28690">
      <c r="AI28690" s="80"/>
    </row>
    <row r="28691">
      <c r="AI28691" s="80"/>
    </row>
    <row r="28692">
      <c r="AI28692" s="80"/>
    </row>
    <row r="28693">
      <c r="AI28693" s="80"/>
    </row>
    <row r="28694">
      <c r="AI28694" s="80"/>
    </row>
    <row r="28695">
      <c r="AI28695" s="80"/>
    </row>
    <row r="28696">
      <c r="AI28696" s="80"/>
    </row>
    <row r="28697">
      <c r="AI28697" s="80"/>
    </row>
    <row r="28698">
      <c r="AI28698" s="80"/>
    </row>
    <row r="28699">
      <c r="AI28699" s="80"/>
    </row>
    <row r="28700">
      <c r="AI28700" s="80"/>
    </row>
    <row r="28701">
      <c r="AI28701" s="80"/>
    </row>
    <row r="28702">
      <c r="AI28702" s="80"/>
    </row>
    <row r="28703">
      <c r="AI28703" s="80"/>
    </row>
    <row r="28704">
      <c r="AI28704" s="80"/>
    </row>
    <row r="28705">
      <c r="AI28705" s="80"/>
    </row>
    <row r="28706">
      <c r="AI28706" s="80"/>
    </row>
    <row r="28707">
      <c r="AI28707" s="80"/>
    </row>
    <row r="28708">
      <c r="AI28708" s="80"/>
    </row>
    <row r="28709">
      <c r="AI28709" s="80"/>
    </row>
    <row r="28710">
      <c r="AI28710" s="80"/>
    </row>
    <row r="28711">
      <c r="AI28711" s="80"/>
    </row>
    <row r="28712">
      <c r="AI28712" s="80"/>
    </row>
    <row r="28713">
      <c r="AI28713" s="80"/>
    </row>
    <row r="28714">
      <c r="AI28714" s="80"/>
    </row>
    <row r="28715">
      <c r="AI28715" s="80"/>
    </row>
    <row r="28716">
      <c r="AI28716" s="80"/>
    </row>
    <row r="28717">
      <c r="AI28717" s="80"/>
    </row>
    <row r="28718">
      <c r="AI28718" s="80"/>
    </row>
    <row r="28719">
      <c r="AI28719" s="80"/>
    </row>
    <row r="28720">
      <c r="AI28720" s="80"/>
    </row>
    <row r="28721">
      <c r="AI28721" s="80"/>
    </row>
    <row r="28722">
      <c r="AI28722" s="80"/>
    </row>
    <row r="28723">
      <c r="AI28723" s="80"/>
    </row>
    <row r="28724">
      <c r="AI28724" s="80"/>
    </row>
    <row r="28725">
      <c r="AI28725" s="80"/>
    </row>
    <row r="28726">
      <c r="AI28726" s="80"/>
    </row>
    <row r="28727">
      <c r="AI28727" s="80"/>
    </row>
    <row r="28728">
      <c r="AI28728" s="80"/>
    </row>
    <row r="28729">
      <c r="AI28729" s="80"/>
    </row>
    <row r="28730">
      <c r="AI28730" s="80"/>
    </row>
    <row r="28731">
      <c r="AI28731" s="80"/>
    </row>
    <row r="28732">
      <c r="AI28732" s="80"/>
    </row>
    <row r="28733">
      <c r="AI28733" s="80"/>
    </row>
    <row r="28734">
      <c r="AI28734" s="80"/>
    </row>
    <row r="28735">
      <c r="AI28735" s="80"/>
    </row>
    <row r="28736">
      <c r="AI28736" s="80"/>
    </row>
    <row r="28737">
      <c r="AI28737" s="80"/>
    </row>
    <row r="28738">
      <c r="AI28738" s="80"/>
    </row>
    <row r="28739">
      <c r="AI28739" s="80"/>
    </row>
    <row r="28740">
      <c r="AI28740" s="80"/>
    </row>
    <row r="28741">
      <c r="AI28741" s="80"/>
    </row>
    <row r="28742">
      <c r="AI28742" s="80"/>
    </row>
    <row r="28743">
      <c r="AI28743" s="80"/>
    </row>
    <row r="28744">
      <c r="AI28744" s="80"/>
    </row>
    <row r="28745">
      <c r="AI28745" s="80"/>
    </row>
    <row r="28746">
      <c r="AI28746" s="80"/>
    </row>
    <row r="28747">
      <c r="AI28747" s="80"/>
    </row>
    <row r="28748">
      <c r="AI28748" s="80"/>
    </row>
    <row r="28749">
      <c r="AI28749" s="80"/>
    </row>
    <row r="28750">
      <c r="AI28750" s="80"/>
    </row>
    <row r="28751">
      <c r="AI28751" s="80"/>
    </row>
    <row r="28752">
      <c r="AI28752" s="80"/>
    </row>
    <row r="28753">
      <c r="AI28753" s="80"/>
    </row>
    <row r="28754">
      <c r="AI28754" s="80"/>
    </row>
    <row r="28755">
      <c r="AI28755" s="80"/>
    </row>
    <row r="28756">
      <c r="AI28756" s="80"/>
    </row>
    <row r="28757">
      <c r="AI28757" s="80"/>
    </row>
    <row r="28758">
      <c r="AI28758" s="80"/>
    </row>
    <row r="28759">
      <c r="AI28759" s="80"/>
    </row>
    <row r="28760">
      <c r="AI28760" s="80"/>
    </row>
    <row r="28761">
      <c r="AI28761" s="80"/>
    </row>
    <row r="28762">
      <c r="AI28762" s="80"/>
    </row>
    <row r="28763">
      <c r="AI28763" s="80"/>
    </row>
    <row r="28764">
      <c r="AI28764" s="80"/>
    </row>
    <row r="28765">
      <c r="AI28765" s="80"/>
    </row>
    <row r="28766">
      <c r="AI28766" s="80"/>
    </row>
    <row r="28767">
      <c r="AI28767" s="80"/>
    </row>
    <row r="28768">
      <c r="AI28768" s="80"/>
    </row>
    <row r="28769">
      <c r="AI28769" s="80"/>
    </row>
    <row r="28770">
      <c r="AI28770" s="80"/>
    </row>
    <row r="28771">
      <c r="AI28771" s="80"/>
    </row>
    <row r="28772">
      <c r="AI28772" s="80"/>
    </row>
    <row r="28773">
      <c r="AI28773" s="80"/>
    </row>
    <row r="28774">
      <c r="AI28774" s="80"/>
    </row>
    <row r="28775">
      <c r="AI28775" s="80"/>
    </row>
    <row r="28776">
      <c r="AI28776" s="80"/>
    </row>
    <row r="28777">
      <c r="AI28777" s="80"/>
    </row>
    <row r="28778">
      <c r="AI28778" s="80"/>
    </row>
    <row r="28779">
      <c r="AI28779" s="80"/>
    </row>
    <row r="28780">
      <c r="AI28780" s="80"/>
    </row>
    <row r="28781">
      <c r="AI28781" s="80"/>
    </row>
    <row r="28782">
      <c r="AI28782" s="80"/>
    </row>
    <row r="28783">
      <c r="AI28783" s="80"/>
    </row>
    <row r="28784">
      <c r="AI28784" s="80"/>
    </row>
    <row r="28785">
      <c r="AI28785" s="80"/>
    </row>
    <row r="28786">
      <c r="AI28786" s="80"/>
    </row>
    <row r="28787">
      <c r="AI28787" s="80"/>
    </row>
    <row r="28788">
      <c r="AI28788" s="80"/>
    </row>
    <row r="28789">
      <c r="AI28789" s="80"/>
    </row>
    <row r="28790">
      <c r="AI28790" s="80"/>
    </row>
    <row r="28791">
      <c r="AI28791" s="80"/>
    </row>
    <row r="28792">
      <c r="AI28792" s="80"/>
    </row>
    <row r="28793">
      <c r="AI28793" s="80"/>
    </row>
    <row r="28794">
      <c r="AI28794" s="80"/>
    </row>
    <row r="28795">
      <c r="AI28795" s="80"/>
    </row>
    <row r="28796">
      <c r="AI28796" s="80"/>
    </row>
    <row r="28797">
      <c r="AI28797" s="80"/>
    </row>
    <row r="28798">
      <c r="AI28798" s="80"/>
    </row>
    <row r="28799">
      <c r="AI28799" s="80"/>
    </row>
    <row r="28800">
      <c r="AI28800" s="80"/>
    </row>
    <row r="28801">
      <c r="AI28801" s="80"/>
    </row>
    <row r="28802">
      <c r="AI28802" s="80"/>
    </row>
    <row r="28803">
      <c r="AI28803" s="80"/>
    </row>
    <row r="28804">
      <c r="AI28804" s="80"/>
    </row>
    <row r="28805">
      <c r="AI28805" s="80"/>
    </row>
    <row r="28806">
      <c r="AI28806" s="80"/>
    </row>
    <row r="28807">
      <c r="AI28807" s="80"/>
    </row>
    <row r="28808">
      <c r="AI28808" s="80"/>
    </row>
    <row r="28809">
      <c r="AI28809" s="80"/>
    </row>
    <row r="28810">
      <c r="AI28810" s="80"/>
    </row>
    <row r="28811">
      <c r="AI28811" s="80"/>
    </row>
    <row r="28812">
      <c r="AI28812" s="80"/>
    </row>
    <row r="28813">
      <c r="AI28813" s="80"/>
    </row>
    <row r="28814">
      <c r="AI28814" s="80"/>
    </row>
    <row r="28815">
      <c r="AI28815" s="80"/>
    </row>
    <row r="28816">
      <c r="AI28816" s="80"/>
    </row>
    <row r="28817">
      <c r="AI28817" s="80"/>
    </row>
    <row r="28818">
      <c r="AI28818" s="80"/>
    </row>
    <row r="28819">
      <c r="AI28819" s="80"/>
    </row>
    <row r="28820">
      <c r="AI28820" s="80"/>
    </row>
    <row r="28821">
      <c r="AI28821" s="80"/>
    </row>
    <row r="28822">
      <c r="AI28822" s="80"/>
    </row>
    <row r="28823">
      <c r="AI28823" s="80"/>
    </row>
    <row r="28824">
      <c r="AI28824" s="80"/>
    </row>
    <row r="28825">
      <c r="AI28825" s="80"/>
    </row>
    <row r="28826">
      <c r="AI28826" s="80"/>
    </row>
    <row r="28827">
      <c r="AI28827" s="80"/>
    </row>
    <row r="28828">
      <c r="AI28828" s="80"/>
    </row>
    <row r="28829">
      <c r="AI28829" s="80"/>
    </row>
    <row r="28830">
      <c r="AI28830" s="80"/>
    </row>
    <row r="28831">
      <c r="AI28831" s="80"/>
    </row>
    <row r="28832">
      <c r="AI28832" s="80"/>
    </row>
    <row r="28833">
      <c r="AI28833" s="80"/>
    </row>
    <row r="28834">
      <c r="AI28834" s="80"/>
    </row>
    <row r="28835">
      <c r="AI28835" s="80"/>
    </row>
    <row r="28836">
      <c r="AI28836" s="80"/>
    </row>
    <row r="28837">
      <c r="AI28837" s="80"/>
    </row>
    <row r="28838">
      <c r="AI28838" s="80"/>
    </row>
    <row r="28839">
      <c r="AI28839" s="80"/>
    </row>
    <row r="28840">
      <c r="AI28840" s="80"/>
    </row>
    <row r="28841">
      <c r="AI28841" s="80"/>
    </row>
    <row r="28842">
      <c r="AI28842" s="80"/>
    </row>
    <row r="28843">
      <c r="AI28843" s="80"/>
    </row>
    <row r="28844">
      <c r="AI28844" s="80"/>
    </row>
    <row r="28845">
      <c r="AI28845" s="80"/>
    </row>
    <row r="28846">
      <c r="AI28846" s="80"/>
    </row>
    <row r="28847">
      <c r="AI28847" s="80"/>
    </row>
    <row r="28848">
      <c r="AI28848" s="80"/>
    </row>
    <row r="28849">
      <c r="AI28849" s="80"/>
    </row>
    <row r="28850">
      <c r="AI28850" s="80"/>
    </row>
    <row r="28851">
      <c r="AI28851" s="80"/>
    </row>
    <row r="28852">
      <c r="AI28852" s="80"/>
    </row>
    <row r="28853">
      <c r="AI28853" s="80"/>
    </row>
    <row r="28854">
      <c r="AI28854" s="80"/>
    </row>
    <row r="28855">
      <c r="AI28855" s="80"/>
    </row>
    <row r="28856">
      <c r="AI28856" s="80"/>
    </row>
    <row r="28857">
      <c r="AI28857" s="80"/>
    </row>
    <row r="28858">
      <c r="AI28858" s="80"/>
    </row>
    <row r="28859">
      <c r="AI28859" s="80"/>
    </row>
    <row r="28860">
      <c r="AI28860" s="80"/>
    </row>
    <row r="28861">
      <c r="AI28861" s="80"/>
    </row>
    <row r="28862">
      <c r="AI28862" s="80"/>
    </row>
    <row r="28863">
      <c r="AI28863" s="80"/>
    </row>
    <row r="28864">
      <c r="AI28864" s="80"/>
    </row>
    <row r="28865">
      <c r="AI28865" s="80"/>
    </row>
    <row r="28866">
      <c r="AI28866" s="80"/>
    </row>
    <row r="28867">
      <c r="AI28867" s="80"/>
    </row>
    <row r="28868">
      <c r="AI28868" s="80"/>
    </row>
    <row r="28869">
      <c r="AI28869" s="80"/>
    </row>
    <row r="28870">
      <c r="AI28870" s="80"/>
    </row>
    <row r="28871">
      <c r="AI28871" s="80"/>
    </row>
    <row r="28872">
      <c r="AI28872" s="80"/>
    </row>
    <row r="28873">
      <c r="AI28873" s="80"/>
    </row>
    <row r="28874">
      <c r="AI28874" s="80"/>
    </row>
    <row r="28875">
      <c r="AI28875" s="80"/>
    </row>
    <row r="28876">
      <c r="AI28876" s="80"/>
    </row>
    <row r="28877">
      <c r="AI28877" s="80"/>
    </row>
    <row r="28878">
      <c r="AI28878" s="80"/>
    </row>
    <row r="28879">
      <c r="AI28879" s="80"/>
    </row>
    <row r="28880">
      <c r="AI28880" s="80"/>
    </row>
    <row r="28881">
      <c r="AI28881" s="80"/>
    </row>
    <row r="28882">
      <c r="AI28882" s="80"/>
    </row>
    <row r="28883">
      <c r="AI28883" s="80"/>
    </row>
    <row r="28884">
      <c r="AI28884" s="80"/>
    </row>
    <row r="28885">
      <c r="AI28885" s="80"/>
    </row>
    <row r="28886">
      <c r="AI28886" s="80"/>
    </row>
    <row r="28887">
      <c r="AI28887" s="80"/>
    </row>
    <row r="28888">
      <c r="AI28888" s="80"/>
    </row>
    <row r="28889">
      <c r="AI28889" s="80"/>
    </row>
    <row r="28890">
      <c r="AI28890" s="80"/>
    </row>
    <row r="28891">
      <c r="AI28891" s="80"/>
    </row>
    <row r="28892">
      <c r="AI28892" s="80"/>
    </row>
    <row r="28893">
      <c r="AI28893" s="80"/>
    </row>
    <row r="28894">
      <c r="AI28894" s="80"/>
    </row>
    <row r="28895">
      <c r="AI28895" s="80"/>
    </row>
    <row r="28896">
      <c r="AI28896" s="80"/>
    </row>
    <row r="28897">
      <c r="AI28897" s="80"/>
    </row>
    <row r="28898">
      <c r="AI28898" s="80"/>
    </row>
    <row r="28899">
      <c r="AI28899" s="80"/>
    </row>
    <row r="28900">
      <c r="AI28900" s="80"/>
    </row>
    <row r="28901">
      <c r="AI28901" s="80"/>
    </row>
    <row r="28902">
      <c r="AI28902" s="80"/>
    </row>
    <row r="28903">
      <c r="AI28903" s="80"/>
    </row>
    <row r="28904">
      <c r="AI28904" s="80"/>
    </row>
    <row r="28905">
      <c r="AI28905" s="80"/>
    </row>
    <row r="28906">
      <c r="AI28906" s="80"/>
    </row>
    <row r="28907">
      <c r="AI28907" s="80"/>
    </row>
    <row r="28908">
      <c r="AI28908" s="80"/>
    </row>
    <row r="28909">
      <c r="AI28909" s="80"/>
    </row>
    <row r="28910">
      <c r="AI28910" s="80"/>
    </row>
    <row r="28911">
      <c r="AI28911" s="80"/>
    </row>
    <row r="28912">
      <c r="AI28912" s="80"/>
    </row>
    <row r="28913">
      <c r="AI28913" s="80"/>
    </row>
    <row r="28914">
      <c r="AI28914" s="80"/>
    </row>
    <row r="28915">
      <c r="AI28915" s="80"/>
    </row>
    <row r="28916">
      <c r="AI28916" s="80"/>
    </row>
    <row r="28917">
      <c r="AI28917" s="80"/>
    </row>
    <row r="28918">
      <c r="AI28918" s="80"/>
    </row>
    <row r="28919">
      <c r="AI28919" s="80"/>
    </row>
    <row r="28920">
      <c r="AI28920" s="80"/>
    </row>
    <row r="28921">
      <c r="AI28921" s="80"/>
    </row>
    <row r="28922">
      <c r="AI28922" s="80"/>
    </row>
    <row r="28923">
      <c r="AI28923" s="80"/>
    </row>
    <row r="28924">
      <c r="AI28924" s="80"/>
    </row>
    <row r="28925">
      <c r="AI28925" s="80"/>
    </row>
    <row r="28926">
      <c r="AI28926" s="80"/>
    </row>
    <row r="28927">
      <c r="AI28927" s="80"/>
    </row>
    <row r="28928">
      <c r="AI28928" s="80"/>
    </row>
    <row r="28929">
      <c r="AI28929" s="80"/>
    </row>
    <row r="28930">
      <c r="AI28930" s="80"/>
    </row>
    <row r="28931">
      <c r="AI28931" s="80"/>
    </row>
    <row r="28932">
      <c r="AI28932" s="80"/>
    </row>
    <row r="28933">
      <c r="AI28933" s="80"/>
    </row>
    <row r="28934">
      <c r="AI28934" s="80"/>
    </row>
    <row r="28935">
      <c r="AI28935" s="80"/>
    </row>
    <row r="28936">
      <c r="AI28936" s="80"/>
    </row>
    <row r="28937">
      <c r="AI28937" s="80"/>
    </row>
    <row r="28938">
      <c r="AI28938" s="80"/>
    </row>
    <row r="28939">
      <c r="AI28939" s="80"/>
    </row>
    <row r="28940">
      <c r="AI28940" s="80"/>
    </row>
    <row r="28941">
      <c r="AI28941" s="80"/>
    </row>
    <row r="28942">
      <c r="AI28942" s="80"/>
    </row>
    <row r="28943">
      <c r="AI28943" s="80"/>
    </row>
    <row r="28944">
      <c r="AI28944" s="80"/>
    </row>
    <row r="28945">
      <c r="AI28945" s="80"/>
    </row>
    <row r="28946">
      <c r="AI28946" s="80"/>
    </row>
    <row r="28947">
      <c r="AI28947" s="80"/>
    </row>
    <row r="28948">
      <c r="AI28948" s="80"/>
    </row>
    <row r="28949">
      <c r="AI28949" s="80"/>
    </row>
    <row r="28950">
      <c r="AI28950" s="80"/>
    </row>
    <row r="28951">
      <c r="AI28951" s="80"/>
    </row>
    <row r="28952">
      <c r="AI28952" s="80"/>
    </row>
    <row r="28953">
      <c r="AI28953" s="80"/>
    </row>
    <row r="28954">
      <c r="AI28954" s="80"/>
    </row>
    <row r="28955">
      <c r="AI28955" s="80"/>
    </row>
    <row r="28956">
      <c r="AI28956" s="80"/>
    </row>
    <row r="28957">
      <c r="AI28957" s="80"/>
    </row>
    <row r="28958">
      <c r="AI28958" s="80"/>
    </row>
    <row r="28959">
      <c r="AI28959" s="80"/>
    </row>
    <row r="28960">
      <c r="AI28960" s="80"/>
    </row>
    <row r="28961">
      <c r="AI28961" s="80"/>
    </row>
    <row r="28962">
      <c r="AI28962" s="80"/>
    </row>
    <row r="28963">
      <c r="AI28963" s="80"/>
    </row>
    <row r="28964">
      <c r="AI28964" s="80"/>
    </row>
    <row r="28965">
      <c r="AI28965" s="80"/>
    </row>
    <row r="28966">
      <c r="AI28966" s="80"/>
    </row>
    <row r="28967">
      <c r="AI28967" s="80"/>
    </row>
    <row r="28968">
      <c r="AI28968" s="80"/>
    </row>
    <row r="28969">
      <c r="AI28969" s="80"/>
    </row>
    <row r="28970">
      <c r="AI28970" s="80"/>
    </row>
    <row r="28971">
      <c r="AI28971" s="80"/>
    </row>
    <row r="28972">
      <c r="AI28972" s="80"/>
    </row>
    <row r="28973">
      <c r="AI28973" s="80"/>
    </row>
    <row r="28974">
      <c r="AI28974" s="80"/>
    </row>
    <row r="28975">
      <c r="AI28975" s="80"/>
    </row>
    <row r="28976">
      <c r="AI28976" s="80"/>
    </row>
    <row r="28977">
      <c r="AI28977" s="80"/>
    </row>
    <row r="28978">
      <c r="AI28978" s="80"/>
    </row>
    <row r="28979">
      <c r="AI28979" s="80"/>
    </row>
    <row r="28980">
      <c r="AI28980" s="80"/>
    </row>
    <row r="28981">
      <c r="AI28981" s="80"/>
    </row>
    <row r="28982">
      <c r="AI28982" s="80"/>
    </row>
    <row r="28983">
      <c r="AI28983" s="80"/>
    </row>
    <row r="28984">
      <c r="AI28984" s="80"/>
    </row>
    <row r="28985">
      <c r="AI28985" s="80"/>
    </row>
    <row r="28986">
      <c r="AI28986" s="80"/>
    </row>
    <row r="28987">
      <c r="AI28987" s="80"/>
    </row>
    <row r="28988">
      <c r="AI28988" s="80"/>
    </row>
    <row r="28989">
      <c r="AI28989" s="80"/>
    </row>
    <row r="28990">
      <c r="AI28990" s="80"/>
    </row>
    <row r="28991">
      <c r="AI28991" s="80"/>
    </row>
    <row r="28992">
      <c r="AI28992" s="80"/>
    </row>
    <row r="28993">
      <c r="AI28993" s="80"/>
    </row>
    <row r="28994">
      <c r="AI28994" s="80"/>
    </row>
    <row r="28995">
      <c r="AI28995" s="80"/>
    </row>
    <row r="28996">
      <c r="AI28996" s="80"/>
    </row>
    <row r="28997">
      <c r="AI28997" s="80"/>
    </row>
    <row r="28998">
      <c r="AI28998" s="80"/>
    </row>
    <row r="28999">
      <c r="AI28999" s="80"/>
    </row>
    <row r="29000">
      <c r="AI29000" s="80"/>
    </row>
    <row r="29001">
      <c r="AI29001" s="80"/>
    </row>
    <row r="29002">
      <c r="AI29002" s="80"/>
    </row>
    <row r="29003">
      <c r="AI29003" s="80"/>
    </row>
    <row r="29004">
      <c r="AI29004" s="80"/>
    </row>
    <row r="29005">
      <c r="AI29005" s="80"/>
    </row>
    <row r="29006">
      <c r="AI29006" s="80"/>
    </row>
    <row r="29007">
      <c r="AI29007" s="80"/>
    </row>
    <row r="29008">
      <c r="AI29008" s="80"/>
    </row>
    <row r="29009">
      <c r="AI29009" s="80"/>
    </row>
    <row r="29010">
      <c r="AI29010" s="80"/>
    </row>
    <row r="29011">
      <c r="AI29011" s="80"/>
    </row>
    <row r="29012">
      <c r="AI29012" s="80"/>
    </row>
    <row r="29013">
      <c r="AI29013" s="80"/>
    </row>
    <row r="29014">
      <c r="AI29014" s="80"/>
    </row>
    <row r="29015">
      <c r="AI29015" s="80"/>
    </row>
    <row r="29016">
      <c r="AI29016" s="80"/>
    </row>
    <row r="29017">
      <c r="AI29017" s="80"/>
    </row>
    <row r="29018">
      <c r="AI29018" s="80"/>
    </row>
    <row r="29019">
      <c r="AI29019" s="80"/>
    </row>
    <row r="29020">
      <c r="AI29020" s="80"/>
    </row>
    <row r="29021">
      <c r="AI29021" s="80"/>
    </row>
    <row r="29022">
      <c r="AI29022" s="80"/>
    </row>
    <row r="29023">
      <c r="AI29023" s="80"/>
    </row>
    <row r="29024">
      <c r="AI29024" s="80"/>
    </row>
    <row r="29025">
      <c r="AI29025" s="80"/>
    </row>
    <row r="29026">
      <c r="AI29026" s="80"/>
    </row>
    <row r="29027">
      <c r="AI29027" s="80"/>
    </row>
    <row r="29028">
      <c r="AI29028" s="80"/>
    </row>
    <row r="29029">
      <c r="AI29029" s="80"/>
    </row>
    <row r="29030">
      <c r="AI29030" s="80"/>
    </row>
    <row r="29031">
      <c r="AI29031" s="80"/>
    </row>
    <row r="29032">
      <c r="AI29032" s="80"/>
    </row>
    <row r="29033">
      <c r="AI29033" s="80"/>
    </row>
    <row r="29034">
      <c r="AI29034" s="80"/>
    </row>
    <row r="29035">
      <c r="AI29035" s="80"/>
    </row>
    <row r="29036">
      <c r="AI29036" s="80"/>
    </row>
    <row r="29037">
      <c r="AI29037" s="80"/>
    </row>
    <row r="29038">
      <c r="AI29038" s="80"/>
    </row>
    <row r="29039">
      <c r="AI29039" s="80"/>
    </row>
    <row r="29040">
      <c r="AI29040" s="80"/>
    </row>
    <row r="29041">
      <c r="AI29041" s="80"/>
    </row>
    <row r="29042">
      <c r="AI29042" s="80"/>
    </row>
    <row r="29043">
      <c r="AI29043" s="80"/>
    </row>
    <row r="29044">
      <c r="AI29044" s="80"/>
    </row>
    <row r="29045">
      <c r="AI29045" s="80"/>
    </row>
    <row r="29046">
      <c r="AI29046" s="80"/>
    </row>
    <row r="29047">
      <c r="AI29047" s="80"/>
    </row>
    <row r="29048">
      <c r="AI29048" s="80"/>
    </row>
    <row r="29049">
      <c r="AI29049" s="80"/>
    </row>
    <row r="29050">
      <c r="AI29050" s="80"/>
    </row>
    <row r="29051">
      <c r="AI29051" s="80"/>
    </row>
    <row r="29052">
      <c r="AI29052" s="80"/>
    </row>
    <row r="29053">
      <c r="AI29053" s="80"/>
    </row>
    <row r="29054">
      <c r="AI29054" s="80"/>
    </row>
    <row r="29055">
      <c r="AI29055" s="80"/>
    </row>
    <row r="29056">
      <c r="AI29056" s="80"/>
    </row>
    <row r="29057">
      <c r="AI29057" s="80"/>
    </row>
    <row r="29058">
      <c r="AI29058" s="80"/>
    </row>
    <row r="29059">
      <c r="AI29059" s="80"/>
    </row>
    <row r="29060">
      <c r="AI29060" s="80"/>
    </row>
    <row r="29061">
      <c r="AI29061" s="80"/>
    </row>
    <row r="29062">
      <c r="AI29062" s="80"/>
    </row>
    <row r="29063">
      <c r="AI29063" s="80"/>
    </row>
    <row r="29064">
      <c r="AI29064" s="80"/>
    </row>
    <row r="29065">
      <c r="AI29065" s="80"/>
    </row>
    <row r="29066">
      <c r="AI29066" s="80"/>
    </row>
    <row r="29067">
      <c r="AI29067" s="80"/>
    </row>
    <row r="29068">
      <c r="AI29068" s="80"/>
    </row>
    <row r="29069">
      <c r="AI29069" s="80"/>
    </row>
    <row r="29070">
      <c r="AI29070" s="80"/>
    </row>
    <row r="29071">
      <c r="AI29071" s="80"/>
    </row>
    <row r="29072">
      <c r="AI29072" s="80"/>
    </row>
    <row r="29073">
      <c r="AI29073" s="80"/>
    </row>
    <row r="29074">
      <c r="AI29074" s="80"/>
    </row>
    <row r="29075">
      <c r="AI29075" s="80"/>
    </row>
    <row r="29076">
      <c r="AI29076" s="80"/>
    </row>
    <row r="29077">
      <c r="AI29077" s="80"/>
    </row>
    <row r="29078">
      <c r="AI29078" s="80"/>
    </row>
    <row r="29079">
      <c r="AI29079" s="80"/>
    </row>
    <row r="29080">
      <c r="AI29080" s="80"/>
    </row>
    <row r="29081">
      <c r="AI29081" s="80"/>
    </row>
    <row r="29082">
      <c r="AI29082" s="80"/>
    </row>
    <row r="29083">
      <c r="AI29083" s="80"/>
    </row>
    <row r="29084">
      <c r="AI29084" s="80"/>
    </row>
    <row r="29085">
      <c r="AI29085" s="80"/>
    </row>
    <row r="29086">
      <c r="AI29086" s="80"/>
    </row>
    <row r="29087">
      <c r="AI29087" s="80"/>
    </row>
    <row r="29088">
      <c r="AI29088" s="80"/>
    </row>
    <row r="29089">
      <c r="AI29089" s="80"/>
    </row>
    <row r="29090">
      <c r="AI29090" s="80"/>
    </row>
    <row r="29091">
      <c r="AI29091" s="80"/>
    </row>
    <row r="29092">
      <c r="AI29092" s="80"/>
    </row>
    <row r="29093">
      <c r="AI29093" s="80"/>
    </row>
    <row r="29094">
      <c r="AI29094" s="80"/>
    </row>
    <row r="29095">
      <c r="AI29095" s="80"/>
    </row>
    <row r="29096">
      <c r="AI29096" s="80"/>
    </row>
    <row r="29097">
      <c r="AI29097" s="80"/>
    </row>
    <row r="29098">
      <c r="AI29098" s="80"/>
    </row>
    <row r="29099">
      <c r="AI29099" s="80"/>
    </row>
    <row r="29100">
      <c r="AI29100" s="80"/>
    </row>
    <row r="29101">
      <c r="AI29101" s="80"/>
    </row>
    <row r="29102">
      <c r="AI29102" s="80"/>
    </row>
    <row r="29103">
      <c r="AI29103" s="80"/>
    </row>
    <row r="29104">
      <c r="AI29104" s="80"/>
    </row>
    <row r="29105">
      <c r="AI29105" s="80"/>
    </row>
    <row r="29106">
      <c r="AI29106" s="80"/>
    </row>
    <row r="29107">
      <c r="AI29107" s="80"/>
    </row>
    <row r="29108">
      <c r="AI29108" s="80"/>
    </row>
    <row r="29109">
      <c r="AI29109" s="80"/>
    </row>
    <row r="29110">
      <c r="AI29110" s="80"/>
    </row>
    <row r="29111">
      <c r="AI29111" s="80"/>
    </row>
    <row r="29112">
      <c r="AI29112" s="80"/>
    </row>
    <row r="29113">
      <c r="AI29113" s="80"/>
    </row>
    <row r="29114">
      <c r="AI29114" s="80"/>
    </row>
    <row r="29115">
      <c r="AI29115" s="80"/>
    </row>
    <row r="29116">
      <c r="AI29116" s="80"/>
    </row>
    <row r="29117">
      <c r="AI29117" s="80"/>
    </row>
    <row r="29118">
      <c r="AI29118" s="80"/>
    </row>
    <row r="29119">
      <c r="AI29119" s="80"/>
    </row>
    <row r="29120">
      <c r="AI29120" s="80"/>
    </row>
    <row r="29121">
      <c r="AI29121" s="80"/>
    </row>
    <row r="29122">
      <c r="AI29122" s="80"/>
    </row>
    <row r="29123">
      <c r="AI29123" s="80"/>
    </row>
    <row r="29124">
      <c r="AI29124" s="80"/>
    </row>
    <row r="29125">
      <c r="AI29125" s="80"/>
    </row>
    <row r="29126">
      <c r="AI29126" s="80"/>
    </row>
    <row r="29127">
      <c r="AI29127" s="80"/>
    </row>
    <row r="29128">
      <c r="AI29128" s="80"/>
    </row>
    <row r="29129">
      <c r="AI29129" s="80"/>
    </row>
    <row r="29130">
      <c r="AI29130" s="80"/>
    </row>
    <row r="29131">
      <c r="AI29131" s="80"/>
    </row>
    <row r="29132">
      <c r="AI29132" s="80"/>
    </row>
    <row r="29133">
      <c r="AI29133" s="80"/>
    </row>
    <row r="29134">
      <c r="AI29134" s="80"/>
    </row>
    <row r="29135">
      <c r="AI29135" s="80"/>
    </row>
    <row r="29136">
      <c r="AI29136" s="80"/>
    </row>
    <row r="29137">
      <c r="AI29137" s="80"/>
    </row>
    <row r="29138">
      <c r="AI29138" s="80"/>
    </row>
    <row r="29139">
      <c r="AI29139" s="80"/>
    </row>
    <row r="29140">
      <c r="AI29140" s="80"/>
    </row>
    <row r="29141">
      <c r="AI29141" s="80"/>
    </row>
    <row r="29142">
      <c r="AI29142" s="80"/>
    </row>
    <row r="29143">
      <c r="AI29143" s="80"/>
    </row>
    <row r="29144">
      <c r="AI29144" s="80"/>
    </row>
    <row r="29145">
      <c r="AI29145" s="80"/>
    </row>
    <row r="29146">
      <c r="AI29146" s="80"/>
    </row>
    <row r="29147">
      <c r="AI29147" s="80"/>
    </row>
    <row r="29148">
      <c r="AI29148" s="80"/>
    </row>
    <row r="29149">
      <c r="AI29149" s="80"/>
    </row>
    <row r="29150">
      <c r="AI29150" s="80"/>
    </row>
    <row r="29151">
      <c r="AI29151" s="80"/>
    </row>
    <row r="29152">
      <c r="AI29152" s="80"/>
    </row>
    <row r="29153">
      <c r="AI29153" s="80"/>
    </row>
    <row r="29154">
      <c r="AI29154" s="80"/>
    </row>
    <row r="29155">
      <c r="AI29155" s="80"/>
    </row>
    <row r="29156">
      <c r="AI29156" s="80"/>
    </row>
    <row r="29157">
      <c r="AI29157" s="80"/>
    </row>
    <row r="29158">
      <c r="AI29158" s="80"/>
    </row>
    <row r="29159">
      <c r="AI29159" s="80"/>
    </row>
    <row r="29160">
      <c r="AI29160" s="80"/>
    </row>
    <row r="29161">
      <c r="AI29161" s="80"/>
    </row>
    <row r="29162">
      <c r="AI29162" s="80"/>
    </row>
    <row r="29163">
      <c r="AI29163" s="80"/>
    </row>
    <row r="29164">
      <c r="AI29164" s="80"/>
    </row>
    <row r="29165">
      <c r="AI29165" s="80"/>
    </row>
    <row r="29166">
      <c r="AI29166" s="80"/>
    </row>
    <row r="29167">
      <c r="AI29167" s="80"/>
    </row>
    <row r="29168">
      <c r="AI29168" s="80"/>
    </row>
    <row r="29169">
      <c r="AI29169" s="80"/>
    </row>
    <row r="29170">
      <c r="AI29170" s="80"/>
    </row>
    <row r="29171">
      <c r="AI29171" s="80"/>
    </row>
    <row r="29172">
      <c r="AI29172" s="80"/>
    </row>
    <row r="29173">
      <c r="AI29173" s="80"/>
    </row>
    <row r="29174">
      <c r="AI29174" s="80"/>
    </row>
    <row r="29175">
      <c r="AI29175" s="80"/>
    </row>
    <row r="29176">
      <c r="AI29176" s="80"/>
    </row>
    <row r="29177">
      <c r="AI29177" s="80"/>
    </row>
    <row r="29178">
      <c r="AI29178" s="80"/>
    </row>
    <row r="29179">
      <c r="AI29179" s="80"/>
    </row>
    <row r="29180">
      <c r="AI29180" s="80"/>
    </row>
    <row r="29181">
      <c r="AI29181" s="80"/>
    </row>
    <row r="29182">
      <c r="AI29182" s="80"/>
    </row>
    <row r="29183">
      <c r="AI29183" s="80"/>
    </row>
    <row r="29184">
      <c r="AI29184" s="80"/>
    </row>
    <row r="29185">
      <c r="AI29185" s="80"/>
    </row>
    <row r="29186">
      <c r="AI29186" s="80"/>
    </row>
    <row r="29187">
      <c r="AI29187" s="80"/>
    </row>
    <row r="29188">
      <c r="AI29188" s="80"/>
    </row>
    <row r="29189">
      <c r="AI29189" s="80"/>
    </row>
    <row r="29190">
      <c r="AI29190" s="80"/>
    </row>
    <row r="29191">
      <c r="AI29191" s="80"/>
    </row>
    <row r="29192">
      <c r="AI29192" s="80"/>
    </row>
    <row r="29193">
      <c r="AI29193" s="80"/>
    </row>
    <row r="29194">
      <c r="AI29194" s="80"/>
    </row>
    <row r="29195">
      <c r="AI29195" s="80"/>
    </row>
    <row r="29196">
      <c r="AI29196" s="80"/>
    </row>
    <row r="29197">
      <c r="AI29197" s="80"/>
    </row>
    <row r="29198">
      <c r="AI29198" s="80"/>
    </row>
    <row r="29199">
      <c r="AI29199" s="80"/>
    </row>
    <row r="29200">
      <c r="AI29200" s="80"/>
    </row>
    <row r="29201">
      <c r="AI29201" s="80"/>
    </row>
    <row r="29202">
      <c r="AI29202" s="80"/>
    </row>
    <row r="29203">
      <c r="AI29203" s="80"/>
    </row>
    <row r="29204">
      <c r="AI29204" s="80"/>
    </row>
    <row r="29205">
      <c r="AI29205" s="80"/>
    </row>
    <row r="29206">
      <c r="AI29206" s="80"/>
    </row>
    <row r="29207">
      <c r="AI29207" s="80"/>
    </row>
    <row r="29208">
      <c r="AI29208" s="80"/>
    </row>
    <row r="29209">
      <c r="AI29209" s="80"/>
    </row>
    <row r="29210">
      <c r="AI29210" s="80"/>
    </row>
    <row r="29211">
      <c r="AI29211" s="80"/>
    </row>
    <row r="29212">
      <c r="AI29212" s="80"/>
    </row>
    <row r="29213">
      <c r="AI29213" s="80"/>
    </row>
    <row r="29214">
      <c r="AI29214" s="80"/>
    </row>
    <row r="29215">
      <c r="AI29215" s="80"/>
    </row>
    <row r="29216">
      <c r="AI29216" s="80"/>
    </row>
    <row r="29217">
      <c r="AI29217" s="80"/>
    </row>
    <row r="29218">
      <c r="AI29218" s="80"/>
    </row>
    <row r="29219">
      <c r="AI29219" s="80"/>
    </row>
    <row r="29220">
      <c r="AI29220" s="80"/>
    </row>
    <row r="29221">
      <c r="AI29221" s="80"/>
    </row>
    <row r="29222">
      <c r="AI29222" s="80"/>
    </row>
    <row r="29223">
      <c r="AI29223" s="80"/>
    </row>
    <row r="29224">
      <c r="AI29224" s="80"/>
    </row>
    <row r="29225">
      <c r="AI29225" s="80"/>
    </row>
    <row r="29226">
      <c r="AI29226" s="80"/>
    </row>
    <row r="29227">
      <c r="AI29227" s="80"/>
    </row>
    <row r="29228">
      <c r="AI29228" s="80"/>
    </row>
    <row r="29229">
      <c r="AI29229" s="80"/>
    </row>
    <row r="29230">
      <c r="AI29230" s="80"/>
    </row>
    <row r="29231">
      <c r="AI29231" s="80"/>
    </row>
    <row r="29232">
      <c r="AI29232" s="80"/>
    </row>
    <row r="29233">
      <c r="AI29233" s="80"/>
    </row>
    <row r="29234">
      <c r="AI29234" s="80"/>
    </row>
    <row r="29235">
      <c r="AI29235" s="80"/>
    </row>
    <row r="29236">
      <c r="AI29236" s="80"/>
    </row>
    <row r="29237">
      <c r="AI29237" s="80"/>
    </row>
    <row r="29238">
      <c r="AI29238" s="80"/>
    </row>
    <row r="29239">
      <c r="AI29239" s="80"/>
    </row>
    <row r="29240">
      <c r="AI29240" s="80"/>
    </row>
    <row r="29241">
      <c r="AI29241" s="80"/>
    </row>
    <row r="29242">
      <c r="AI29242" s="80"/>
    </row>
    <row r="29243">
      <c r="AI29243" s="80"/>
    </row>
    <row r="29244">
      <c r="AI29244" s="80"/>
    </row>
    <row r="29245">
      <c r="AI29245" s="80"/>
    </row>
    <row r="29246">
      <c r="AI29246" s="80"/>
    </row>
    <row r="29247">
      <c r="AI29247" s="80"/>
    </row>
    <row r="29248">
      <c r="AI29248" s="80"/>
    </row>
    <row r="29249">
      <c r="AI29249" s="80"/>
    </row>
    <row r="29250">
      <c r="AI29250" s="80"/>
    </row>
    <row r="29251">
      <c r="AI29251" s="80"/>
    </row>
    <row r="29252">
      <c r="AI29252" s="80"/>
    </row>
    <row r="29253">
      <c r="AI29253" s="80"/>
    </row>
    <row r="29254">
      <c r="AI29254" s="80"/>
    </row>
    <row r="29255">
      <c r="AI29255" s="80"/>
    </row>
    <row r="29256">
      <c r="AI29256" s="80"/>
    </row>
    <row r="29257">
      <c r="AI29257" s="80"/>
    </row>
    <row r="29258">
      <c r="AI29258" s="80"/>
    </row>
    <row r="29259">
      <c r="AI29259" s="80"/>
    </row>
    <row r="29260">
      <c r="AI29260" s="80"/>
    </row>
    <row r="29261">
      <c r="AI29261" s="80"/>
    </row>
    <row r="29262">
      <c r="AI29262" s="80"/>
    </row>
    <row r="29263">
      <c r="AI29263" s="80"/>
    </row>
    <row r="29264">
      <c r="AI29264" s="80"/>
    </row>
    <row r="29265">
      <c r="AI29265" s="80"/>
    </row>
    <row r="29266">
      <c r="AI29266" s="80"/>
    </row>
    <row r="29267">
      <c r="AI29267" s="80"/>
    </row>
    <row r="29268">
      <c r="AI29268" s="80"/>
    </row>
    <row r="29269">
      <c r="AI29269" s="80"/>
    </row>
    <row r="29270">
      <c r="AI29270" s="80"/>
    </row>
    <row r="29271">
      <c r="AI29271" s="80"/>
    </row>
    <row r="29272">
      <c r="AI29272" s="80"/>
    </row>
    <row r="29273">
      <c r="AI29273" s="80"/>
    </row>
    <row r="29274">
      <c r="AI29274" s="80"/>
    </row>
    <row r="29275">
      <c r="AI29275" s="80"/>
    </row>
    <row r="29276">
      <c r="AI29276" s="80"/>
    </row>
    <row r="29277">
      <c r="AI29277" s="80"/>
    </row>
    <row r="29278">
      <c r="AI29278" s="80"/>
    </row>
    <row r="29279">
      <c r="AI29279" s="80"/>
    </row>
    <row r="29280">
      <c r="AI29280" s="80"/>
    </row>
    <row r="29281">
      <c r="AI29281" s="80"/>
    </row>
    <row r="29282">
      <c r="AI29282" s="80"/>
    </row>
    <row r="29283">
      <c r="AI29283" s="80"/>
    </row>
    <row r="29284">
      <c r="AI29284" s="80"/>
    </row>
    <row r="29285">
      <c r="AI29285" s="80"/>
    </row>
    <row r="29286">
      <c r="AI29286" s="80"/>
    </row>
    <row r="29287">
      <c r="AI29287" s="80"/>
    </row>
    <row r="29288">
      <c r="AI29288" s="80"/>
    </row>
    <row r="29289">
      <c r="AI29289" s="80"/>
    </row>
    <row r="29290">
      <c r="AI29290" s="80"/>
    </row>
    <row r="29291">
      <c r="AI29291" s="80"/>
    </row>
    <row r="29292">
      <c r="AI29292" s="80"/>
    </row>
    <row r="29293">
      <c r="AI29293" s="80"/>
    </row>
    <row r="29294">
      <c r="AI29294" s="80"/>
    </row>
    <row r="29295">
      <c r="AI29295" s="80"/>
    </row>
    <row r="29296">
      <c r="AI29296" s="80"/>
    </row>
    <row r="29297">
      <c r="AI29297" s="80"/>
    </row>
    <row r="29298">
      <c r="AI29298" s="80"/>
    </row>
    <row r="29299">
      <c r="AI29299" s="80"/>
    </row>
    <row r="29300">
      <c r="AI29300" s="80"/>
    </row>
    <row r="29301">
      <c r="AI29301" s="80"/>
    </row>
    <row r="29302">
      <c r="AI29302" s="80"/>
    </row>
    <row r="29303">
      <c r="AI29303" s="80"/>
    </row>
    <row r="29304">
      <c r="AI29304" s="80"/>
    </row>
    <row r="29305">
      <c r="AI29305" s="80"/>
    </row>
    <row r="29306">
      <c r="AI29306" s="80"/>
    </row>
    <row r="29307">
      <c r="AI29307" s="80"/>
    </row>
    <row r="29308">
      <c r="AI29308" s="80"/>
    </row>
    <row r="29309">
      <c r="AI29309" s="80"/>
    </row>
    <row r="29310">
      <c r="AI29310" s="80"/>
    </row>
    <row r="29311">
      <c r="AI29311" s="80"/>
    </row>
    <row r="29312">
      <c r="AI29312" s="80"/>
    </row>
    <row r="29313">
      <c r="AI29313" s="80"/>
    </row>
    <row r="29314">
      <c r="AI29314" s="80"/>
    </row>
    <row r="29315">
      <c r="AI29315" s="80"/>
    </row>
    <row r="29316">
      <c r="AI29316" s="80"/>
    </row>
    <row r="29317">
      <c r="AI29317" s="80"/>
    </row>
    <row r="29318">
      <c r="AI29318" s="80"/>
    </row>
    <row r="29319">
      <c r="AI29319" s="80"/>
    </row>
    <row r="29320">
      <c r="AI29320" s="80"/>
    </row>
    <row r="29321">
      <c r="AI29321" s="80"/>
    </row>
    <row r="29322">
      <c r="AI29322" s="80"/>
    </row>
    <row r="29323">
      <c r="AI29323" s="80"/>
    </row>
    <row r="29324">
      <c r="AI29324" s="80"/>
    </row>
    <row r="29325">
      <c r="AI29325" s="80"/>
    </row>
    <row r="29326">
      <c r="AI29326" s="80"/>
    </row>
    <row r="29327">
      <c r="AI29327" s="80"/>
    </row>
    <row r="29328">
      <c r="AI29328" s="80"/>
    </row>
    <row r="29329">
      <c r="AI29329" s="80"/>
    </row>
    <row r="29330">
      <c r="AI29330" s="80"/>
    </row>
    <row r="29331">
      <c r="AI29331" s="80"/>
    </row>
    <row r="29332">
      <c r="AI29332" s="80"/>
    </row>
    <row r="29333">
      <c r="AI29333" s="80"/>
    </row>
    <row r="29334">
      <c r="AI29334" s="80"/>
    </row>
    <row r="29335">
      <c r="AI29335" s="80"/>
    </row>
    <row r="29336">
      <c r="AI29336" s="80"/>
    </row>
    <row r="29337">
      <c r="AI29337" s="80"/>
    </row>
    <row r="29338">
      <c r="AI29338" s="80"/>
    </row>
    <row r="29339">
      <c r="AI29339" s="80"/>
    </row>
    <row r="29340">
      <c r="AI29340" s="80"/>
    </row>
    <row r="29341">
      <c r="AI29341" s="80"/>
    </row>
    <row r="29342">
      <c r="AI29342" s="80"/>
    </row>
    <row r="29343">
      <c r="AI29343" s="80"/>
    </row>
    <row r="29344">
      <c r="AI29344" s="80"/>
    </row>
    <row r="29345">
      <c r="AI29345" s="80"/>
    </row>
    <row r="29346">
      <c r="AI29346" s="80"/>
    </row>
    <row r="29347">
      <c r="AI29347" s="80"/>
    </row>
    <row r="29348">
      <c r="AI29348" s="80"/>
    </row>
    <row r="29349">
      <c r="AI29349" s="80"/>
    </row>
    <row r="29350">
      <c r="AI29350" s="80"/>
    </row>
    <row r="29351">
      <c r="AI29351" s="80"/>
    </row>
    <row r="29352">
      <c r="AI29352" s="80"/>
    </row>
    <row r="29353">
      <c r="AI29353" s="80"/>
    </row>
    <row r="29354">
      <c r="AI29354" s="80"/>
    </row>
    <row r="29355">
      <c r="AI29355" s="80"/>
    </row>
    <row r="29356">
      <c r="AI29356" s="80"/>
    </row>
    <row r="29357">
      <c r="AI29357" s="80"/>
    </row>
    <row r="29358">
      <c r="AI29358" s="80"/>
    </row>
    <row r="29359">
      <c r="AI29359" s="80"/>
    </row>
    <row r="29360">
      <c r="AI29360" s="80"/>
    </row>
    <row r="29361">
      <c r="AI29361" s="80"/>
    </row>
    <row r="29362">
      <c r="AI29362" s="80"/>
    </row>
    <row r="29363">
      <c r="AI29363" s="80"/>
    </row>
    <row r="29364">
      <c r="AI29364" s="80"/>
    </row>
    <row r="29365">
      <c r="AI29365" s="80"/>
    </row>
    <row r="29366">
      <c r="AI29366" s="80"/>
    </row>
    <row r="29367">
      <c r="AI29367" s="80"/>
    </row>
    <row r="29368">
      <c r="AI29368" s="80"/>
    </row>
    <row r="29369">
      <c r="AI29369" s="80"/>
    </row>
    <row r="29370">
      <c r="AI29370" s="80"/>
    </row>
    <row r="29371">
      <c r="AI29371" s="80"/>
    </row>
    <row r="29372">
      <c r="AI29372" s="80"/>
    </row>
    <row r="29373">
      <c r="AI29373" s="80"/>
    </row>
    <row r="29374">
      <c r="AI29374" s="80"/>
    </row>
    <row r="29375">
      <c r="AI29375" s="80"/>
    </row>
    <row r="29376">
      <c r="AI29376" s="80"/>
    </row>
    <row r="29377">
      <c r="AI29377" s="80"/>
    </row>
    <row r="29378">
      <c r="AI29378" s="80"/>
    </row>
    <row r="29379">
      <c r="AI29379" s="80"/>
    </row>
    <row r="29380">
      <c r="AI29380" s="80"/>
    </row>
    <row r="29381">
      <c r="AI29381" s="80"/>
    </row>
    <row r="29382">
      <c r="AI29382" s="80"/>
    </row>
    <row r="29383">
      <c r="AI29383" s="80"/>
    </row>
    <row r="29384">
      <c r="AI29384" s="80"/>
    </row>
    <row r="29385">
      <c r="AI29385" s="80"/>
    </row>
    <row r="29386">
      <c r="AI29386" s="80"/>
    </row>
    <row r="29387">
      <c r="AI29387" s="80"/>
    </row>
    <row r="29388">
      <c r="AI29388" s="80"/>
    </row>
    <row r="29389">
      <c r="AI29389" s="80"/>
    </row>
    <row r="29390">
      <c r="AI29390" s="80"/>
    </row>
    <row r="29391">
      <c r="AI29391" s="80"/>
    </row>
    <row r="29392">
      <c r="AI29392" s="80"/>
    </row>
    <row r="29393">
      <c r="AI29393" s="80"/>
    </row>
    <row r="29394">
      <c r="AI29394" s="80"/>
    </row>
    <row r="29395">
      <c r="AI29395" s="80"/>
    </row>
    <row r="29396">
      <c r="AI29396" s="80"/>
    </row>
    <row r="29397">
      <c r="AI29397" s="80"/>
    </row>
    <row r="29398">
      <c r="AI29398" s="80"/>
    </row>
    <row r="29399">
      <c r="AI29399" s="80"/>
    </row>
    <row r="29400">
      <c r="AI29400" s="80"/>
    </row>
    <row r="29401">
      <c r="AI29401" s="80"/>
    </row>
    <row r="29402">
      <c r="AI29402" s="80"/>
    </row>
    <row r="29403">
      <c r="AI29403" s="80"/>
    </row>
    <row r="29404">
      <c r="AI29404" s="80"/>
    </row>
    <row r="29405">
      <c r="AI29405" s="80"/>
    </row>
    <row r="29406">
      <c r="AI29406" s="80"/>
    </row>
    <row r="29407">
      <c r="AI29407" s="80"/>
    </row>
    <row r="29408">
      <c r="AI29408" s="80"/>
    </row>
    <row r="29409">
      <c r="AI29409" s="80"/>
    </row>
    <row r="29410">
      <c r="AI29410" s="80"/>
    </row>
    <row r="29411">
      <c r="AI29411" s="80"/>
    </row>
    <row r="29412">
      <c r="AI29412" s="80"/>
    </row>
    <row r="29413">
      <c r="AI29413" s="80"/>
    </row>
    <row r="29414">
      <c r="AI29414" s="80"/>
    </row>
    <row r="29415">
      <c r="AI29415" s="80"/>
    </row>
    <row r="29416">
      <c r="AI29416" s="80"/>
    </row>
    <row r="29417">
      <c r="AI29417" s="80"/>
    </row>
    <row r="29418">
      <c r="AI29418" s="80"/>
    </row>
    <row r="29419">
      <c r="AI29419" s="80"/>
    </row>
    <row r="29420">
      <c r="AI29420" s="80"/>
    </row>
    <row r="29421">
      <c r="AI29421" s="80"/>
    </row>
    <row r="29422">
      <c r="AI29422" s="80"/>
    </row>
    <row r="29423">
      <c r="AI29423" s="80"/>
    </row>
    <row r="29424">
      <c r="AI29424" s="80"/>
    </row>
    <row r="29425">
      <c r="AI29425" s="80"/>
    </row>
    <row r="29426">
      <c r="AI29426" s="80"/>
    </row>
    <row r="29427">
      <c r="AI29427" s="80"/>
    </row>
    <row r="29428">
      <c r="AI29428" s="80"/>
    </row>
    <row r="29429">
      <c r="AI29429" s="80"/>
    </row>
    <row r="29430">
      <c r="AI29430" s="80"/>
    </row>
    <row r="29431">
      <c r="AI29431" s="80"/>
    </row>
    <row r="29432">
      <c r="AI29432" s="80"/>
    </row>
    <row r="29433">
      <c r="AI29433" s="80"/>
    </row>
    <row r="29434">
      <c r="AI29434" s="80"/>
    </row>
    <row r="29435">
      <c r="AI29435" s="80"/>
    </row>
    <row r="29436">
      <c r="AI29436" s="80"/>
    </row>
    <row r="29437">
      <c r="AI29437" s="80"/>
    </row>
    <row r="29438">
      <c r="AI29438" s="80"/>
    </row>
    <row r="29439">
      <c r="AI29439" s="80"/>
    </row>
    <row r="29440">
      <c r="AI29440" s="80"/>
    </row>
    <row r="29441">
      <c r="AI29441" s="80"/>
    </row>
    <row r="29442">
      <c r="AI29442" s="80"/>
    </row>
    <row r="29443">
      <c r="AI29443" s="80"/>
    </row>
    <row r="29444">
      <c r="AI29444" s="80"/>
    </row>
    <row r="29445">
      <c r="AI29445" s="80"/>
    </row>
    <row r="29446">
      <c r="AI29446" s="80"/>
    </row>
    <row r="29447">
      <c r="AI29447" s="80"/>
    </row>
    <row r="29448">
      <c r="AI29448" s="80"/>
    </row>
    <row r="29449">
      <c r="AI29449" s="80"/>
    </row>
    <row r="29450">
      <c r="AI29450" s="80"/>
    </row>
    <row r="29451">
      <c r="AI29451" s="80"/>
    </row>
    <row r="29452">
      <c r="AI29452" s="80"/>
    </row>
    <row r="29453">
      <c r="AI29453" s="80"/>
    </row>
    <row r="29454">
      <c r="AI29454" s="80"/>
    </row>
    <row r="29455">
      <c r="AI29455" s="80"/>
    </row>
    <row r="29456">
      <c r="AI29456" s="80"/>
    </row>
    <row r="29457">
      <c r="AI29457" s="80"/>
    </row>
    <row r="29458">
      <c r="AI29458" s="80"/>
    </row>
    <row r="29459">
      <c r="AI29459" s="80"/>
    </row>
    <row r="29460">
      <c r="AI29460" s="80"/>
    </row>
    <row r="29461">
      <c r="AI29461" s="80"/>
    </row>
    <row r="29462">
      <c r="AI29462" s="80"/>
    </row>
    <row r="29463">
      <c r="AI29463" s="80"/>
    </row>
    <row r="29464">
      <c r="AI29464" s="80"/>
    </row>
    <row r="29465">
      <c r="AI29465" s="80"/>
    </row>
    <row r="29466">
      <c r="AI29466" s="80"/>
    </row>
    <row r="29467">
      <c r="AI29467" s="80"/>
    </row>
    <row r="29468">
      <c r="AI29468" s="80"/>
    </row>
    <row r="29469">
      <c r="AI29469" s="80"/>
    </row>
    <row r="29470">
      <c r="AI29470" s="80"/>
    </row>
    <row r="29471">
      <c r="AI29471" s="80"/>
    </row>
    <row r="29472">
      <c r="AI29472" s="80"/>
    </row>
    <row r="29473">
      <c r="AI29473" s="80"/>
    </row>
    <row r="29474">
      <c r="AI29474" s="80"/>
    </row>
    <row r="29475">
      <c r="AI29475" s="80"/>
    </row>
    <row r="29476">
      <c r="AI29476" s="80"/>
    </row>
    <row r="29477">
      <c r="AI29477" s="80"/>
    </row>
    <row r="29478">
      <c r="AI29478" s="80"/>
    </row>
    <row r="29479">
      <c r="AI29479" s="80"/>
    </row>
    <row r="29480">
      <c r="AI29480" s="80"/>
    </row>
    <row r="29481">
      <c r="AI29481" s="80"/>
    </row>
    <row r="29482">
      <c r="AI29482" s="80"/>
    </row>
    <row r="29483">
      <c r="AI29483" s="80"/>
    </row>
    <row r="29484">
      <c r="AI29484" s="80"/>
    </row>
    <row r="29485">
      <c r="AI29485" s="80"/>
    </row>
    <row r="29486">
      <c r="AI29486" s="80"/>
    </row>
    <row r="29487">
      <c r="AI29487" s="80"/>
    </row>
    <row r="29488">
      <c r="AI29488" s="80"/>
    </row>
    <row r="29489">
      <c r="AI29489" s="80"/>
    </row>
    <row r="29490">
      <c r="AI29490" s="80"/>
    </row>
    <row r="29491">
      <c r="AI29491" s="80"/>
    </row>
    <row r="29492">
      <c r="AI29492" s="80"/>
    </row>
    <row r="29493">
      <c r="AI29493" s="80"/>
    </row>
    <row r="29494">
      <c r="AI29494" s="80"/>
    </row>
    <row r="29495">
      <c r="AI29495" s="80"/>
    </row>
    <row r="29496">
      <c r="AI29496" s="80"/>
    </row>
    <row r="29497">
      <c r="AI29497" s="80"/>
    </row>
    <row r="29498">
      <c r="AI29498" s="80"/>
    </row>
    <row r="29499">
      <c r="AI29499" s="80"/>
    </row>
    <row r="29500">
      <c r="AI29500" s="80"/>
    </row>
    <row r="29501">
      <c r="AI29501" s="80"/>
    </row>
    <row r="29502">
      <c r="AI29502" s="80"/>
    </row>
    <row r="29503">
      <c r="AI29503" s="80"/>
    </row>
    <row r="29504">
      <c r="AI29504" s="80"/>
    </row>
    <row r="29505">
      <c r="AI29505" s="80"/>
    </row>
    <row r="29506">
      <c r="AI29506" s="80"/>
    </row>
    <row r="29507">
      <c r="AI29507" s="80"/>
    </row>
    <row r="29508">
      <c r="AI29508" s="80"/>
    </row>
    <row r="29509">
      <c r="AI29509" s="80"/>
    </row>
    <row r="29510">
      <c r="AI29510" s="80"/>
    </row>
    <row r="29511">
      <c r="AI29511" s="80"/>
    </row>
    <row r="29512">
      <c r="AI29512" s="80"/>
    </row>
    <row r="29513">
      <c r="AI29513" s="80"/>
    </row>
    <row r="29514">
      <c r="AI29514" s="80"/>
    </row>
    <row r="29515">
      <c r="AI29515" s="80"/>
    </row>
    <row r="29516">
      <c r="AI29516" s="80"/>
    </row>
    <row r="29517">
      <c r="AI29517" s="80"/>
    </row>
    <row r="29518">
      <c r="AI29518" s="80"/>
    </row>
    <row r="29519">
      <c r="AI29519" s="80"/>
    </row>
    <row r="29520">
      <c r="AI29520" s="80"/>
    </row>
    <row r="29521">
      <c r="AI29521" s="80"/>
    </row>
    <row r="29522">
      <c r="AI29522" s="80"/>
    </row>
    <row r="29523">
      <c r="AI29523" s="80"/>
    </row>
    <row r="29524">
      <c r="AI29524" s="80"/>
    </row>
    <row r="29525">
      <c r="AI29525" s="80"/>
    </row>
    <row r="29526">
      <c r="AI29526" s="80"/>
    </row>
    <row r="29527">
      <c r="AI29527" s="80"/>
    </row>
    <row r="29528">
      <c r="AI29528" s="80"/>
    </row>
    <row r="29529">
      <c r="AI29529" s="80"/>
    </row>
    <row r="29530">
      <c r="AI29530" s="80"/>
    </row>
    <row r="29531">
      <c r="AI29531" s="80"/>
    </row>
    <row r="29532">
      <c r="AI29532" s="80"/>
    </row>
    <row r="29533">
      <c r="AI29533" s="80"/>
    </row>
    <row r="29534">
      <c r="AI29534" s="80"/>
    </row>
    <row r="29535">
      <c r="AI29535" s="80"/>
    </row>
    <row r="29536">
      <c r="AI29536" s="80"/>
    </row>
    <row r="29537">
      <c r="AI29537" s="80"/>
    </row>
    <row r="29538">
      <c r="AI29538" s="80"/>
    </row>
    <row r="29539">
      <c r="AI29539" s="80"/>
    </row>
    <row r="29540">
      <c r="AI29540" s="80"/>
    </row>
    <row r="29541">
      <c r="AI29541" s="80"/>
    </row>
    <row r="29542">
      <c r="AI29542" s="80"/>
    </row>
    <row r="29543">
      <c r="AI29543" s="80"/>
    </row>
    <row r="29544">
      <c r="AI29544" s="80"/>
    </row>
    <row r="29545">
      <c r="AI29545" s="80"/>
    </row>
    <row r="29546">
      <c r="AI29546" s="80"/>
    </row>
    <row r="29547">
      <c r="AI29547" s="80"/>
    </row>
    <row r="29548">
      <c r="AI29548" s="80"/>
    </row>
    <row r="29549">
      <c r="AI29549" s="80"/>
    </row>
    <row r="29550">
      <c r="AI29550" s="80"/>
    </row>
    <row r="29551">
      <c r="AI29551" s="80"/>
    </row>
    <row r="29552">
      <c r="AI29552" s="80"/>
    </row>
    <row r="29553">
      <c r="AI29553" s="80"/>
    </row>
    <row r="29554">
      <c r="AI29554" s="80"/>
    </row>
    <row r="29555">
      <c r="AI29555" s="80"/>
    </row>
    <row r="29556">
      <c r="AI29556" s="80"/>
    </row>
    <row r="29557">
      <c r="AI29557" s="80"/>
    </row>
    <row r="29558">
      <c r="AI29558" s="80"/>
    </row>
    <row r="29559">
      <c r="AI29559" s="80"/>
    </row>
    <row r="29560">
      <c r="AI29560" s="80"/>
    </row>
    <row r="29561">
      <c r="AI29561" s="80"/>
    </row>
    <row r="29562">
      <c r="AI29562" s="80"/>
    </row>
    <row r="29563">
      <c r="AI29563" s="80"/>
    </row>
    <row r="29564">
      <c r="AI29564" s="80"/>
    </row>
    <row r="29565">
      <c r="AI29565" s="80"/>
    </row>
    <row r="29566">
      <c r="AI29566" s="80"/>
    </row>
    <row r="29567">
      <c r="AI29567" s="80"/>
    </row>
    <row r="29568">
      <c r="AI29568" s="80"/>
    </row>
    <row r="29569">
      <c r="AI29569" s="80"/>
    </row>
    <row r="29570">
      <c r="AI29570" s="80"/>
    </row>
    <row r="29571">
      <c r="AI29571" s="80"/>
    </row>
    <row r="29572">
      <c r="AI29572" s="80"/>
    </row>
    <row r="29573">
      <c r="AI29573" s="80"/>
    </row>
    <row r="29574">
      <c r="AI29574" s="80"/>
    </row>
    <row r="29575">
      <c r="AI29575" s="80"/>
    </row>
    <row r="29576">
      <c r="AI29576" s="80"/>
    </row>
    <row r="29577">
      <c r="AI29577" s="80"/>
    </row>
    <row r="29578">
      <c r="AI29578" s="80"/>
    </row>
    <row r="29579">
      <c r="AI29579" s="80"/>
    </row>
    <row r="29580">
      <c r="AI29580" s="80"/>
    </row>
    <row r="29581">
      <c r="AI29581" s="80"/>
    </row>
    <row r="29582">
      <c r="AI29582" s="80"/>
    </row>
    <row r="29583">
      <c r="AI29583" s="80"/>
    </row>
    <row r="29584">
      <c r="AI29584" s="80"/>
    </row>
    <row r="29585">
      <c r="AI29585" s="80"/>
    </row>
    <row r="29586">
      <c r="AI29586" s="80"/>
    </row>
    <row r="29587">
      <c r="AI29587" s="80"/>
    </row>
    <row r="29588">
      <c r="AI29588" s="80"/>
    </row>
    <row r="29589">
      <c r="AI29589" s="80"/>
    </row>
    <row r="29590">
      <c r="AI29590" s="80"/>
    </row>
    <row r="29591">
      <c r="AI29591" s="80"/>
    </row>
    <row r="29592">
      <c r="AI29592" s="80"/>
    </row>
    <row r="29593">
      <c r="AI29593" s="80"/>
    </row>
    <row r="29594">
      <c r="AI29594" s="80"/>
    </row>
    <row r="29595">
      <c r="AI29595" s="80"/>
    </row>
    <row r="29596">
      <c r="AI29596" s="80"/>
    </row>
    <row r="29597">
      <c r="AI29597" s="80"/>
    </row>
    <row r="29598">
      <c r="AI29598" s="80"/>
    </row>
    <row r="29599">
      <c r="AI29599" s="80"/>
    </row>
    <row r="29600">
      <c r="AI29600" s="80"/>
    </row>
    <row r="29601">
      <c r="AI29601" s="80"/>
    </row>
    <row r="29602">
      <c r="AI29602" s="80"/>
    </row>
    <row r="29603">
      <c r="AI29603" s="80"/>
    </row>
    <row r="29604">
      <c r="AI29604" s="80"/>
    </row>
    <row r="29605">
      <c r="AI29605" s="80"/>
    </row>
    <row r="29606">
      <c r="AI29606" s="80"/>
    </row>
    <row r="29607">
      <c r="AI29607" s="80"/>
    </row>
    <row r="29608">
      <c r="AI29608" s="80"/>
    </row>
    <row r="29609">
      <c r="AI29609" s="80"/>
    </row>
    <row r="29610">
      <c r="AI29610" s="80"/>
    </row>
    <row r="29611">
      <c r="AI29611" s="80"/>
    </row>
    <row r="29612">
      <c r="AI29612" s="80"/>
    </row>
    <row r="29613">
      <c r="AI29613" s="80"/>
    </row>
    <row r="29614">
      <c r="AI29614" s="80"/>
    </row>
    <row r="29615">
      <c r="AI29615" s="80"/>
    </row>
    <row r="29616">
      <c r="AI29616" s="80"/>
    </row>
    <row r="29617">
      <c r="AI29617" s="80"/>
    </row>
    <row r="29618">
      <c r="AI29618" s="80"/>
    </row>
    <row r="29619">
      <c r="AI29619" s="80"/>
    </row>
    <row r="29620">
      <c r="AI29620" s="80"/>
    </row>
    <row r="29621">
      <c r="AI29621" s="80"/>
    </row>
    <row r="29622">
      <c r="AI29622" s="80"/>
    </row>
    <row r="29623">
      <c r="AI29623" s="80"/>
    </row>
    <row r="29624">
      <c r="AI29624" s="80"/>
    </row>
    <row r="29625">
      <c r="AI29625" s="80"/>
    </row>
    <row r="29626">
      <c r="AI29626" s="80"/>
    </row>
    <row r="29627">
      <c r="AI29627" s="80"/>
    </row>
    <row r="29628">
      <c r="AI29628" s="80"/>
    </row>
    <row r="29629">
      <c r="AI29629" s="80"/>
    </row>
    <row r="29630">
      <c r="AI29630" s="80"/>
    </row>
    <row r="29631">
      <c r="AI29631" s="80"/>
    </row>
    <row r="29632">
      <c r="AI29632" s="80"/>
    </row>
    <row r="29633">
      <c r="AI29633" s="80"/>
    </row>
    <row r="29634">
      <c r="AI29634" s="80"/>
    </row>
    <row r="29635">
      <c r="AI29635" s="80"/>
    </row>
    <row r="29636">
      <c r="AI29636" s="80"/>
    </row>
    <row r="29637">
      <c r="AI29637" s="80"/>
    </row>
    <row r="29638">
      <c r="AI29638" s="80"/>
    </row>
    <row r="29639">
      <c r="AI29639" s="80"/>
    </row>
    <row r="29640">
      <c r="AI29640" s="80"/>
    </row>
    <row r="29641">
      <c r="AI29641" s="80"/>
    </row>
    <row r="29642">
      <c r="AI29642" s="80"/>
    </row>
    <row r="29643">
      <c r="AI29643" s="80"/>
    </row>
    <row r="29644">
      <c r="AI29644" s="80"/>
    </row>
    <row r="29645">
      <c r="AI29645" s="80"/>
    </row>
    <row r="29646">
      <c r="AI29646" s="80"/>
    </row>
    <row r="29647">
      <c r="AI29647" s="80"/>
    </row>
    <row r="29648">
      <c r="AI29648" s="80"/>
    </row>
    <row r="29649">
      <c r="AI29649" s="80"/>
    </row>
    <row r="29650">
      <c r="AI29650" s="80"/>
    </row>
    <row r="29651">
      <c r="AI29651" s="80"/>
    </row>
    <row r="29652">
      <c r="AI29652" s="80"/>
    </row>
    <row r="29653">
      <c r="AI29653" s="80"/>
    </row>
    <row r="29654">
      <c r="AI29654" s="80"/>
    </row>
    <row r="29655">
      <c r="AI29655" s="80"/>
    </row>
    <row r="29656">
      <c r="AI29656" s="80"/>
    </row>
    <row r="29657">
      <c r="AI29657" s="80"/>
    </row>
    <row r="29658">
      <c r="AI29658" s="80"/>
    </row>
    <row r="29659">
      <c r="AI29659" s="80"/>
    </row>
    <row r="29660">
      <c r="AI29660" s="80"/>
    </row>
    <row r="29661">
      <c r="AI29661" s="80"/>
    </row>
    <row r="29662">
      <c r="AI29662" s="80"/>
    </row>
    <row r="29663">
      <c r="AI29663" s="80"/>
    </row>
    <row r="29664">
      <c r="AI29664" s="80"/>
    </row>
    <row r="29665">
      <c r="AI29665" s="80"/>
    </row>
    <row r="29666">
      <c r="AI29666" s="80"/>
    </row>
    <row r="29667">
      <c r="AI29667" s="80"/>
    </row>
    <row r="29668">
      <c r="AI29668" s="80"/>
    </row>
    <row r="29669">
      <c r="AI29669" s="80"/>
    </row>
    <row r="29670">
      <c r="AI29670" s="80"/>
    </row>
    <row r="29671">
      <c r="AI29671" s="80"/>
    </row>
    <row r="29672">
      <c r="AI29672" s="80"/>
    </row>
    <row r="29673">
      <c r="AI29673" s="80"/>
    </row>
    <row r="29674">
      <c r="AI29674" s="80"/>
    </row>
    <row r="29675">
      <c r="AI29675" s="80"/>
    </row>
    <row r="29676">
      <c r="AI29676" s="80"/>
    </row>
    <row r="29677">
      <c r="AI29677" s="80"/>
    </row>
    <row r="29678">
      <c r="AI29678" s="80"/>
    </row>
    <row r="29679">
      <c r="AI29679" s="80"/>
    </row>
    <row r="29680">
      <c r="AI29680" s="80"/>
    </row>
    <row r="29681">
      <c r="AI29681" s="80"/>
    </row>
    <row r="29682">
      <c r="AI29682" s="80"/>
    </row>
    <row r="29683">
      <c r="AI29683" s="80"/>
    </row>
    <row r="29684">
      <c r="AI29684" s="80"/>
    </row>
    <row r="29685">
      <c r="AI29685" s="80"/>
    </row>
    <row r="29686">
      <c r="AI29686" s="80"/>
    </row>
    <row r="29687">
      <c r="AI29687" s="80"/>
    </row>
    <row r="29688">
      <c r="AI29688" s="80"/>
    </row>
    <row r="29689">
      <c r="AI29689" s="80"/>
    </row>
    <row r="29690">
      <c r="AI29690" s="80"/>
    </row>
    <row r="29691">
      <c r="AI29691" s="80"/>
    </row>
    <row r="29692">
      <c r="AI29692" s="80"/>
    </row>
    <row r="29693">
      <c r="AI29693" s="80"/>
    </row>
    <row r="29694">
      <c r="AI29694" s="80"/>
    </row>
    <row r="29695">
      <c r="AI29695" s="80"/>
    </row>
    <row r="29696">
      <c r="AI29696" s="80"/>
    </row>
    <row r="29697">
      <c r="AI29697" s="80"/>
    </row>
    <row r="29698">
      <c r="AI29698" s="80"/>
    </row>
    <row r="29699">
      <c r="AI29699" s="80"/>
    </row>
    <row r="29700">
      <c r="AI29700" s="80"/>
    </row>
    <row r="29701">
      <c r="AI29701" s="80"/>
    </row>
    <row r="29702">
      <c r="AI29702" s="80"/>
    </row>
    <row r="29703">
      <c r="AI29703" s="80"/>
    </row>
    <row r="29704">
      <c r="AI29704" s="80"/>
    </row>
    <row r="29705">
      <c r="AI29705" s="80"/>
    </row>
    <row r="29706">
      <c r="AI29706" s="80"/>
    </row>
    <row r="29707">
      <c r="AI29707" s="80"/>
    </row>
    <row r="29708">
      <c r="AI29708" s="80"/>
    </row>
    <row r="29709">
      <c r="AI29709" s="80"/>
    </row>
    <row r="29710">
      <c r="AI29710" s="80"/>
    </row>
    <row r="29711">
      <c r="AI29711" s="80"/>
    </row>
    <row r="29712">
      <c r="AI29712" s="80"/>
    </row>
    <row r="29713">
      <c r="AI29713" s="80"/>
    </row>
    <row r="29714">
      <c r="AI29714" s="80"/>
    </row>
    <row r="29715">
      <c r="AI29715" s="80"/>
    </row>
    <row r="29716">
      <c r="AI29716" s="80"/>
    </row>
    <row r="29717">
      <c r="AI29717" s="80"/>
    </row>
    <row r="29718">
      <c r="AI29718" s="80"/>
    </row>
    <row r="29719">
      <c r="AI29719" s="80"/>
    </row>
    <row r="29720">
      <c r="AI29720" s="80"/>
    </row>
    <row r="29721">
      <c r="AI29721" s="80"/>
    </row>
    <row r="29722">
      <c r="AI29722" s="80"/>
    </row>
    <row r="29723">
      <c r="AI29723" s="80"/>
    </row>
    <row r="29724">
      <c r="AI29724" s="80"/>
    </row>
    <row r="29725">
      <c r="AI29725" s="80"/>
    </row>
    <row r="29726">
      <c r="AI29726" s="80"/>
    </row>
    <row r="29727">
      <c r="AI29727" s="80"/>
    </row>
    <row r="29728">
      <c r="AI29728" s="80"/>
    </row>
    <row r="29729">
      <c r="AI29729" s="80"/>
    </row>
    <row r="29730">
      <c r="AI29730" s="80"/>
    </row>
    <row r="29731">
      <c r="AI29731" s="80"/>
    </row>
    <row r="29732">
      <c r="AI29732" s="80"/>
    </row>
    <row r="29733">
      <c r="AI29733" s="80"/>
    </row>
    <row r="29734">
      <c r="AI29734" s="80"/>
    </row>
    <row r="29735">
      <c r="AI29735" s="80"/>
    </row>
    <row r="29736">
      <c r="AI29736" s="80"/>
    </row>
    <row r="29737">
      <c r="AI29737" s="80"/>
    </row>
    <row r="29738">
      <c r="AI29738" s="80"/>
    </row>
    <row r="29739">
      <c r="AI29739" s="80"/>
    </row>
    <row r="29740">
      <c r="AI29740" s="80"/>
    </row>
    <row r="29741">
      <c r="AI29741" s="80"/>
    </row>
    <row r="29742">
      <c r="AI29742" s="80"/>
    </row>
    <row r="29743">
      <c r="AI29743" s="80"/>
    </row>
    <row r="29744">
      <c r="AI29744" s="80"/>
    </row>
    <row r="29745">
      <c r="AI29745" s="80"/>
    </row>
    <row r="29746">
      <c r="AI29746" s="80"/>
    </row>
    <row r="29747">
      <c r="AI29747" s="80"/>
    </row>
    <row r="29748">
      <c r="AI29748" s="80"/>
    </row>
    <row r="29749">
      <c r="AI29749" s="80"/>
    </row>
    <row r="29750">
      <c r="AI29750" s="80"/>
    </row>
    <row r="29751">
      <c r="AI29751" s="80"/>
    </row>
    <row r="29752">
      <c r="AI29752" s="80"/>
    </row>
    <row r="29753">
      <c r="AI29753" s="80"/>
    </row>
    <row r="29754">
      <c r="AI29754" s="80"/>
    </row>
    <row r="29755">
      <c r="AI29755" s="80"/>
    </row>
    <row r="29756">
      <c r="AI29756" s="80"/>
    </row>
    <row r="29757">
      <c r="AI29757" s="80"/>
    </row>
    <row r="29758">
      <c r="AI29758" s="80"/>
    </row>
    <row r="29759">
      <c r="AI29759" s="80"/>
    </row>
    <row r="29760">
      <c r="AI29760" s="80"/>
    </row>
    <row r="29761">
      <c r="AI29761" s="80"/>
    </row>
    <row r="29762">
      <c r="AI29762" s="80"/>
    </row>
    <row r="29763">
      <c r="AI29763" s="80"/>
    </row>
    <row r="29764">
      <c r="AI29764" s="80"/>
    </row>
    <row r="29765">
      <c r="AI29765" s="80"/>
    </row>
    <row r="29766">
      <c r="AI29766" s="80"/>
    </row>
    <row r="29767">
      <c r="AI29767" s="80"/>
    </row>
    <row r="29768">
      <c r="AI29768" s="80"/>
    </row>
    <row r="29769">
      <c r="AI29769" s="80"/>
    </row>
    <row r="29770">
      <c r="AI29770" s="80"/>
    </row>
    <row r="29771">
      <c r="AI29771" s="80"/>
    </row>
    <row r="29772">
      <c r="AI29772" s="80"/>
    </row>
    <row r="29773">
      <c r="AI29773" s="80"/>
    </row>
    <row r="29774">
      <c r="AI29774" s="80"/>
    </row>
    <row r="29775">
      <c r="AI29775" s="80"/>
    </row>
    <row r="29776">
      <c r="AI29776" s="80"/>
    </row>
    <row r="29777">
      <c r="AI29777" s="80"/>
    </row>
    <row r="29778">
      <c r="AI29778" s="80"/>
    </row>
    <row r="29779">
      <c r="AI29779" s="80"/>
    </row>
    <row r="29780">
      <c r="AI29780" s="80"/>
    </row>
    <row r="29781">
      <c r="AI29781" s="80"/>
    </row>
    <row r="29782">
      <c r="AI29782" s="80"/>
    </row>
    <row r="29783">
      <c r="AI29783" s="80"/>
    </row>
    <row r="29784">
      <c r="AI29784" s="80"/>
    </row>
    <row r="29785">
      <c r="AI29785" s="80"/>
    </row>
    <row r="29786">
      <c r="AI29786" s="80"/>
    </row>
    <row r="29787">
      <c r="AI29787" s="80"/>
    </row>
    <row r="29788">
      <c r="AI29788" s="80"/>
    </row>
    <row r="29789">
      <c r="AI29789" s="80"/>
    </row>
    <row r="29790">
      <c r="AI29790" s="80"/>
    </row>
    <row r="29791">
      <c r="AI29791" s="80"/>
    </row>
    <row r="29792">
      <c r="AI29792" s="80"/>
    </row>
    <row r="29793">
      <c r="AI29793" s="80"/>
    </row>
    <row r="29794">
      <c r="AI29794" s="80"/>
    </row>
    <row r="29795">
      <c r="AI29795" s="80"/>
    </row>
    <row r="29796">
      <c r="AI29796" s="80"/>
    </row>
    <row r="29797">
      <c r="AI29797" s="80"/>
    </row>
    <row r="29798">
      <c r="AI29798" s="80"/>
    </row>
    <row r="29799">
      <c r="AI29799" s="80"/>
    </row>
    <row r="29800">
      <c r="AI29800" s="80"/>
    </row>
    <row r="29801">
      <c r="AI29801" s="80"/>
    </row>
    <row r="29802">
      <c r="AI29802" s="80"/>
    </row>
    <row r="29803">
      <c r="AI29803" s="80"/>
    </row>
    <row r="29804">
      <c r="AI29804" s="80"/>
    </row>
    <row r="29805">
      <c r="AI29805" s="80"/>
    </row>
    <row r="29806">
      <c r="AI29806" s="80"/>
    </row>
    <row r="29807">
      <c r="AI29807" s="80"/>
    </row>
    <row r="29808">
      <c r="AI29808" s="80"/>
    </row>
    <row r="29809">
      <c r="AI29809" s="80"/>
    </row>
    <row r="29810">
      <c r="AI29810" s="80"/>
    </row>
    <row r="29811">
      <c r="AI29811" s="80"/>
    </row>
    <row r="29812">
      <c r="AI29812" s="80"/>
    </row>
    <row r="29813">
      <c r="AI29813" s="80"/>
    </row>
    <row r="29814">
      <c r="AI29814" s="80"/>
    </row>
    <row r="29815">
      <c r="AI29815" s="80"/>
    </row>
    <row r="29816">
      <c r="AI29816" s="80"/>
    </row>
    <row r="29817">
      <c r="AI29817" s="80"/>
    </row>
    <row r="29818">
      <c r="AI29818" s="80"/>
    </row>
    <row r="29819">
      <c r="AI29819" s="80"/>
    </row>
    <row r="29820">
      <c r="AI29820" s="80"/>
    </row>
    <row r="29821">
      <c r="AI29821" s="80"/>
    </row>
    <row r="29822">
      <c r="AI29822" s="80"/>
    </row>
    <row r="29823">
      <c r="AI29823" s="80"/>
    </row>
    <row r="29824">
      <c r="AI29824" s="80"/>
    </row>
    <row r="29825">
      <c r="AI29825" s="80"/>
    </row>
    <row r="29826">
      <c r="AI29826" s="80"/>
    </row>
    <row r="29827">
      <c r="AI29827" s="80"/>
    </row>
    <row r="29828">
      <c r="AI29828" s="80"/>
    </row>
    <row r="29829">
      <c r="AI29829" s="80"/>
    </row>
    <row r="29830">
      <c r="AI29830" s="80"/>
    </row>
    <row r="29831">
      <c r="AI29831" s="80"/>
    </row>
    <row r="29832">
      <c r="AI29832" s="80"/>
    </row>
    <row r="29833">
      <c r="AI29833" s="80"/>
    </row>
    <row r="29834">
      <c r="AI29834" s="80"/>
    </row>
    <row r="29835">
      <c r="AI29835" s="80"/>
    </row>
    <row r="29836">
      <c r="AI29836" s="80"/>
    </row>
    <row r="29837">
      <c r="AI29837" s="80"/>
    </row>
    <row r="29838">
      <c r="AI29838" s="80"/>
    </row>
    <row r="29839">
      <c r="AI29839" s="80"/>
    </row>
    <row r="29840">
      <c r="AI29840" s="80"/>
    </row>
    <row r="29841">
      <c r="AI29841" s="80"/>
    </row>
    <row r="29842">
      <c r="AI29842" s="80"/>
    </row>
    <row r="29843">
      <c r="AI29843" s="80"/>
    </row>
    <row r="29844">
      <c r="AI29844" s="80"/>
    </row>
    <row r="29845">
      <c r="AI29845" s="80"/>
    </row>
    <row r="29846">
      <c r="AI29846" s="80"/>
    </row>
    <row r="29847">
      <c r="AI29847" s="80"/>
    </row>
    <row r="29848">
      <c r="AI29848" s="80"/>
    </row>
    <row r="29849">
      <c r="AI29849" s="80"/>
    </row>
    <row r="29850">
      <c r="AI29850" s="80"/>
    </row>
    <row r="29851">
      <c r="AI29851" s="80"/>
    </row>
    <row r="29852">
      <c r="AI29852" s="80"/>
    </row>
    <row r="29853">
      <c r="AI29853" s="80"/>
    </row>
    <row r="29854">
      <c r="AI29854" s="80"/>
    </row>
    <row r="29855">
      <c r="AI29855" s="80"/>
    </row>
    <row r="29856">
      <c r="AI29856" s="80"/>
    </row>
    <row r="29857">
      <c r="AI29857" s="80"/>
    </row>
    <row r="29858">
      <c r="AI29858" s="80"/>
    </row>
    <row r="29859">
      <c r="AI29859" s="80"/>
    </row>
    <row r="29860">
      <c r="AI29860" s="80"/>
    </row>
    <row r="29861">
      <c r="AI29861" s="80"/>
    </row>
    <row r="29862">
      <c r="AI29862" s="80"/>
    </row>
    <row r="29863">
      <c r="AI29863" s="80"/>
    </row>
    <row r="29864">
      <c r="AI29864" s="80"/>
    </row>
    <row r="29865">
      <c r="AI29865" s="80"/>
    </row>
    <row r="29866">
      <c r="AI29866" s="80"/>
    </row>
    <row r="29867">
      <c r="AI29867" s="80"/>
    </row>
    <row r="29868">
      <c r="AI29868" s="80"/>
    </row>
    <row r="29869">
      <c r="AI29869" s="80"/>
    </row>
    <row r="29870">
      <c r="AI29870" s="80"/>
    </row>
    <row r="29871">
      <c r="AI29871" s="80"/>
    </row>
    <row r="29872">
      <c r="AI29872" s="80"/>
    </row>
    <row r="29873">
      <c r="AI29873" s="80"/>
    </row>
    <row r="29874">
      <c r="AI29874" s="80"/>
    </row>
    <row r="29875">
      <c r="AI29875" s="80"/>
    </row>
    <row r="29876">
      <c r="AI29876" s="80"/>
    </row>
    <row r="29877">
      <c r="AI29877" s="80"/>
    </row>
    <row r="29878">
      <c r="AI29878" s="80"/>
    </row>
    <row r="29879">
      <c r="AI29879" s="80"/>
    </row>
    <row r="29880">
      <c r="AI29880" s="80"/>
    </row>
    <row r="29881">
      <c r="AI29881" s="80"/>
    </row>
    <row r="29882">
      <c r="AI29882" s="80"/>
    </row>
    <row r="29883">
      <c r="AI29883" s="80"/>
    </row>
    <row r="29884">
      <c r="AI29884" s="80"/>
    </row>
    <row r="29885">
      <c r="AI29885" s="80"/>
    </row>
    <row r="29886">
      <c r="AI29886" s="80"/>
    </row>
    <row r="29887">
      <c r="AI29887" s="80"/>
    </row>
    <row r="29888">
      <c r="AI29888" s="80"/>
    </row>
    <row r="29889">
      <c r="AI29889" s="80"/>
    </row>
    <row r="29890">
      <c r="AI29890" s="80"/>
    </row>
    <row r="29891">
      <c r="AI29891" s="80"/>
    </row>
    <row r="29892">
      <c r="AI29892" s="80"/>
    </row>
    <row r="29893">
      <c r="AI29893" s="80"/>
    </row>
    <row r="29894">
      <c r="AI29894" s="80"/>
    </row>
    <row r="29895">
      <c r="AI29895" s="80"/>
    </row>
    <row r="29896">
      <c r="AI29896" s="80"/>
    </row>
    <row r="29897">
      <c r="AI29897" s="80"/>
    </row>
    <row r="29898">
      <c r="AI29898" s="80"/>
    </row>
    <row r="29899">
      <c r="AI29899" s="80"/>
    </row>
    <row r="29900">
      <c r="AI29900" s="80"/>
    </row>
    <row r="29901">
      <c r="AI29901" s="80"/>
    </row>
    <row r="29902">
      <c r="AI29902" s="80"/>
    </row>
    <row r="29903">
      <c r="AI29903" s="80"/>
    </row>
    <row r="29904">
      <c r="AI29904" s="80"/>
    </row>
    <row r="29905">
      <c r="AI29905" s="80"/>
    </row>
    <row r="29906">
      <c r="AI29906" s="80"/>
    </row>
    <row r="29907">
      <c r="AI29907" s="80"/>
    </row>
    <row r="29908">
      <c r="AI29908" s="80"/>
    </row>
    <row r="29909">
      <c r="AI29909" s="80"/>
    </row>
    <row r="29910">
      <c r="AI29910" s="80"/>
    </row>
    <row r="29911">
      <c r="AI29911" s="80"/>
    </row>
    <row r="29912">
      <c r="AI29912" s="80"/>
    </row>
    <row r="29913">
      <c r="AI29913" s="80"/>
    </row>
    <row r="29914">
      <c r="AI29914" s="80"/>
    </row>
    <row r="29915">
      <c r="AI29915" s="80"/>
    </row>
    <row r="29916">
      <c r="AI29916" s="80"/>
    </row>
    <row r="29917">
      <c r="AI29917" s="80"/>
    </row>
    <row r="29918">
      <c r="AI29918" s="80"/>
    </row>
    <row r="29919">
      <c r="AI29919" s="80"/>
    </row>
    <row r="29920">
      <c r="AI29920" s="80"/>
    </row>
    <row r="29921">
      <c r="AI29921" s="80"/>
    </row>
    <row r="29922">
      <c r="AI29922" s="80"/>
    </row>
    <row r="29923">
      <c r="AI29923" s="80"/>
    </row>
    <row r="29924">
      <c r="AI29924" s="80"/>
    </row>
    <row r="29925">
      <c r="AI29925" s="80"/>
    </row>
    <row r="29926">
      <c r="AI29926" s="80"/>
    </row>
    <row r="29927">
      <c r="AI29927" s="80"/>
    </row>
    <row r="29928">
      <c r="AI29928" s="80"/>
    </row>
    <row r="29929">
      <c r="AI29929" s="80"/>
    </row>
    <row r="29930">
      <c r="AI29930" s="80"/>
    </row>
    <row r="29931">
      <c r="AI29931" s="80"/>
    </row>
    <row r="29932">
      <c r="AI29932" s="80"/>
    </row>
    <row r="29933">
      <c r="AI29933" s="80"/>
    </row>
    <row r="29934">
      <c r="AI29934" s="80"/>
    </row>
    <row r="29935">
      <c r="AI29935" s="80"/>
    </row>
    <row r="29936">
      <c r="AI29936" s="80"/>
    </row>
    <row r="29937">
      <c r="AI29937" s="80"/>
    </row>
    <row r="29938">
      <c r="AI29938" s="80"/>
    </row>
    <row r="29939">
      <c r="AI29939" s="80"/>
    </row>
    <row r="29940">
      <c r="AI29940" s="80"/>
    </row>
    <row r="29941">
      <c r="AI29941" s="80"/>
    </row>
    <row r="29942">
      <c r="AI29942" s="80"/>
    </row>
    <row r="29943">
      <c r="AI29943" s="80"/>
    </row>
    <row r="29944">
      <c r="AI29944" s="80"/>
    </row>
    <row r="29945">
      <c r="AI29945" s="80"/>
    </row>
    <row r="29946">
      <c r="AI29946" s="80"/>
    </row>
    <row r="29947">
      <c r="AI29947" s="80"/>
    </row>
    <row r="29948">
      <c r="AI29948" s="80"/>
    </row>
    <row r="29949">
      <c r="AI29949" s="80"/>
    </row>
    <row r="29950">
      <c r="AI29950" s="80"/>
    </row>
    <row r="29951">
      <c r="AI29951" s="80"/>
    </row>
    <row r="29952">
      <c r="AI29952" s="80"/>
    </row>
    <row r="29953">
      <c r="AI29953" s="80"/>
    </row>
    <row r="29954">
      <c r="AI29954" s="80"/>
    </row>
    <row r="29955">
      <c r="AI29955" s="80"/>
    </row>
    <row r="29956">
      <c r="AI29956" s="80"/>
    </row>
    <row r="29957">
      <c r="AI29957" s="80"/>
    </row>
    <row r="29958">
      <c r="AI29958" s="80"/>
    </row>
    <row r="29959">
      <c r="AI29959" s="80"/>
    </row>
    <row r="29960">
      <c r="AI29960" s="80"/>
    </row>
    <row r="29961">
      <c r="AI29961" s="80"/>
    </row>
    <row r="29962">
      <c r="AI29962" s="80"/>
    </row>
    <row r="29963">
      <c r="AI29963" s="80"/>
    </row>
    <row r="29964">
      <c r="AI29964" s="80"/>
    </row>
    <row r="29965">
      <c r="AI29965" s="80"/>
    </row>
    <row r="29966">
      <c r="AI29966" s="80"/>
    </row>
    <row r="29967">
      <c r="AI29967" s="80"/>
    </row>
    <row r="29968">
      <c r="AI29968" s="80"/>
    </row>
    <row r="29969">
      <c r="AI29969" s="80"/>
    </row>
    <row r="29970">
      <c r="AI29970" s="80"/>
    </row>
    <row r="29971">
      <c r="AI29971" s="80"/>
    </row>
    <row r="29972">
      <c r="AI29972" s="80"/>
    </row>
    <row r="29973">
      <c r="AI29973" s="80"/>
    </row>
    <row r="29974">
      <c r="AI29974" s="80"/>
    </row>
    <row r="29975">
      <c r="AI29975" s="80"/>
    </row>
    <row r="29976">
      <c r="AI29976" s="80"/>
    </row>
    <row r="29977">
      <c r="AI29977" s="80"/>
    </row>
    <row r="29978">
      <c r="AI29978" s="80"/>
    </row>
    <row r="29979">
      <c r="AI29979" s="80"/>
    </row>
    <row r="29980">
      <c r="AI29980" s="80"/>
    </row>
    <row r="29981">
      <c r="AI29981" s="80"/>
    </row>
    <row r="29982">
      <c r="AI29982" s="80"/>
    </row>
    <row r="29983">
      <c r="AI29983" s="80"/>
    </row>
    <row r="29984">
      <c r="AI29984" s="80"/>
    </row>
    <row r="29985">
      <c r="AI29985" s="80"/>
    </row>
    <row r="29986">
      <c r="AI29986" s="80"/>
    </row>
    <row r="29987">
      <c r="AI29987" s="80"/>
    </row>
    <row r="29988">
      <c r="AI29988" s="80"/>
    </row>
    <row r="29989">
      <c r="AI29989" s="80"/>
    </row>
    <row r="29990">
      <c r="AI29990" s="80"/>
    </row>
    <row r="29991">
      <c r="AI29991" s="80"/>
    </row>
    <row r="29992">
      <c r="AI29992" s="80"/>
    </row>
    <row r="29993">
      <c r="AI29993" s="80"/>
    </row>
    <row r="29994">
      <c r="AI29994" s="80"/>
    </row>
    <row r="29995">
      <c r="AI29995" s="80"/>
    </row>
    <row r="29996">
      <c r="AI29996" s="80"/>
    </row>
    <row r="29997">
      <c r="AI29997" s="80"/>
    </row>
    <row r="29998">
      <c r="AI29998" s="80"/>
    </row>
    <row r="29999">
      <c r="AI29999" s="80"/>
    </row>
    <row r="30000">
      <c r="AI30000" s="80"/>
    </row>
    <row r="30001">
      <c r="AI30001" s="80"/>
    </row>
    <row r="30002">
      <c r="AI30002" s="80"/>
    </row>
    <row r="30003">
      <c r="AI30003" s="80"/>
    </row>
    <row r="30004">
      <c r="AI30004" s="80"/>
    </row>
    <row r="30005">
      <c r="AI30005" s="80"/>
    </row>
    <row r="30006">
      <c r="AI30006" s="80"/>
    </row>
    <row r="30007">
      <c r="AI30007" s="80"/>
    </row>
    <row r="30008">
      <c r="AI30008" s="80"/>
    </row>
    <row r="30009">
      <c r="AI30009" s="80"/>
    </row>
    <row r="30010">
      <c r="AI30010" s="80"/>
    </row>
    <row r="30011">
      <c r="AI30011" s="80"/>
    </row>
    <row r="30012">
      <c r="AI30012" s="80"/>
    </row>
    <row r="30013">
      <c r="AI30013" s="80"/>
    </row>
    <row r="30014">
      <c r="AI30014" s="80"/>
    </row>
    <row r="30015">
      <c r="AI30015" s="80"/>
    </row>
    <row r="30016">
      <c r="AI30016" s="80"/>
    </row>
    <row r="30017">
      <c r="AI30017" s="80"/>
    </row>
    <row r="30018">
      <c r="AI30018" s="80"/>
    </row>
    <row r="30019">
      <c r="AI30019" s="80"/>
    </row>
    <row r="30020">
      <c r="AI30020" s="80"/>
    </row>
    <row r="30021">
      <c r="AI30021" s="80"/>
    </row>
    <row r="30022">
      <c r="AI30022" s="80"/>
    </row>
    <row r="30023">
      <c r="AI30023" s="80"/>
    </row>
    <row r="30024">
      <c r="AI30024" s="80"/>
    </row>
    <row r="30025">
      <c r="AI30025" s="80"/>
    </row>
    <row r="30026">
      <c r="AI30026" s="80"/>
    </row>
    <row r="30027">
      <c r="AI30027" s="80"/>
    </row>
    <row r="30028">
      <c r="AI30028" s="80"/>
    </row>
    <row r="30029">
      <c r="AI30029" s="80"/>
    </row>
    <row r="30030">
      <c r="AI30030" s="80"/>
    </row>
    <row r="30031">
      <c r="AI30031" s="80"/>
    </row>
    <row r="30032">
      <c r="AI30032" s="80"/>
    </row>
    <row r="30033">
      <c r="AI30033" s="80"/>
    </row>
    <row r="30034">
      <c r="AI30034" s="80"/>
    </row>
    <row r="30035">
      <c r="AI30035" s="80"/>
    </row>
    <row r="30036">
      <c r="AI30036" s="80"/>
    </row>
    <row r="30037">
      <c r="AI30037" s="80"/>
    </row>
    <row r="30038">
      <c r="AI30038" s="80"/>
    </row>
    <row r="30039">
      <c r="AI30039" s="80"/>
    </row>
    <row r="30040">
      <c r="AI30040" s="80"/>
    </row>
    <row r="30041">
      <c r="AI30041" s="80"/>
    </row>
    <row r="30042">
      <c r="AI30042" s="80"/>
    </row>
    <row r="30043">
      <c r="AI30043" s="80"/>
    </row>
    <row r="30044">
      <c r="AI30044" s="80"/>
    </row>
    <row r="30045">
      <c r="AI30045" s="80"/>
    </row>
    <row r="30046">
      <c r="AI30046" s="80"/>
    </row>
    <row r="30047">
      <c r="AI30047" s="80"/>
    </row>
    <row r="30048">
      <c r="AI30048" s="80"/>
    </row>
    <row r="30049">
      <c r="AI30049" s="80"/>
    </row>
    <row r="30050">
      <c r="AI30050" s="80"/>
    </row>
    <row r="30051">
      <c r="AI30051" s="80"/>
    </row>
    <row r="30052">
      <c r="AI30052" s="80"/>
    </row>
    <row r="30053">
      <c r="AI30053" s="80"/>
    </row>
    <row r="30054">
      <c r="AI30054" s="80"/>
    </row>
    <row r="30055">
      <c r="AI30055" s="80"/>
    </row>
    <row r="30056">
      <c r="AI30056" s="80"/>
    </row>
    <row r="30057">
      <c r="AI30057" s="80"/>
    </row>
    <row r="30058">
      <c r="AI30058" s="80"/>
    </row>
    <row r="30059">
      <c r="AI30059" s="80"/>
    </row>
    <row r="30060">
      <c r="AI30060" s="80"/>
    </row>
    <row r="30061">
      <c r="AI30061" s="80"/>
    </row>
    <row r="30062">
      <c r="AI30062" s="80"/>
    </row>
    <row r="30063">
      <c r="AI30063" s="80"/>
    </row>
    <row r="30064">
      <c r="AI30064" s="80"/>
    </row>
    <row r="30065">
      <c r="AI30065" s="80"/>
    </row>
    <row r="30066">
      <c r="AI30066" s="80"/>
    </row>
    <row r="30067">
      <c r="AI30067" s="80"/>
    </row>
    <row r="30068">
      <c r="AI30068" s="80"/>
    </row>
    <row r="30069">
      <c r="AI30069" s="80"/>
    </row>
    <row r="30070">
      <c r="AI30070" s="80"/>
    </row>
    <row r="30071">
      <c r="AI30071" s="80"/>
    </row>
    <row r="30072">
      <c r="AI30072" s="80"/>
    </row>
    <row r="30073">
      <c r="AI30073" s="80"/>
    </row>
    <row r="30074">
      <c r="AI30074" s="80"/>
    </row>
    <row r="30075">
      <c r="AI30075" s="80"/>
    </row>
    <row r="30076">
      <c r="AI30076" s="80"/>
    </row>
    <row r="30077">
      <c r="AI30077" s="80"/>
    </row>
    <row r="30078">
      <c r="AI30078" s="80"/>
    </row>
    <row r="30079">
      <c r="AI30079" s="80"/>
    </row>
    <row r="30080">
      <c r="AI30080" s="80"/>
    </row>
    <row r="30081">
      <c r="AI30081" s="80"/>
    </row>
    <row r="30082">
      <c r="AI30082" s="80"/>
    </row>
    <row r="30083">
      <c r="AI30083" s="80"/>
    </row>
    <row r="30084">
      <c r="AI30084" s="80"/>
    </row>
    <row r="30085">
      <c r="AI30085" s="80"/>
    </row>
    <row r="30086">
      <c r="AI30086" s="80"/>
    </row>
    <row r="30087">
      <c r="AI30087" s="80"/>
    </row>
    <row r="30088">
      <c r="AI30088" s="80"/>
    </row>
    <row r="30089">
      <c r="AI30089" s="80"/>
    </row>
    <row r="30090">
      <c r="AI30090" s="80"/>
    </row>
    <row r="30091">
      <c r="AI30091" s="80"/>
    </row>
    <row r="30092">
      <c r="AI30092" s="80"/>
    </row>
    <row r="30093">
      <c r="AI30093" s="80"/>
    </row>
    <row r="30094">
      <c r="AI30094" s="80"/>
    </row>
    <row r="30095">
      <c r="AI30095" s="80"/>
    </row>
    <row r="30096">
      <c r="AI30096" s="80"/>
    </row>
    <row r="30097">
      <c r="AI30097" s="80"/>
    </row>
    <row r="30098">
      <c r="AI30098" s="80"/>
    </row>
    <row r="30099">
      <c r="AI30099" s="80"/>
    </row>
    <row r="30100">
      <c r="AI30100" s="80"/>
    </row>
    <row r="30101">
      <c r="AI30101" s="80"/>
    </row>
    <row r="30102">
      <c r="AI30102" s="80"/>
    </row>
    <row r="30103">
      <c r="AI30103" s="80"/>
    </row>
    <row r="30104">
      <c r="AI30104" s="80"/>
    </row>
    <row r="30105">
      <c r="AI30105" s="80"/>
    </row>
    <row r="30106">
      <c r="AI30106" s="80"/>
    </row>
    <row r="30107">
      <c r="AI30107" s="80"/>
    </row>
    <row r="30108">
      <c r="AI30108" s="80"/>
    </row>
    <row r="30109">
      <c r="AI30109" s="80"/>
    </row>
    <row r="30110">
      <c r="AI30110" s="80"/>
    </row>
    <row r="30111">
      <c r="AI30111" s="80"/>
    </row>
    <row r="30112">
      <c r="AI30112" s="80"/>
    </row>
    <row r="30113">
      <c r="AI30113" s="80"/>
    </row>
    <row r="30114">
      <c r="AI30114" s="80"/>
    </row>
    <row r="30115">
      <c r="AI30115" s="80"/>
    </row>
    <row r="30116">
      <c r="AI30116" s="80"/>
    </row>
    <row r="30117">
      <c r="AI30117" s="80"/>
    </row>
    <row r="30118">
      <c r="AI30118" s="80"/>
    </row>
    <row r="30119">
      <c r="AI30119" s="80"/>
    </row>
    <row r="30120">
      <c r="AI30120" s="80"/>
    </row>
    <row r="30121">
      <c r="AI30121" s="80"/>
    </row>
    <row r="30122">
      <c r="AI30122" s="80"/>
    </row>
    <row r="30123">
      <c r="AI30123" s="80"/>
    </row>
    <row r="30124">
      <c r="AI30124" s="80"/>
    </row>
    <row r="30125">
      <c r="AI30125" s="80"/>
    </row>
    <row r="30126">
      <c r="AI30126" s="80"/>
    </row>
    <row r="30127">
      <c r="AI30127" s="80"/>
    </row>
    <row r="30128">
      <c r="AI30128" s="80"/>
    </row>
    <row r="30129">
      <c r="AI30129" s="80"/>
    </row>
    <row r="30130">
      <c r="AI30130" s="80"/>
    </row>
    <row r="30131">
      <c r="AI30131" s="80"/>
    </row>
    <row r="30132">
      <c r="AI30132" s="80"/>
    </row>
    <row r="30133">
      <c r="AI30133" s="80"/>
    </row>
    <row r="30134">
      <c r="AI30134" s="80"/>
    </row>
    <row r="30135">
      <c r="AI30135" s="80"/>
    </row>
    <row r="30136">
      <c r="AI30136" s="80"/>
    </row>
    <row r="30137">
      <c r="AI30137" s="80"/>
    </row>
    <row r="30138">
      <c r="AI30138" s="80"/>
    </row>
    <row r="30139">
      <c r="AI30139" s="80"/>
    </row>
    <row r="30140">
      <c r="AI30140" s="80"/>
    </row>
    <row r="30141">
      <c r="AI30141" s="80"/>
    </row>
    <row r="30142">
      <c r="AI30142" s="80"/>
    </row>
    <row r="30143">
      <c r="AI30143" s="80"/>
    </row>
    <row r="30144">
      <c r="AI30144" s="80"/>
    </row>
    <row r="30145">
      <c r="AI30145" s="80"/>
    </row>
    <row r="30146">
      <c r="AI30146" s="80"/>
    </row>
    <row r="30147">
      <c r="AI30147" s="80"/>
    </row>
    <row r="30148">
      <c r="AI30148" s="80"/>
    </row>
    <row r="30149">
      <c r="AI30149" s="80"/>
    </row>
    <row r="30150">
      <c r="AI30150" s="80"/>
    </row>
    <row r="30151">
      <c r="AI30151" s="80"/>
    </row>
    <row r="30152">
      <c r="AI30152" s="80"/>
    </row>
    <row r="30153">
      <c r="AI30153" s="80"/>
    </row>
    <row r="30154">
      <c r="AI30154" s="80"/>
    </row>
    <row r="30155">
      <c r="AI30155" s="80"/>
    </row>
    <row r="30156">
      <c r="AI30156" s="80"/>
    </row>
    <row r="30157">
      <c r="AI30157" s="80"/>
    </row>
    <row r="30158">
      <c r="AI30158" s="80"/>
    </row>
    <row r="30159">
      <c r="AI30159" s="80"/>
    </row>
    <row r="30160">
      <c r="AI30160" s="80"/>
    </row>
    <row r="30161">
      <c r="AI30161" s="80"/>
    </row>
    <row r="30162">
      <c r="AI30162" s="80"/>
    </row>
    <row r="30163">
      <c r="AI30163" s="80"/>
    </row>
    <row r="30164">
      <c r="AI30164" s="80"/>
    </row>
    <row r="30165">
      <c r="AI30165" s="80"/>
    </row>
    <row r="30166">
      <c r="AI30166" s="80"/>
    </row>
    <row r="30167">
      <c r="AI30167" s="80"/>
    </row>
    <row r="30168">
      <c r="AI30168" s="80"/>
    </row>
    <row r="30169">
      <c r="AI30169" s="80"/>
    </row>
    <row r="30170">
      <c r="AI30170" s="80"/>
    </row>
    <row r="30171">
      <c r="AI30171" s="80"/>
    </row>
    <row r="30172">
      <c r="AI30172" s="80"/>
    </row>
    <row r="30173">
      <c r="AI30173" s="80"/>
    </row>
    <row r="30174">
      <c r="AI30174" s="80"/>
    </row>
    <row r="30175">
      <c r="AI30175" s="80"/>
    </row>
    <row r="30176">
      <c r="AI30176" s="80"/>
    </row>
    <row r="30177">
      <c r="AI30177" s="80"/>
    </row>
    <row r="30178">
      <c r="AI30178" s="80"/>
    </row>
    <row r="30179">
      <c r="AI30179" s="80"/>
    </row>
    <row r="30180">
      <c r="AI30180" s="80"/>
    </row>
    <row r="30181">
      <c r="AI30181" s="80"/>
    </row>
    <row r="30182">
      <c r="AI30182" s="80"/>
    </row>
    <row r="30183">
      <c r="AI30183" s="80"/>
    </row>
    <row r="30184">
      <c r="AI30184" s="80"/>
    </row>
    <row r="30185">
      <c r="AI30185" s="80"/>
    </row>
    <row r="30186">
      <c r="AI30186" s="80"/>
    </row>
    <row r="30187">
      <c r="AI30187" s="80"/>
    </row>
    <row r="30188">
      <c r="AI30188" s="80"/>
    </row>
    <row r="30189">
      <c r="AI30189" s="80"/>
    </row>
    <row r="30190">
      <c r="AI30190" s="80"/>
    </row>
    <row r="30191">
      <c r="AI30191" s="80"/>
    </row>
    <row r="30192">
      <c r="AI30192" s="80"/>
    </row>
    <row r="30193">
      <c r="AI30193" s="80"/>
    </row>
    <row r="30194">
      <c r="AI30194" s="80"/>
    </row>
    <row r="30195">
      <c r="AI30195" s="80"/>
    </row>
    <row r="30196">
      <c r="AI30196" s="80"/>
    </row>
    <row r="30197">
      <c r="AI30197" s="80"/>
    </row>
    <row r="30198">
      <c r="AI30198" s="80"/>
    </row>
    <row r="30199">
      <c r="AI30199" s="80"/>
    </row>
    <row r="30200">
      <c r="AI30200" s="80"/>
    </row>
    <row r="30201">
      <c r="AI30201" s="80"/>
    </row>
    <row r="30202">
      <c r="AI30202" s="80"/>
    </row>
    <row r="30203">
      <c r="AI30203" s="80"/>
    </row>
    <row r="30204">
      <c r="AI30204" s="80"/>
    </row>
    <row r="30205">
      <c r="AI30205" s="80"/>
    </row>
    <row r="30206">
      <c r="AI30206" s="80"/>
    </row>
    <row r="30207">
      <c r="AI30207" s="80"/>
    </row>
    <row r="30208">
      <c r="AI30208" s="80"/>
    </row>
    <row r="30209">
      <c r="AI30209" s="80"/>
    </row>
    <row r="30210">
      <c r="AI30210" s="80"/>
    </row>
    <row r="30211">
      <c r="AI30211" s="80"/>
    </row>
    <row r="30212">
      <c r="AI30212" s="80"/>
    </row>
    <row r="30213">
      <c r="AI30213" s="80"/>
    </row>
    <row r="30214">
      <c r="AI30214" s="80"/>
    </row>
    <row r="30215">
      <c r="AI30215" s="80"/>
    </row>
    <row r="30216">
      <c r="AI30216" s="80"/>
    </row>
    <row r="30217">
      <c r="AI30217" s="80"/>
    </row>
    <row r="30218">
      <c r="AI30218" s="80"/>
    </row>
    <row r="30219">
      <c r="AI30219" s="80"/>
    </row>
    <row r="30220">
      <c r="AI30220" s="80"/>
    </row>
    <row r="30221">
      <c r="AI30221" s="80"/>
    </row>
    <row r="30222">
      <c r="AI30222" s="80"/>
    </row>
    <row r="30223">
      <c r="AI30223" s="80"/>
    </row>
    <row r="30224">
      <c r="AI30224" s="80"/>
    </row>
    <row r="30225">
      <c r="AI30225" s="80"/>
    </row>
    <row r="30226">
      <c r="AI30226" s="80"/>
    </row>
    <row r="30227">
      <c r="AI30227" s="80"/>
    </row>
    <row r="30228">
      <c r="AI30228" s="80"/>
    </row>
    <row r="30229">
      <c r="AI30229" s="80"/>
    </row>
    <row r="30230">
      <c r="AI30230" s="80"/>
    </row>
    <row r="30231">
      <c r="AI30231" s="80"/>
    </row>
    <row r="30232">
      <c r="AI30232" s="80"/>
    </row>
    <row r="30233">
      <c r="AI30233" s="80"/>
    </row>
    <row r="30234">
      <c r="AI30234" s="80"/>
    </row>
    <row r="30235">
      <c r="AI30235" s="80"/>
    </row>
    <row r="30236">
      <c r="AI30236" s="80"/>
    </row>
    <row r="30237">
      <c r="AI30237" s="80"/>
    </row>
    <row r="30238">
      <c r="AI30238" s="80"/>
    </row>
    <row r="30239">
      <c r="AI30239" s="80"/>
    </row>
    <row r="30240">
      <c r="AI30240" s="80"/>
    </row>
    <row r="30241">
      <c r="AI30241" s="80"/>
    </row>
    <row r="30242">
      <c r="AI30242" s="80"/>
    </row>
    <row r="30243">
      <c r="AI30243" s="80"/>
    </row>
    <row r="30244">
      <c r="AI30244" s="80"/>
    </row>
    <row r="30245">
      <c r="AI30245" s="80"/>
    </row>
    <row r="30246">
      <c r="AI30246" s="80"/>
    </row>
    <row r="30247">
      <c r="AI30247" s="80"/>
    </row>
    <row r="30248">
      <c r="AI30248" s="80"/>
    </row>
    <row r="30249">
      <c r="AI30249" s="80"/>
    </row>
    <row r="30250">
      <c r="AI30250" s="80"/>
    </row>
    <row r="30251">
      <c r="AI30251" s="80"/>
    </row>
    <row r="30252">
      <c r="AI30252" s="80"/>
    </row>
    <row r="30253">
      <c r="AI30253" s="80"/>
    </row>
    <row r="30254">
      <c r="AI30254" s="80"/>
    </row>
    <row r="30255">
      <c r="AI30255" s="80"/>
    </row>
    <row r="30256">
      <c r="AI30256" s="80"/>
    </row>
    <row r="30257">
      <c r="AI30257" s="80"/>
    </row>
    <row r="30258">
      <c r="AI30258" s="80"/>
    </row>
    <row r="30259">
      <c r="AI30259" s="80"/>
    </row>
    <row r="30260">
      <c r="AI30260" s="80"/>
    </row>
    <row r="30261">
      <c r="AI30261" s="80"/>
    </row>
    <row r="30262">
      <c r="AI30262" s="80"/>
    </row>
    <row r="30263">
      <c r="AI30263" s="80"/>
    </row>
    <row r="30264">
      <c r="AI30264" s="80"/>
    </row>
    <row r="30265">
      <c r="AI30265" s="80"/>
    </row>
    <row r="30266">
      <c r="AI30266" s="80"/>
    </row>
    <row r="30267">
      <c r="AI30267" s="80"/>
    </row>
    <row r="30268">
      <c r="AI30268" s="80"/>
    </row>
    <row r="30269">
      <c r="AI30269" s="80"/>
    </row>
    <row r="30270">
      <c r="AI30270" s="80"/>
    </row>
    <row r="30271">
      <c r="AI30271" s="80"/>
    </row>
    <row r="30272">
      <c r="AI30272" s="80"/>
    </row>
    <row r="30273">
      <c r="AI30273" s="80"/>
    </row>
    <row r="30274">
      <c r="AI30274" s="80"/>
    </row>
    <row r="30275">
      <c r="AI30275" s="80"/>
    </row>
    <row r="30276">
      <c r="AI30276" s="80"/>
    </row>
    <row r="30277">
      <c r="AI30277" s="80"/>
    </row>
    <row r="30278">
      <c r="AI30278" s="80"/>
    </row>
    <row r="30279">
      <c r="AI30279" s="80"/>
    </row>
    <row r="30280">
      <c r="AI30280" s="80"/>
    </row>
    <row r="30281">
      <c r="AI30281" s="80"/>
    </row>
    <row r="30282">
      <c r="AI30282" s="80"/>
    </row>
    <row r="30283">
      <c r="AI30283" s="80"/>
    </row>
    <row r="30284">
      <c r="AI30284" s="80"/>
    </row>
    <row r="30285">
      <c r="AI30285" s="80"/>
    </row>
    <row r="30286">
      <c r="AI30286" s="80"/>
    </row>
    <row r="30287">
      <c r="AI30287" s="80"/>
    </row>
    <row r="30288">
      <c r="AI30288" s="80"/>
    </row>
    <row r="30289">
      <c r="AI30289" s="80"/>
    </row>
    <row r="30290">
      <c r="AI30290" s="80"/>
    </row>
    <row r="30291">
      <c r="AI30291" s="80"/>
    </row>
    <row r="30292">
      <c r="AI30292" s="80"/>
    </row>
    <row r="30293">
      <c r="AI30293" s="80"/>
    </row>
    <row r="30294">
      <c r="AI30294" s="80"/>
    </row>
    <row r="30295">
      <c r="AI30295" s="80"/>
    </row>
    <row r="30296">
      <c r="AI30296" s="80"/>
    </row>
    <row r="30297">
      <c r="AI30297" s="80"/>
    </row>
    <row r="30298">
      <c r="AI30298" s="80"/>
    </row>
    <row r="30299">
      <c r="AI30299" s="80"/>
    </row>
    <row r="30300">
      <c r="AI30300" s="80"/>
    </row>
    <row r="30301">
      <c r="AI30301" s="80"/>
    </row>
    <row r="30302">
      <c r="AI30302" s="80"/>
    </row>
    <row r="30303">
      <c r="AI30303" s="80"/>
    </row>
    <row r="30304">
      <c r="AI30304" s="80"/>
    </row>
    <row r="30305">
      <c r="AI30305" s="80"/>
    </row>
    <row r="30306">
      <c r="AI30306" s="80"/>
    </row>
    <row r="30307">
      <c r="AI30307" s="80"/>
    </row>
    <row r="30308">
      <c r="AI30308" s="80"/>
    </row>
    <row r="30309">
      <c r="AI30309" s="80"/>
    </row>
    <row r="30310">
      <c r="AI30310" s="80"/>
    </row>
    <row r="30311">
      <c r="AI30311" s="80"/>
    </row>
    <row r="30312">
      <c r="AI30312" s="80"/>
    </row>
    <row r="30313">
      <c r="AI30313" s="80"/>
    </row>
    <row r="30314">
      <c r="AI30314" s="80"/>
    </row>
    <row r="30315">
      <c r="AI30315" s="80"/>
    </row>
    <row r="30316">
      <c r="AI30316" s="80"/>
    </row>
    <row r="30317">
      <c r="AI30317" s="80"/>
    </row>
    <row r="30318">
      <c r="AI30318" s="80"/>
    </row>
    <row r="30319">
      <c r="AI30319" s="80"/>
    </row>
    <row r="30320">
      <c r="AI30320" s="80"/>
    </row>
    <row r="30321">
      <c r="AI30321" s="80"/>
    </row>
    <row r="30322">
      <c r="AI30322" s="80"/>
    </row>
    <row r="30323">
      <c r="AI30323" s="80"/>
    </row>
    <row r="30324">
      <c r="AI30324" s="80"/>
    </row>
    <row r="30325">
      <c r="AI30325" s="80"/>
    </row>
    <row r="30326">
      <c r="AI30326" s="80"/>
    </row>
    <row r="30327">
      <c r="AI30327" s="80"/>
    </row>
    <row r="30328">
      <c r="AI30328" s="80"/>
    </row>
    <row r="30329">
      <c r="AI30329" s="80"/>
    </row>
    <row r="30330">
      <c r="AI30330" s="80"/>
    </row>
    <row r="30331">
      <c r="AI30331" s="80"/>
    </row>
    <row r="30332">
      <c r="AI30332" s="80"/>
    </row>
    <row r="30333">
      <c r="AI30333" s="80"/>
    </row>
    <row r="30334">
      <c r="AI30334" s="80"/>
    </row>
    <row r="30335">
      <c r="AI30335" s="80"/>
    </row>
    <row r="30336">
      <c r="AI30336" s="80"/>
    </row>
    <row r="30337">
      <c r="AI30337" s="80"/>
    </row>
    <row r="30338">
      <c r="AI30338" s="80"/>
    </row>
    <row r="30339">
      <c r="AI30339" s="80"/>
    </row>
    <row r="30340">
      <c r="AI30340" s="80"/>
    </row>
    <row r="30341">
      <c r="AI30341" s="80"/>
    </row>
    <row r="30342">
      <c r="AI30342" s="80"/>
    </row>
    <row r="30343">
      <c r="AI30343" s="80"/>
    </row>
    <row r="30344">
      <c r="AI30344" s="80"/>
    </row>
    <row r="30345">
      <c r="AI30345" s="80"/>
    </row>
    <row r="30346">
      <c r="AI30346" s="80"/>
    </row>
    <row r="30347">
      <c r="AI30347" s="80"/>
    </row>
    <row r="30348">
      <c r="AI30348" s="80"/>
    </row>
    <row r="30349">
      <c r="AI30349" s="80"/>
    </row>
    <row r="30350">
      <c r="AI30350" s="80"/>
    </row>
    <row r="30351">
      <c r="AI30351" s="80"/>
    </row>
    <row r="30352">
      <c r="AI30352" s="80"/>
    </row>
    <row r="30353">
      <c r="AI30353" s="80"/>
    </row>
    <row r="30354">
      <c r="AI30354" s="80"/>
    </row>
    <row r="30355">
      <c r="AI30355" s="80"/>
    </row>
    <row r="30356">
      <c r="AI30356" s="80"/>
    </row>
    <row r="30357">
      <c r="AI30357" s="80"/>
    </row>
    <row r="30358">
      <c r="AI30358" s="80"/>
    </row>
    <row r="30359">
      <c r="AI30359" s="80"/>
    </row>
    <row r="30360">
      <c r="AI30360" s="80"/>
    </row>
    <row r="30361">
      <c r="AI30361" s="80"/>
    </row>
    <row r="30362">
      <c r="AI30362" s="80"/>
    </row>
    <row r="30363">
      <c r="AI30363" s="80"/>
    </row>
    <row r="30364">
      <c r="AI30364" s="80"/>
    </row>
    <row r="30365">
      <c r="AI30365" s="80"/>
    </row>
    <row r="30366">
      <c r="AI30366" s="80"/>
    </row>
    <row r="30367">
      <c r="AI30367" s="80"/>
    </row>
    <row r="30368">
      <c r="AI30368" s="80"/>
    </row>
    <row r="30369">
      <c r="AI30369" s="80"/>
    </row>
    <row r="30370">
      <c r="AI30370" s="80"/>
    </row>
    <row r="30371">
      <c r="AI30371" s="80"/>
    </row>
    <row r="30372">
      <c r="AI30372" s="80"/>
    </row>
    <row r="30373">
      <c r="AI30373" s="80"/>
    </row>
    <row r="30374">
      <c r="AI30374" s="80"/>
    </row>
    <row r="30375">
      <c r="AI30375" s="80"/>
    </row>
    <row r="30376">
      <c r="AI30376" s="80"/>
    </row>
    <row r="30377">
      <c r="AI30377" s="80"/>
    </row>
    <row r="30378">
      <c r="AI30378" s="80"/>
    </row>
    <row r="30379">
      <c r="AI30379" s="80"/>
    </row>
    <row r="30380">
      <c r="AI30380" s="80"/>
    </row>
    <row r="30381">
      <c r="AI30381" s="80"/>
    </row>
    <row r="30382">
      <c r="AI30382" s="80"/>
    </row>
    <row r="30383">
      <c r="AI30383" s="80"/>
    </row>
    <row r="30384">
      <c r="AI30384" s="80"/>
    </row>
    <row r="30385">
      <c r="AI30385" s="80"/>
    </row>
    <row r="30386">
      <c r="AI30386" s="80"/>
    </row>
    <row r="30387">
      <c r="AI30387" s="80"/>
    </row>
    <row r="30388">
      <c r="AI30388" s="80"/>
    </row>
    <row r="30389">
      <c r="AI30389" s="80"/>
    </row>
    <row r="30390">
      <c r="AI30390" s="80"/>
    </row>
    <row r="30391">
      <c r="AI30391" s="80"/>
    </row>
    <row r="30392">
      <c r="AI30392" s="80"/>
    </row>
    <row r="30393">
      <c r="AI30393" s="80"/>
    </row>
    <row r="30394">
      <c r="AI30394" s="80"/>
    </row>
    <row r="30395">
      <c r="AI30395" s="80"/>
    </row>
    <row r="30396">
      <c r="AI30396" s="80"/>
    </row>
    <row r="30397">
      <c r="AI30397" s="80"/>
    </row>
    <row r="30398">
      <c r="AI30398" s="80"/>
    </row>
    <row r="30399">
      <c r="AI30399" s="80"/>
    </row>
    <row r="30400">
      <c r="AI30400" s="80"/>
    </row>
    <row r="30401">
      <c r="AI30401" s="80"/>
    </row>
    <row r="30402">
      <c r="AI30402" s="80"/>
    </row>
    <row r="30403">
      <c r="AI30403" s="80"/>
    </row>
    <row r="30404">
      <c r="AI30404" s="80"/>
    </row>
    <row r="30405">
      <c r="AI30405" s="80"/>
    </row>
    <row r="30406">
      <c r="AI30406" s="80"/>
    </row>
    <row r="30407">
      <c r="AI30407" s="80"/>
    </row>
    <row r="30408">
      <c r="AI30408" s="80"/>
    </row>
    <row r="30409">
      <c r="AI30409" s="80"/>
    </row>
    <row r="30410">
      <c r="AI30410" s="80"/>
    </row>
    <row r="30411">
      <c r="AI30411" s="80"/>
    </row>
    <row r="30412">
      <c r="AI30412" s="80"/>
    </row>
    <row r="30413">
      <c r="AI30413" s="80"/>
    </row>
    <row r="30414">
      <c r="AI30414" s="80"/>
    </row>
    <row r="30415">
      <c r="AI30415" s="80"/>
    </row>
    <row r="30416">
      <c r="AI30416" s="80"/>
    </row>
    <row r="30417">
      <c r="AI30417" s="80"/>
    </row>
    <row r="30418">
      <c r="AI30418" s="80"/>
    </row>
    <row r="30419">
      <c r="AI30419" s="80"/>
    </row>
    <row r="30420">
      <c r="AI30420" s="80"/>
    </row>
    <row r="30421">
      <c r="AI30421" s="80"/>
    </row>
    <row r="30422">
      <c r="AI30422" s="80"/>
    </row>
    <row r="30423">
      <c r="AI30423" s="80"/>
    </row>
    <row r="30424">
      <c r="AI30424" s="80"/>
    </row>
    <row r="30425">
      <c r="AI30425" s="80"/>
    </row>
    <row r="30426">
      <c r="AI30426" s="80"/>
    </row>
    <row r="30427">
      <c r="AI30427" s="80"/>
    </row>
    <row r="30428">
      <c r="AI30428" s="80"/>
    </row>
    <row r="30429">
      <c r="AI30429" s="80"/>
    </row>
    <row r="30430">
      <c r="AI30430" s="80"/>
    </row>
    <row r="30431">
      <c r="AI30431" s="80"/>
    </row>
    <row r="30432">
      <c r="AI30432" s="80"/>
    </row>
    <row r="30433">
      <c r="AI30433" s="80"/>
    </row>
    <row r="30434">
      <c r="AI30434" s="80"/>
    </row>
    <row r="30435">
      <c r="AI30435" s="80"/>
    </row>
    <row r="30436">
      <c r="AI30436" s="80"/>
    </row>
    <row r="30437">
      <c r="AI30437" s="80"/>
    </row>
    <row r="30438">
      <c r="AI30438" s="80"/>
    </row>
    <row r="30439">
      <c r="AI30439" s="80"/>
    </row>
    <row r="30440">
      <c r="AI30440" s="80"/>
    </row>
    <row r="30441">
      <c r="AI30441" s="80"/>
    </row>
    <row r="30442">
      <c r="AI30442" s="80"/>
    </row>
    <row r="30443">
      <c r="AI30443" s="80"/>
    </row>
    <row r="30444">
      <c r="AI30444" s="80"/>
    </row>
    <row r="30445">
      <c r="AI30445" s="80"/>
    </row>
    <row r="30446">
      <c r="AI30446" s="80"/>
    </row>
    <row r="30447">
      <c r="AI30447" s="80"/>
    </row>
    <row r="30448">
      <c r="AI30448" s="80"/>
    </row>
    <row r="30449">
      <c r="AI30449" s="80"/>
    </row>
    <row r="30450">
      <c r="AI30450" s="80"/>
    </row>
    <row r="30451">
      <c r="AI30451" s="80"/>
    </row>
    <row r="30452">
      <c r="AI30452" s="80"/>
    </row>
    <row r="30453">
      <c r="AI30453" s="80"/>
    </row>
    <row r="30454">
      <c r="AI30454" s="80"/>
    </row>
    <row r="30455">
      <c r="AI30455" s="80"/>
    </row>
    <row r="30456">
      <c r="AI30456" s="80"/>
    </row>
    <row r="30457">
      <c r="AI30457" s="80"/>
    </row>
    <row r="30458">
      <c r="AI30458" s="80"/>
    </row>
    <row r="30459">
      <c r="AI30459" s="80"/>
    </row>
    <row r="30460">
      <c r="AI30460" s="80"/>
    </row>
    <row r="30461">
      <c r="AI30461" s="80"/>
    </row>
    <row r="30462">
      <c r="AI30462" s="80"/>
    </row>
    <row r="30463">
      <c r="AI30463" s="80"/>
    </row>
    <row r="30464">
      <c r="AI30464" s="80"/>
    </row>
    <row r="30465">
      <c r="AI30465" s="80"/>
    </row>
    <row r="30466">
      <c r="AI30466" s="80"/>
    </row>
    <row r="30467">
      <c r="AI30467" s="80"/>
    </row>
    <row r="30468">
      <c r="AI30468" s="80"/>
    </row>
    <row r="30469">
      <c r="AI30469" s="80"/>
    </row>
    <row r="30470">
      <c r="AI30470" s="80"/>
    </row>
    <row r="30471">
      <c r="AI30471" s="80"/>
    </row>
    <row r="30472">
      <c r="AI30472" s="80"/>
    </row>
    <row r="30473">
      <c r="AI30473" s="80"/>
    </row>
    <row r="30474">
      <c r="AI30474" s="80"/>
    </row>
    <row r="30475">
      <c r="AI30475" s="80"/>
    </row>
    <row r="30476">
      <c r="AI30476" s="80"/>
    </row>
    <row r="30477">
      <c r="AI30477" s="80"/>
    </row>
    <row r="30478">
      <c r="AI30478" s="80"/>
    </row>
    <row r="30479">
      <c r="AI30479" s="80"/>
    </row>
    <row r="30480">
      <c r="AI30480" s="80"/>
    </row>
    <row r="30481">
      <c r="AI30481" s="80"/>
    </row>
    <row r="30482">
      <c r="AI30482" s="80"/>
    </row>
    <row r="30483">
      <c r="AI30483" s="80"/>
    </row>
    <row r="30484">
      <c r="AI30484" s="80"/>
    </row>
    <row r="30485">
      <c r="AI30485" s="80"/>
    </row>
    <row r="30486">
      <c r="AI30486" s="80"/>
    </row>
    <row r="30487">
      <c r="AI30487" s="80"/>
    </row>
    <row r="30488">
      <c r="AI30488" s="80"/>
    </row>
    <row r="30489">
      <c r="AI30489" s="80"/>
    </row>
    <row r="30490">
      <c r="AI30490" s="80"/>
    </row>
    <row r="30491">
      <c r="AI30491" s="80"/>
    </row>
    <row r="30492">
      <c r="AI30492" s="80"/>
    </row>
    <row r="30493">
      <c r="AI30493" s="80"/>
    </row>
    <row r="30494">
      <c r="AI30494" s="80"/>
    </row>
    <row r="30495">
      <c r="AI30495" s="80"/>
    </row>
    <row r="30496">
      <c r="AI30496" s="80"/>
    </row>
    <row r="30497">
      <c r="AI30497" s="80"/>
    </row>
    <row r="30498">
      <c r="AI30498" s="80"/>
    </row>
    <row r="30499">
      <c r="AI30499" s="80"/>
    </row>
    <row r="30500">
      <c r="AI30500" s="80"/>
    </row>
    <row r="30501">
      <c r="AI30501" s="80"/>
    </row>
    <row r="30502">
      <c r="AI30502" s="80"/>
    </row>
    <row r="30503">
      <c r="AI30503" s="80"/>
    </row>
    <row r="30504">
      <c r="AI30504" s="80"/>
    </row>
    <row r="30505">
      <c r="AI30505" s="80"/>
    </row>
    <row r="30506">
      <c r="AI30506" s="80"/>
    </row>
    <row r="30507">
      <c r="AI30507" s="80"/>
    </row>
    <row r="30508">
      <c r="AI30508" s="80"/>
    </row>
    <row r="30509">
      <c r="AI30509" s="80"/>
    </row>
    <row r="30510">
      <c r="AI30510" s="80"/>
    </row>
    <row r="30511">
      <c r="AI30511" s="80"/>
    </row>
    <row r="30512">
      <c r="AI30512" s="80"/>
    </row>
    <row r="30513">
      <c r="AI30513" s="80"/>
    </row>
    <row r="30514">
      <c r="AI30514" s="80"/>
    </row>
    <row r="30515">
      <c r="AI30515" s="80"/>
    </row>
    <row r="30516">
      <c r="AI30516" s="80"/>
    </row>
    <row r="30517">
      <c r="AI30517" s="80"/>
    </row>
    <row r="30518">
      <c r="AI30518" s="80"/>
    </row>
    <row r="30519">
      <c r="AI30519" s="80"/>
    </row>
    <row r="30520">
      <c r="AI30520" s="80"/>
    </row>
    <row r="30521">
      <c r="AI30521" s="80"/>
    </row>
    <row r="30522">
      <c r="AI30522" s="80"/>
    </row>
    <row r="30523">
      <c r="AI30523" s="80"/>
    </row>
    <row r="30524">
      <c r="AI30524" s="80"/>
    </row>
    <row r="30525">
      <c r="AI30525" s="80"/>
    </row>
    <row r="30526">
      <c r="AI30526" s="80"/>
    </row>
    <row r="30527">
      <c r="AI30527" s="80"/>
    </row>
    <row r="30528">
      <c r="AI30528" s="80"/>
    </row>
    <row r="30529">
      <c r="AI30529" s="80"/>
    </row>
    <row r="30530">
      <c r="AI30530" s="80"/>
    </row>
    <row r="30531">
      <c r="AI30531" s="80"/>
    </row>
    <row r="30532">
      <c r="AI30532" s="80"/>
    </row>
    <row r="30533">
      <c r="AI30533" s="80"/>
    </row>
    <row r="30534">
      <c r="AI30534" s="80"/>
    </row>
    <row r="30535">
      <c r="AI30535" s="80"/>
    </row>
    <row r="30536">
      <c r="AI30536" s="80"/>
    </row>
    <row r="30537">
      <c r="AI30537" s="80"/>
    </row>
    <row r="30538">
      <c r="AI30538" s="80"/>
    </row>
    <row r="30539">
      <c r="AI30539" s="80"/>
    </row>
    <row r="30540">
      <c r="AI30540" s="80"/>
    </row>
    <row r="30541">
      <c r="AI30541" s="80"/>
    </row>
    <row r="30542">
      <c r="AI30542" s="80"/>
    </row>
    <row r="30543">
      <c r="AI30543" s="80"/>
    </row>
    <row r="30544">
      <c r="AI30544" s="80"/>
    </row>
    <row r="30545">
      <c r="AI30545" s="80"/>
    </row>
    <row r="30546">
      <c r="AI30546" s="80"/>
    </row>
    <row r="30547">
      <c r="AI30547" s="80"/>
    </row>
    <row r="30548">
      <c r="AI30548" s="80"/>
    </row>
    <row r="30549">
      <c r="AI30549" s="80"/>
    </row>
    <row r="30550">
      <c r="AI30550" s="80"/>
    </row>
    <row r="30551">
      <c r="AI30551" s="80"/>
    </row>
    <row r="30552">
      <c r="AI30552" s="80"/>
    </row>
    <row r="30553">
      <c r="AI30553" s="80"/>
    </row>
    <row r="30554">
      <c r="AI30554" s="80"/>
    </row>
    <row r="30555">
      <c r="AI30555" s="80"/>
    </row>
    <row r="30556">
      <c r="AI30556" s="80"/>
    </row>
    <row r="30557">
      <c r="AI30557" s="80"/>
    </row>
    <row r="30558">
      <c r="AI30558" s="80"/>
    </row>
    <row r="30559">
      <c r="AI30559" s="80"/>
    </row>
    <row r="30560">
      <c r="AI30560" s="80"/>
    </row>
    <row r="30561">
      <c r="AI30561" s="80"/>
    </row>
    <row r="30562">
      <c r="AI30562" s="80"/>
    </row>
    <row r="30563">
      <c r="AI30563" s="80"/>
    </row>
    <row r="30564">
      <c r="AI30564" s="80"/>
    </row>
    <row r="30565">
      <c r="AI30565" s="80"/>
    </row>
    <row r="30566">
      <c r="AI30566" s="80"/>
    </row>
    <row r="30567">
      <c r="AI30567" s="80"/>
    </row>
    <row r="30568">
      <c r="AI30568" s="80"/>
    </row>
    <row r="30569">
      <c r="AI30569" s="80"/>
    </row>
    <row r="30570">
      <c r="AI30570" s="80"/>
    </row>
    <row r="30571">
      <c r="AI30571" s="80"/>
    </row>
    <row r="30572">
      <c r="AI30572" s="80"/>
    </row>
    <row r="30573">
      <c r="AI30573" s="80"/>
    </row>
    <row r="30574">
      <c r="AI30574" s="80"/>
    </row>
    <row r="30575">
      <c r="AI30575" s="80"/>
    </row>
    <row r="30576">
      <c r="AI30576" s="80"/>
    </row>
    <row r="30577">
      <c r="AI30577" s="80"/>
    </row>
    <row r="30578">
      <c r="AI30578" s="80"/>
    </row>
    <row r="30579">
      <c r="AI30579" s="80"/>
    </row>
    <row r="30580">
      <c r="AI30580" s="80"/>
    </row>
    <row r="30581">
      <c r="AI30581" s="80"/>
    </row>
    <row r="30582">
      <c r="AI30582" s="80"/>
    </row>
    <row r="30583">
      <c r="AI30583" s="80"/>
    </row>
    <row r="30584">
      <c r="AI30584" s="80"/>
    </row>
    <row r="30585">
      <c r="AI30585" s="80"/>
    </row>
    <row r="30586">
      <c r="AI30586" s="80"/>
    </row>
    <row r="30587">
      <c r="AI30587" s="80"/>
    </row>
    <row r="30588">
      <c r="AI30588" s="80"/>
    </row>
    <row r="30589">
      <c r="AI30589" s="80"/>
    </row>
    <row r="30590">
      <c r="AI30590" s="80"/>
    </row>
    <row r="30591">
      <c r="AI30591" s="80"/>
    </row>
    <row r="30592">
      <c r="AI30592" s="80"/>
    </row>
    <row r="30593">
      <c r="AI30593" s="80"/>
    </row>
    <row r="30594">
      <c r="AI30594" s="80"/>
    </row>
    <row r="30595">
      <c r="AI30595" s="80"/>
    </row>
    <row r="30596">
      <c r="AI30596" s="80"/>
    </row>
    <row r="30597">
      <c r="AI30597" s="80"/>
    </row>
    <row r="30598">
      <c r="AI30598" s="80"/>
    </row>
    <row r="30599">
      <c r="AI30599" s="80"/>
    </row>
    <row r="30600">
      <c r="AI30600" s="80"/>
    </row>
    <row r="30601">
      <c r="AI30601" s="80"/>
    </row>
    <row r="30602">
      <c r="AI30602" s="80"/>
    </row>
    <row r="30603">
      <c r="AI30603" s="80"/>
    </row>
    <row r="30604">
      <c r="AI30604" s="80"/>
    </row>
    <row r="30605">
      <c r="AI30605" s="80"/>
    </row>
    <row r="30606">
      <c r="AI30606" s="80"/>
    </row>
    <row r="30607">
      <c r="AI30607" s="80"/>
    </row>
    <row r="30608">
      <c r="AI30608" s="80"/>
    </row>
    <row r="30609">
      <c r="AI30609" s="80"/>
    </row>
    <row r="30610">
      <c r="AI30610" s="80"/>
    </row>
    <row r="30611">
      <c r="AI30611" s="80"/>
    </row>
    <row r="30612">
      <c r="AI30612" s="80"/>
    </row>
    <row r="30613">
      <c r="AI30613" s="80"/>
    </row>
    <row r="30614">
      <c r="AI30614" s="80"/>
    </row>
    <row r="30615">
      <c r="AI30615" s="80"/>
    </row>
    <row r="30616">
      <c r="AI30616" s="80"/>
    </row>
    <row r="30617">
      <c r="AI30617" s="80"/>
    </row>
    <row r="30618">
      <c r="AI30618" s="80"/>
    </row>
    <row r="30619">
      <c r="AI30619" s="80"/>
    </row>
    <row r="30620">
      <c r="AI30620" s="80"/>
    </row>
    <row r="30621">
      <c r="AI30621" s="80"/>
    </row>
    <row r="30622">
      <c r="AI30622" s="80"/>
    </row>
    <row r="30623">
      <c r="AI30623" s="80"/>
    </row>
    <row r="30624">
      <c r="AI30624" s="80"/>
    </row>
    <row r="30625">
      <c r="AI30625" s="80"/>
    </row>
    <row r="30626">
      <c r="AI30626" s="80"/>
    </row>
    <row r="30627">
      <c r="AI30627" s="80"/>
    </row>
    <row r="30628">
      <c r="AI30628" s="80"/>
    </row>
    <row r="30629">
      <c r="AI30629" s="80"/>
    </row>
    <row r="30630">
      <c r="AI30630" s="80"/>
    </row>
    <row r="30631">
      <c r="AI30631" s="80"/>
    </row>
    <row r="30632">
      <c r="AI30632" s="80"/>
    </row>
    <row r="30633">
      <c r="AI30633" s="80"/>
    </row>
    <row r="30634">
      <c r="AI30634" s="80"/>
    </row>
    <row r="30635">
      <c r="AI30635" s="80"/>
    </row>
    <row r="30636">
      <c r="AI30636" s="80"/>
    </row>
    <row r="30637">
      <c r="AI30637" s="80"/>
    </row>
    <row r="30638">
      <c r="AI30638" s="80"/>
    </row>
    <row r="30639">
      <c r="AI30639" s="80"/>
    </row>
    <row r="30640">
      <c r="AI30640" s="80"/>
    </row>
    <row r="30641">
      <c r="AI30641" s="80"/>
    </row>
    <row r="30642">
      <c r="AI30642" s="80"/>
    </row>
    <row r="30643">
      <c r="AI30643" s="80"/>
    </row>
    <row r="30644">
      <c r="AI30644" s="80"/>
    </row>
    <row r="30645">
      <c r="AI30645" s="80"/>
    </row>
    <row r="30646">
      <c r="AI30646" s="80"/>
    </row>
    <row r="30647">
      <c r="AI30647" s="80"/>
    </row>
    <row r="30648">
      <c r="AI30648" s="80"/>
    </row>
    <row r="30649">
      <c r="AI30649" s="80"/>
    </row>
    <row r="30650">
      <c r="AI30650" s="80"/>
    </row>
    <row r="30651">
      <c r="AI30651" s="80"/>
    </row>
    <row r="30652">
      <c r="AI30652" s="80"/>
    </row>
    <row r="30653">
      <c r="AI30653" s="80"/>
    </row>
    <row r="30654">
      <c r="AI30654" s="80"/>
    </row>
    <row r="30655">
      <c r="AI30655" s="80"/>
    </row>
    <row r="30656">
      <c r="AI30656" s="80"/>
    </row>
    <row r="30657">
      <c r="AI30657" s="80"/>
    </row>
    <row r="30658">
      <c r="AI30658" s="80"/>
    </row>
    <row r="30659">
      <c r="AI30659" s="80"/>
    </row>
    <row r="30660">
      <c r="AI30660" s="80"/>
    </row>
    <row r="30661">
      <c r="AI30661" s="80"/>
    </row>
    <row r="30662">
      <c r="AI30662" s="80"/>
    </row>
    <row r="30663">
      <c r="AI30663" s="80"/>
    </row>
    <row r="30664">
      <c r="AI30664" s="80"/>
    </row>
    <row r="30665">
      <c r="AI30665" s="80"/>
    </row>
    <row r="30666">
      <c r="AI30666" s="80"/>
    </row>
    <row r="30667">
      <c r="AI30667" s="80"/>
    </row>
    <row r="30668">
      <c r="AI30668" s="80"/>
    </row>
    <row r="30669">
      <c r="AI30669" s="80"/>
    </row>
    <row r="30670">
      <c r="AI30670" s="80"/>
    </row>
    <row r="30671">
      <c r="AI30671" s="80"/>
    </row>
    <row r="30672">
      <c r="AI30672" s="80"/>
    </row>
    <row r="30673">
      <c r="AI30673" s="80"/>
    </row>
    <row r="30674">
      <c r="AI30674" s="80"/>
    </row>
    <row r="30675">
      <c r="AI30675" s="80"/>
    </row>
    <row r="30676">
      <c r="AI30676" s="80"/>
    </row>
    <row r="30677">
      <c r="AI30677" s="80"/>
    </row>
    <row r="30678">
      <c r="AI30678" s="80"/>
    </row>
    <row r="30679">
      <c r="AI30679" s="80"/>
    </row>
    <row r="30680">
      <c r="AI30680" s="80"/>
    </row>
    <row r="30681">
      <c r="AI30681" s="80"/>
    </row>
    <row r="30682">
      <c r="AI30682" s="80"/>
    </row>
    <row r="30683">
      <c r="AI30683" s="80"/>
    </row>
    <row r="30684">
      <c r="AI30684" s="80"/>
    </row>
    <row r="30685">
      <c r="AI30685" s="80"/>
    </row>
    <row r="30686">
      <c r="AI30686" s="80"/>
    </row>
    <row r="30687">
      <c r="AI30687" s="80"/>
    </row>
    <row r="30688">
      <c r="AI30688" s="80"/>
    </row>
    <row r="30689">
      <c r="AI30689" s="80"/>
    </row>
    <row r="30690">
      <c r="AI30690" s="80"/>
    </row>
    <row r="30691">
      <c r="AI30691" s="80"/>
    </row>
    <row r="30692">
      <c r="AI30692" s="80"/>
    </row>
    <row r="30693">
      <c r="AI30693" s="80"/>
    </row>
    <row r="30694">
      <c r="AI30694" s="80"/>
    </row>
    <row r="30695">
      <c r="AI30695" s="80"/>
    </row>
    <row r="30696">
      <c r="AI30696" s="80"/>
    </row>
    <row r="30697">
      <c r="AI30697" s="80"/>
    </row>
    <row r="30698">
      <c r="AI30698" s="80"/>
    </row>
    <row r="30699">
      <c r="AI30699" s="80"/>
    </row>
    <row r="30700">
      <c r="AI30700" s="80"/>
    </row>
    <row r="30701">
      <c r="AI30701" s="80"/>
    </row>
    <row r="30702">
      <c r="AI30702" s="80"/>
    </row>
    <row r="30703">
      <c r="AI30703" s="80"/>
    </row>
    <row r="30704">
      <c r="AI30704" s="80"/>
    </row>
    <row r="30705">
      <c r="AI30705" s="80"/>
    </row>
    <row r="30706">
      <c r="AI30706" s="80"/>
    </row>
    <row r="30707">
      <c r="AI30707" s="80"/>
    </row>
    <row r="30708">
      <c r="AI30708" s="80"/>
    </row>
    <row r="30709">
      <c r="AI30709" s="80"/>
    </row>
    <row r="30710">
      <c r="AI30710" s="80"/>
    </row>
    <row r="30711">
      <c r="AI30711" s="80"/>
    </row>
    <row r="30712">
      <c r="AI30712" s="80"/>
    </row>
    <row r="30713">
      <c r="AI30713" s="80"/>
    </row>
    <row r="30714">
      <c r="AI30714" s="80"/>
    </row>
    <row r="30715">
      <c r="AI30715" s="80"/>
    </row>
    <row r="30716">
      <c r="AI30716" s="80"/>
    </row>
    <row r="30717">
      <c r="AI30717" s="80"/>
    </row>
    <row r="30718">
      <c r="AI30718" s="80"/>
    </row>
    <row r="30719">
      <c r="AI30719" s="80"/>
    </row>
    <row r="30720">
      <c r="AI30720" s="80"/>
    </row>
    <row r="30721">
      <c r="AI30721" s="80"/>
    </row>
    <row r="30722">
      <c r="AI30722" s="80"/>
    </row>
    <row r="30723">
      <c r="AI30723" s="80"/>
    </row>
    <row r="30724">
      <c r="AI30724" s="80"/>
    </row>
    <row r="30725">
      <c r="AI30725" s="80"/>
    </row>
    <row r="30726">
      <c r="AI30726" s="80"/>
    </row>
    <row r="30727">
      <c r="AI30727" s="80"/>
    </row>
    <row r="30728">
      <c r="AI30728" s="80"/>
    </row>
    <row r="30729">
      <c r="AI30729" s="80"/>
    </row>
    <row r="30730">
      <c r="AI30730" s="80"/>
    </row>
    <row r="30731">
      <c r="AI30731" s="80"/>
    </row>
    <row r="30732">
      <c r="AI30732" s="80"/>
    </row>
    <row r="30733">
      <c r="AI30733" s="80"/>
    </row>
    <row r="30734">
      <c r="AI30734" s="80"/>
    </row>
    <row r="30735">
      <c r="AI30735" s="80"/>
    </row>
    <row r="30736">
      <c r="AI30736" s="80"/>
    </row>
    <row r="30737">
      <c r="AI30737" s="80"/>
    </row>
    <row r="30738">
      <c r="AI30738" s="80"/>
    </row>
    <row r="30739">
      <c r="AI30739" s="80"/>
    </row>
    <row r="30740">
      <c r="AI30740" s="80"/>
    </row>
    <row r="30741">
      <c r="AI30741" s="80"/>
    </row>
    <row r="30742">
      <c r="AI30742" s="80"/>
    </row>
    <row r="30743">
      <c r="AI30743" s="80"/>
    </row>
    <row r="30744">
      <c r="AI30744" s="80"/>
    </row>
    <row r="30745">
      <c r="AI30745" s="80"/>
    </row>
    <row r="30746">
      <c r="AI30746" s="80"/>
    </row>
    <row r="30747">
      <c r="AI30747" s="80"/>
    </row>
    <row r="30748">
      <c r="AI30748" s="80"/>
    </row>
    <row r="30749">
      <c r="AI30749" s="80"/>
    </row>
    <row r="30750">
      <c r="AI30750" s="80"/>
    </row>
    <row r="30751">
      <c r="AI30751" s="80"/>
    </row>
    <row r="30752">
      <c r="AI30752" s="80"/>
    </row>
    <row r="30753">
      <c r="AI30753" s="80"/>
    </row>
    <row r="30754">
      <c r="AI30754" s="80"/>
    </row>
    <row r="30755">
      <c r="AI30755" s="80"/>
    </row>
    <row r="30756">
      <c r="AI30756" s="80"/>
    </row>
    <row r="30757">
      <c r="AI30757" s="80"/>
    </row>
    <row r="30758">
      <c r="AI30758" s="80"/>
    </row>
    <row r="30759">
      <c r="AI30759" s="80"/>
    </row>
    <row r="30760">
      <c r="AI30760" s="80"/>
    </row>
    <row r="30761">
      <c r="AI30761" s="80"/>
    </row>
    <row r="30762">
      <c r="AI30762" s="80"/>
    </row>
    <row r="30763">
      <c r="AI30763" s="80"/>
    </row>
    <row r="30764">
      <c r="AI30764" s="80"/>
    </row>
    <row r="30765">
      <c r="AI30765" s="80"/>
    </row>
    <row r="30766">
      <c r="AI30766" s="80"/>
    </row>
    <row r="30767">
      <c r="AI30767" s="80"/>
    </row>
    <row r="30768">
      <c r="AI30768" s="80"/>
    </row>
    <row r="30769">
      <c r="AI30769" s="80"/>
    </row>
    <row r="30770">
      <c r="AI30770" s="80"/>
    </row>
    <row r="30771">
      <c r="AI30771" s="80"/>
    </row>
    <row r="30772">
      <c r="AI30772" s="80"/>
    </row>
    <row r="30773">
      <c r="AI30773" s="80"/>
    </row>
    <row r="30774">
      <c r="AI30774" s="80"/>
    </row>
    <row r="30775">
      <c r="AI30775" s="80"/>
    </row>
    <row r="30776">
      <c r="AI30776" s="80"/>
    </row>
    <row r="30777">
      <c r="AI30777" s="80"/>
    </row>
    <row r="30778">
      <c r="AI30778" s="80"/>
    </row>
    <row r="30779">
      <c r="AI30779" s="80"/>
    </row>
    <row r="30780">
      <c r="AI30780" s="80"/>
    </row>
    <row r="30781">
      <c r="AI30781" s="80"/>
    </row>
    <row r="30782">
      <c r="AI30782" s="80"/>
    </row>
    <row r="30783">
      <c r="AI30783" s="80"/>
    </row>
    <row r="30784">
      <c r="AI30784" s="80"/>
    </row>
    <row r="30785">
      <c r="AI30785" s="80"/>
    </row>
    <row r="30786">
      <c r="AI30786" s="80"/>
    </row>
    <row r="30787">
      <c r="AI30787" s="80"/>
    </row>
    <row r="30788">
      <c r="AI30788" s="80"/>
    </row>
    <row r="30789">
      <c r="AI30789" s="80"/>
    </row>
    <row r="30790">
      <c r="AI30790" s="80"/>
    </row>
    <row r="30791">
      <c r="AI30791" s="80"/>
    </row>
    <row r="30792">
      <c r="AI30792" s="80"/>
    </row>
    <row r="30793">
      <c r="AI30793" s="80"/>
    </row>
    <row r="30794">
      <c r="AI30794" s="80"/>
    </row>
    <row r="30795">
      <c r="AI30795" s="80"/>
    </row>
    <row r="30796">
      <c r="AI30796" s="80"/>
    </row>
    <row r="30797">
      <c r="AI30797" s="80"/>
    </row>
    <row r="30798">
      <c r="AI30798" s="80"/>
    </row>
    <row r="30799">
      <c r="AI30799" s="80"/>
    </row>
    <row r="30800">
      <c r="AI30800" s="80"/>
    </row>
    <row r="30801">
      <c r="AI30801" s="80"/>
    </row>
    <row r="30802">
      <c r="AI30802" s="80"/>
    </row>
    <row r="30803">
      <c r="AI30803" s="80"/>
    </row>
    <row r="30804">
      <c r="AI30804" s="80"/>
    </row>
    <row r="30805">
      <c r="AI30805" s="80"/>
    </row>
    <row r="30806">
      <c r="AI30806" s="80"/>
    </row>
    <row r="30807">
      <c r="AI30807" s="80"/>
    </row>
    <row r="30808">
      <c r="AI30808" s="80"/>
    </row>
    <row r="30809">
      <c r="AI30809" s="80"/>
    </row>
    <row r="30810">
      <c r="AI30810" s="80"/>
    </row>
    <row r="30811">
      <c r="AI30811" s="80"/>
    </row>
    <row r="30812">
      <c r="AI30812" s="80"/>
    </row>
    <row r="30813">
      <c r="AI30813" s="80"/>
    </row>
    <row r="30814">
      <c r="AI30814" s="80"/>
    </row>
    <row r="30815">
      <c r="AI30815" s="80"/>
    </row>
    <row r="30816">
      <c r="AI30816" s="80"/>
    </row>
    <row r="30817">
      <c r="AI30817" s="80"/>
    </row>
    <row r="30818">
      <c r="AI30818" s="80"/>
    </row>
    <row r="30819">
      <c r="AI30819" s="80"/>
    </row>
    <row r="30820">
      <c r="AI30820" s="80"/>
    </row>
    <row r="30821">
      <c r="AI30821" s="80"/>
    </row>
    <row r="30822">
      <c r="AI30822" s="80"/>
    </row>
    <row r="30823">
      <c r="AI30823" s="80"/>
    </row>
    <row r="30824">
      <c r="AI30824" s="80"/>
    </row>
    <row r="30825">
      <c r="AI30825" s="80"/>
    </row>
    <row r="30826">
      <c r="AI30826" s="80"/>
    </row>
    <row r="30827">
      <c r="AI30827" s="80"/>
    </row>
    <row r="30828">
      <c r="AI30828" s="80"/>
    </row>
    <row r="30829">
      <c r="AI30829" s="80"/>
    </row>
    <row r="30830">
      <c r="AI30830" s="80"/>
    </row>
    <row r="30831">
      <c r="AI30831" s="80"/>
    </row>
    <row r="30832">
      <c r="AI30832" s="80"/>
    </row>
    <row r="30833">
      <c r="AI30833" s="80"/>
    </row>
    <row r="30834">
      <c r="AI30834" s="80"/>
    </row>
    <row r="30835">
      <c r="AI30835" s="80"/>
    </row>
    <row r="30836">
      <c r="AI30836" s="80"/>
    </row>
    <row r="30837">
      <c r="AI30837" s="80"/>
    </row>
    <row r="30838">
      <c r="AI30838" s="80"/>
    </row>
    <row r="30839">
      <c r="AI30839" s="80"/>
    </row>
    <row r="30840">
      <c r="AI30840" s="80"/>
    </row>
    <row r="30841">
      <c r="AI30841" s="80"/>
    </row>
    <row r="30842">
      <c r="AI30842" s="80"/>
    </row>
    <row r="30843">
      <c r="AI30843" s="80"/>
    </row>
    <row r="30844">
      <c r="AI30844" s="80"/>
    </row>
    <row r="30845">
      <c r="AI30845" s="80"/>
    </row>
    <row r="30846">
      <c r="AI30846" s="80"/>
    </row>
    <row r="30847">
      <c r="AI30847" s="80"/>
    </row>
    <row r="30848">
      <c r="AI30848" s="80"/>
    </row>
    <row r="30849">
      <c r="AI30849" s="80"/>
    </row>
    <row r="30850">
      <c r="AI30850" s="80"/>
    </row>
    <row r="30851">
      <c r="AI30851" s="80"/>
    </row>
    <row r="30852">
      <c r="AI30852" s="80"/>
    </row>
    <row r="30853">
      <c r="AI30853" s="80"/>
    </row>
    <row r="30854">
      <c r="AI30854" s="80"/>
    </row>
    <row r="30855">
      <c r="AI30855" s="80"/>
    </row>
    <row r="30856">
      <c r="AI30856" s="80"/>
    </row>
    <row r="30857">
      <c r="AI30857" s="80"/>
    </row>
    <row r="30858">
      <c r="AI30858" s="80"/>
    </row>
    <row r="30859">
      <c r="AI30859" s="80"/>
    </row>
    <row r="30860">
      <c r="AI30860" s="80"/>
    </row>
    <row r="30861">
      <c r="AI30861" s="80"/>
    </row>
    <row r="30862">
      <c r="AI30862" s="80"/>
    </row>
    <row r="30863">
      <c r="AI30863" s="80"/>
    </row>
    <row r="30864">
      <c r="AI30864" s="80"/>
    </row>
    <row r="30865">
      <c r="AI30865" s="80"/>
    </row>
    <row r="30866">
      <c r="AI30866" s="80"/>
    </row>
    <row r="30867">
      <c r="AI30867" s="80"/>
    </row>
    <row r="30868">
      <c r="AI30868" s="80"/>
    </row>
    <row r="30869">
      <c r="AI30869" s="80"/>
    </row>
    <row r="30870">
      <c r="AI30870" s="80"/>
    </row>
    <row r="30871">
      <c r="AI30871" s="80"/>
    </row>
    <row r="30872">
      <c r="AI30872" s="80"/>
    </row>
    <row r="30873">
      <c r="AI30873" s="80"/>
    </row>
    <row r="30874">
      <c r="AI30874" s="80"/>
    </row>
    <row r="30875">
      <c r="AI30875" s="80"/>
    </row>
    <row r="30876">
      <c r="AI30876" s="80"/>
    </row>
    <row r="30877">
      <c r="AI30877" s="80"/>
    </row>
    <row r="30878">
      <c r="AI30878" s="80"/>
    </row>
    <row r="30879">
      <c r="AI30879" s="80"/>
    </row>
    <row r="30880">
      <c r="AI30880" s="80"/>
    </row>
    <row r="30881">
      <c r="AI30881" s="80"/>
    </row>
    <row r="30882">
      <c r="AI30882" s="80"/>
    </row>
    <row r="30883">
      <c r="AI30883" s="80"/>
    </row>
    <row r="30884">
      <c r="AI30884" s="80"/>
    </row>
    <row r="30885">
      <c r="AI30885" s="80"/>
    </row>
    <row r="30886">
      <c r="AI30886" s="80"/>
    </row>
    <row r="30887">
      <c r="AI30887" s="80"/>
    </row>
    <row r="30888">
      <c r="AI30888" s="80"/>
    </row>
    <row r="30889">
      <c r="AI30889" s="80"/>
    </row>
    <row r="30890">
      <c r="AI30890" s="80"/>
    </row>
    <row r="30891">
      <c r="AI30891" s="80"/>
    </row>
    <row r="30892">
      <c r="AI30892" s="80"/>
    </row>
    <row r="30893">
      <c r="AI30893" s="80"/>
    </row>
    <row r="30894">
      <c r="AI30894" s="80"/>
    </row>
    <row r="30895">
      <c r="AI30895" s="80"/>
    </row>
    <row r="30896">
      <c r="AI30896" s="80"/>
    </row>
    <row r="30897">
      <c r="AI30897" s="80"/>
    </row>
    <row r="30898">
      <c r="AI30898" s="80"/>
    </row>
    <row r="30899">
      <c r="AI30899" s="80"/>
    </row>
    <row r="30900">
      <c r="AI30900" s="80"/>
    </row>
    <row r="30901">
      <c r="AI30901" s="80"/>
    </row>
    <row r="30902">
      <c r="AI30902" s="80"/>
    </row>
    <row r="30903">
      <c r="AI30903" s="80"/>
    </row>
    <row r="30904">
      <c r="AI30904" s="80"/>
    </row>
    <row r="30905">
      <c r="AI30905" s="80"/>
    </row>
    <row r="30906">
      <c r="AI30906" s="80"/>
    </row>
    <row r="30907">
      <c r="AI30907" s="80"/>
    </row>
    <row r="30908">
      <c r="AI30908" s="80"/>
    </row>
    <row r="30909">
      <c r="AI30909" s="80"/>
    </row>
    <row r="30910">
      <c r="AI30910" s="80"/>
    </row>
    <row r="30911">
      <c r="AI30911" s="80"/>
    </row>
    <row r="30912">
      <c r="AI30912" s="80"/>
    </row>
    <row r="30913">
      <c r="AI30913" s="80"/>
    </row>
    <row r="30914">
      <c r="AI30914" s="80"/>
    </row>
    <row r="30915">
      <c r="AI30915" s="80"/>
    </row>
    <row r="30916">
      <c r="AI30916" s="80"/>
    </row>
    <row r="30917">
      <c r="AI30917" s="80"/>
    </row>
    <row r="30918">
      <c r="AI30918" s="80"/>
    </row>
    <row r="30919">
      <c r="AI30919" s="80"/>
    </row>
    <row r="30920">
      <c r="AI30920" s="80"/>
    </row>
    <row r="30921">
      <c r="AI30921" s="80"/>
    </row>
    <row r="30922">
      <c r="AI30922" s="80"/>
    </row>
    <row r="30923">
      <c r="AI30923" s="80"/>
    </row>
    <row r="30924">
      <c r="AI30924" s="80"/>
    </row>
    <row r="30925">
      <c r="AI30925" s="80"/>
    </row>
    <row r="30926">
      <c r="AI30926" s="80"/>
    </row>
    <row r="30927">
      <c r="AI30927" s="80"/>
    </row>
    <row r="30928">
      <c r="AI30928" s="80"/>
    </row>
    <row r="30929">
      <c r="AI30929" s="80"/>
    </row>
    <row r="30930">
      <c r="AI30930" s="80"/>
    </row>
    <row r="30931">
      <c r="AI30931" s="80"/>
    </row>
    <row r="30932">
      <c r="AI30932" s="80"/>
    </row>
    <row r="30933">
      <c r="AI30933" s="80"/>
    </row>
    <row r="30934">
      <c r="AI30934" s="80"/>
    </row>
    <row r="30935">
      <c r="AI30935" s="80"/>
    </row>
    <row r="30936">
      <c r="AI30936" s="80"/>
    </row>
    <row r="30937">
      <c r="AI30937" s="80"/>
    </row>
    <row r="30938">
      <c r="AI30938" s="80"/>
    </row>
    <row r="30939">
      <c r="AI30939" s="80"/>
    </row>
    <row r="30940">
      <c r="AI30940" s="80"/>
    </row>
    <row r="30941">
      <c r="AI30941" s="80"/>
    </row>
    <row r="30942">
      <c r="AI30942" s="80"/>
    </row>
    <row r="30943">
      <c r="AI30943" s="80"/>
    </row>
    <row r="30944">
      <c r="AI30944" s="80"/>
    </row>
    <row r="30945">
      <c r="AI30945" s="80"/>
    </row>
    <row r="30946">
      <c r="AI30946" s="80"/>
    </row>
    <row r="30947">
      <c r="AI30947" s="80"/>
    </row>
    <row r="30948">
      <c r="AI30948" s="80"/>
    </row>
    <row r="30949">
      <c r="AI30949" s="80"/>
    </row>
    <row r="30950">
      <c r="AI30950" s="80"/>
    </row>
    <row r="30951">
      <c r="AI30951" s="80"/>
    </row>
    <row r="30952">
      <c r="AI30952" s="80"/>
    </row>
    <row r="30953">
      <c r="AI30953" s="80"/>
    </row>
    <row r="30954">
      <c r="AI30954" s="80"/>
    </row>
    <row r="30955">
      <c r="AI30955" s="80"/>
    </row>
    <row r="30956">
      <c r="AI30956" s="80"/>
    </row>
    <row r="30957">
      <c r="AI30957" s="80"/>
    </row>
    <row r="30958">
      <c r="AI30958" s="80"/>
    </row>
    <row r="30959">
      <c r="AI30959" s="80"/>
    </row>
    <row r="30960">
      <c r="AI30960" s="80"/>
    </row>
    <row r="30961">
      <c r="AI30961" s="80"/>
    </row>
    <row r="30962">
      <c r="AI30962" s="80"/>
    </row>
    <row r="30963">
      <c r="AI30963" s="80"/>
    </row>
    <row r="30964">
      <c r="AI30964" s="80"/>
    </row>
    <row r="30965">
      <c r="AI30965" s="80"/>
    </row>
    <row r="30966">
      <c r="AI30966" s="80"/>
    </row>
    <row r="30967">
      <c r="AI30967" s="80"/>
    </row>
    <row r="30968">
      <c r="AI30968" s="80"/>
    </row>
    <row r="30969">
      <c r="AI30969" s="80"/>
    </row>
    <row r="30970">
      <c r="AI30970" s="80"/>
    </row>
    <row r="30971">
      <c r="AI30971" s="80"/>
    </row>
    <row r="30972">
      <c r="AI30972" s="80"/>
    </row>
    <row r="30973">
      <c r="AI30973" s="80"/>
    </row>
    <row r="30974">
      <c r="AI30974" s="80"/>
    </row>
    <row r="30975">
      <c r="AI30975" s="80"/>
    </row>
    <row r="30976">
      <c r="AI30976" s="80"/>
    </row>
    <row r="30977">
      <c r="AI30977" s="80"/>
    </row>
    <row r="30978">
      <c r="AI30978" s="80"/>
    </row>
    <row r="30979">
      <c r="AI30979" s="80"/>
    </row>
    <row r="30980">
      <c r="AI30980" s="80"/>
    </row>
    <row r="30981">
      <c r="AI30981" s="80"/>
    </row>
    <row r="30982">
      <c r="AI30982" s="80"/>
    </row>
    <row r="30983">
      <c r="AI30983" s="80"/>
    </row>
    <row r="30984">
      <c r="AI30984" s="80"/>
    </row>
    <row r="30985">
      <c r="AI30985" s="80"/>
    </row>
    <row r="30986">
      <c r="AI30986" s="80"/>
    </row>
    <row r="30987">
      <c r="AI30987" s="80"/>
    </row>
    <row r="30988">
      <c r="AI30988" s="80"/>
    </row>
    <row r="30989">
      <c r="AI30989" s="80"/>
    </row>
    <row r="30990">
      <c r="AI30990" s="80"/>
    </row>
    <row r="30991">
      <c r="AI30991" s="80"/>
    </row>
    <row r="30992">
      <c r="AI30992" s="80"/>
    </row>
    <row r="30993">
      <c r="AI30993" s="80"/>
    </row>
    <row r="30994">
      <c r="AI30994" s="80"/>
    </row>
    <row r="30995">
      <c r="AI30995" s="80"/>
    </row>
    <row r="30996">
      <c r="AI30996" s="80"/>
    </row>
    <row r="30997">
      <c r="AI30997" s="80"/>
    </row>
    <row r="30998">
      <c r="AI30998" s="80"/>
    </row>
    <row r="30999">
      <c r="AI30999" s="80"/>
    </row>
    <row r="31000">
      <c r="AI31000" s="80"/>
    </row>
    <row r="31001">
      <c r="AI31001" s="80"/>
    </row>
    <row r="31002">
      <c r="AI31002" s="80"/>
    </row>
    <row r="31003">
      <c r="AI31003" s="80"/>
    </row>
    <row r="31004">
      <c r="AI31004" s="80"/>
    </row>
    <row r="31005">
      <c r="AI31005" s="80"/>
    </row>
    <row r="31006">
      <c r="AI31006" s="80"/>
    </row>
    <row r="31007">
      <c r="AI31007" s="80"/>
    </row>
    <row r="31008">
      <c r="AI31008" s="80"/>
    </row>
    <row r="31009">
      <c r="AI31009" s="80"/>
    </row>
    <row r="31010">
      <c r="AI31010" s="80"/>
    </row>
    <row r="31011">
      <c r="AI31011" s="80"/>
    </row>
    <row r="31012">
      <c r="AI31012" s="80"/>
    </row>
    <row r="31013">
      <c r="AI31013" s="80"/>
    </row>
    <row r="31014">
      <c r="AI31014" s="80"/>
    </row>
    <row r="31015">
      <c r="AI31015" s="80"/>
    </row>
    <row r="31016">
      <c r="AI31016" s="80"/>
    </row>
    <row r="31017">
      <c r="AI31017" s="80"/>
    </row>
    <row r="31018">
      <c r="AI31018" s="80"/>
    </row>
    <row r="31019">
      <c r="AI31019" s="80"/>
    </row>
    <row r="31020">
      <c r="AI31020" s="80"/>
    </row>
    <row r="31021">
      <c r="AI31021" s="80"/>
    </row>
    <row r="31022">
      <c r="AI31022" s="80"/>
    </row>
    <row r="31023">
      <c r="AI31023" s="80"/>
    </row>
    <row r="31024">
      <c r="AI31024" s="80"/>
    </row>
    <row r="31025">
      <c r="AI31025" s="80"/>
    </row>
    <row r="31026">
      <c r="AI31026" s="80"/>
    </row>
    <row r="31027">
      <c r="AI31027" s="80"/>
    </row>
    <row r="31028">
      <c r="AI31028" s="80"/>
    </row>
    <row r="31029">
      <c r="AI31029" s="80"/>
    </row>
    <row r="31030">
      <c r="AI31030" s="80"/>
    </row>
    <row r="31031">
      <c r="AI31031" s="80"/>
    </row>
    <row r="31032">
      <c r="AI31032" s="80"/>
    </row>
    <row r="31033">
      <c r="AI31033" s="80"/>
    </row>
    <row r="31034">
      <c r="AI31034" s="80"/>
    </row>
    <row r="31035">
      <c r="AI31035" s="80"/>
    </row>
    <row r="31036">
      <c r="AI31036" s="80"/>
    </row>
    <row r="31037">
      <c r="AI31037" s="80"/>
    </row>
    <row r="31038">
      <c r="AI31038" s="80"/>
    </row>
    <row r="31039">
      <c r="AI31039" s="80"/>
    </row>
    <row r="31040">
      <c r="AI31040" s="80"/>
    </row>
    <row r="31041">
      <c r="AI31041" s="80"/>
    </row>
    <row r="31042">
      <c r="AI31042" s="80"/>
    </row>
    <row r="31043">
      <c r="AI31043" s="80"/>
    </row>
    <row r="31044">
      <c r="AI31044" s="80"/>
    </row>
    <row r="31045">
      <c r="AI31045" s="80"/>
    </row>
    <row r="31046">
      <c r="AI31046" s="80"/>
    </row>
    <row r="31047">
      <c r="AI31047" s="80"/>
    </row>
    <row r="31048">
      <c r="AI31048" s="80"/>
    </row>
    <row r="31049">
      <c r="AI31049" s="80"/>
    </row>
    <row r="31050">
      <c r="AI31050" s="80"/>
    </row>
    <row r="31051">
      <c r="AI31051" s="80"/>
    </row>
    <row r="31052">
      <c r="AI31052" s="80"/>
    </row>
    <row r="31053">
      <c r="AI31053" s="80"/>
    </row>
    <row r="31054">
      <c r="AI31054" s="80"/>
    </row>
    <row r="31055">
      <c r="AI31055" s="80"/>
    </row>
    <row r="31056">
      <c r="AI31056" s="80"/>
    </row>
    <row r="31057">
      <c r="AI31057" s="80"/>
    </row>
    <row r="31058">
      <c r="AI31058" s="80"/>
    </row>
    <row r="31059">
      <c r="AI31059" s="80"/>
    </row>
    <row r="31060">
      <c r="AI31060" s="80"/>
    </row>
    <row r="31061">
      <c r="AI31061" s="80"/>
    </row>
    <row r="31062">
      <c r="AI31062" s="80"/>
    </row>
    <row r="31063">
      <c r="AI31063" s="80"/>
    </row>
    <row r="31064">
      <c r="AI31064" s="80"/>
    </row>
    <row r="31065">
      <c r="AI31065" s="80"/>
    </row>
    <row r="31066">
      <c r="AI31066" s="80"/>
    </row>
    <row r="31067">
      <c r="AI31067" s="80"/>
    </row>
    <row r="31068">
      <c r="AI31068" s="80"/>
    </row>
    <row r="31069">
      <c r="AI31069" s="80"/>
    </row>
    <row r="31070">
      <c r="AI31070" s="80"/>
    </row>
    <row r="31071">
      <c r="AI31071" s="80"/>
    </row>
    <row r="31072">
      <c r="AI31072" s="80"/>
    </row>
    <row r="31073">
      <c r="AI31073" s="80"/>
    </row>
    <row r="31074">
      <c r="AI31074" s="80"/>
    </row>
    <row r="31075">
      <c r="AI31075" s="80"/>
    </row>
    <row r="31076">
      <c r="AI31076" s="80"/>
    </row>
    <row r="31077">
      <c r="AI31077" s="80"/>
    </row>
    <row r="31078">
      <c r="AI31078" s="80"/>
    </row>
    <row r="31079">
      <c r="AI31079" s="80"/>
    </row>
    <row r="31080">
      <c r="AI31080" s="80"/>
    </row>
    <row r="31081">
      <c r="AI31081" s="80"/>
    </row>
    <row r="31082">
      <c r="AI31082" s="80"/>
    </row>
    <row r="31083">
      <c r="AI31083" s="80"/>
    </row>
    <row r="31084">
      <c r="AI31084" s="80"/>
    </row>
    <row r="31085">
      <c r="AI31085" s="80"/>
    </row>
    <row r="31086">
      <c r="AI31086" s="80"/>
    </row>
    <row r="31087">
      <c r="AI31087" s="80"/>
    </row>
    <row r="31088">
      <c r="AI31088" s="80"/>
    </row>
    <row r="31089">
      <c r="AI31089" s="80"/>
    </row>
    <row r="31090">
      <c r="AI31090" s="80"/>
    </row>
    <row r="31091">
      <c r="AI31091" s="80"/>
    </row>
    <row r="31092">
      <c r="AI31092" s="80"/>
    </row>
    <row r="31093">
      <c r="AI31093" s="80"/>
    </row>
    <row r="31094">
      <c r="AI31094" s="80"/>
    </row>
    <row r="31095">
      <c r="AI31095" s="80"/>
    </row>
    <row r="31096">
      <c r="AI31096" s="80"/>
    </row>
    <row r="31097">
      <c r="AI31097" s="80"/>
    </row>
    <row r="31098">
      <c r="AI31098" s="80"/>
    </row>
    <row r="31099">
      <c r="AI31099" s="80"/>
    </row>
    <row r="31100">
      <c r="AI31100" s="80"/>
    </row>
    <row r="31101">
      <c r="AI31101" s="80"/>
    </row>
    <row r="31102">
      <c r="AI31102" s="80"/>
    </row>
    <row r="31103">
      <c r="AI31103" s="80"/>
    </row>
    <row r="31104">
      <c r="AI31104" s="80"/>
    </row>
    <row r="31105">
      <c r="AI31105" s="80"/>
    </row>
    <row r="31106">
      <c r="AI31106" s="80"/>
    </row>
    <row r="31107">
      <c r="AI31107" s="80"/>
    </row>
    <row r="31108">
      <c r="AI31108" s="80"/>
    </row>
    <row r="31109">
      <c r="AI31109" s="80"/>
    </row>
    <row r="31110">
      <c r="AI31110" s="80"/>
    </row>
    <row r="31111">
      <c r="AI31111" s="80"/>
    </row>
    <row r="31112">
      <c r="AI31112" s="80"/>
    </row>
    <row r="31113">
      <c r="AI31113" s="80"/>
    </row>
    <row r="31114">
      <c r="AI31114" s="80"/>
    </row>
    <row r="31115">
      <c r="AI31115" s="80"/>
    </row>
    <row r="31116">
      <c r="AI31116" s="80"/>
    </row>
    <row r="31117">
      <c r="AI31117" s="80"/>
    </row>
    <row r="31118">
      <c r="AI31118" s="80"/>
    </row>
    <row r="31119">
      <c r="AI31119" s="80"/>
    </row>
    <row r="31120">
      <c r="AI31120" s="80"/>
    </row>
    <row r="31121">
      <c r="AI31121" s="80"/>
    </row>
    <row r="31122">
      <c r="AI31122" s="80"/>
    </row>
    <row r="31123">
      <c r="AI31123" s="80"/>
    </row>
    <row r="31124">
      <c r="AI31124" s="80"/>
    </row>
    <row r="31125">
      <c r="AI31125" s="80"/>
    </row>
    <row r="31126">
      <c r="AI31126" s="80"/>
    </row>
    <row r="31127">
      <c r="AI31127" s="80"/>
    </row>
    <row r="31128">
      <c r="AI31128" s="80"/>
    </row>
    <row r="31129">
      <c r="AI31129" s="80"/>
    </row>
    <row r="31130">
      <c r="AI31130" s="80"/>
    </row>
    <row r="31131">
      <c r="AI31131" s="80"/>
    </row>
    <row r="31132">
      <c r="AI31132" s="80"/>
    </row>
    <row r="31133">
      <c r="AI31133" s="80"/>
    </row>
    <row r="31134">
      <c r="AI31134" s="80"/>
    </row>
    <row r="31135">
      <c r="AI31135" s="80"/>
    </row>
    <row r="31136">
      <c r="AI31136" s="80"/>
    </row>
    <row r="31137">
      <c r="AI31137" s="80"/>
    </row>
    <row r="31138">
      <c r="AI31138" s="80"/>
    </row>
    <row r="31139">
      <c r="AI31139" s="80"/>
    </row>
    <row r="31140">
      <c r="AI31140" s="80"/>
    </row>
    <row r="31141">
      <c r="AI31141" s="80"/>
    </row>
    <row r="31142">
      <c r="AI31142" s="80"/>
    </row>
    <row r="31143">
      <c r="AI31143" s="80"/>
    </row>
    <row r="31144">
      <c r="AI31144" s="80"/>
    </row>
    <row r="31145">
      <c r="AI31145" s="80"/>
    </row>
    <row r="31146">
      <c r="AI31146" s="80"/>
    </row>
    <row r="31147">
      <c r="AI31147" s="80"/>
    </row>
    <row r="31148">
      <c r="AI31148" s="80"/>
    </row>
    <row r="31149">
      <c r="AI31149" s="80"/>
    </row>
    <row r="31150">
      <c r="AI31150" s="80"/>
    </row>
    <row r="31151">
      <c r="AI31151" s="80"/>
    </row>
    <row r="31152">
      <c r="AI31152" s="80"/>
    </row>
    <row r="31153">
      <c r="AI31153" s="80"/>
    </row>
    <row r="31154">
      <c r="AI31154" s="80"/>
    </row>
    <row r="31155">
      <c r="AI31155" s="80"/>
    </row>
    <row r="31156">
      <c r="AI31156" s="80"/>
    </row>
    <row r="31157">
      <c r="AI31157" s="80"/>
    </row>
    <row r="31158">
      <c r="AI31158" s="80"/>
    </row>
    <row r="31159">
      <c r="AI31159" s="80"/>
    </row>
    <row r="31160">
      <c r="AI31160" s="80"/>
    </row>
    <row r="31161">
      <c r="AI31161" s="80"/>
    </row>
    <row r="31162">
      <c r="AI31162" s="80"/>
    </row>
    <row r="31163">
      <c r="AI31163" s="80"/>
    </row>
    <row r="31164">
      <c r="AI31164" s="80"/>
    </row>
    <row r="31165">
      <c r="AI31165" s="80"/>
    </row>
    <row r="31166">
      <c r="AI31166" s="80"/>
    </row>
    <row r="31167">
      <c r="AI31167" s="80"/>
    </row>
    <row r="31168">
      <c r="AI31168" s="80"/>
    </row>
    <row r="31169">
      <c r="AI31169" s="80"/>
    </row>
    <row r="31170">
      <c r="AI31170" s="80"/>
    </row>
    <row r="31171">
      <c r="AI31171" s="80"/>
    </row>
    <row r="31172">
      <c r="AI31172" s="80"/>
    </row>
    <row r="31173">
      <c r="AI31173" s="80"/>
    </row>
    <row r="31174">
      <c r="AI31174" s="80"/>
    </row>
    <row r="31175">
      <c r="AI31175" s="80"/>
    </row>
    <row r="31176">
      <c r="AI31176" s="80"/>
    </row>
    <row r="31177">
      <c r="AI31177" s="80"/>
    </row>
    <row r="31178">
      <c r="AI31178" s="80"/>
    </row>
    <row r="31179">
      <c r="AI31179" s="80"/>
    </row>
    <row r="31180">
      <c r="AI31180" s="80"/>
    </row>
    <row r="31181">
      <c r="AI31181" s="80"/>
    </row>
    <row r="31182">
      <c r="AI31182" s="80"/>
    </row>
    <row r="31183">
      <c r="AI31183" s="80"/>
    </row>
    <row r="31184">
      <c r="AI31184" s="80"/>
    </row>
    <row r="31185">
      <c r="AI31185" s="80"/>
    </row>
    <row r="31186">
      <c r="AI31186" s="80"/>
    </row>
    <row r="31187">
      <c r="AI31187" s="80"/>
    </row>
    <row r="31188">
      <c r="AI31188" s="80"/>
    </row>
    <row r="31189">
      <c r="AI31189" s="80"/>
    </row>
    <row r="31190">
      <c r="AI31190" s="80"/>
    </row>
    <row r="31191">
      <c r="AI31191" s="80"/>
    </row>
    <row r="31192">
      <c r="AI31192" s="80"/>
    </row>
    <row r="31193">
      <c r="AI31193" s="80"/>
    </row>
    <row r="31194">
      <c r="AI31194" s="80"/>
    </row>
    <row r="31195">
      <c r="AI31195" s="80"/>
    </row>
    <row r="31196">
      <c r="AI31196" s="80"/>
    </row>
    <row r="31197">
      <c r="AI31197" s="80"/>
    </row>
    <row r="31198">
      <c r="AI31198" s="80"/>
    </row>
    <row r="31199">
      <c r="AI31199" s="80"/>
    </row>
    <row r="31200">
      <c r="AI31200" s="80"/>
    </row>
    <row r="31201">
      <c r="AI31201" s="80"/>
    </row>
    <row r="31202">
      <c r="AI31202" s="80"/>
    </row>
    <row r="31203">
      <c r="AI31203" s="80"/>
    </row>
    <row r="31204">
      <c r="AI31204" s="80"/>
    </row>
    <row r="31205">
      <c r="AI31205" s="80"/>
    </row>
    <row r="31206">
      <c r="AI31206" s="80"/>
    </row>
    <row r="31207">
      <c r="AI31207" s="80"/>
    </row>
    <row r="31208">
      <c r="AI31208" s="80"/>
    </row>
    <row r="31209">
      <c r="AI31209" s="80"/>
    </row>
    <row r="31210">
      <c r="AI31210" s="80"/>
    </row>
    <row r="31211">
      <c r="AI31211" s="80"/>
    </row>
    <row r="31212">
      <c r="AI31212" s="80"/>
    </row>
    <row r="31213">
      <c r="AI31213" s="80"/>
    </row>
    <row r="31214">
      <c r="AI31214" s="80"/>
    </row>
    <row r="31215">
      <c r="AI31215" s="80"/>
    </row>
    <row r="31216">
      <c r="AI31216" s="80"/>
    </row>
    <row r="31217">
      <c r="AI31217" s="80"/>
    </row>
    <row r="31218">
      <c r="AI31218" s="80"/>
    </row>
    <row r="31219">
      <c r="AI31219" s="80"/>
    </row>
    <row r="31220">
      <c r="AI31220" s="80"/>
    </row>
    <row r="31221">
      <c r="AI31221" s="80"/>
    </row>
    <row r="31222">
      <c r="AI31222" s="80"/>
    </row>
    <row r="31223">
      <c r="AI31223" s="80"/>
    </row>
    <row r="31224">
      <c r="AI31224" s="80"/>
    </row>
    <row r="31225">
      <c r="AI31225" s="80"/>
    </row>
    <row r="31226">
      <c r="AI31226" s="80"/>
    </row>
    <row r="31227">
      <c r="AI31227" s="80"/>
    </row>
    <row r="31228">
      <c r="AI31228" s="80"/>
    </row>
    <row r="31229">
      <c r="AI31229" s="80"/>
    </row>
    <row r="31230">
      <c r="AI31230" s="80"/>
    </row>
    <row r="31231">
      <c r="AI31231" s="80"/>
    </row>
    <row r="31232">
      <c r="AI31232" s="80"/>
    </row>
    <row r="31233">
      <c r="AI31233" s="80"/>
    </row>
    <row r="31234">
      <c r="AI31234" s="80"/>
    </row>
    <row r="31235">
      <c r="AI31235" s="80"/>
    </row>
    <row r="31236">
      <c r="AI31236" s="80"/>
    </row>
    <row r="31237">
      <c r="AI31237" s="80"/>
    </row>
    <row r="31238">
      <c r="AI31238" s="80"/>
    </row>
    <row r="31239">
      <c r="AI31239" s="80"/>
    </row>
    <row r="31240">
      <c r="AI31240" s="80"/>
    </row>
    <row r="31241">
      <c r="AI31241" s="80"/>
    </row>
    <row r="31242">
      <c r="AI31242" s="80"/>
    </row>
    <row r="31243">
      <c r="AI31243" s="80"/>
    </row>
    <row r="31244">
      <c r="AI31244" s="80"/>
    </row>
    <row r="31245">
      <c r="AI31245" s="80"/>
    </row>
    <row r="31246">
      <c r="AI31246" s="80"/>
    </row>
    <row r="31247">
      <c r="AI31247" s="80"/>
    </row>
    <row r="31248">
      <c r="AI31248" s="80"/>
    </row>
    <row r="31249">
      <c r="AI31249" s="80"/>
    </row>
    <row r="31250">
      <c r="AI31250" s="80"/>
    </row>
    <row r="31251">
      <c r="AI31251" s="80"/>
    </row>
    <row r="31252">
      <c r="AI31252" s="80"/>
    </row>
    <row r="31253">
      <c r="AI31253" s="80"/>
    </row>
    <row r="31254">
      <c r="AI31254" s="80"/>
    </row>
    <row r="31255">
      <c r="AI31255" s="80"/>
    </row>
    <row r="31256">
      <c r="AI31256" s="80"/>
    </row>
    <row r="31257">
      <c r="AI31257" s="80"/>
    </row>
    <row r="31258">
      <c r="AI31258" s="80"/>
    </row>
    <row r="31259">
      <c r="AI31259" s="80"/>
    </row>
    <row r="31260">
      <c r="AI31260" s="80"/>
    </row>
    <row r="31261">
      <c r="AI31261" s="80"/>
    </row>
    <row r="31262">
      <c r="AI31262" s="80"/>
    </row>
    <row r="31263">
      <c r="AI31263" s="80"/>
    </row>
    <row r="31264">
      <c r="AI31264" s="80"/>
    </row>
    <row r="31265">
      <c r="AI31265" s="80"/>
    </row>
    <row r="31266">
      <c r="AI31266" s="80"/>
    </row>
    <row r="31267">
      <c r="AI31267" s="80"/>
    </row>
    <row r="31268">
      <c r="AI31268" s="80"/>
    </row>
    <row r="31269">
      <c r="AI31269" s="80"/>
    </row>
    <row r="31270">
      <c r="AI31270" s="80"/>
    </row>
    <row r="31271">
      <c r="AI31271" s="80"/>
    </row>
    <row r="31272">
      <c r="AI31272" s="80"/>
    </row>
    <row r="31273">
      <c r="AI31273" s="80"/>
    </row>
    <row r="31274">
      <c r="AI31274" s="80"/>
    </row>
    <row r="31275">
      <c r="AI31275" s="80"/>
    </row>
    <row r="31276">
      <c r="AI31276" s="80"/>
    </row>
    <row r="31277">
      <c r="AI31277" s="80"/>
    </row>
    <row r="31278">
      <c r="AI31278" s="80"/>
    </row>
    <row r="31279">
      <c r="AI31279" s="80"/>
    </row>
    <row r="31280">
      <c r="AI31280" s="80"/>
    </row>
    <row r="31281">
      <c r="AI31281" s="80"/>
    </row>
    <row r="31282">
      <c r="AI31282" s="80"/>
    </row>
    <row r="31283">
      <c r="AI31283" s="80"/>
    </row>
    <row r="31284">
      <c r="AI31284" s="80"/>
    </row>
    <row r="31285">
      <c r="AI31285" s="80"/>
    </row>
    <row r="31286">
      <c r="AI31286" s="80"/>
    </row>
    <row r="31287">
      <c r="AI31287" s="80"/>
    </row>
    <row r="31288">
      <c r="AI31288" s="80"/>
    </row>
    <row r="31289">
      <c r="AI31289" s="80"/>
    </row>
    <row r="31290">
      <c r="AI31290" s="80"/>
    </row>
    <row r="31291">
      <c r="AI31291" s="80"/>
    </row>
    <row r="31292">
      <c r="AI31292" s="80"/>
    </row>
    <row r="31293">
      <c r="AI31293" s="80"/>
    </row>
    <row r="31294">
      <c r="AI31294" s="80"/>
    </row>
    <row r="31295">
      <c r="AI31295" s="80"/>
    </row>
    <row r="31296">
      <c r="AI31296" s="80"/>
    </row>
    <row r="31297">
      <c r="AI31297" s="80"/>
    </row>
    <row r="31298">
      <c r="AI31298" s="80"/>
    </row>
    <row r="31299">
      <c r="AI31299" s="80"/>
    </row>
    <row r="31300">
      <c r="AI31300" s="80"/>
    </row>
    <row r="31301">
      <c r="AI31301" s="80"/>
    </row>
    <row r="31302">
      <c r="AI31302" s="80"/>
    </row>
    <row r="31303">
      <c r="AI31303" s="80"/>
    </row>
    <row r="31304">
      <c r="AI31304" s="80"/>
    </row>
    <row r="31305">
      <c r="AI31305" s="80"/>
    </row>
    <row r="31306">
      <c r="AI31306" s="80"/>
    </row>
    <row r="31307">
      <c r="AI31307" s="80"/>
    </row>
    <row r="31308">
      <c r="AI31308" s="80"/>
    </row>
    <row r="31309">
      <c r="AI31309" s="80"/>
    </row>
    <row r="31310">
      <c r="AI31310" s="80"/>
    </row>
    <row r="31311">
      <c r="AI31311" s="80"/>
    </row>
    <row r="31312">
      <c r="AI31312" s="80"/>
    </row>
    <row r="31313">
      <c r="AI31313" s="80"/>
    </row>
    <row r="31314">
      <c r="AI31314" s="80"/>
    </row>
    <row r="31315">
      <c r="AI31315" s="80"/>
    </row>
    <row r="31316">
      <c r="AI31316" s="80"/>
    </row>
    <row r="31317">
      <c r="AI31317" s="80"/>
    </row>
    <row r="31318">
      <c r="AI31318" s="80"/>
    </row>
    <row r="31319">
      <c r="AI31319" s="80"/>
    </row>
    <row r="31320">
      <c r="AI31320" s="80"/>
    </row>
    <row r="31321">
      <c r="AI31321" s="80"/>
    </row>
    <row r="31322">
      <c r="AI31322" s="80"/>
    </row>
    <row r="31323">
      <c r="AI31323" s="80"/>
    </row>
    <row r="31324">
      <c r="AI31324" s="80"/>
    </row>
    <row r="31325">
      <c r="AI31325" s="80"/>
    </row>
    <row r="31326">
      <c r="AI31326" s="80"/>
    </row>
    <row r="31327">
      <c r="AI31327" s="80"/>
    </row>
    <row r="31328">
      <c r="AI31328" s="80"/>
    </row>
    <row r="31329">
      <c r="AI31329" s="80"/>
    </row>
    <row r="31330">
      <c r="AI31330" s="80"/>
    </row>
    <row r="31331">
      <c r="AI31331" s="80"/>
    </row>
    <row r="31332">
      <c r="AI31332" s="80"/>
    </row>
    <row r="31333">
      <c r="AI31333" s="80"/>
    </row>
    <row r="31334">
      <c r="AI31334" s="80"/>
    </row>
    <row r="31335">
      <c r="AI31335" s="80"/>
    </row>
    <row r="31336">
      <c r="AI31336" s="80"/>
    </row>
    <row r="31337">
      <c r="AI31337" s="80"/>
    </row>
    <row r="31338">
      <c r="AI31338" s="80"/>
    </row>
    <row r="31339">
      <c r="AI31339" s="80"/>
    </row>
    <row r="31340">
      <c r="AI31340" s="80"/>
    </row>
    <row r="31341">
      <c r="AI31341" s="80"/>
    </row>
    <row r="31342">
      <c r="AI31342" s="80"/>
    </row>
    <row r="31343">
      <c r="AI31343" s="80"/>
    </row>
    <row r="31344">
      <c r="AI31344" s="80"/>
    </row>
    <row r="31345">
      <c r="AI31345" s="80"/>
    </row>
    <row r="31346">
      <c r="AI31346" s="80"/>
    </row>
    <row r="31347">
      <c r="AI31347" s="80"/>
    </row>
    <row r="31348">
      <c r="AI31348" s="80"/>
    </row>
    <row r="31349">
      <c r="AI31349" s="80"/>
    </row>
    <row r="31350">
      <c r="AI31350" s="80"/>
    </row>
    <row r="31351">
      <c r="AI31351" s="80"/>
    </row>
    <row r="31352">
      <c r="AI31352" s="80"/>
    </row>
    <row r="31353">
      <c r="AI31353" s="80"/>
    </row>
    <row r="31354">
      <c r="AI31354" s="80"/>
    </row>
    <row r="31355">
      <c r="AI31355" s="80"/>
    </row>
    <row r="31356">
      <c r="AI31356" s="80"/>
    </row>
    <row r="31357">
      <c r="AI31357" s="80"/>
    </row>
    <row r="31358">
      <c r="AI31358" s="80"/>
    </row>
    <row r="31359">
      <c r="AI31359" s="80"/>
    </row>
    <row r="31360">
      <c r="AI31360" s="80"/>
    </row>
    <row r="31361">
      <c r="AI31361" s="80"/>
    </row>
    <row r="31362">
      <c r="AI31362" s="80"/>
    </row>
    <row r="31363">
      <c r="AI31363" s="80"/>
    </row>
    <row r="31364">
      <c r="AI31364" s="80"/>
    </row>
    <row r="31365">
      <c r="AI31365" s="80"/>
    </row>
    <row r="31366">
      <c r="AI31366" s="80"/>
    </row>
    <row r="31367">
      <c r="AI31367" s="80"/>
    </row>
    <row r="31368">
      <c r="AI31368" s="80"/>
    </row>
    <row r="31369">
      <c r="AI31369" s="80"/>
    </row>
    <row r="31370">
      <c r="AI31370" s="80"/>
    </row>
    <row r="31371">
      <c r="AI31371" s="80"/>
    </row>
    <row r="31372">
      <c r="AI31372" s="80"/>
    </row>
    <row r="31373">
      <c r="AI31373" s="80"/>
    </row>
    <row r="31374">
      <c r="AI31374" s="80"/>
    </row>
    <row r="31375">
      <c r="AI31375" s="80"/>
    </row>
    <row r="31376">
      <c r="AI31376" s="80"/>
    </row>
    <row r="31377">
      <c r="AI31377" s="80"/>
    </row>
    <row r="31378">
      <c r="AI31378" s="80"/>
    </row>
    <row r="31379">
      <c r="AI31379" s="80"/>
    </row>
    <row r="31380">
      <c r="AI31380" s="80"/>
    </row>
    <row r="31381">
      <c r="AI31381" s="80"/>
    </row>
    <row r="31382">
      <c r="AI31382" s="80"/>
    </row>
    <row r="31383">
      <c r="AI31383" s="80"/>
    </row>
    <row r="31384">
      <c r="AI31384" s="80"/>
    </row>
    <row r="31385">
      <c r="AI31385" s="80"/>
    </row>
    <row r="31386">
      <c r="AI31386" s="80"/>
    </row>
    <row r="31387">
      <c r="AI31387" s="80"/>
    </row>
    <row r="31388">
      <c r="AI31388" s="80"/>
    </row>
    <row r="31389">
      <c r="AI31389" s="80"/>
    </row>
    <row r="31390">
      <c r="AI31390" s="80"/>
    </row>
    <row r="31391">
      <c r="AI31391" s="80"/>
    </row>
    <row r="31392">
      <c r="AI31392" s="80"/>
    </row>
    <row r="31393">
      <c r="AI31393" s="80"/>
    </row>
    <row r="31394">
      <c r="AI31394" s="80"/>
    </row>
    <row r="31395">
      <c r="AI31395" s="80"/>
    </row>
    <row r="31396">
      <c r="AI31396" s="80"/>
    </row>
    <row r="31397">
      <c r="AI31397" s="80"/>
    </row>
    <row r="31398">
      <c r="AI31398" s="80"/>
    </row>
    <row r="31399">
      <c r="AI31399" s="80"/>
    </row>
    <row r="31400">
      <c r="AI31400" s="80"/>
    </row>
    <row r="31401">
      <c r="AI31401" s="80"/>
    </row>
    <row r="31402">
      <c r="AI31402" s="80"/>
    </row>
    <row r="31403">
      <c r="AI31403" s="80"/>
    </row>
    <row r="31404">
      <c r="AI31404" s="80"/>
    </row>
    <row r="31405">
      <c r="AI31405" s="80"/>
    </row>
    <row r="31406">
      <c r="AI31406" s="80"/>
    </row>
    <row r="31407">
      <c r="AI31407" s="80"/>
    </row>
    <row r="31408">
      <c r="AI31408" s="80"/>
    </row>
    <row r="31409">
      <c r="AI31409" s="80"/>
    </row>
    <row r="31410">
      <c r="AI31410" s="80"/>
    </row>
    <row r="31411">
      <c r="AI31411" s="80"/>
    </row>
    <row r="31412">
      <c r="AI31412" s="80"/>
    </row>
    <row r="31413">
      <c r="AI31413" s="80"/>
    </row>
    <row r="31414">
      <c r="AI31414" s="80"/>
    </row>
    <row r="31415">
      <c r="AI31415" s="80"/>
    </row>
    <row r="31416">
      <c r="AI31416" s="80"/>
    </row>
    <row r="31417">
      <c r="AI31417" s="80"/>
    </row>
    <row r="31418">
      <c r="AI31418" s="80"/>
    </row>
    <row r="31419">
      <c r="AI31419" s="80"/>
    </row>
    <row r="31420">
      <c r="AI31420" s="80"/>
    </row>
    <row r="31421">
      <c r="AI31421" s="80"/>
    </row>
    <row r="31422">
      <c r="AI31422" s="80"/>
    </row>
    <row r="31423">
      <c r="AI31423" s="80"/>
    </row>
    <row r="31424">
      <c r="AI31424" s="80"/>
    </row>
    <row r="31425">
      <c r="AI31425" s="80"/>
    </row>
    <row r="31426">
      <c r="AI31426" s="80"/>
    </row>
    <row r="31427">
      <c r="AI31427" s="80"/>
    </row>
    <row r="31428">
      <c r="AI31428" s="80"/>
    </row>
    <row r="31429">
      <c r="AI31429" s="80"/>
    </row>
    <row r="31430">
      <c r="AI31430" s="80"/>
    </row>
    <row r="31431">
      <c r="AI31431" s="80"/>
    </row>
    <row r="31432">
      <c r="AI31432" s="80"/>
    </row>
    <row r="31433">
      <c r="AI31433" s="80"/>
    </row>
    <row r="31434">
      <c r="AI31434" s="80"/>
    </row>
    <row r="31435">
      <c r="AI31435" s="80"/>
    </row>
    <row r="31436">
      <c r="AI31436" s="80"/>
    </row>
    <row r="31437">
      <c r="AI31437" s="80"/>
    </row>
    <row r="31438">
      <c r="AI31438" s="80"/>
    </row>
    <row r="31439">
      <c r="AI31439" s="80"/>
    </row>
    <row r="31440">
      <c r="AI31440" s="80"/>
    </row>
    <row r="31441">
      <c r="AI31441" s="80"/>
    </row>
    <row r="31442">
      <c r="AI31442" s="80"/>
    </row>
    <row r="31443">
      <c r="AI31443" s="80"/>
    </row>
    <row r="31444">
      <c r="AI31444" s="80"/>
    </row>
    <row r="31445">
      <c r="AI31445" s="80"/>
    </row>
    <row r="31446">
      <c r="AI31446" s="80"/>
    </row>
    <row r="31447">
      <c r="AI31447" s="80"/>
    </row>
    <row r="31448">
      <c r="AI31448" s="80"/>
    </row>
    <row r="31449">
      <c r="AI31449" s="80"/>
    </row>
    <row r="31450">
      <c r="AI31450" s="80"/>
    </row>
    <row r="31451">
      <c r="AI31451" s="80"/>
    </row>
    <row r="31452">
      <c r="AI31452" s="80"/>
    </row>
    <row r="31453">
      <c r="AI31453" s="80"/>
    </row>
    <row r="31454">
      <c r="AI31454" s="80"/>
    </row>
    <row r="31455">
      <c r="AI31455" s="80"/>
    </row>
    <row r="31456">
      <c r="AI31456" s="80"/>
    </row>
    <row r="31457">
      <c r="AI31457" s="80"/>
    </row>
    <row r="31458">
      <c r="AI31458" s="80"/>
    </row>
    <row r="31459">
      <c r="AI31459" s="80"/>
    </row>
    <row r="31460">
      <c r="AI31460" s="80"/>
    </row>
    <row r="31461">
      <c r="AI31461" s="80"/>
    </row>
    <row r="31462">
      <c r="AI31462" s="80"/>
    </row>
    <row r="31463">
      <c r="AI31463" s="80"/>
    </row>
    <row r="31464">
      <c r="AI31464" s="80"/>
    </row>
    <row r="31465">
      <c r="AI31465" s="80"/>
    </row>
    <row r="31466">
      <c r="AI31466" s="80"/>
    </row>
    <row r="31467">
      <c r="AI31467" s="80"/>
    </row>
    <row r="31468">
      <c r="AI31468" s="80"/>
    </row>
    <row r="31469">
      <c r="AI31469" s="80"/>
    </row>
    <row r="31470">
      <c r="AI31470" s="80"/>
    </row>
    <row r="31471">
      <c r="AI31471" s="80"/>
    </row>
    <row r="31472">
      <c r="AI31472" s="80"/>
    </row>
    <row r="31473">
      <c r="AI31473" s="80"/>
    </row>
    <row r="31474">
      <c r="AI31474" s="80"/>
    </row>
    <row r="31475">
      <c r="AI31475" s="80"/>
    </row>
    <row r="31476">
      <c r="AI31476" s="80"/>
    </row>
    <row r="31477">
      <c r="AI31477" s="80"/>
    </row>
    <row r="31478">
      <c r="AI31478" s="80"/>
    </row>
    <row r="31479">
      <c r="AI31479" s="80"/>
    </row>
    <row r="31480">
      <c r="AI31480" s="80"/>
    </row>
    <row r="31481">
      <c r="AI31481" s="80"/>
    </row>
    <row r="31482">
      <c r="AI31482" s="80"/>
    </row>
    <row r="31483">
      <c r="AI31483" s="80"/>
    </row>
    <row r="31484">
      <c r="AI31484" s="80"/>
    </row>
    <row r="31485">
      <c r="AI31485" s="80"/>
    </row>
    <row r="31486">
      <c r="AI31486" s="80"/>
    </row>
    <row r="31487">
      <c r="AI31487" s="80"/>
    </row>
    <row r="31488">
      <c r="AI31488" s="80"/>
    </row>
    <row r="31489">
      <c r="AI31489" s="80"/>
    </row>
    <row r="31490">
      <c r="AI31490" s="80"/>
    </row>
    <row r="31491">
      <c r="AI31491" s="80"/>
    </row>
    <row r="31492">
      <c r="AI31492" s="80"/>
    </row>
    <row r="31493">
      <c r="AI31493" s="80"/>
    </row>
    <row r="31494">
      <c r="AI31494" s="80"/>
    </row>
    <row r="31495">
      <c r="AI31495" s="80"/>
    </row>
    <row r="31496">
      <c r="AI31496" s="80"/>
    </row>
    <row r="31497">
      <c r="AI31497" s="80"/>
    </row>
    <row r="31498">
      <c r="AI31498" s="80"/>
    </row>
    <row r="31499">
      <c r="AI31499" s="80"/>
    </row>
    <row r="31500">
      <c r="AI31500" s="80"/>
    </row>
    <row r="31501">
      <c r="AI31501" s="80"/>
    </row>
    <row r="31502">
      <c r="AI31502" s="80"/>
    </row>
    <row r="31503">
      <c r="AI31503" s="80"/>
    </row>
    <row r="31504">
      <c r="AI31504" s="80"/>
    </row>
    <row r="31505">
      <c r="AI31505" s="80"/>
    </row>
    <row r="31506">
      <c r="AI31506" s="80"/>
    </row>
    <row r="31507">
      <c r="AI31507" s="80"/>
    </row>
    <row r="31508">
      <c r="AI31508" s="80"/>
    </row>
    <row r="31509">
      <c r="AI31509" s="80"/>
    </row>
    <row r="31510">
      <c r="AI31510" s="80"/>
    </row>
    <row r="31511">
      <c r="AI31511" s="80"/>
    </row>
    <row r="31512">
      <c r="AI31512" s="80"/>
    </row>
    <row r="31513">
      <c r="AI31513" s="80"/>
    </row>
    <row r="31514">
      <c r="AI31514" s="80"/>
    </row>
    <row r="31515">
      <c r="AI31515" s="80"/>
    </row>
    <row r="31516">
      <c r="AI31516" s="80"/>
    </row>
    <row r="31517">
      <c r="AI31517" s="80"/>
    </row>
    <row r="31518">
      <c r="AI31518" s="80"/>
    </row>
    <row r="31519">
      <c r="AI31519" s="80"/>
    </row>
    <row r="31520">
      <c r="AI31520" s="80"/>
    </row>
    <row r="31521">
      <c r="AI31521" s="80"/>
    </row>
    <row r="31522">
      <c r="AI31522" s="80"/>
    </row>
    <row r="31523">
      <c r="AI31523" s="80"/>
    </row>
    <row r="31524">
      <c r="AI31524" s="80"/>
    </row>
    <row r="31525">
      <c r="AI31525" s="80"/>
    </row>
    <row r="31526">
      <c r="AI31526" s="80"/>
    </row>
    <row r="31527">
      <c r="AI31527" s="80"/>
    </row>
    <row r="31528">
      <c r="AI31528" s="80"/>
    </row>
    <row r="31529">
      <c r="AI31529" s="80"/>
    </row>
    <row r="31530">
      <c r="AI31530" s="80"/>
    </row>
    <row r="31531">
      <c r="AI31531" s="80"/>
    </row>
    <row r="31532">
      <c r="AI31532" s="80"/>
    </row>
    <row r="31533">
      <c r="AI31533" s="80"/>
    </row>
    <row r="31534">
      <c r="AI31534" s="80"/>
    </row>
    <row r="31535">
      <c r="AI31535" s="80"/>
    </row>
    <row r="31536">
      <c r="AI31536" s="80"/>
    </row>
    <row r="31537">
      <c r="AI31537" s="80"/>
    </row>
    <row r="31538">
      <c r="AI31538" s="80"/>
    </row>
    <row r="31539">
      <c r="AI31539" s="80"/>
    </row>
    <row r="31540">
      <c r="AI31540" s="80"/>
    </row>
    <row r="31541">
      <c r="AI31541" s="80"/>
    </row>
    <row r="31542">
      <c r="AI31542" s="80"/>
    </row>
    <row r="31543">
      <c r="AI31543" s="80"/>
    </row>
    <row r="31544">
      <c r="AI31544" s="80"/>
    </row>
    <row r="31545">
      <c r="AI31545" s="80"/>
    </row>
    <row r="31546">
      <c r="AI31546" s="80"/>
    </row>
    <row r="31547">
      <c r="AI31547" s="80"/>
    </row>
    <row r="31548">
      <c r="AI31548" s="80"/>
    </row>
    <row r="31549">
      <c r="AI31549" s="80"/>
    </row>
    <row r="31550">
      <c r="AI31550" s="80"/>
    </row>
    <row r="31551">
      <c r="AI31551" s="80"/>
    </row>
    <row r="31552">
      <c r="AI31552" s="80"/>
    </row>
    <row r="31553">
      <c r="AI31553" s="80"/>
    </row>
    <row r="31554">
      <c r="AI31554" s="80"/>
    </row>
    <row r="31555">
      <c r="AI31555" s="80"/>
    </row>
    <row r="31556">
      <c r="AI31556" s="80"/>
    </row>
    <row r="31557">
      <c r="AI31557" s="80"/>
    </row>
    <row r="31558">
      <c r="AI31558" s="80"/>
    </row>
    <row r="31559">
      <c r="AI31559" s="80"/>
    </row>
    <row r="31560">
      <c r="AI31560" s="80"/>
    </row>
    <row r="31561">
      <c r="AI31561" s="80"/>
    </row>
    <row r="31562">
      <c r="AI31562" s="80"/>
    </row>
    <row r="31563">
      <c r="AI31563" s="80"/>
    </row>
    <row r="31564">
      <c r="AI31564" s="80"/>
    </row>
    <row r="31565">
      <c r="AI31565" s="80"/>
    </row>
    <row r="31566">
      <c r="AI31566" s="80"/>
    </row>
    <row r="31567">
      <c r="AI31567" s="80"/>
    </row>
    <row r="31568">
      <c r="AI31568" s="80"/>
    </row>
    <row r="31569">
      <c r="AI31569" s="80"/>
    </row>
    <row r="31570">
      <c r="AI31570" s="80"/>
    </row>
    <row r="31571">
      <c r="AI31571" s="80"/>
    </row>
    <row r="31572">
      <c r="AI31572" s="80"/>
    </row>
    <row r="31573">
      <c r="AI31573" s="80"/>
    </row>
    <row r="31574">
      <c r="AI31574" s="80"/>
    </row>
    <row r="31575">
      <c r="AI31575" s="80"/>
    </row>
    <row r="31576">
      <c r="AI31576" s="80"/>
    </row>
    <row r="31577">
      <c r="AI31577" s="80"/>
    </row>
    <row r="31578">
      <c r="AI31578" s="80"/>
    </row>
    <row r="31579">
      <c r="AI31579" s="80"/>
    </row>
    <row r="31580">
      <c r="AI31580" s="80"/>
    </row>
    <row r="31581">
      <c r="AI31581" s="80"/>
    </row>
    <row r="31582">
      <c r="AI31582" s="80"/>
    </row>
    <row r="31583">
      <c r="AI31583" s="80"/>
    </row>
    <row r="31584">
      <c r="AI31584" s="80"/>
    </row>
    <row r="31585">
      <c r="AI31585" s="80"/>
    </row>
    <row r="31586">
      <c r="AI31586" s="80"/>
    </row>
    <row r="31587">
      <c r="AI31587" s="80"/>
    </row>
    <row r="31588">
      <c r="AI31588" s="80"/>
    </row>
    <row r="31589">
      <c r="AI31589" s="80"/>
    </row>
    <row r="31590">
      <c r="AI31590" s="80"/>
    </row>
    <row r="31591">
      <c r="AI31591" s="80"/>
    </row>
    <row r="31592">
      <c r="AI31592" s="80"/>
    </row>
    <row r="31593">
      <c r="AI31593" s="80"/>
    </row>
    <row r="31594">
      <c r="AI31594" s="80"/>
    </row>
    <row r="31595">
      <c r="AI31595" s="80"/>
    </row>
    <row r="31596">
      <c r="AI31596" s="80"/>
    </row>
    <row r="31597">
      <c r="AI31597" s="80"/>
    </row>
    <row r="31598">
      <c r="AI31598" s="80"/>
    </row>
    <row r="31599">
      <c r="AI31599" s="80"/>
    </row>
    <row r="31600">
      <c r="AI31600" s="80"/>
    </row>
    <row r="31601">
      <c r="AI31601" s="80"/>
    </row>
    <row r="31602">
      <c r="AI31602" s="80"/>
    </row>
    <row r="31603">
      <c r="AI31603" s="80"/>
    </row>
    <row r="31604">
      <c r="AI31604" s="80"/>
    </row>
    <row r="31605">
      <c r="AI31605" s="80"/>
    </row>
    <row r="31606">
      <c r="AI31606" s="80"/>
    </row>
    <row r="31607">
      <c r="AI31607" s="80"/>
    </row>
    <row r="31608">
      <c r="AI31608" s="80"/>
    </row>
    <row r="31609">
      <c r="AI31609" s="80"/>
    </row>
    <row r="31610">
      <c r="AI31610" s="80"/>
    </row>
    <row r="31611">
      <c r="AI31611" s="80"/>
    </row>
    <row r="31612">
      <c r="AI31612" s="80"/>
    </row>
    <row r="31613">
      <c r="AI31613" s="80"/>
    </row>
    <row r="31614">
      <c r="AI31614" s="80"/>
    </row>
    <row r="31615">
      <c r="AI31615" s="80"/>
    </row>
    <row r="31616">
      <c r="AI31616" s="80"/>
    </row>
    <row r="31617">
      <c r="AI31617" s="80"/>
    </row>
    <row r="31618">
      <c r="AI31618" s="80"/>
    </row>
    <row r="31619">
      <c r="AI31619" s="80"/>
    </row>
    <row r="31620">
      <c r="AI31620" s="80"/>
    </row>
    <row r="31621">
      <c r="AI31621" s="80"/>
    </row>
    <row r="31622">
      <c r="AI31622" s="80"/>
    </row>
    <row r="31623">
      <c r="AI31623" s="80"/>
    </row>
    <row r="31624">
      <c r="AI31624" s="80"/>
    </row>
    <row r="31625">
      <c r="AI31625" s="80"/>
    </row>
    <row r="31626">
      <c r="AI31626" s="80"/>
    </row>
    <row r="31627">
      <c r="AI31627" s="80"/>
    </row>
    <row r="31628">
      <c r="AI31628" s="80"/>
    </row>
    <row r="31629">
      <c r="AI31629" s="80"/>
    </row>
    <row r="31630">
      <c r="AI31630" s="80"/>
    </row>
    <row r="31631">
      <c r="AI31631" s="80"/>
    </row>
    <row r="31632">
      <c r="AI31632" s="80"/>
    </row>
    <row r="31633">
      <c r="AI31633" s="80"/>
    </row>
    <row r="31634">
      <c r="AI31634" s="80"/>
    </row>
    <row r="31635">
      <c r="AI31635" s="80"/>
    </row>
    <row r="31636">
      <c r="AI31636" s="80"/>
    </row>
    <row r="31637">
      <c r="AI31637" s="80"/>
    </row>
    <row r="31638">
      <c r="AI31638" s="80"/>
    </row>
    <row r="31639">
      <c r="AI31639" s="80"/>
    </row>
    <row r="31640">
      <c r="AI31640" s="80"/>
    </row>
    <row r="31641">
      <c r="AI31641" s="80"/>
    </row>
    <row r="31642">
      <c r="AI31642" s="80"/>
    </row>
    <row r="31643">
      <c r="AI31643" s="80"/>
    </row>
    <row r="31644">
      <c r="AI31644" s="80"/>
    </row>
    <row r="31645">
      <c r="AI31645" s="80"/>
    </row>
    <row r="31646">
      <c r="AI31646" s="80"/>
    </row>
    <row r="31647">
      <c r="AI31647" s="80"/>
    </row>
    <row r="31648">
      <c r="AI31648" s="80"/>
    </row>
    <row r="31649">
      <c r="AI31649" s="80"/>
    </row>
    <row r="31650">
      <c r="AI31650" s="80"/>
    </row>
    <row r="31651">
      <c r="AI31651" s="80"/>
    </row>
    <row r="31652">
      <c r="AI31652" s="80"/>
    </row>
    <row r="31653">
      <c r="AI31653" s="80"/>
    </row>
    <row r="31654">
      <c r="AI31654" s="80"/>
    </row>
    <row r="31655">
      <c r="AI31655" s="80"/>
    </row>
    <row r="31656">
      <c r="AI31656" s="80"/>
    </row>
    <row r="31657">
      <c r="AI31657" s="80"/>
    </row>
    <row r="31658">
      <c r="AI31658" s="80"/>
    </row>
    <row r="31659">
      <c r="AI31659" s="80"/>
    </row>
    <row r="31660">
      <c r="AI31660" s="80"/>
    </row>
    <row r="31661">
      <c r="AI31661" s="80"/>
    </row>
    <row r="31662">
      <c r="AI31662" s="80"/>
    </row>
    <row r="31663">
      <c r="AI31663" s="80"/>
    </row>
    <row r="31664">
      <c r="AI31664" s="80"/>
    </row>
    <row r="31665">
      <c r="AI31665" s="80"/>
    </row>
    <row r="31666">
      <c r="AI31666" s="80"/>
    </row>
    <row r="31667">
      <c r="AI31667" s="80"/>
    </row>
    <row r="31668">
      <c r="AI31668" s="80"/>
    </row>
    <row r="31669">
      <c r="AI31669" s="80"/>
    </row>
    <row r="31670">
      <c r="AI31670" s="80"/>
    </row>
    <row r="31671">
      <c r="AI31671" s="80"/>
    </row>
    <row r="31672">
      <c r="AI31672" s="80"/>
    </row>
    <row r="31673">
      <c r="AI31673" s="80"/>
    </row>
    <row r="31674">
      <c r="AI31674" s="80"/>
    </row>
    <row r="31675">
      <c r="AI31675" s="80"/>
    </row>
    <row r="31676">
      <c r="AI31676" s="80"/>
    </row>
    <row r="31677">
      <c r="AI31677" s="80"/>
    </row>
    <row r="31678">
      <c r="AI31678" s="80"/>
    </row>
    <row r="31679">
      <c r="AI31679" s="80"/>
    </row>
    <row r="31680">
      <c r="AI31680" s="80"/>
    </row>
    <row r="31681">
      <c r="AI31681" s="80"/>
    </row>
    <row r="31682">
      <c r="AI31682" s="80"/>
    </row>
    <row r="31683">
      <c r="AI31683" s="80"/>
    </row>
    <row r="31684">
      <c r="AI31684" s="80"/>
    </row>
    <row r="31685">
      <c r="AI31685" s="80"/>
    </row>
    <row r="31686">
      <c r="AI31686" s="80"/>
    </row>
    <row r="31687">
      <c r="AI31687" s="80"/>
    </row>
    <row r="31688">
      <c r="AI31688" s="80"/>
    </row>
    <row r="31689">
      <c r="AI31689" s="80"/>
    </row>
    <row r="31690">
      <c r="AI31690" s="80"/>
    </row>
    <row r="31691">
      <c r="AI31691" s="80"/>
    </row>
    <row r="31692">
      <c r="AI31692" s="80"/>
    </row>
    <row r="31693">
      <c r="AI31693" s="80"/>
    </row>
    <row r="31694">
      <c r="AI31694" s="80"/>
    </row>
    <row r="31695">
      <c r="AI31695" s="80"/>
    </row>
    <row r="31696">
      <c r="AI31696" s="80"/>
    </row>
    <row r="31697">
      <c r="AI31697" s="80"/>
    </row>
    <row r="31698">
      <c r="AI31698" s="80"/>
    </row>
    <row r="31699">
      <c r="AI31699" s="80"/>
    </row>
    <row r="31700">
      <c r="AI31700" s="80"/>
    </row>
    <row r="31701">
      <c r="AI31701" s="80"/>
    </row>
    <row r="31702">
      <c r="AI31702" s="80"/>
    </row>
    <row r="31703">
      <c r="AI31703" s="80"/>
    </row>
    <row r="31704">
      <c r="AI31704" s="80"/>
    </row>
    <row r="31705">
      <c r="AI31705" s="80"/>
    </row>
    <row r="31706">
      <c r="AI31706" s="80"/>
    </row>
    <row r="31707">
      <c r="AI31707" s="80"/>
    </row>
    <row r="31708">
      <c r="AI31708" s="80"/>
    </row>
    <row r="31709">
      <c r="AI31709" s="80"/>
    </row>
    <row r="31710">
      <c r="AI31710" s="80"/>
    </row>
    <row r="31711">
      <c r="AI31711" s="80"/>
    </row>
    <row r="31712">
      <c r="AI31712" s="80"/>
    </row>
    <row r="31713">
      <c r="AI31713" s="80"/>
    </row>
    <row r="31714">
      <c r="AI31714" s="80"/>
    </row>
    <row r="31715">
      <c r="AI31715" s="80"/>
    </row>
    <row r="31716">
      <c r="AI31716" s="80"/>
    </row>
    <row r="31717">
      <c r="AI31717" s="80"/>
    </row>
    <row r="31718">
      <c r="AI31718" s="80"/>
    </row>
    <row r="31719">
      <c r="AI31719" s="80"/>
    </row>
    <row r="31720">
      <c r="AI31720" s="80"/>
    </row>
    <row r="31721">
      <c r="AI31721" s="80"/>
    </row>
    <row r="31722">
      <c r="AI31722" s="80"/>
    </row>
    <row r="31723">
      <c r="AI31723" s="80"/>
    </row>
    <row r="31724">
      <c r="AI31724" s="80"/>
    </row>
    <row r="31725">
      <c r="AI31725" s="80"/>
    </row>
    <row r="31726">
      <c r="AI31726" s="80"/>
    </row>
    <row r="31727">
      <c r="AI31727" s="80"/>
    </row>
    <row r="31728">
      <c r="AI31728" s="80"/>
    </row>
    <row r="31729">
      <c r="AI31729" s="80"/>
    </row>
    <row r="31730">
      <c r="AI31730" s="80"/>
    </row>
    <row r="31731">
      <c r="AI31731" s="80"/>
    </row>
    <row r="31732">
      <c r="AI31732" s="80"/>
    </row>
    <row r="31733">
      <c r="AI31733" s="80"/>
    </row>
    <row r="31734">
      <c r="AI31734" s="80"/>
    </row>
    <row r="31735">
      <c r="AI31735" s="80"/>
    </row>
    <row r="31736">
      <c r="AI31736" s="80"/>
    </row>
    <row r="31737">
      <c r="AI31737" s="80"/>
    </row>
    <row r="31738">
      <c r="AI31738" s="80"/>
    </row>
    <row r="31739">
      <c r="AI31739" s="80"/>
    </row>
    <row r="31740">
      <c r="AI31740" s="80"/>
    </row>
    <row r="31741">
      <c r="AI31741" s="80"/>
    </row>
    <row r="31742">
      <c r="AI31742" s="80"/>
    </row>
    <row r="31743">
      <c r="AI31743" s="80"/>
    </row>
    <row r="31744">
      <c r="AI31744" s="80"/>
    </row>
    <row r="31745">
      <c r="AI31745" s="80"/>
    </row>
    <row r="31746">
      <c r="AI31746" s="80"/>
    </row>
    <row r="31747">
      <c r="AI31747" s="80"/>
    </row>
    <row r="31748">
      <c r="AI31748" s="80"/>
    </row>
    <row r="31749">
      <c r="AI31749" s="80"/>
    </row>
    <row r="31750">
      <c r="AI31750" s="80"/>
    </row>
    <row r="31751">
      <c r="AI31751" s="80"/>
    </row>
    <row r="31752">
      <c r="AI31752" s="80"/>
    </row>
    <row r="31753">
      <c r="AI31753" s="80"/>
    </row>
    <row r="31754">
      <c r="AI31754" s="80"/>
    </row>
    <row r="31755">
      <c r="AI31755" s="80"/>
    </row>
    <row r="31756">
      <c r="AI31756" s="80"/>
    </row>
    <row r="31757">
      <c r="AI31757" s="80"/>
    </row>
    <row r="31758">
      <c r="AI31758" s="80"/>
    </row>
    <row r="31759">
      <c r="AI31759" s="80"/>
    </row>
    <row r="31760">
      <c r="AI31760" s="80"/>
    </row>
    <row r="31761">
      <c r="AI31761" s="80"/>
    </row>
    <row r="31762">
      <c r="AI31762" s="80"/>
    </row>
    <row r="31763">
      <c r="AI31763" s="80"/>
    </row>
    <row r="31764">
      <c r="AI31764" s="80"/>
    </row>
    <row r="31765">
      <c r="AI31765" s="80"/>
    </row>
    <row r="31766">
      <c r="AI31766" s="80"/>
    </row>
    <row r="31767">
      <c r="AI31767" s="80"/>
    </row>
    <row r="31768">
      <c r="AI31768" s="80"/>
    </row>
    <row r="31769">
      <c r="AI31769" s="80"/>
    </row>
    <row r="31770">
      <c r="AI31770" s="80"/>
    </row>
    <row r="31771">
      <c r="AI31771" s="80"/>
    </row>
    <row r="31772">
      <c r="AI31772" s="80"/>
    </row>
    <row r="31773">
      <c r="AI31773" s="80"/>
    </row>
    <row r="31774">
      <c r="AI31774" s="80"/>
    </row>
    <row r="31775">
      <c r="AI31775" s="80"/>
    </row>
    <row r="31776">
      <c r="AI31776" s="80"/>
    </row>
    <row r="31777">
      <c r="AI31777" s="80"/>
    </row>
    <row r="31778">
      <c r="AI31778" s="80"/>
    </row>
    <row r="31779">
      <c r="AI31779" s="80"/>
    </row>
    <row r="31780">
      <c r="AI31780" s="80"/>
    </row>
    <row r="31781">
      <c r="AI31781" s="80"/>
    </row>
    <row r="31782">
      <c r="AI31782" s="80"/>
    </row>
    <row r="31783">
      <c r="AI31783" s="80"/>
    </row>
    <row r="31784">
      <c r="AI31784" s="80"/>
    </row>
    <row r="31785">
      <c r="AI31785" s="80"/>
    </row>
    <row r="31786">
      <c r="AI31786" s="80"/>
    </row>
    <row r="31787">
      <c r="AI31787" s="80"/>
    </row>
    <row r="31788">
      <c r="AI31788" s="80"/>
    </row>
    <row r="31789">
      <c r="AI31789" s="80"/>
    </row>
    <row r="31790">
      <c r="AI31790" s="80"/>
    </row>
    <row r="31791">
      <c r="AI31791" s="80"/>
    </row>
    <row r="31792">
      <c r="AI31792" s="80"/>
    </row>
    <row r="31793">
      <c r="AI31793" s="80"/>
    </row>
    <row r="31794">
      <c r="AI31794" s="80"/>
    </row>
    <row r="31795">
      <c r="AI31795" s="80"/>
    </row>
    <row r="31796">
      <c r="AI31796" s="80"/>
    </row>
    <row r="31797">
      <c r="AI31797" s="80"/>
    </row>
    <row r="31798">
      <c r="AI31798" s="80"/>
    </row>
    <row r="31799">
      <c r="AI31799" s="80"/>
    </row>
    <row r="31800">
      <c r="AI31800" s="80"/>
    </row>
    <row r="31801">
      <c r="AI31801" s="80"/>
    </row>
    <row r="31802">
      <c r="AI31802" s="80"/>
    </row>
    <row r="31803">
      <c r="AI31803" s="80"/>
    </row>
    <row r="31804">
      <c r="AI31804" s="80"/>
    </row>
    <row r="31805">
      <c r="AI31805" s="80"/>
    </row>
    <row r="31806">
      <c r="AI31806" s="80"/>
    </row>
    <row r="31807">
      <c r="AI31807" s="80"/>
    </row>
    <row r="31808">
      <c r="AI31808" s="80"/>
    </row>
    <row r="31809">
      <c r="AI31809" s="80"/>
    </row>
    <row r="31810">
      <c r="AI31810" s="80"/>
    </row>
    <row r="31811">
      <c r="AI31811" s="80"/>
    </row>
    <row r="31812">
      <c r="AI31812" s="80"/>
    </row>
    <row r="31813">
      <c r="AI31813" s="80"/>
    </row>
    <row r="31814">
      <c r="AI31814" s="80"/>
    </row>
    <row r="31815">
      <c r="AI31815" s="80"/>
    </row>
    <row r="31816">
      <c r="AI31816" s="80"/>
    </row>
    <row r="31817">
      <c r="AI31817" s="80"/>
    </row>
    <row r="31818">
      <c r="AI31818" s="80"/>
    </row>
    <row r="31819">
      <c r="AI31819" s="80"/>
    </row>
    <row r="31820">
      <c r="AI31820" s="80"/>
    </row>
    <row r="31821">
      <c r="AI31821" s="80"/>
    </row>
    <row r="31822">
      <c r="AI31822" s="80"/>
    </row>
    <row r="31823">
      <c r="AI31823" s="80"/>
    </row>
    <row r="31824">
      <c r="AI31824" s="80"/>
    </row>
    <row r="31825">
      <c r="AI31825" s="80"/>
    </row>
    <row r="31826">
      <c r="AI31826" s="80"/>
    </row>
    <row r="31827">
      <c r="AI31827" s="80"/>
    </row>
    <row r="31828">
      <c r="AI31828" s="80"/>
    </row>
    <row r="31829">
      <c r="AI31829" s="80"/>
    </row>
    <row r="31830">
      <c r="AI31830" s="80"/>
    </row>
    <row r="31831">
      <c r="AI31831" s="80"/>
    </row>
    <row r="31832">
      <c r="AI31832" s="80"/>
    </row>
    <row r="31833">
      <c r="AI31833" s="80"/>
    </row>
    <row r="31834">
      <c r="AI31834" s="80"/>
    </row>
    <row r="31835">
      <c r="AI31835" s="80"/>
    </row>
    <row r="31836">
      <c r="AI31836" s="80"/>
    </row>
    <row r="31837">
      <c r="AI31837" s="80"/>
    </row>
    <row r="31838">
      <c r="AI31838" s="80"/>
    </row>
    <row r="31839">
      <c r="AI31839" s="80"/>
    </row>
    <row r="31840">
      <c r="AI31840" s="80"/>
    </row>
    <row r="31841">
      <c r="AI31841" s="80"/>
    </row>
    <row r="31842">
      <c r="AI31842" s="80"/>
    </row>
    <row r="31843">
      <c r="AI31843" s="80"/>
    </row>
    <row r="31844">
      <c r="AI31844" s="80"/>
    </row>
    <row r="31845">
      <c r="AI31845" s="80"/>
    </row>
    <row r="31846">
      <c r="AI31846" s="80"/>
    </row>
    <row r="31847">
      <c r="AI31847" s="80"/>
    </row>
    <row r="31848">
      <c r="AI31848" s="80"/>
    </row>
    <row r="31849">
      <c r="AI31849" s="80"/>
    </row>
    <row r="31850">
      <c r="AI31850" s="80"/>
    </row>
    <row r="31851">
      <c r="AI31851" s="80"/>
    </row>
    <row r="31852">
      <c r="AI31852" s="80"/>
    </row>
    <row r="31853">
      <c r="AI31853" s="80"/>
    </row>
    <row r="31854">
      <c r="AI31854" s="80"/>
    </row>
    <row r="31855">
      <c r="AI31855" s="80"/>
    </row>
    <row r="31856">
      <c r="AI31856" s="80"/>
    </row>
    <row r="31857">
      <c r="AI31857" s="80"/>
    </row>
    <row r="31858">
      <c r="AI31858" s="80"/>
    </row>
    <row r="31859">
      <c r="AI31859" s="80"/>
    </row>
    <row r="31860">
      <c r="AI31860" s="80"/>
    </row>
    <row r="31861">
      <c r="AI31861" s="80"/>
    </row>
    <row r="31862">
      <c r="AI31862" s="80"/>
    </row>
    <row r="31863">
      <c r="AI31863" s="80"/>
    </row>
    <row r="31864">
      <c r="AI31864" s="80"/>
    </row>
    <row r="31865">
      <c r="AI31865" s="80"/>
    </row>
    <row r="31866">
      <c r="AI31866" s="80"/>
    </row>
    <row r="31867">
      <c r="AI31867" s="80"/>
    </row>
    <row r="31868">
      <c r="AI31868" s="80"/>
    </row>
    <row r="31869">
      <c r="AI31869" s="80"/>
    </row>
    <row r="31870">
      <c r="AI31870" s="80"/>
    </row>
    <row r="31871">
      <c r="AI31871" s="80"/>
    </row>
    <row r="31872">
      <c r="AI31872" s="80"/>
    </row>
    <row r="31873">
      <c r="AI31873" s="80"/>
    </row>
    <row r="31874">
      <c r="AI31874" s="80"/>
    </row>
    <row r="31875">
      <c r="AI31875" s="80"/>
    </row>
    <row r="31876">
      <c r="AI31876" s="80"/>
    </row>
    <row r="31877">
      <c r="AI31877" s="80"/>
    </row>
    <row r="31878">
      <c r="AI31878" s="80"/>
    </row>
    <row r="31879">
      <c r="AI31879" s="80"/>
    </row>
    <row r="31880">
      <c r="AI31880" s="80"/>
    </row>
    <row r="31881">
      <c r="AI31881" s="80"/>
    </row>
    <row r="31882">
      <c r="AI31882" s="80"/>
    </row>
    <row r="31883">
      <c r="AI31883" s="80"/>
    </row>
    <row r="31884">
      <c r="AI31884" s="80"/>
    </row>
    <row r="31885">
      <c r="AI31885" s="80"/>
    </row>
    <row r="31886">
      <c r="AI31886" s="80"/>
    </row>
    <row r="31887">
      <c r="AI31887" s="80"/>
    </row>
    <row r="31888">
      <c r="AI31888" s="80"/>
    </row>
    <row r="31889">
      <c r="AI31889" s="80"/>
    </row>
    <row r="31890">
      <c r="AI31890" s="80"/>
    </row>
    <row r="31891">
      <c r="AI31891" s="80"/>
    </row>
    <row r="31892">
      <c r="AI31892" s="80"/>
    </row>
    <row r="31893">
      <c r="AI31893" s="80"/>
    </row>
    <row r="31894">
      <c r="AI31894" s="80"/>
    </row>
    <row r="31895">
      <c r="AI31895" s="80"/>
    </row>
    <row r="31896">
      <c r="AI31896" s="80"/>
    </row>
    <row r="31897">
      <c r="AI31897" s="80"/>
    </row>
    <row r="31898">
      <c r="AI31898" s="80"/>
    </row>
    <row r="31899">
      <c r="AI31899" s="80"/>
    </row>
    <row r="31900">
      <c r="AI31900" s="80"/>
    </row>
    <row r="31901">
      <c r="AI31901" s="80"/>
    </row>
    <row r="31902">
      <c r="AI31902" s="80"/>
    </row>
    <row r="31903">
      <c r="AI31903" s="80"/>
    </row>
    <row r="31904">
      <c r="AI31904" s="80"/>
    </row>
    <row r="31905">
      <c r="AI31905" s="80"/>
    </row>
    <row r="31906">
      <c r="AI31906" s="80"/>
    </row>
    <row r="31907">
      <c r="AI31907" s="80"/>
    </row>
    <row r="31908">
      <c r="AI31908" s="80"/>
    </row>
    <row r="31909">
      <c r="AI31909" s="80"/>
    </row>
    <row r="31910">
      <c r="AI31910" s="80"/>
    </row>
    <row r="31911">
      <c r="AI31911" s="80"/>
    </row>
    <row r="31912">
      <c r="AI31912" s="80"/>
    </row>
    <row r="31913">
      <c r="AI31913" s="80"/>
    </row>
    <row r="31914">
      <c r="AI31914" s="80"/>
    </row>
    <row r="31915">
      <c r="AI31915" s="80"/>
    </row>
    <row r="31916">
      <c r="AI31916" s="80"/>
    </row>
    <row r="31917">
      <c r="AI31917" s="80"/>
    </row>
    <row r="31918">
      <c r="AI31918" s="80"/>
    </row>
    <row r="31919">
      <c r="AI31919" s="80"/>
    </row>
    <row r="31920">
      <c r="AI31920" s="80"/>
    </row>
    <row r="31921">
      <c r="AI31921" s="80"/>
    </row>
    <row r="31922">
      <c r="AI31922" s="80"/>
    </row>
    <row r="31923">
      <c r="AI31923" s="80"/>
    </row>
    <row r="31924">
      <c r="AI31924" s="80"/>
    </row>
    <row r="31925">
      <c r="AI31925" s="80"/>
    </row>
    <row r="31926">
      <c r="AI31926" s="80"/>
    </row>
    <row r="31927">
      <c r="AI31927" s="80"/>
    </row>
    <row r="31928">
      <c r="AI31928" s="80"/>
    </row>
    <row r="31929">
      <c r="AI31929" s="80"/>
    </row>
    <row r="31930">
      <c r="AI31930" s="80"/>
    </row>
    <row r="31931">
      <c r="AI31931" s="80"/>
    </row>
    <row r="31932">
      <c r="AI31932" s="80"/>
    </row>
    <row r="31933">
      <c r="AI31933" s="80"/>
    </row>
    <row r="31934">
      <c r="AI31934" s="80"/>
    </row>
    <row r="31935">
      <c r="AI31935" s="80"/>
    </row>
    <row r="31936">
      <c r="AI31936" s="80"/>
    </row>
    <row r="31937">
      <c r="AI31937" s="80"/>
    </row>
    <row r="31938">
      <c r="AI31938" s="80"/>
    </row>
    <row r="31939">
      <c r="AI31939" s="80"/>
    </row>
    <row r="31940">
      <c r="AI31940" s="80"/>
    </row>
    <row r="31941">
      <c r="AI31941" s="80"/>
    </row>
    <row r="31942">
      <c r="AI31942" s="80"/>
    </row>
    <row r="31943">
      <c r="AI31943" s="80"/>
    </row>
    <row r="31944">
      <c r="AI31944" s="80"/>
    </row>
    <row r="31945">
      <c r="AI31945" s="80"/>
    </row>
    <row r="31946">
      <c r="AI31946" s="80"/>
    </row>
    <row r="31947">
      <c r="AI31947" s="80"/>
    </row>
    <row r="31948">
      <c r="AI31948" s="80"/>
    </row>
    <row r="31949">
      <c r="AI31949" s="80"/>
    </row>
    <row r="31950">
      <c r="AI31950" s="80"/>
    </row>
    <row r="31951">
      <c r="AI31951" s="80"/>
    </row>
    <row r="31952">
      <c r="AI31952" s="80"/>
    </row>
    <row r="31953">
      <c r="AI31953" s="80"/>
    </row>
    <row r="31954">
      <c r="AI31954" s="80"/>
    </row>
    <row r="31955">
      <c r="AI31955" s="80"/>
    </row>
    <row r="31956">
      <c r="AI31956" s="80"/>
    </row>
    <row r="31957">
      <c r="AI31957" s="80"/>
    </row>
    <row r="31958">
      <c r="AI31958" s="80"/>
    </row>
    <row r="31959">
      <c r="AI31959" s="80"/>
    </row>
    <row r="31960">
      <c r="AI31960" s="80"/>
    </row>
    <row r="31961">
      <c r="AI31961" s="80"/>
    </row>
    <row r="31962">
      <c r="AI31962" s="80"/>
    </row>
    <row r="31963">
      <c r="AI31963" s="80"/>
    </row>
    <row r="31964">
      <c r="AI31964" s="80"/>
    </row>
    <row r="31965">
      <c r="AI31965" s="80"/>
    </row>
    <row r="31966">
      <c r="AI31966" s="80"/>
    </row>
    <row r="31967">
      <c r="AI31967" s="80"/>
    </row>
    <row r="31968">
      <c r="AI31968" s="80"/>
    </row>
    <row r="31969">
      <c r="AI31969" s="80"/>
    </row>
    <row r="31970">
      <c r="AI31970" s="80"/>
    </row>
    <row r="31971">
      <c r="AI31971" s="80"/>
    </row>
    <row r="31972">
      <c r="AI31972" s="80"/>
    </row>
    <row r="31973">
      <c r="AI31973" s="80"/>
    </row>
    <row r="31974">
      <c r="AI31974" s="80"/>
    </row>
    <row r="31975">
      <c r="AI31975" s="80"/>
    </row>
    <row r="31976">
      <c r="AI31976" s="80"/>
    </row>
    <row r="31977">
      <c r="AI31977" s="80"/>
    </row>
    <row r="31978">
      <c r="AI31978" s="80"/>
    </row>
    <row r="31979">
      <c r="AI31979" s="80"/>
    </row>
    <row r="31980">
      <c r="AI31980" s="80"/>
    </row>
    <row r="31981">
      <c r="AI31981" s="80"/>
    </row>
    <row r="31982">
      <c r="AI31982" s="80"/>
    </row>
    <row r="31983">
      <c r="AI31983" s="80"/>
    </row>
    <row r="31984">
      <c r="AI31984" s="80"/>
    </row>
    <row r="31985">
      <c r="AI31985" s="80"/>
    </row>
    <row r="31986">
      <c r="AI31986" s="80"/>
    </row>
    <row r="31987">
      <c r="AI31987" s="80"/>
    </row>
    <row r="31988">
      <c r="AI31988" s="80"/>
    </row>
    <row r="31989">
      <c r="AI31989" s="80"/>
    </row>
    <row r="31990">
      <c r="AI31990" s="80"/>
    </row>
    <row r="31991">
      <c r="AI31991" s="80"/>
    </row>
    <row r="31992">
      <c r="AI31992" s="80"/>
    </row>
    <row r="31993">
      <c r="AI31993" s="80"/>
    </row>
    <row r="31994">
      <c r="AI31994" s="80"/>
    </row>
    <row r="31995">
      <c r="AI31995" s="80"/>
    </row>
    <row r="31996">
      <c r="AI31996" s="80"/>
    </row>
    <row r="31997">
      <c r="AI31997" s="80"/>
    </row>
    <row r="31998">
      <c r="AI31998" s="80"/>
    </row>
    <row r="31999">
      <c r="AI31999" s="80"/>
    </row>
    <row r="32000">
      <c r="AI32000" s="80"/>
    </row>
    <row r="32001">
      <c r="AI32001" s="80"/>
    </row>
    <row r="32002">
      <c r="AI32002" s="80"/>
    </row>
    <row r="32003">
      <c r="AI32003" s="80"/>
    </row>
    <row r="32004">
      <c r="AI32004" s="80"/>
    </row>
    <row r="32005">
      <c r="AI32005" s="80"/>
    </row>
    <row r="32006">
      <c r="AI32006" s="80"/>
    </row>
    <row r="32007">
      <c r="AI32007" s="80"/>
    </row>
    <row r="32008">
      <c r="AI32008" s="80"/>
    </row>
    <row r="32009">
      <c r="AI32009" s="80"/>
    </row>
    <row r="32010">
      <c r="AI32010" s="80"/>
    </row>
    <row r="32011">
      <c r="AI32011" s="80"/>
    </row>
    <row r="32012">
      <c r="AI32012" s="80"/>
    </row>
    <row r="32013">
      <c r="AI32013" s="80"/>
    </row>
    <row r="32014">
      <c r="AI32014" s="80"/>
    </row>
    <row r="32015">
      <c r="AI32015" s="80"/>
    </row>
    <row r="32016">
      <c r="AI32016" s="80"/>
    </row>
    <row r="32017">
      <c r="AI32017" s="80"/>
    </row>
    <row r="32018">
      <c r="AI32018" s="80"/>
    </row>
    <row r="32019">
      <c r="AI32019" s="80"/>
    </row>
    <row r="32020">
      <c r="AI32020" s="80"/>
    </row>
    <row r="32021">
      <c r="AI32021" s="80"/>
    </row>
    <row r="32022">
      <c r="AI32022" s="80"/>
    </row>
    <row r="32023">
      <c r="AI32023" s="80"/>
    </row>
    <row r="32024">
      <c r="AI32024" s="80"/>
    </row>
    <row r="32025">
      <c r="AI32025" s="80"/>
    </row>
    <row r="32026">
      <c r="AI32026" s="80"/>
    </row>
    <row r="32027">
      <c r="AI32027" s="80"/>
    </row>
    <row r="32028">
      <c r="AI32028" s="80"/>
    </row>
    <row r="32029">
      <c r="AI32029" s="80"/>
    </row>
    <row r="32030">
      <c r="AI32030" s="80"/>
    </row>
    <row r="32031">
      <c r="AI32031" s="80"/>
    </row>
    <row r="32032">
      <c r="AI32032" s="80"/>
    </row>
    <row r="32033">
      <c r="AI32033" s="80"/>
    </row>
    <row r="32034">
      <c r="AI32034" s="80"/>
    </row>
    <row r="32035">
      <c r="AI32035" s="80"/>
    </row>
    <row r="32036">
      <c r="AI32036" s="80"/>
    </row>
    <row r="32037">
      <c r="AI32037" s="80"/>
    </row>
    <row r="32038">
      <c r="AI32038" s="80"/>
    </row>
    <row r="32039">
      <c r="AI32039" s="80"/>
    </row>
    <row r="32040">
      <c r="AI32040" s="80"/>
    </row>
    <row r="32041">
      <c r="AI32041" s="80"/>
    </row>
    <row r="32042">
      <c r="AI32042" s="80"/>
    </row>
    <row r="32043">
      <c r="AI32043" s="80"/>
    </row>
    <row r="32044">
      <c r="AI32044" s="80"/>
    </row>
    <row r="32045">
      <c r="AI32045" s="80"/>
    </row>
    <row r="32046">
      <c r="AI32046" s="80"/>
    </row>
    <row r="32047">
      <c r="AI32047" s="80"/>
    </row>
    <row r="32048">
      <c r="AI32048" s="80"/>
    </row>
    <row r="32049">
      <c r="AI32049" s="80"/>
    </row>
    <row r="32050">
      <c r="AI32050" s="80"/>
    </row>
    <row r="32051">
      <c r="AI32051" s="80"/>
    </row>
    <row r="32052">
      <c r="AI32052" s="80"/>
    </row>
    <row r="32053">
      <c r="AI32053" s="80"/>
    </row>
    <row r="32054">
      <c r="AI32054" s="80"/>
    </row>
    <row r="32055">
      <c r="AI32055" s="80"/>
    </row>
    <row r="32056">
      <c r="AI32056" s="80"/>
    </row>
    <row r="32057">
      <c r="AI32057" s="80"/>
    </row>
    <row r="32058">
      <c r="AI32058" s="80"/>
    </row>
    <row r="32059">
      <c r="AI32059" s="80"/>
    </row>
    <row r="32060">
      <c r="AI32060" s="80"/>
    </row>
    <row r="32061">
      <c r="AI32061" s="80"/>
    </row>
    <row r="32062">
      <c r="AI32062" s="80"/>
    </row>
    <row r="32063">
      <c r="AI32063" s="80"/>
    </row>
    <row r="32064">
      <c r="AI32064" s="80"/>
    </row>
    <row r="32065">
      <c r="AI32065" s="80"/>
    </row>
    <row r="32066">
      <c r="AI32066" s="80"/>
    </row>
    <row r="32067">
      <c r="AI32067" s="80"/>
    </row>
    <row r="32068">
      <c r="AI32068" s="80"/>
    </row>
    <row r="32069">
      <c r="AI32069" s="80"/>
    </row>
    <row r="32070">
      <c r="AI32070" s="80"/>
    </row>
    <row r="32071">
      <c r="AI32071" s="80"/>
    </row>
    <row r="32072">
      <c r="AI32072" s="80"/>
    </row>
    <row r="32073">
      <c r="AI32073" s="80"/>
    </row>
    <row r="32074">
      <c r="AI32074" s="80"/>
    </row>
    <row r="32075">
      <c r="AI32075" s="80"/>
    </row>
    <row r="32076">
      <c r="AI32076" s="80"/>
    </row>
    <row r="32077">
      <c r="AI32077" s="80"/>
    </row>
    <row r="32078">
      <c r="AI32078" s="80"/>
    </row>
    <row r="32079">
      <c r="AI32079" s="80"/>
    </row>
    <row r="32080">
      <c r="AI32080" s="80"/>
    </row>
    <row r="32081">
      <c r="AI32081" s="80"/>
    </row>
    <row r="32082">
      <c r="AI32082" s="80"/>
    </row>
    <row r="32083">
      <c r="AI32083" s="80"/>
    </row>
    <row r="32084">
      <c r="AI32084" s="80"/>
    </row>
    <row r="32085">
      <c r="AI32085" s="80"/>
    </row>
    <row r="32086">
      <c r="AI32086" s="80"/>
    </row>
    <row r="32087">
      <c r="AI32087" s="80"/>
    </row>
    <row r="32088">
      <c r="AI32088" s="80"/>
    </row>
    <row r="32089">
      <c r="AI32089" s="80"/>
    </row>
    <row r="32090">
      <c r="AI32090" s="80"/>
    </row>
    <row r="32091">
      <c r="AI32091" s="80"/>
    </row>
    <row r="32092">
      <c r="AI32092" s="80"/>
    </row>
    <row r="32093">
      <c r="AI32093" s="80"/>
    </row>
    <row r="32094">
      <c r="AI32094" s="80"/>
    </row>
    <row r="32095">
      <c r="AI32095" s="80"/>
    </row>
    <row r="32096">
      <c r="AI32096" s="80"/>
    </row>
    <row r="32097">
      <c r="AI32097" s="80"/>
    </row>
    <row r="32098">
      <c r="AI32098" s="80"/>
    </row>
    <row r="32099">
      <c r="AI32099" s="80"/>
    </row>
    <row r="32100">
      <c r="AI32100" s="80"/>
    </row>
    <row r="32101">
      <c r="AI32101" s="80"/>
    </row>
    <row r="32102">
      <c r="AI32102" s="80"/>
    </row>
    <row r="32103">
      <c r="AI32103" s="80"/>
    </row>
    <row r="32104">
      <c r="AI32104" s="80"/>
    </row>
    <row r="32105">
      <c r="AI32105" s="80"/>
    </row>
    <row r="32106">
      <c r="AI32106" s="80"/>
    </row>
    <row r="32107">
      <c r="AI32107" s="80"/>
    </row>
    <row r="32108">
      <c r="AI32108" s="80"/>
    </row>
    <row r="32109">
      <c r="AI32109" s="80"/>
    </row>
    <row r="32110">
      <c r="AI32110" s="80"/>
    </row>
    <row r="32111">
      <c r="AI32111" s="80"/>
    </row>
    <row r="32112">
      <c r="AI32112" s="80"/>
    </row>
    <row r="32113">
      <c r="AI32113" s="80"/>
    </row>
    <row r="32114">
      <c r="AI32114" s="80"/>
    </row>
    <row r="32115">
      <c r="AI32115" s="80"/>
    </row>
    <row r="32116">
      <c r="AI32116" s="80"/>
    </row>
    <row r="32117">
      <c r="AI32117" s="80"/>
    </row>
    <row r="32118">
      <c r="AI32118" s="80"/>
    </row>
    <row r="32119">
      <c r="AI32119" s="80"/>
    </row>
    <row r="32120">
      <c r="AI32120" s="80"/>
    </row>
    <row r="32121">
      <c r="AI32121" s="80"/>
    </row>
    <row r="32122">
      <c r="AI32122" s="80"/>
    </row>
    <row r="32123">
      <c r="AI32123" s="80"/>
    </row>
    <row r="32124">
      <c r="AI32124" s="80"/>
    </row>
    <row r="32125">
      <c r="AI32125" s="80"/>
    </row>
    <row r="32126">
      <c r="AI32126" s="80"/>
    </row>
    <row r="32127">
      <c r="AI32127" s="80"/>
    </row>
    <row r="32128">
      <c r="AI32128" s="80"/>
    </row>
    <row r="32129">
      <c r="AI32129" s="80"/>
    </row>
    <row r="32130">
      <c r="AI32130" s="80"/>
    </row>
    <row r="32131">
      <c r="AI32131" s="80"/>
    </row>
    <row r="32132">
      <c r="AI32132" s="80"/>
    </row>
    <row r="32133">
      <c r="AI32133" s="80"/>
    </row>
    <row r="32134">
      <c r="AI32134" s="80"/>
    </row>
    <row r="32135">
      <c r="AI32135" s="80"/>
    </row>
    <row r="32136">
      <c r="AI32136" s="80"/>
    </row>
    <row r="32137">
      <c r="AI32137" s="80"/>
    </row>
    <row r="32138">
      <c r="AI32138" s="80"/>
    </row>
    <row r="32139">
      <c r="AI32139" s="80"/>
    </row>
    <row r="32140">
      <c r="AI32140" s="80"/>
    </row>
    <row r="32141">
      <c r="AI32141" s="80"/>
    </row>
    <row r="32142">
      <c r="AI32142" s="80"/>
    </row>
    <row r="32143">
      <c r="AI32143" s="80"/>
    </row>
    <row r="32144">
      <c r="AI32144" s="80"/>
    </row>
    <row r="32145">
      <c r="AI32145" s="80"/>
    </row>
    <row r="32146">
      <c r="AI32146" s="80"/>
    </row>
    <row r="32147">
      <c r="AI32147" s="80"/>
    </row>
    <row r="32148">
      <c r="AI32148" s="80"/>
    </row>
    <row r="32149">
      <c r="AI32149" s="80"/>
    </row>
    <row r="32150">
      <c r="AI32150" s="80"/>
    </row>
    <row r="32151">
      <c r="AI32151" s="80"/>
    </row>
    <row r="32152">
      <c r="AI32152" s="80"/>
    </row>
    <row r="32153">
      <c r="AI32153" s="80"/>
    </row>
    <row r="32154">
      <c r="AI32154" s="80"/>
    </row>
    <row r="32155">
      <c r="AI32155" s="80"/>
    </row>
    <row r="32156">
      <c r="AI32156" s="80"/>
    </row>
    <row r="32157">
      <c r="AI32157" s="80"/>
    </row>
    <row r="32158">
      <c r="AI32158" s="80"/>
    </row>
    <row r="32159">
      <c r="AI32159" s="80"/>
    </row>
    <row r="32160">
      <c r="AI32160" s="80"/>
    </row>
    <row r="32161">
      <c r="AI32161" s="80"/>
    </row>
    <row r="32162">
      <c r="AI32162" s="80"/>
    </row>
    <row r="32163">
      <c r="AI32163" s="80"/>
    </row>
    <row r="32164">
      <c r="AI32164" s="80"/>
    </row>
    <row r="32165">
      <c r="AI32165" s="80"/>
    </row>
    <row r="32166">
      <c r="AI32166" s="80"/>
    </row>
    <row r="32167">
      <c r="AI32167" s="80"/>
    </row>
    <row r="32168">
      <c r="AI32168" s="80"/>
    </row>
    <row r="32169">
      <c r="AI32169" s="80"/>
    </row>
    <row r="32170">
      <c r="AI32170" s="80"/>
    </row>
    <row r="32171">
      <c r="AI32171" s="80"/>
    </row>
    <row r="32172">
      <c r="AI32172" s="80"/>
    </row>
    <row r="32173">
      <c r="AI32173" s="80"/>
    </row>
    <row r="32174">
      <c r="AI32174" s="80"/>
    </row>
    <row r="32175">
      <c r="AI32175" s="80"/>
    </row>
    <row r="32176">
      <c r="AI32176" s="80"/>
    </row>
    <row r="32177">
      <c r="AI32177" s="80"/>
    </row>
    <row r="32178">
      <c r="AI32178" s="80"/>
    </row>
    <row r="32179">
      <c r="AI32179" s="80"/>
    </row>
    <row r="32180">
      <c r="AI32180" s="80"/>
    </row>
    <row r="32181">
      <c r="AI32181" s="80"/>
    </row>
    <row r="32182">
      <c r="AI32182" s="80"/>
    </row>
    <row r="32183">
      <c r="AI32183" s="80"/>
    </row>
    <row r="32184">
      <c r="AI32184" s="80"/>
    </row>
    <row r="32185">
      <c r="AI32185" s="80"/>
    </row>
    <row r="32186">
      <c r="AI32186" s="80"/>
    </row>
    <row r="32187">
      <c r="AI32187" s="80"/>
    </row>
    <row r="32188">
      <c r="AI32188" s="80"/>
    </row>
    <row r="32189">
      <c r="AI32189" s="80"/>
    </row>
    <row r="32190">
      <c r="AI32190" s="80"/>
    </row>
    <row r="32191">
      <c r="AI32191" s="80"/>
    </row>
    <row r="32192">
      <c r="AI32192" s="80"/>
    </row>
    <row r="32193">
      <c r="AI32193" s="80"/>
    </row>
    <row r="32194">
      <c r="AI32194" s="80"/>
    </row>
    <row r="32195">
      <c r="AI32195" s="80"/>
    </row>
    <row r="32196">
      <c r="AI32196" s="80"/>
    </row>
    <row r="32197">
      <c r="AI32197" s="80"/>
    </row>
    <row r="32198">
      <c r="AI32198" s="80"/>
    </row>
    <row r="32199">
      <c r="AI32199" s="80"/>
    </row>
    <row r="32200">
      <c r="AI32200" s="80"/>
    </row>
    <row r="32201">
      <c r="AI32201" s="80"/>
    </row>
    <row r="32202">
      <c r="AI32202" s="80"/>
    </row>
    <row r="32203">
      <c r="AI32203" s="80"/>
    </row>
    <row r="32204">
      <c r="AI32204" s="80"/>
    </row>
    <row r="32205">
      <c r="AI32205" s="80"/>
    </row>
    <row r="32206">
      <c r="AI32206" s="80"/>
    </row>
    <row r="32207">
      <c r="AI32207" s="80"/>
    </row>
    <row r="32208">
      <c r="AI32208" s="80"/>
    </row>
    <row r="32209">
      <c r="AI32209" s="80"/>
    </row>
    <row r="32210">
      <c r="AI32210" s="80"/>
    </row>
    <row r="32211">
      <c r="AI32211" s="80"/>
    </row>
    <row r="32212">
      <c r="AI32212" s="80"/>
    </row>
    <row r="32213">
      <c r="AI32213" s="80"/>
    </row>
    <row r="32214">
      <c r="AI32214" s="80"/>
    </row>
    <row r="32215">
      <c r="AI32215" s="80"/>
    </row>
    <row r="32216">
      <c r="AI32216" s="80"/>
    </row>
    <row r="32217">
      <c r="AI32217" s="80"/>
    </row>
    <row r="32218">
      <c r="AI32218" s="80"/>
    </row>
    <row r="32219">
      <c r="AI32219" s="80"/>
    </row>
    <row r="32220">
      <c r="AI32220" s="80"/>
    </row>
    <row r="32221">
      <c r="AI32221" s="80"/>
    </row>
    <row r="32222">
      <c r="AI32222" s="80"/>
    </row>
    <row r="32223">
      <c r="AI32223" s="80"/>
    </row>
    <row r="32224">
      <c r="AI32224" s="80"/>
    </row>
    <row r="32225">
      <c r="AI32225" s="80"/>
    </row>
    <row r="32226">
      <c r="AI32226" s="80"/>
    </row>
    <row r="32227">
      <c r="AI32227" s="80"/>
    </row>
    <row r="32228">
      <c r="AI32228" s="80"/>
    </row>
    <row r="32229">
      <c r="AI32229" s="80"/>
    </row>
    <row r="32230">
      <c r="AI32230" s="80"/>
    </row>
    <row r="32231">
      <c r="AI32231" s="80"/>
    </row>
    <row r="32232">
      <c r="AI32232" s="80"/>
    </row>
    <row r="32233">
      <c r="AI32233" s="80"/>
    </row>
    <row r="32234">
      <c r="AI32234" s="80"/>
    </row>
    <row r="32235">
      <c r="AI32235" s="80"/>
    </row>
    <row r="32236">
      <c r="AI32236" s="80"/>
    </row>
    <row r="32237">
      <c r="AI32237" s="80"/>
    </row>
    <row r="32238">
      <c r="AI32238" s="80"/>
    </row>
    <row r="32239">
      <c r="AI32239" s="80"/>
    </row>
    <row r="32240">
      <c r="AI32240" s="80"/>
    </row>
    <row r="32241">
      <c r="AI32241" s="80"/>
    </row>
    <row r="32242">
      <c r="AI32242" s="80"/>
    </row>
    <row r="32243">
      <c r="AI32243" s="80"/>
    </row>
    <row r="32244">
      <c r="AI32244" s="80"/>
    </row>
    <row r="32245">
      <c r="AI32245" s="80"/>
    </row>
    <row r="32246">
      <c r="AI32246" s="80"/>
    </row>
    <row r="32247">
      <c r="AI32247" s="80"/>
    </row>
    <row r="32248">
      <c r="AI32248" s="80"/>
    </row>
    <row r="32249">
      <c r="AI32249" s="80"/>
    </row>
    <row r="32250">
      <c r="AI32250" s="80"/>
    </row>
    <row r="32251">
      <c r="AI32251" s="80"/>
    </row>
    <row r="32252">
      <c r="AI32252" s="80"/>
    </row>
    <row r="32253">
      <c r="AI32253" s="80"/>
    </row>
    <row r="32254">
      <c r="AI32254" s="80"/>
    </row>
    <row r="32255">
      <c r="AI32255" s="80"/>
    </row>
    <row r="32256">
      <c r="AI32256" s="80"/>
    </row>
    <row r="32257">
      <c r="AI32257" s="80"/>
    </row>
    <row r="32258">
      <c r="AI32258" s="80"/>
    </row>
    <row r="32259">
      <c r="AI32259" s="80"/>
    </row>
    <row r="32260">
      <c r="AI32260" s="80"/>
    </row>
    <row r="32261">
      <c r="AI32261" s="80"/>
    </row>
    <row r="32262">
      <c r="AI32262" s="80"/>
    </row>
    <row r="32263">
      <c r="AI32263" s="80"/>
    </row>
    <row r="32264">
      <c r="AI32264" s="80"/>
    </row>
    <row r="32265">
      <c r="AI32265" s="80"/>
    </row>
    <row r="32266">
      <c r="AI32266" s="80"/>
    </row>
    <row r="32267">
      <c r="AI32267" s="80"/>
    </row>
    <row r="32268">
      <c r="AI32268" s="80"/>
    </row>
    <row r="32269">
      <c r="AI32269" s="80"/>
    </row>
    <row r="32270">
      <c r="AI32270" s="80"/>
    </row>
    <row r="32271">
      <c r="AI32271" s="80"/>
    </row>
    <row r="32272">
      <c r="AI32272" s="80"/>
    </row>
    <row r="32273">
      <c r="AI32273" s="80"/>
    </row>
    <row r="32274">
      <c r="AI32274" s="80"/>
    </row>
    <row r="32275">
      <c r="AI32275" s="80"/>
    </row>
    <row r="32276">
      <c r="AI32276" s="80"/>
    </row>
    <row r="32277">
      <c r="AI32277" s="80"/>
    </row>
    <row r="32278">
      <c r="AI32278" s="80"/>
    </row>
    <row r="32279">
      <c r="AI32279" s="80"/>
    </row>
    <row r="32280">
      <c r="AI32280" s="80"/>
    </row>
    <row r="32281">
      <c r="AI32281" s="80"/>
    </row>
    <row r="32282">
      <c r="AI32282" s="80"/>
    </row>
    <row r="32283">
      <c r="AI32283" s="80"/>
    </row>
    <row r="32284">
      <c r="AI32284" s="80"/>
    </row>
    <row r="32285">
      <c r="AI32285" s="80"/>
    </row>
    <row r="32286">
      <c r="AI32286" s="80"/>
    </row>
    <row r="32287">
      <c r="AI32287" s="80"/>
    </row>
    <row r="32288">
      <c r="AI32288" s="80"/>
    </row>
    <row r="32289">
      <c r="AI32289" s="80"/>
    </row>
    <row r="32290">
      <c r="AI32290" s="80"/>
    </row>
    <row r="32291">
      <c r="AI32291" s="80"/>
    </row>
    <row r="32292">
      <c r="AI32292" s="80"/>
    </row>
    <row r="32293">
      <c r="AI32293" s="80"/>
    </row>
    <row r="32294">
      <c r="AI32294" s="80"/>
    </row>
    <row r="32295">
      <c r="AI32295" s="80"/>
    </row>
    <row r="32296">
      <c r="AI32296" s="80"/>
    </row>
    <row r="32297">
      <c r="AI32297" s="80"/>
    </row>
    <row r="32298">
      <c r="AI32298" s="80"/>
    </row>
    <row r="32299">
      <c r="AI32299" s="80"/>
    </row>
    <row r="32300">
      <c r="AI32300" s="80"/>
    </row>
    <row r="32301">
      <c r="AI32301" s="80"/>
    </row>
    <row r="32302">
      <c r="AI32302" s="80"/>
    </row>
    <row r="32303">
      <c r="AI32303" s="80"/>
    </row>
    <row r="32304">
      <c r="AI32304" s="80"/>
    </row>
    <row r="32305">
      <c r="AI32305" s="80"/>
    </row>
    <row r="32306">
      <c r="AI32306" s="80"/>
    </row>
    <row r="32307">
      <c r="AI32307" s="80"/>
    </row>
    <row r="32308">
      <c r="AI32308" s="80"/>
    </row>
    <row r="32309">
      <c r="AI32309" s="80"/>
    </row>
    <row r="32310">
      <c r="AI32310" s="80"/>
    </row>
    <row r="32311">
      <c r="AI32311" s="80"/>
    </row>
    <row r="32312">
      <c r="AI32312" s="80"/>
    </row>
    <row r="32313">
      <c r="AI32313" s="80"/>
    </row>
    <row r="32314">
      <c r="AI32314" s="80"/>
    </row>
    <row r="32315">
      <c r="AI32315" s="80"/>
    </row>
    <row r="32316">
      <c r="AI32316" s="80"/>
    </row>
    <row r="32317">
      <c r="AI32317" s="80"/>
    </row>
    <row r="32318">
      <c r="AI32318" s="80"/>
    </row>
    <row r="32319">
      <c r="AI32319" s="80"/>
    </row>
    <row r="32320">
      <c r="AI32320" s="80"/>
    </row>
    <row r="32321">
      <c r="AI32321" s="80"/>
    </row>
    <row r="32322">
      <c r="AI32322" s="80"/>
    </row>
    <row r="32323">
      <c r="AI32323" s="80"/>
    </row>
    <row r="32324">
      <c r="AI32324" s="80"/>
    </row>
    <row r="32325">
      <c r="AI32325" s="80"/>
    </row>
    <row r="32326">
      <c r="AI32326" s="80"/>
    </row>
    <row r="32327">
      <c r="AI32327" s="80"/>
    </row>
    <row r="32328">
      <c r="AI32328" s="80"/>
    </row>
    <row r="32329">
      <c r="AI32329" s="80"/>
    </row>
    <row r="32330">
      <c r="AI32330" s="80"/>
    </row>
    <row r="32331">
      <c r="AI32331" s="80"/>
    </row>
    <row r="32332">
      <c r="AI32332" s="80"/>
    </row>
    <row r="32333">
      <c r="AI32333" s="80"/>
    </row>
    <row r="32334">
      <c r="AI32334" s="80"/>
    </row>
    <row r="32335">
      <c r="AI32335" s="80"/>
    </row>
    <row r="32336">
      <c r="AI32336" s="80"/>
    </row>
    <row r="32337">
      <c r="AI32337" s="80"/>
    </row>
    <row r="32338">
      <c r="AI32338" s="80"/>
    </row>
    <row r="32339">
      <c r="AI32339" s="80"/>
    </row>
    <row r="32340">
      <c r="AI32340" s="80"/>
    </row>
    <row r="32341">
      <c r="AI32341" s="80"/>
    </row>
    <row r="32342">
      <c r="AI32342" s="80"/>
    </row>
    <row r="32343">
      <c r="AI32343" s="80"/>
    </row>
    <row r="32344">
      <c r="AI32344" s="80"/>
    </row>
    <row r="32345">
      <c r="AI32345" s="80"/>
    </row>
    <row r="32346">
      <c r="AI32346" s="80"/>
    </row>
    <row r="32347">
      <c r="AI32347" s="80"/>
    </row>
    <row r="32348">
      <c r="AI32348" s="80"/>
    </row>
    <row r="32349">
      <c r="AI32349" s="80"/>
    </row>
    <row r="32350">
      <c r="AI32350" s="80"/>
    </row>
    <row r="32351">
      <c r="AI32351" s="80"/>
    </row>
    <row r="32352">
      <c r="AI32352" s="80"/>
    </row>
    <row r="32353">
      <c r="AI32353" s="80"/>
    </row>
    <row r="32354">
      <c r="AI32354" s="80"/>
    </row>
    <row r="32355">
      <c r="AI32355" s="80"/>
    </row>
    <row r="32356">
      <c r="AI32356" s="80"/>
    </row>
    <row r="32357">
      <c r="AI32357" s="80"/>
    </row>
    <row r="32358">
      <c r="AI32358" s="80"/>
    </row>
    <row r="32359">
      <c r="AI32359" s="80"/>
    </row>
    <row r="32360">
      <c r="AI32360" s="80"/>
    </row>
    <row r="32361">
      <c r="AI32361" s="80"/>
    </row>
    <row r="32362">
      <c r="AI32362" s="80"/>
    </row>
    <row r="32363">
      <c r="AI32363" s="80"/>
    </row>
    <row r="32364">
      <c r="AI32364" s="80"/>
    </row>
    <row r="32365">
      <c r="AI32365" s="80"/>
    </row>
    <row r="32366">
      <c r="AI32366" s="80"/>
    </row>
    <row r="32367">
      <c r="AI32367" s="80"/>
    </row>
    <row r="32368">
      <c r="AI32368" s="80"/>
    </row>
    <row r="32369">
      <c r="AI32369" s="80"/>
    </row>
    <row r="32370">
      <c r="AI32370" s="80"/>
    </row>
    <row r="32371">
      <c r="AI32371" s="80"/>
    </row>
    <row r="32372">
      <c r="AI32372" s="80"/>
    </row>
    <row r="32373">
      <c r="AI32373" s="80"/>
    </row>
    <row r="32374">
      <c r="AI32374" s="80"/>
    </row>
    <row r="32375">
      <c r="AI32375" s="80"/>
    </row>
    <row r="32376">
      <c r="AI32376" s="80"/>
    </row>
    <row r="32377">
      <c r="AI32377" s="80"/>
    </row>
    <row r="32378">
      <c r="AI32378" s="80"/>
    </row>
    <row r="32379">
      <c r="AI32379" s="80"/>
    </row>
    <row r="32380">
      <c r="AI32380" s="80"/>
    </row>
    <row r="32381">
      <c r="AI32381" s="80"/>
    </row>
    <row r="32382">
      <c r="AI32382" s="80"/>
    </row>
    <row r="32383">
      <c r="AI32383" s="80"/>
    </row>
    <row r="32384">
      <c r="AI32384" s="80"/>
    </row>
    <row r="32385">
      <c r="AI32385" s="80"/>
    </row>
    <row r="32386">
      <c r="AI32386" s="80"/>
    </row>
    <row r="32387">
      <c r="AI32387" s="80"/>
    </row>
    <row r="32388">
      <c r="AI32388" s="80"/>
    </row>
    <row r="32389">
      <c r="AI32389" s="80"/>
    </row>
    <row r="32390">
      <c r="AI32390" s="80"/>
    </row>
    <row r="32391">
      <c r="AI32391" s="80"/>
    </row>
    <row r="32392">
      <c r="AI32392" s="80"/>
    </row>
    <row r="32393">
      <c r="AI32393" s="80"/>
    </row>
    <row r="32394">
      <c r="AI32394" s="80"/>
    </row>
    <row r="32395">
      <c r="AI32395" s="80"/>
    </row>
    <row r="32396">
      <c r="AI32396" s="80"/>
    </row>
    <row r="32397">
      <c r="AI32397" s="80"/>
    </row>
    <row r="32398">
      <c r="AI32398" s="80"/>
    </row>
    <row r="32399">
      <c r="AI32399" s="80"/>
    </row>
    <row r="32400">
      <c r="AI32400" s="80"/>
    </row>
    <row r="32401">
      <c r="AI32401" s="80"/>
    </row>
    <row r="32402">
      <c r="AI32402" s="80"/>
    </row>
    <row r="32403">
      <c r="AI32403" s="80"/>
    </row>
    <row r="32404">
      <c r="AI32404" s="80"/>
    </row>
    <row r="32405">
      <c r="AI32405" s="80"/>
    </row>
    <row r="32406">
      <c r="AI32406" s="80"/>
    </row>
    <row r="32407">
      <c r="AI32407" s="80"/>
    </row>
    <row r="32408">
      <c r="AI32408" s="80"/>
    </row>
    <row r="32409">
      <c r="AI32409" s="80"/>
    </row>
    <row r="32410">
      <c r="AI32410" s="80"/>
    </row>
    <row r="32411">
      <c r="AI32411" s="80"/>
    </row>
    <row r="32412">
      <c r="AI32412" s="80"/>
    </row>
    <row r="32413">
      <c r="AI32413" s="80"/>
    </row>
    <row r="32414">
      <c r="AI32414" s="80"/>
    </row>
    <row r="32415">
      <c r="AI32415" s="80"/>
    </row>
    <row r="32416">
      <c r="AI32416" s="80"/>
    </row>
    <row r="32417">
      <c r="AI32417" s="80"/>
    </row>
    <row r="32418">
      <c r="AI32418" s="80"/>
    </row>
    <row r="32419">
      <c r="AI32419" s="80"/>
    </row>
    <row r="32420">
      <c r="AI32420" s="80"/>
    </row>
    <row r="32421">
      <c r="AI32421" s="80"/>
    </row>
    <row r="32422">
      <c r="AI32422" s="80"/>
    </row>
    <row r="32423">
      <c r="AI32423" s="80"/>
    </row>
    <row r="32424">
      <c r="AI32424" s="80"/>
    </row>
    <row r="32425">
      <c r="AI32425" s="80"/>
    </row>
    <row r="32426">
      <c r="AI32426" s="80"/>
    </row>
    <row r="32427">
      <c r="AI32427" s="80"/>
    </row>
    <row r="32428">
      <c r="AI32428" s="80"/>
    </row>
    <row r="32429">
      <c r="AI32429" s="80"/>
    </row>
    <row r="32430">
      <c r="AI32430" s="80"/>
    </row>
    <row r="32431">
      <c r="AI32431" s="80"/>
    </row>
    <row r="32432">
      <c r="AI32432" s="80"/>
    </row>
    <row r="32433">
      <c r="AI32433" s="80"/>
    </row>
    <row r="32434">
      <c r="AI32434" s="80"/>
    </row>
    <row r="32435">
      <c r="AI32435" s="80"/>
    </row>
    <row r="32436">
      <c r="AI32436" s="80"/>
    </row>
    <row r="32437">
      <c r="AI32437" s="80"/>
    </row>
    <row r="32438">
      <c r="AI32438" s="80"/>
    </row>
    <row r="32439">
      <c r="AI32439" s="80"/>
    </row>
    <row r="32440">
      <c r="AI32440" s="80"/>
    </row>
    <row r="32441">
      <c r="AI32441" s="80"/>
    </row>
    <row r="32442">
      <c r="AI32442" s="80"/>
    </row>
    <row r="32443">
      <c r="AI32443" s="80"/>
    </row>
    <row r="32444">
      <c r="AI32444" s="80"/>
    </row>
    <row r="32445">
      <c r="AI32445" s="80"/>
    </row>
    <row r="32446">
      <c r="AI32446" s="80"/>
    </row>
    <row r="32447">
      <c r="AI32447" s="80"/>
    </row>
    <row r="32448">
      <c r="AI32448" s="80"/>
    </row>
    <row r="32449">
      <c r="AI32449" s="80"/>
    </row>
    <row r="32450">
      <c r="AI32450" s="80"/>
    </row>
    <row r="32451">
      <c r="AI32451" s="80"/>
    </row>
    <row r="32452">
      <c r="AI32452" s="80"/>
    </row>
    <row r="32453">
      <c r="AI32453" s="80"/>
    </row>
    <row r="32454">
      <c r="AI32454" s="80"/>
    </row>
    <row r="32455">
      <c r="AI32455" s="80"/>
    </row>
    <row r="32456">
      <c r="AI32456" s="80"/>
    </row>
    <row r="32457">
      <c r="AI32457" s="80"/>
    </row>
    <row r="32458">
      <c r="AI32458" s="80"/>
    </row>
    <row r="32459">
      <c r="AI32459" s="80"/>
    </row>
    <row r="32460">
      <c r="AI32460" s="80"/>
    </row>
    <row r="32461">
      <c r="AI32461" s="80"/>
    </row>
    <row r="32462">
      <c r="AI32462" s="80"/>
    </row>
    <row r="32463">
      <c r="AI32463" s="80"/>
    </row>
    <row r="32464">
      <c r="AI32464" s="80"/>
    </row>
    <row r="32465">
      <c r="AI32465" s="80"/>
    </row>
    <row r="32466">
      <c r="AI32466" s="80"/>
    </row>
    <row r="32467">
      <c r="AI32467" s="80"/>
    </row>
    <row r="32468">
      <c r="AI32468" s="80"/>
    </row>
    <row r="32469">
      <c r="AI32469" s="80"/>
    </row>
    <row r="32470">
      <c r="AI32470" s="80"/>
    </row>
    <row r="32471">
      <c r="AI32471" s="80"/>
    </row>
    <row r="32472">
      <c r="AI32472" s="80"/>
    </row>
    <row r="32473">
      <c r="AI32473" s="80"/>
    </row>
    <row r="32474">
      <c r="AI32474" s="80"/>
    </row>
    <row r="32475">
      <c r="AI32475" s="80"/>
    </row>
    <row r="32476">
      <c r="AI32476" s="80"/>
    </row>
    <row r="32477">
      <c r="AI32477" s="80"/>
    </row>
    <row r="32478">
      <c r="AI32478" s="80"/>
    </row>
    <row r="32479">
      <c r="AI32479" s="80"/>
    </row>
    <row r="32480">
      <c r="AI32480" s="80"/>
    </row>
    <row r="32481">
      <c r="AI32481" s="80"/>
    </row>
    <row r="32482">
      <c r="AI32482" s="80"/>
    </row>
    <row r="32483">
      <c r="AI32483" s="80"/>
    </row>
    <row r="32484">
      <c r="AI32484" s="80"/>
    </row>
    <row r="32485">
      <c r="AI32485" s="80"/>
    </row>
    <row r="32486">
      <c r="AI32486" s="80"/>
    </row>
    <row r="32487">
      <c r="AI32487" s="80"/>
    </row>
    <row r="32488">
      <c r="AI32488" s="80"/>
    </row>
    <row r="32489">
      <c r="AI32489" s="80"/>
    </row>
    <row r="32490">
      <c r="AI32490" s="80"/>
    </row>
    <row r="32491">
      <c r="AI32491" s="80"/>
    </row>
    <row r="32492">
      <c r="AI32492" s="80"/>
    </row>
    <row r="32493">
      <c r="AI32493" s="80"/>
    </row>
    <row r="32494">
      <c r="AI32494" s="80"/>
    </row>
    <row r="32495">
      <c r="AI32495" s="80"/>
    </row>
    <row r="32496">
      <c r="AI32496" s="80"/>
    </row>
    <row r="32497">
      <c r="AI32497" s="80"/>
    </row>
    <row r="32498">
      <c r="AI32498" s="80"/>
    </row>
    <row r="32499">
      <c r="AI32499" s="80"/>
    </row>
    <row r="32500">
      <c r="AI32500" s="80"/>
    </row>
    <row r="32501">
      <c r="AI32501" s="80"/>
    </row>
    <row r="32502">
      <c r="AI32502" s="80"/>
    </row>
    <row r="32503">
      <c r="AI32503" s="80"/>
    </row>
    <row r="32504">
      <c r="AI32504" s="80"/>
    </row>
    <row r="32505">
      <c r="AI32505" s="80"/>
    </row>
    <row r="32506">
      <c r="AI32506" s="80"/>
    </row>
    <row r="32507">
      <c r="AI32507" s="80"/>
    </row>
    <row r="32508">
      <c r="AI32508" s="80"/>
    </row>
    <row r="32509">
      <c r="AI32509" s="80"/>
    </row>
    <row r="32510">
      <c r="AI32510" s="80"/>
    </row>
    <row r="32511">
      <c r="AI32511" s="80"/>
    </row>
    <row r="32512">
      <c r="AI32512" s="80"/>
    </row>
    <row r="32513">
      <c r="AI32513" s="80"/>
    </row>
    <row r="32514">
      <c r="AI32514" s="80"/>
    </row>
    <row r="32515">
      <c r="AI32515" s="80"/>
    </row>
    <row r="32516">
      <c r="AI32516" s="80"/>
    </row>
    <row r="32517">
      <c r="AI32517" s="80"/>
    </row>
    <row r="32518">
      <c r="AI32518" s="80"/>
    </row>
    <row r="32519">
      <c r="AI32519" s="80"/>
    </row>
    <row r="32520">
      <c r="AI32520" s="80"/>
    </row>
    <row r="32521">
      <c r="AI32521" s="80"/>
    </row>
    <row r="32522">
      <c r="AI32522" s="80"/>
    </row>
    <row r="32523">
      <c r="AI32523" s="80"/>
    </row>
    <row r="32524">
      <c r="AI32524" s="80"/>
    </row>
    <row r="32525">
      <c r="AI32525" s="80"/>
    </row>
    <row r="32526">
      <c r="AI32526" s="80"/>
    </row>
    <row r="32527">
      <c r="AI32527" s="80"/>
    </row>
    <row r="32528">
      <c r="AI32528" s="80"/>
    </row>
    <row r="32529">
      <c r="AI32529" s="80"/>
    </row>
    <row r="32530">
      <c r="AI32530" s="80"/>
    </row>
    <row r="32531">
      <c r="AI32531" s="80"/>
    </row>
    <row r="32532">
      <c r="AI32532" s="80"/>
    </row>
    <row r="32533">
      <c r="AI32533" s="80"/>
    </row>
    <row r="32534">
      <c r="AI32534" s="80"/>
    </row>
    <row r="32535">
      <c r="AI32535" s="80"/>
    </row>
    <row r="32536">
      <c r="AI32536" s="80"/>
    </row>
    <row r="32537">
      <c r="AI32537" s="80"/>
    </row>
    <row r="32538">
      <c r="AI32538" s="80"/>
    </row>
    <row r="32539">
      <c r="AI32539" s="80"/>
    </row>
    <row r="32540">
      <c r="AI32540" s="80"/>
    </row>
    <row r="32541">
      <c r="AI32541" s="80"/>
    </row>
    <row r="32542">
      <c r="AI32542" s="80"/>
    </row>
    <row r="32543">
      <c r="AI32543" s="80"/>
    </row>
    <row r="32544">
      <c r="AI32544" s="80"/>
    </row>
    <row r="32545">
      <c r="AI32545" s="80"/>
    </row>
    <row r="32546">
      <c r="AI32546" s="80"/>
    </row>
    <row r="32547">
      <c r="AI32547" s="80"/>
    </row>
    <row r="32548">
      <c r="AI32548" s="80"/>
    </row>
    <row r="32549">
      <c r="AI32549" s="80"/>
    </row>
    <row r="32550">
      <c r="AI32550" s="80"/>
    </row>
    <row r="32551">
      <c r="AI32551" s="80"/>
    </row>
    <row r="32552">
      <c r="AI32552" s="80"/>
    </row>
    <row r="32553">
      <c r="AI32553" s="80"/>
    </row>
    <row r="32554">
      <c r="AI32554" s="80"/>
    </row>
    <row r="32555">
      <c r="AI32555" s="80"/>
    </row>
    <row r="32556">
      <c r="AI32556" s="80"/>
    </row>
    <row r="32557">
      <c r="AI32557" s="80"/>
    </row>
    <row r="32558">
      <c r="AI32558" s="80"/>
    </row>
    <row r="32559">
      <c r="AI32559" s="80"/>
    </row>
    <row r="32560">
      <c r="AI32560" s="80"/>
    </row>
    <row r="32561">
      <c r="AI32561" s="80"/>
    </row>
    <row r="32562">
      <c r="AI32562" s="80"/>
    </row>
    <row r="32563">
      <c r="AI32563" s="80"/>
    </row>
    <row r="32564">
      <c r="AI32564" s="80"/>
    </row>
    <row r="32565">
      <c r="AI32565" s="80"/>
    </row>
    <row r="32566">
      <c r="AI32566" s="80"/>
    </row>
    <row r="32567">
      <c r="AI32567" s="80"/>
    </row>
    <row r="32568">
      <c r="AI32568" s="80"/>
    </row>
    <row r="32569">
      <c r="AI32569" s="80"/>
    </row>
    <row r="32570">
      <c r="AI32570" s="80"/>
    </row>
    <row r="32571">
      <c r="AI32571" s="80"/>
    </row>
    <row r="32572">
      <c r="AI32572" s="80"/>
    </row>
    <row r="32573">
      <c r="AI32573" s="80"/>
    </row>
    <row r="32574">
      <c r="AI32574" s="80"/>
    </row>
    <row r="32575">
      <c r="AI32575" s="80"/>
    </row>
    <row r="32576">
      <c r="AI32576" s="80"/>
    </row>
    <row r="32577">
      <c r="AI32577" s="80"/>
    </row>
    <row r="32578">
      <c r="AI32578" s="80"/>
    </row>
    <row r="32579">
      <c r="AI32579" s="80"/>
    </row>
    <row r="32580">
      <c r="AI32580" s="80"/>
    </row>
    <row r="32581">
      <c r="AI32581" s="80"/>
    </row>
    <row r="32582">
      <c r="AI32582" s="80"/>
    </row>
    <row r="32583">
      <c r="AI32583" s="80"/>
    </row>
    <row r="32584">
      <c r="AI32584" s="80"/>
    </row>
    <row r="32585">
      <c r="AI32585" s="80"/>
    </row>
    <row r="32586">
      <c r="AI32586" s="80"/>
    </row>
    <row r="32587">
      <c r="AI32587" s="80"/>
    </row>
    <row r="32588">
      <c r="AI32588" s="80"/>
    </row>
    <row r="32589">
      <c r="AI32589" s="80"/>
    </row>
    <row r="32590">
      <c r="AI32590" s="80"/>
    </row>
    <row r="32591">
      <c r="AI32591" s="80"/>
    </row>
    <row r="32592">
      <c r="AI32592" s="80"/>
    </row>
    <row r="32593">
      <c r="AI32593" s="80"/>
    </row>
    <row r="32594">
      <c r="AI32594" s="80"/>
    </row>
    <row r="32595">
      <c r="AI32595" s="80"/>
    </row>
    <row r="32596">
      <c r="AI32596" s="80"/>
    </row>
    <row r="32597">
      <c r="AI32597" s="80"/>
    </row>
    <row r="32598">
      <c r="AI32598" s="80"/>
    </row>
    <row r="32599">
      <c r="AI32599" s="80"/>
    </row>
    <row r="32600">
      <c r="AI32600" s="80"/>
    </row>
    <row r="32601">
      <c r="AI32601" s="80"/>
    </row>
    <row r="32602">
      <c r="AI32602" s="80"/>
    </row>
    <row r="32603">
      <c r="AI32603" s="80"/>
    </row>
    <row r="32604">
      <c r="AI32604" s="80"/>
    </row>
    <row r="32605">
      <c r="AI32605" s="80"/>
    </row>
    <row r="32606">
      <c r="AI32606" s="80"/>
    </row>
    <row r="32607">
      <c r="AI32607" s="80"/>
    </row>
    <row r="32608">
      <c r="AI32608" s="80"/>
    </row>
    <row r="32609">
      <c r="AI32609" s="80"/>
    </row>
    <row r="32610">
      <c r="AI32610" s="80"/>
    </row>
    <row r="32611">
      <c r="AI32611" s="80"/>
    </row>
    <row r="32612">
      <c r="AI32612" s="80"/>
    </row>
    <row r="32613">
      <c r="AI32613" s="80"/>
    </row>
    <row r="32614">
      <c r="AI32614" s="80"/>
    </row>
    <row r="32615">
      <c r="AI32615" s="80"/>
    </row>
    <row r="32616">
      <c r="AI32616" s="80"/>
    </row>
    <row r="32617">
      <c r="AI32617" s="80"/>
    </row>
    <row r="32618">
      <c r="AI32618" s="80"/>
    </row>
    <row r="32619">
      <c r="AI32619" s="80"/>
    </row>
    <row r="32620">
      <c r="AI32620" s="80"/>
    </row>
    <row r="32621">
      <c r="AI32621" s="80"/>
    </row>
    <row r="32622">
      <c r="AI32622" s="80"/>
    </row>
    <row r="32623">
      <c r="AI32623" s="80"/>
    </row>
    <row r="32624">
      <c r="AI32624" s="80"/>
    </row>
    <row r="32625">
      <c r="AI32625" s="80"/>
    </row>
    <row r="32626">
      <c r="AI32626" s="80"/>
    </row>
    <row r="32627">
      <c r="AI32627" s="80"/>
    </row>
    <row r="32628">
      <c r="AI32628" s="80"/>
    </row>
    <row r="32629">
      <c r="AI32629" s="80"/>
    </row>
    <row r="32630">
      <c r="AI32630" s="80"/>
    </row>
    <row r="32631">
      <c r="AI32631" s="80"/>
    </row>
    <row r="32632">
      <c r="AI32632" s="80"/>
    </row>
    <row r="32633">
      <c r="AI32633" s="80"/>
    </row>
    <row r="32634">
      <c r="AI32634" s="80"/>
    </row>
    <row r="32635">
      <c r="AI32635" s="80"/>
    </row>
    <row r="32636">
      <c r="AI32636" s="80"/>
    </row>
    <row r="32637">
      <c r="AI32637" s="80"/>
    </row>
    <row r="32638">
      <c r="AI32638" s="80"/>
    </row>
    <row r="32639">
      <c r="AI32639" s="80"/>
    </row>
    <row r="32640">
      <c r="AI32640" s="80"/>
    </row>
    <row r="32641">
      <c r="AI32641" s="80"/>
    </row>
    <row r="32642">
      <c r="AI32642" s="80"/>
    </row>
    <row r="32643">
      <c r="AI32643" s="80"/>
    </row>
    <row r="32644">
      <c r="AI32644" s="80"/>
    </row>
    <row r="32645">
      <c r="AI32645" s="80"/>
    </row>
    <row r="32646">
      <c r="AI32646" s="80"/>
    </row>
    <row r="32647">
      <c r="AI32647" s="80"/>
    </row>
    <row r="32648">
      <c r="AI32648" s="80"/>
    </row>
    <row r="32649">
      <c r="AI32649" s="80"/>
    </row>
    <row r="32650">
      <c r="AI32650" s="80"/>
    </row>
    <row r="32651">
      <c r="AI32651" s="80"/>
    </row>
    <row r="32652">
      <c r="AI32652" s="80"/>
    </row>
    <row r="32653">
      <c r="AI32653" s="80"/>
    </row>
    <row r="32654">
      <c r="AI32654" s="80"/>
    </row>
    <row r="32655">
      <c r="AI32655" s="80"/>
    </row>
    <row r="32656">
      <c r="AI32656" s="80"/>
    </row>
    <row r="32657">
      <c r="AI32657" s="80"/>
    </row>
    <row r="32658">
      <c r="AI32658" s="80"/>
    </row>
    <row r="32659">
      <c r="AI32659" s="80"/>
    </row>
    <row r="32660">
      <c r="AI32660" s="80"/>
    </row>
    <row r="32661">
      <c r="AI32661" s="80"/>
    </row>
    <row r="32662">
      <c r="AI32662" s="80"/>
    </row>
    <row r="32663">
      <c r="AI32663" s="80"/>
    </row>
    <row r="32664">
      <c r="AI32664" s="80"/>
    </row>
    <row r="32665">
      <c r="AI32665" s="80"/>
    </row>
    <row r="32666">
      <c r="AI32666" s="80"/>
    </row>
    <row r="32667">
      <c r="AI32667" s="80"/>
    </row>
    <row r="32668">
      <c r="AI32668" s="80"/>
    </row>
    <row r="32669">
      <c r="AI32669" s="80"/>
    </row>
    <row r="32670">
      <c r="AI32670" s="80"/>
    </row>
    <row r="32671">
      <c r="AI32671" s="80"/>
    </row>
    <row r="32672">
      <c r="AI32672" s="80"/>
    </row>
    <row r="32673">
      <c r="AI32673" s="80"/>
    </row>
    <row r="32674">
      <c r="AI32674" s="80"/>
    </row>
    <row r="32675">
      <c r="AI32675" s="80"/>
    </row>
    <row r="32676">
      <c r="AI32676" s="80"/>
    </row>
    <row r="32677">
      <c r="AI32677" s="80"/>
    </row>
    <row r="32678">
      <c r="AI32678" s="80"/>
    </row>
    <row r="32679">
      <c r="AI32679" s="80"/>
    </row>
    <row r="32680">
      <c r="AI32680" s="80"/>
    </row>
    <row r="32681">
      <c r="AI32681" s="80"/>
    </row>
    <row r="32682">
      <c r="AI32682" s="80"/>
    </row>
    <row r="32683">
      <c r="AI32683" s="80"/>
    </row>
    <row r="32684">
      <c r="AI32684" s="80"/>
    </row>
    <row r="32685">
      <c r="AI32685" s="80"/>
    </row>
    <row r="32686">
      <c r="AI32686" s="80"/>
    </row>
    <row r="32687">
      <c r="AI32687" s="80"/>
    </row>
    <row r="32688">
      <c r="AI32688" s="80"/>
    </row>
    <row r="32689">
      <c r="AI32689" s="80"/>
    </row>
    <row r="32690">
      <c r="AI32690" s="80"/>
    </row>
    <row r="32691">
      <c r="AI32691" s="80"/>
    </row>
    <row r="32692">
      <c r="AI32692" s="80"/>
    </row>
    <row r="32693">
      <c r="AI32693" s="80"/>
    </row>
    <row r="32694">
      <c r="AI32694" s="80"/>
    </row>
    <row r="32695">
      <c r="AI32695" s="80"/>
    </row>
    <row r="32696">
      <c r="AI32696" s="80"/>
    </row>
    <row r="32697">
      <c r="AI32697" s="80"/>
    </row>
    <row r="32698">
      <c r="AI32698" s="80"/>
    </row>
    <row r="32699">
      <c r="AI32699" s="80"/>
    </row>
    <row r="32700">
      <c r="AI32700" s="80"/>
    </row>
    <row r="32701">
      <c r="AI32701" s="80"/>
    </row>
    <row r="32702">
      <c r="AI32702" s="80"/>
    </row>
    <row r="32703">
      <c r="AI32703" s="80"/>
    </row>
    <row r="32704">
      <c r="AI32704" s="80"/>
    </row>
    <row r="32705">
      <c r="AI32705" s="80"/>
    </row>
    <row r="32706">
      <c r="AI32706" s="80"/>
    </row>
    <row r="32707">
      <c r="AI32707" s="80"/>
    </row>
    <row r="32708">
      <c r="AI32708" s="80"/>
    </row>
    <row r="32709">
      <c r="AI32709" s="80"/>
    </row>
    <row r="32710">
      <c r="AI32710" s="80"/>
    </row>
    <row r="32711">
      <c r="AI32711" s="80"/>
    </row>
    <row r="32712">
      <c r="AI32712" s="80"/>
    </row>
    <row r="32713">
      <c r="AI32713" s="80"/>
    </row>
    <row r="32714">
      <c r="AI32714" s="80"/>
    </row>
    <row r="32715">
      <c r="AI32715" s="80"/>
    </row>
    <row r="32716">
      <c r="AI32716" s="80"/>
    </row>
    <row r="32717">
      <c r="AI32717" s="80"/>
    </row>
    <row r="32718">
      <c r="AI32718" s="80"/>
    </row>
    <row r="32719">
      <c r="AI32719" s="80"/>
    </row>
    <row r="32720">
      <c r="AI32720" s="80"/>
    </row>
    <row r="32721">
      <c r="AI32721" s="80"/>
    </row>
    <row r="32722">
      <c r="AI32722" s="80"/>
    </row>
    <row r="32723">
      <c r="AI32723" s="80"/>
    </row>
    <row r="32724">
      <c r="AI32724" s="80"/>
    </row>
    <row r="32725">
      <c r="AI32725" s="80"/>
    </row>
    <row r="32726">
      <c r="AI32726" s="80"/>
    </row>
    <row r="32727">
      <c r="AI32727" s="80"/>
    </row>
    <row r="32728">
      <c r="AI32728" s="80"/>
    </row>
    <row r="32729">
      <c r="AI32729" s="80"/>
    </row>
    <row r="32730">
      <c r="AI32730" s="80"/>
    </row>
    <row r="32731">
      <c r="AI32731" s="80"/>
    </row>
    <row r="32732">
      <c r="AI32732" s="80"/>
    </row>
    <row r="32733">
      <c r="AI32733" s="80"/>
    </row>
    <row r="32734">
      <c r="AI32734" s="80"/>
    </row>
    <row r="32735">
      <c r="AI32735" s="80"/>
    </row>
    <row r="32736">
      <c r="AI32736" s="80"/>
    </row>
    <row r="32737">
      <c r="AI32737" s="80"/>
    </row>
    <row r="32738">
      <c r="AI32738" s="80"/>
    </row>
    <row r="32739">
      <c r="AI32739" s="80"/>
    </row>
    <row r="32740">
      <c r="AI32740" s="80"/>
    </row>
    <row r="32741">
      <c r="AI32741" s="80"/>
    </row>
    <row r="32742">
      <c r="AI32742" s="80"/>
    </row>
    <row r="32743">
      <c r="AI32743" s="80"/>
    </row>
    <row r="32744">
      <c r="AI32744" s="80"/>
    </row>
    <row r="32745">
      <c r="AI32745" s="80"/>
    </row>
    <row r="32746">
      <c r="AI32746" s="80"/>
    </row>
    <row r="32747">
      <c r="AI32747" s="80"/>
    </row>
    <row r="32748">
      <c r="AI32748" s="80"/>
    </row>
    <row r="32749">
      <c r="AI32749" s="80"/>
    </row>
    <row r="32750">
      <c r="AI32750" s="80"/>
    </row>
    <row r="32751">
      <c r="AI32751" s="80"/>
    </row>
    <row r="32752">
      <c r="AI32752" s="80"/>
    </row>
    <row r="32753">
      <c r="AI32753" s="80"/>
    </row>
    <row r="32754">
      <c r="AI32754" s="80"/>
    </row>
    <row r="32755">
      <c r="AI32755" s="80"/>
    </row>
    <row r="32756">
      <c r="AI32756" s="80"/>
    </row>
    <row r="32757">
      <c r="AI32757" s="80"/>
    </row>
    <row r="32758">
      <c r="AI32758" s="80"/>
    </row>
    <row r="32759">
      <c r="AI32759" s="80"/>
    </row>
    <row r="32760">
      <c r="AI32760" s="80"/>
    </row>
    <row r="32761">
      <c r="AI32761" s="80"/>
    </row>
    <row r="32762">
      <c r="AI32762" s="80"/>
    </row>
    <row r="32763">
      <c r="AI32763" s="80"/>
    </row>
    <row r="32764">
      <c r="AI32764" s="80"/>
    </row>
    <row r="32765">
      <c r="AI32765" s="80"/>
    </row>
    <row r="32766">
      <c r="AI32766" s="80"/>
    </row>
    <row r="32767">
      <c r="AI32767" s="80"/>
    </row>
    <row r="32768">
      <c r="AI32768" s="80"/>
    </row>
    <row r="32769">
      <c r="AI32769" s="80"/>
    </row>
    <row r="32770">
      <c r="AI32770" s="80"/>
    </row>
    <row r="32771">
      <c r="AI32771" s="80"/>
    </row>
    <row r="32772">
      <c r="AI32772" s="80"/>
    </row>
    <row r="32773">
      <c r="AI32773" s="80"/>
    </row>
    <row r="32774">
      <c r="AI32774" s="80"/>
    </row>
    <row r="32775">
      <c r="AI32775" s="80"/>
    </row>
    <row r="32776">
      <c r="AI32776" s="80"/>
    </row>
    <row r="32777">
      <c r="AI32777" s="80"/>
    </row>
    <row r="32778">
      <c r="AI32778" s="80"/>
    </row>
    <row r="32779">
      <c r="AI32779" s="80"/>
    </row>
    <row r="32780">
      <c r="AI32780" s="80"/>
    </row>
    <row r="32781">
      <c r="AI32781" s="80"/>
    </row>
    <row r="32782">
      <c r="AI32782" s="80"/>
    </row>
    <row r="32783">
      <c r="AI32783" s="80"/>
    </row>
    <row r="32784">
      <c r="AI32784" s="80"/>
    </row>
    <row r="32785">
      <c r="AI32785" s="80"/>
    </row>
    <row r="32786">
      <c r="AI32786" s="80"/>
    </row>
    <row r="32787">
      <c r="AI32787" s="80"/>
    </row>
    <row r="32788">
      <c r="AI32788" s="80"/>
    </row>
    <row r="32789">
      <c r="AI32789" s="80"/>
    </row>
    <row r="32790">
      <c r="AI32790" s="80"/>
    </row>
    <row r="32791">
      <c r="AI32791" s="80"/>
    </row>
    <row r="32792">
      <c r="AI32792" s="80"/>
    </row>
    <row r="32793">
      <c r="AI32793" s="80"/>
    </row>
    <row r="32794">
      <c r="AI32794" s="80"/>
    </row>
    <row r="32795">
      <c r="AI32795" s="80"/>
    </row>
    <row r="32796">
      <c r="AI32796" s="80"/>
    </row>
    <row r="32797">
      <c r="AI32797" s="80"/>
    </row>
    <row r="32798">
      <c r="AI32798" s="80"/>
    </row>
    <row r="32799">
      <c r="AI32799" s="80"/>
    </row>
    <row r="32800">
      <c r="AI32800" s="80"/>
    </row>
    <row r="32801">
      <c r="AI32801" s="80"/>
    </row>
    <row r="32802">
      <c r="AI32802" s="80"/>
    </row>
    <row r="32803">
      <c r="AI32803" s="80"/>
    </row>
    <row r="32804">
      <c r="AI32804" s="80"/>
    </row>
    <row r="32805">
      <c r="AI32805" s="80"/>
    </row>
    <row r="32806">
      <c r="AI32806" s="80"/>
    </row>
    <row r="32807">
      <c r="AI32807" s="80"/>
    </row>
    <row r="32808">
      <c r="AI32808" s="80"/>
    </row>
    <row r="32809">
      <c r="AI32809" s="80"/>
    </row>
    <row r="32810">
      <c r="AI32810" s="80"/>
    </row>
    <row r="32811">
      <c r="AI32811" s="80"/>
    </row>
    <row r="32812">
      <c r="AI32812" s="80"/>
    </row>
    <row r="32813">
      <c r="AI32813" s="80"/>
    </row>
    <row r="32814">
      <c r="AI32814" s="80"/>
    </row>
    <row r="32815">
      <c r="AI32815" s="80"/>
    </row>
    <row r="32816">
      <c r="AI32816" s="80"/>
    </row>
    <row r="32817">
      <c r="AI32817" s="80"/>
    </row>
    <row r="32818">
      <c r="AI32818" s="80"/>
    </row>
    <row r="32819">
      <c r="AI32819" s="80"/>
    </row>
    <row r="32820">
      <c r="AI32820" s="80"/>
    </row>
    <row r="32821">
      <c r="AI32821" s="80"/>
    </row>
    <row r="32822">
      <c r="AI32822" s="80"/>
    </row>
    <row r="32823">
      <c r="AI32823" s="80"/>
    </row>
    <row r="32824">
      <c r="AI32824" s="80"/>
    </row>
    <row r="32825">
      <c r="AI32825" s="80"/>
    </row>
    <row r="32826">
      <c r="AI32826" s="80"/>
    </row>
    <row r="32827">
      <c r="AI32827" s="80"/>
    </row>
    <row r="32828">
      <c r="AI32828" s="80"/>
    </row>
    <row r="32829">
      <c r="AI32829" s="80"/>
    </row>
    <row r="32830">
      <c r="AI32830" s="80"/>
    </row>
    <row r="32831">
      <c r="AI32831" s="80"/>
    </row>
    <row r="32832">
      <c r="AI32832" s="80"/>
    </row>
    <row r="32833">
      <c r="AI32833" s="80"/>
    </row>
    <row r="32834">
      <c r="AI32834" s="80"/>
    </row>
    <row r="32835">
      <c r="AI32835" s="80"/>
    </row>
    <row r="32836">
      <c r="AI32836" s="80"/>
    </row>
    <row r="32837">
      <c r="AI32837" s="80"/>
    </row>
    <row r="32838">
      <c r="AI32838" s="80"/>
    </row>
    <row r="32839">
      <c r="AI32839" s="80"/>
    </row>
    <row r="32840">
      <c r="AI32840" s="80"/>
    </row>
    <row r="32841">
      <c r="AI32841" s="80"/>
    </row>
    <row r="32842">
      <c r="AI32842" s="80"/>
    </row>
    <row r="32843">
      <c r="AI32843" s="80"/>
    </row>
    <row r="32844">
      <c r="AI32844" s="80"/>
    </row>
    <row r="32845">
      <c r="AI32845" s="80"/>
    </row>
    <row r="32846">
      <c r="AI32846" s="80"/>
    </row>
    <row r="32847">
      <c r="AI32847" s="80"/>
    </row>
    <row r="32848">
      <c r="AI32848" s="80"/>
    </row>
    <row r="32849">
      <c r="AI32849" s="80"/>
    </row>
    <row r="32850">
      <c r="AI32850" s="80"/>
    </row>
    <row r="32851">
      <c r="AI32851" s="80"/>
    </row>
    <row r="32852">
      <c r="AI32852" s="80"/>
    </row>
    <row r="32853">
      <c r="AI32853" s="80"/>
    </row>
    <row r="32854">
      <c r="AI32854" s="80"/>
    </row>
    <row r="32855">
      <c r="AI32855" s="80"/>
    </row>
    <row r="32856">
      <c r="AI32856" s="80"/>
    </row>
    <row r="32857">
      <c r="AI32857" s="80"/>
    </row>
    <row r="32858">
      <c r="AI32858" s="80"/>
    </row>
    <row r="32859">
      <c r="AI32859" s="80"/>
    </row>
    <row r="32860">
      <c r="AI32860" s="80"/>
    </row>
    <row r="32861">
      <c r="AI32861" s="80"/>
    </row>
    <row r="32862">
      <c r="AI32862" s="80"/>
    </row>
    <row r="32863">
      <c r="AI32863" s="80"/>
    </row>
    <row r="32864">
      <c r="AI32864" s="80"/>
    </row>
    <row r="32865">
      <c r="AI32865" s="80"/>
    </row>
    <row r="32866">
      <c r="AI32866" s="80"/>
    </row>
    <row r="32867">
      <c r="AI32867" s="80"/>
    </row>
    <row r="32868">
      <c r="AI32868" s="80"/>
    </row>
    <row r="32869">
      <c r="AI32869" s="80"/>
    </row>
    <row r="32870">
      <c r="AI32870" s="80"/>
    </row>
    <row r="32871">
      <c r="AI32871" s="80"/>
    </row>
    <row r="32872">
      <c r="AI32872" s="80"/>
    </row>
    <row r="32873">
      <c r="AI32873" s="80"/>
    </row>
    <row r="32874">
      <c r="AI32874" s="80"/>
    </row>
    <row r="32875">
      <c r="AI32875" s="80"/>
    </row>
    <row r="32876">
      <c r="AI32876" s="80"/>
    </row>
    <row r="32877">
      <c r="AI32877" s="80"/>
    </row>
    <row r="32878">
      <c r="AI32878" s="80"/>
    </row>
    <row r="32879">
      <c r="AI32879" s="80"/>
    </row>
    <row r="32880">
      <c r="AI32880" s="80"/>
    </row>
    <row r="32881">
      <c r="AI32881" s="80"/>
    </row>
    <row r="32882">
      <c r="AI32882" s="80"/>
    </row>
    <row r="32883">
      <c r="AI32883" s="80"/>
    </row>
    <row r="32884">
      <c r="AI32884" s="80"/>
    </row>
    <row r="32885">
      <c r="AI32885" s="80"/>
    </row>
    <row r="32886">
      <c r="AI32886" s="80"/>
    </row>
    <row r="32887">
      <c r="AI32887" s="80"/>
    </row>
    <row r="32888">
      <c r="AI32888" s="80"/>
    </row>
    <row r="32889">
      <c r="AI32889" s="80"/>
    </row>
    <row r="32890">
      <c r="AI32890" s="80"/>
    </row>
    <row r="32891">
      <c r="AI32891" s="80"/>
    </row>
    <row r="32892">
      <c r="AI32892" s="80"/>
    </row>
    <row r="32893">
      <c r="AI32893" s="80"/>
    </row>
    <row r="32894">
      <c r="AI32894" s="80"/>
    </row>
    <row r="32895">
      <c r="AI32895" s="80"/>
    </row>
    <row r="32896">
      <c r="AI32896" s="80"/>
    </row>
    <row r="32897">
      <c r="AI32897" s="80"/>
    </row>
    <row r="32898">
      <c r="AI32898" s="80"/>
    </row>
    <row r="32899">
      <c r="AI32899" s="80"/>
    </row>
    <row r="32900">
      <c r="AI32900" s="80"/>
    </row>
    <row r="32901">
      <c r="AI32901" s="80"/>
    </row>
    <row r="32902">
      <c r="AI32902" s="80"/>
    </row>
    <row r="32903">
      <c r="AI32903" s="80"/>
    </row>
    <row r="32904">
      <c r="AI32904" s="80"/>
    </row>
    <row r="32905">
      <c r="AI32905" s="80"/>
    </row>
    <row r="32906">
      <c r="AI32906" s="80"/>
    </row>
    <row r="32907">
      <c r="AI32907" s="80"/>
    </row>
    <row r="32908">
      <c r="AI32908" s="80"/>
    </row>
    <row r="32909">
      <c r="AI32909" s="80"/>
    </row>
    <row r="32910">
      <c r="AI32910" s="80"/>
    </row>
    <row r="32911">
      <c r="AI32911" s="80"/>
    </row>
    <row r="32912">
      <c r="AI32912" s="80"/>
    </row>
    <row r="32913">
      <c r="AI32913" s="80"/>
    </row>
    <row r="32914">
      <c r="AI32914" s="80"/>
    </row>
    <row r="32915">
      <c r="AI32915" s="80"/>
    </row>
    <row r="32916">
      <c r="AI32916" s="80"/>
    </row>
    <row r="32917">
      <c r="AI32917" s="80"/>
    </row>
    <row r="32918">
      <c r="AI32918" s="80"/>
    </row>
    <row r="32919">
      <c r="AI32919" s="80"/>
    </row>
    <row r="32920">
      <c r="AI32920" s="80"/>
    </row>
    <row r="32921">
      <c r="AI32921" s="80"/>
    </row>
    <row r="32922">
      <c r="AI32922" s="80"/>
    </row>
    <row r="32923">
      <c r="AI32923" s="80"/>
    </row>
    <row r="32924">
      <c r="AI32924" s="80"/>
    </row>
    <row r="32925">
      <c r="AI32925" s="80"/>
    </row>
    <row r="32926">
      <c r="AI32926" s="80"/>
    </row>
    <row r="32927">
      <c r="AI32927" s="80"/>
    </row>
    <row r="32928">
      <c r="AI32928" s="80"/>
    </row>
    <row r="32929">
      <c r="AI32929" s="80"/>
    </row>
    <row r="32930">
      <c r="AI32930" s="80"/>
    </row>
    <row r="32931">
      <c r="AI32931" s="80"/>
    </row>
    <row r="32932">
      <c r="AI32932" s="80"/>
    </row>
    <row r="32933">
      <c r="AI32933" s="80"/>
    </row>
    <row r="32934">
      <c r="AI32934" s="80"/>
    </row>
    <row r="32935">
      <c r="AI32935" s="80"/>
    </row>
    <row r="32936">
      <c r="AI32936" s="80"/>
    </row>
    <row r="32937">
      <c r="AI32937" s="80"/>
    </row>
    <row r="32938">
      <c r="AI32938" s="80"/>
    </row>
    <row r="32939">
      <c r="AI32939" s="80"/>
    </row>
    <row r="32940">
      <c r="AI32940" s="80"/>
    </row>
    <row r="32941">
      <c r="AI32941" s="80"/>
    </row>
    <row r="32942">
      <c r="AI32942" s="80"/>
    </row>
    <row r="32943">
      <c r="AI32943" s="80"/>
    </row>
    <row r="32944">
      <c r="AI32944" s="80"/>
    </row>
    <row r="32945">
      <c r="AI32945" s="80"/>
    </row>
    <row r="32946">
      <c r="AI32946" s="80"/>
    </row>
    <row r="32947">
      <c r="AI32947" s="80"/>
    </row>
    <row r="32948">
      <c r="AI32948" s="80"/>
    </row>
    <row r="32949">
      <c r="AI32949" s="80"/>
    </row>
    <row r="32950">
      <c r="AI32950" s="80"/>
    </row>
    <row r="32951">
      <c r="AI32951" s="80"/>
    </row>
    <row r="32952">
      <c r="AI32952" s="80"/>
    </row>
    <row r="32953">
      <c r="AI32953" s="80"/>
    </row>
    <row r="32954">
      <c r="AI32954" s="80"/>
    </row>
    <row r="32955">
      <c r="AI32955" s="80"/>
    </row>
    <row r="32956">
      <c r="AI32956" s="80"/>
    </row>
    <row r="32957">
      <c r="AI32957" s="80"/>
    </row>
    <row r="32958">
      <c r="AI32958" s="80"/>
    </row>
    <row r="32959">
      <c r="AI32959" s="80"/>
    </row>
    <row r="32960">
      <c r="AI32960" s="80"/>
    </row>
    <row r="32961">
      <c r="AI32961" s="80"/>
    </row>
    <row r="32962">
      <c r="AI32962" s="80"/>
    </row>
    <row r="32963">
      <c r="AI32963" s="80"/>
    </row>
    <row r="32964">
      <c r="AI32964" s="80"/>
    </row>
    <row r="32965">
      <c r="AI32965" s="80"/>
    </row>
    <row r="32966">
      <c r="AI32966" s="80"/>
    </row>
    <row r="32967">
      <c r="AI32967" s="80"/>
    </row>
    <row r="32968">
      <c r="AI32968" s="80"/>
    </row>
    <row r="32969">
      <c r="AI32969" s="80"/>
    </row>
    <row r="32970">
      <c r="AI32970" s="80"/>
    </row>
    <row r="32971">
      <c r="AI32971" s="80"/>
    </row>
    <row r="32972">
      <c r="AI32972" s="80"/>
    </row>
    <row r="32973">
      <c r="AI32973" s="80"/>
    </row>
    <row r="32974">
      <c r="AI32974" s="80"/>
    </row>
    <row r="32975">
      <c r="AI32975" s="80"/>
    </row>
    <row r="32976">
      <c r="AI32976" s="80"/>
    </row>
    <row r="32977">
      <c r="AI32977" s="80"/>
    </row>
    <row r="32978">
      <c r="AI32978" s="80"/>
    </row>
    <row r="32979">
      <c r="AI32979" s="80"/>
    </row>
    <row r="32980">
      <c r="AI32980" s="80"/>
    </row>
    <row r="32981">
      <c r="AI32981" s="80"/>
    </row>
    <row r="32982">
      <c r="AI32982" s="80"/>
    </row>
    <row r="32983">
      <c r="AI32983" s="80"/>
    </row>
    <row r="32984">
      <c r="AI32984" s="80"/>
    </row>
    <row r="32985">
      <c r="AI32985" s="80"/>
    </row>
    <row r="32986">
      <c r="AI32986" s="80"/>
    </row>
    <row r="32987">
      <c r="AI32987" s="80"/>
    </row>
    <row r="32988">
      <c r="AI32988" s="80"/>
    </row>
    <row r="32989">
      <c r="AI32989" s="80"/>
    </row>
    <row r="32990">
      <c r="AI32990" s="80"/>
    </row>
    <row r="32991">
      <c r="AI32991" s="80"/>
    </row>
    <row r="32992">
      <c r="AI32992" s="80"/>
    </row>
    <row r="32993">
      <c r="AI32993" s="80"/>
    </row>
    <row r="32994">
      <c r="AI32994" s="80"/>
    </row>
    <row r="32995">
      <c r="AI32995" s="80"/>
    </row>
    <row r="32996">
      <c r="AI32996" s="80"/>
    </row>
    <row r="32997">
      <c r="AI32997" s="80"/>
    </row>
    <row r="32998">
      <c r="AI32998" s="80"/>
    </row>
    <row r="32999">
      <c r="AI32999" s="80"/>
    </row>
    <row r="33000">
      <c r="AI33000" s="80"/>
    </row>
    <row r="33001">
      <c r="AI33001" s="80"/>
    </row>
    <row r="33002">
      <c r="AI33002" s="80"/>
    </row>
    <row r="33003">
      <c r="AI33003" s="80"/>
    </row>
    <row r="33004">
      <c r="AI33004" s="80"/>
    </row>
    <row r="33005">
      <c r="AI33005" s="80"/>
    </row>
    <row r="33006">
      <c r="AI33006" s="80"/>
    </row>
    <row r="33007">
      <c r="AI33007" s="80"/>
    </row>
    <row r="33008">
      <c r="AI33008" s="80"/>
    </row>
    <row r="33009">
      <c r="AI33009" s="80"/>
    </row>
    <row r="33010">
      <c r="AI33010" s="80"/>
    </row>
    <row r="33011">
      <c r="AI33011" s="80"/>
    </row>
    <row r="33012">
      <c r="AI33012" s="80"/>
    </row>
    <row r="33013">
      <c r="AI33013" s="80"/>
    </row>
    <row r="33014">
      <c r="AI33014" s="80"/>
    </row>
    <row r="33015">
      <c r="AI33015" s="80"/>
    </row>
    <row r="33016">
      <c r="AI33016" s="80"/>
    </row>
    <row r="33017">
      <c r="AI33017" s="80"/>
    </row>
    <row r="33018">
      <c r="AI33018" s="80"/>
    </row>
    <row r="33019">
      <c r="AI33019" s="80"/>
    </row>
    <row r="33020">
      <c r="AI33020" s="80"/>
    </row>
    <row r="33021">
      <c r="AI33021" s="80"/>
    </row>
    <row r="33022">
      <c r="AI33022" s="80"/>
    </row>
    <row r="33023">
      <c r="AI33023" s="80"/>
    </row>
    <row r="33024">
      <c r="AI33024" s="80"/>
    </row>
    <row r="33025">
      <c r="AI33025" s="80"/>
    </row>
    <row r="33026">
      <c r="AI33026" s="80"/>
    </row>
    <row r="33027">
      <c r="AI33027" s="80"/>
    </row>
    <row r="33028">
      <c r="AI33028" s="80"/>
    </row>
    <row r="33029">
      <c r="AI33029" s="80"/>
    </row>
    <row r="33030">
      <c r="AI33030" s="80"/>
    </row>
    <row r="33031">
      <c r="AI33031" s="80"/>
    </row>
    <row r="33032">
      <c r="AI33032" s="80"/>
    </row>
    <row r="33033">
      <c r="AI33033" s="80"/>
    </row>
    <row r="33034">
      <c r="AI33034" s="80"/>
    </row>
    <row r="33035">
      <c r="AI33035" s="80"/>
    </row>
    <row r="33036">
      <c r="AI33036" s="80"/>
    </row>
    <row r="33037">
      <c r="AI33037" s="80"/>
    </row>
    <row r="33038">
      <c r="AI33038" s="80"/>
    </row>
    <row r="33039">
      <c r="AI33039" s="80"/>
    </row>
    <row r="33040">
      <c r="AI33040" s="80"/>
    </row>
    <row r="33041">
      <c r="AI33041" s="80"/>
    </row>
    <row r="33042">
      <c r="AI33042" s="80"/>
    </row>
    <row r="33043">
      <c r="AI33043" s="80"/>
    </row>
    <row r="33044">
      <c r="AI33044" s="80"/>
    </row>
    <row r="33045">
      <c r="AI33045" s="80"/>
    </row>
    <row r="33046">
      <c r="AI33046" s="80"/>
    </row>
    <row r="33047">
      <c r="AI33047" s="80"/>
    </row>
    <row r="33048">
      <c r="AI33048" s="80"/>
    </row>
    <row r="33049">
      <c r="AI33049" s="80"/>
    </row>
    <row r="33050">
      <c r="AI33050" s="80"/>
    </row>
    <row r="33051">
      <c r="AI33051" s="80"/>
    </row>
    <row r="33052">
      <c r="AI33052" s="80"/>
    </row>
    <row r="33053">
      <c r="AI33053" s="80"/>
    </row>
    <row r="33054">
      <c r="AI33054" s="80"/>
    </row>
    <row r="33055">
      <c r="AI33055" s="80"/>
    </row>
    <row r="33056">
      <c r="AI33056" s="80"/>
    </row>
    <row r="33057">
      <c r="AI33057" s="80"/>
    </row>
    <row r="33058">
      <c r="AI33058" s="80"/>
    </row>
    <row r="33059">
      <c r="AI33059" s="80"/>
    </row>
    <row r="33060">
      <c r="AI33060" s="80"/>
    </row>
    <row r="33061">
      <c r="AI33061" s="80"/>
    </row>
    <row r="33062">
      <c r="AI33062" s="80"/>
    </row>
    <row r="33063">
      <c r="AI33063" s="80"/>
    </row>
    <row r="33064">
      <c r="AI33064" s="80"/>
    </row>
    <row r="33065">
      <c r="AI33065" s="80"/>
    </row>
    <row r="33066">
      <c r="AI33066" s="80"/>
    </row>
    <row r="33067">
      <c r="AI33067" s="80"/>
    </row>
    <row r="33068">
      <c r="AI33068" s="80"/>
    </row>
    <row r="33069">
      <c r="AI33069" s="80"/>
    </row>
    <row r="33070">
      <c r="AI33070" s="80"/>
    </row>
    <row r="33071">
      <c r="AI33071" s="80"/>
    </row>
    <row r="33072">
      <c r="AI33072" s="80"/>
    </row>
    <row r="33073">
      <c r="AI33073" s="80"/>
    </row>
    <row r="33074">
      <c r="AI33074" s="80"/>
    </row>
    <row r="33075">
      <c r="AI33075" s="80"/>
    </row>
    <row r="33076">
      <c r="AI33076" s="80"/>
    </row>
    <row r="33077">
      <c r="AI33077" s="80"/>
    </row>
    <row r="33078">
      <c r="AI33078" s="80"/>
    </row>
    <row r="33079">
      <c r="AI33079" s="80"/>
    </row>
    <row r="33080">
      <c r="AI33080" s="80"/>
    </row>
    <row r="33081">
      <c r="AI33081" s="80"/>
    </row>
    <row r="33082">
      <c r="AI33082" s="80"/>
    </row>
    <row r="33083">
      <c r="AI33083" s="80"/>
    </row>
    <row r="33084">
      <c r="AI33084" s="80"/>
    </row>
    <row r="33085">
      <c r="AI33085" s="80"/>
    </row>
    <row r="33086">
      <c r="AI33086" s="80"/>
    </row>
    <row r="33087">
      <c r="AI33087" s="80"/>
    </row>
    <row r="33088">
      <c r="AI33088" s="80"/>
    </row>
    <row r="33089">
      <c r="AI33089" s="80"/>
    </row>
    <row r="33090">
      <c r="AI33090" s="80"/>
    </row>
    <row r="33091">
      <c r="AI33091" s="80"/>
    </row>
    <row r="33092">
      <c r="AI33092" s="80"/>
    </row>
    <row r="33093">
      <c r="AI33093" s="80"/>
    </row>
    <row r="33094">
      <c r="AI33094" s="80"/>
    </row>
    <row r="33095">
      <c r="AI33095" s="80"/>
    </row>
    <row r="33096">
      <c r="AI33096" s="80"/>
    </row>
    <row r="33097">
      <c r="AI33097" s="80"/>
    </row>
    <row r="33098">
      <c r="AI33098" s="80"/>
    </row>
    <row r="33099">
      <c r="AI33099" s="80"/>
    </row>
    <row r="33100">
      <c r="AI33100" s="80"/>
    </row>
    <row r="33101">
      <c r="AI33101" s="80"/>
    </row>
    <row r="33102">
      <c r="AI33102" s="80"/>
    </row>
    <row r="33103">
      <c r="AI33103" s="80"/>
    </row>
    <row r="33104">
      <c r="AI33104" s="80"/>
    </row>
    <row r="33105">
      <c r="AI33105" s="80"/>
    </row>
    <row r="33106">
      <c r="AI33106" s="80"/>
    </row>
    <row r="33107">
      <c r="AI33107" s="80"/>
    </row>
    <row r="33108">
      <c r="AI33108" s="80"/>
    </row>
    <row r="33109">
      <c r="AI33109" s="80"/>
    </row>
    <row r="33110">
      <c r="AI33110" s="80"/>
    </row>
    <row r="33111">
      <c r="AI33111" s="80"/>
    </row>
    <row r="33112">
      <c r="AI33112" s="80"/>
    </row>
    <row r="33113">
      <c r="AI33113" s="80"/>
    </row>
    <row r="33114">
      <c r="AI33114" s="80"/>
    </row>
    <row r="33115">
      <c r="AI33115" s="80"/>
    </row>
    <row r="33116">
      <c r="AI33116" s="80"/>
    </row>
    <row r="33117">
      <c r="AI33117" s="80"/>
    </row>
    <row r="33118">
      <c r="AI33118" s="80"/>
    </row>
    <row r="33119">
      <c r="AI33119" s="80"/>
    </row>
    <row r="33120">
      <c r="AI33120" s="80"/>
    </row>
    <row r="33121">
      <c r="AI33121" s="80"/>
    </row>
    <row r="33122">
      <c r="AI33122" s="80"/>
    </row>
    <row r="33123">
      <c r="AI33123" s="80"/>
    </row>
    <row r="33124">
      <c r="AI33124" s="80"/>
    </row>
    <row r="33125">
      <c r="AI33125" s="80"/>
    </row>
    <row r="33126">
      <c r="AI33126" s="80"/>
    </row>
    <row r="33127">
      <c r="AI33127" s="80"/>
    </row>
    <row r="33128">
      <c r="AI33128" s="80"/>
    </row>
    <row r="33129">
      <c r="AI33129" s="80"/>
    </row>
    <row r="33130">
      <c r="AI33130" s="80"/>
    </row>
    <row r="33131">
      <c r="AI33131" s="80"/>
    </row>
    <row r="33132">
      <c r="AI33132" s="80"/>
    </row>
    <row r="33133">
      <c r="AI33133" s="80"/>
    </row>
    <row r="33134">
      <c r="AI33134" s="80"/>
    </row>
    <row r="33135">
      <c r="AI33135" s="80"/>
    </row>
    <row r="33136">
      <c r="AI33136" s="80"/>
    </row>
    <row r="33137">
      <c r="AI33137" s="80"/>
    </row>
    <row r="33138">
      <c r="AI33138" s="80"/>
    </row>
    <row r="33139">
      <c r="AI33139" s="80"/>
    </row>
    <row r="33140">
      <c r="AI33140" s="80"/>
    </row>
    <row r="33141">
      <c r="AI33141" s="80"/>
    </row>
    <row r="33142">
      <c r="AI33142" s="80"/>
    </row>
    <row r="33143">
      <c r="AI33143" s="80"/>
    </row>
    <row r="33144">
      <c r="AI33144" s="80"/>
    </row>
    <row r="33145">
      <c r="AI33145" s="80"/>
    </row>
    <row r="33146">
      <c r="AI33146" s="80"/>
    </row>
    <row r="33147">
      <c r="AI33147" s="80"/>
    </row>
    <row r="33148">
      <c r="AI33148" s="80"/>
    </row>
    <row r="33149">
      <c r="AI33149" s="80"/>
    </row>
    <row r="33150">
      <c r="AI33150" s="80"/>
    </row>
    <row r="33151">
      <c r="AI33151" s="80"/>
    </row>
    <row r="33152">
      <c r="AI33152" s="80"/>
    </row>
    <row r="33153">
      <c r="AI33153" s="80"/>
    </row>
    <row r="33154">
      <c r="AI33154" s="80"/>
    </row>
    <row r="33155">
      <c r="AI33155" s="80"/>
    </row>
    <row r="33156">
      <c r="AI33156" s="80"/>
    </row>
    <row r="33157">
      <c r="AI33157" s="80"/>
    </row>
    <row r="33158">
      <c r="AI33158" s="80"/>
    </row>
    <row r="33159">
      <c r="AI33159" s="80"/>
    </row>
    <row r="33160">
      <c r="AI33160" s="80"/>
    </row>
    <row r="33161">
      <c r="AI33161" s="80"/>
    </row>
    <row r="33162">
      <c r="AI33162" s="80"/>
    </row>
    <row r="33163">
      <c r="AI33163" s="80"/>
    </row>
    <row r="33164">
      <c r="AI33164" s="80"/>
    </row>
    <row r="33165">
      <c r="AI33165" s="80"/>
    </row>
    <row r="33166">
      <c r="AI33166" s="80"/>
    </row>
    <row r="33167">
      <c r="AI33167" s="80"/>
    </row>
    <row r="33168">
      <c r="AI33168" s="80"/>
    </row>
    <row r="33169">
      <c r="AI33169" s="80"/>
    </row>
    <row r="33170">
      <c r="AI33170" s="80"/>
    </row>
    <row r="33171">
      <c r="AI33171" s="80"/>
    </row>
    <row r="33172">
      <c r="AI33172" s="80"/>
    </row>
    <row r="33173">
      <c r="AI33173" s="80"/>
    </row>
    <row r="33174">
      <c r="AI33174" s="80"/>
    </row>
    <row r="33175">
      <c r="AI33175" s="80"/>
    </row>
    <row r="33176">
      <c r="AI33176" s="80"/>
    </row>
    <row r="33177">
      <c r="AI33177" s="80"/>
    </row>
    <row r="33178">
      <c r="AI33178" s="80"/>
    </row>
    <row r="33179">
      <c r="AI33179" s="80"/>
    </row>
    <row r="33180">
      <c r="AI33180" s="80"/>
    </row>
    <row r="33181">
      <c r="AI33181" s="80"/>
    </row>
    <row r="33182">
      <c r="AI33182" s="80"/>
    </row>
    <row r="33183">
      <c r="AI33183" s="80"/>
    </row>
    <row r="33184">
      <c r="AI33184" s="80"/>
    </row>
    <row r="33185">
      <c r="AI33185" s="80"/>
    </row>
    <row r="33186">
      <c r="AI33186" s="80"/>
    </row>
    <row r="33187">
      <c r="AI33187" s="80"/>
    </row>
    <row r="33188">
      <c r="AI33188" s="80"/>
    </row>
    <row r="33189">
      <c r="AI33189" s="80"/>
    </row>
    <row r="33190">
      <c r="AI33190" s="80"/>
    </row>
    <row r="33191">
      <c r="AI33191" s="80"/>
    </row>
    <row r="33192">
      <c r="AI33192" s="80"/>
    </row>
    <row r="33193">
      <c r="AI33193" s="80"/>
    </row>
    <row r="33194">
      <c r="AI33194" s="80"/>
    </row>
    <row r="33195">
      <c r="AI33195" s="80"/>
    </row>
    <row r="33196">
      <c r="AI33196" s="80"/>
    </row>
    <row r="33197">
      <c r="AI33197" s="80"/>
    </row>
    <row r="33198">
      <c r="AI33198" s="80"/>
    </row>
    <row r="33199">
      <c r="AI33199" s="80"/>
    </row>
    <row r="33200">
      <c r="AI33200" s="80"/>
    </row>
    <row r="33201">
      <c r="AI33201" s="80"/>
    </row>
    <row r="33202">
      <c r="AI33202" s="80"/>
    </row>
    <row r="33203">
      <c r="AI33203" s="80"/>
    </row>
    <row r="33204">
      <c r="AI33204" s="80"/>
    </row>
    <row r="33205">
      <c r="AI33205" s="80"/>
    </row>
    <row r="33206">
      <c r="AI33206" s="80"/>
    </row>
    <row r="33207">
      <c r="AI33207" s="80"/>
    </row>
    <row r="33208">
      <c r="AI33208" s="80"/>
    </row>
    <row r="33209">
      <c r="AI33209" s="80"/>
    </row>
    <row r="33210">
      <c r="AI33210" s="80"/>
    </row>
    <row r="33211">
      <c r="AI33211" s="80"/>
    </row>
    <row r="33212">
      <c r="AI33212" s="80"/>
    </row>
    <row r="33213">
      <c r="AI33213" s="80"/>
    </row>
    <row r="33214">
      <c r="AI33214" s="80"/>
    </row>
    <row r="33215">
      <c r="AI33215" s="80"/>
    </row>
    <row r="33216">
      <c r="AI33216" s="80"/>
    </row>
    <row r="33217">
      <c r="AI33217" s="80"/>
    </row>
    <row r="33218">
      <c r="AI33218" s="80"/>
    </row>
    <row r="33219">
      <c r="AI33219" s="80"/>
    </row>
    <row r="33220">
      <c r="AI33220" s="80"/>
    </row>
    <row r="33221">
      <c r="AI33221" s="80"/>
    </row>
    <row r="33222">
      <c r="AI33222" s="80"/>
    </row>
    <row r="33223">
      <c r="AI33223" s="80"/>
    </row>
    <row r="33224">
      <c r="AI33224" s="80"/>
    </row>
    <row r="33225">
      <c r="AI33225" s="80"/>
    </row>
    <row r="33226">
      <c r="AI33226" s="80"/>
    </row>
    <row r="33227">
      <c r="AI33227" s="80"/>
    </row>
    <row r="33228">
      <c r="AI33228" s="80"/>
    </row>
    <row r="33229">
      <c r="AI33229" s="80"/>
    </row>
    <row r="33230">
      <c r="AI33230" s="80"/>
    </row>
    <row r="33231">
      <c r="AI33231" s="80"/>
    </row>
    <row r="33232">
      <c r="AI33232" s="80"/>
    </row>
    <row r="33233">
      <c r="AI33233" s="80"/>
    </row>
    <row r="33234">
      <c r="AI33234" s="80"/>
    </row>
    <row r="33235">
      <c r="AI33235" s="80"/>
    </row>
    <row r="33236">
      <c r="AI33236" s="80"/>
    </row>
    <row r="33237">
      <c r="AI33237" s="80"/>
    </row>
    <row r="33238">
      <c r="AI33238" s="80"/>
    </row>
    <row r="33239">
      <c r="AI33239" s="80"/>
    </row>
    <row r="33240">
      <c r="AI33240" s="80"/>
    </row>
    <row r="33241">
      <c r="AI33241" s="80"/>
    </row>
    <row r="33242">
      <c r="AI33242" s="80"/>
    </row>
    <row r="33243">
      <c r="AI33243" s="80"/>
    </row>
    <row r="33244">
      <c r="AI33244" s="80"/>
    </row>
    <row r="33245">
      <c r="AI33245" s="80"/>
    </row>
    <row r="33246">
      <c r="AI33246" s="80"/>
    </row>
    <row r="33247">
      <c r="AI33247" s="80"/>
    </row>
    <row r="33248">
      <c r="AI33248" s="80"/>
    </row>
    <row r="33249">
      <c r="AI33249" s="80"/>
    </row>
    <row r="33250">
      <c r="AI33250" s="80"/>
    </row>
    <row r="33251">
      <c r="AI33251" s="80"/>
    </row>
    <row r="33252">
      <c r="AI33252" s="80"/>
    </row>
    <row r="33253">
      <c r="AI33253" s="80"/>
    </row>
    <row r="33254">
      <c r="AI33254" s="80"/>
    </row>
    <row r="33255">
      <c r="AI33255" s="80"/>
    </row>
    <row r="33256">
      <c r="AI33256" s="80"/>
    </row>
    <row r="33257">
      <c r="AI33257" s="80"/>
    </row>
    <row r="33258">
      <c r="AI33258" s="80"/>
    </row>
    <row r="33259">
      <c r="AI33259" s="80"/>
    </row>
    <row r="33260">
      <c r="AI33260" s="80"/>
    </row>
    <row r="33261">
      <c r="AI33261" s="80"/>
    </row>
    <row r="33262">
      <c r="AI33262" s="80"/>
    </row>
    <row r="33263">
      <c r="AI33263" s="80"/>
    </row>
    <row r="33264">
      <c r="AI33264" s="80"/>
    </row>
    <row r="33265">
      <c r="AI33265" s="80"/>
    </row>
    <row r="33266">
      <c r="AI33266" s="80"/>
    </row>
    <row r="33267">
      <c r="AI33267" s="80"/>
    </row>
    <row r="33268">
      <c r="AI33268" s="80"/>
    </row>
    <row r="33269">
      <c r="AI33269" s="80"/>
    </row>
    <row r="33270">
      <c r="AI33270" s="80"/>
    </row>
    <row r="33271">
      <c r="AI33271" s="80"/>
    </row>
    <row r="33272">
      <c r="AI33272" s="80"/>
    </row>
    <row r="33273">
      <c r="AI33273" s="80"/>
    </row>
    <row r="33274">
      <c r="AI33274" s="80"/>
    </row>
    <row r="33275">
      <c r="AI33275" s="80"/>
    </row>
    <row r="33276">
      <c r="AI33276" s="80"/>
    </row>
    <row r="33277">
      <c r="AI33277" s="80"/>
    </row>
    <row r="33278">
      <c r="AI33278" s="80"/>
    </row>
    <row r="33279">
      <c r="AI33279" s="80"/>
    </row>
    <row r="33280">
      <c r="AI33280" s="80"/>
    </row>
    <row r="33281">
      <c r="AI33281" s="80"/>
    </row>
    <row r="33282">
      <c r="AI33282" s="80"/>
    </row>
    <row r="33283">
      <c r="AI33283" s="80"/>
    </row>
    <row r="33284">
      <c r="AI33284" s="80"/>
    </row>
    <row r="33285">
      <c r="AI33285" s="80"/>
    </row>
    <row r="33286">
      <c r="AI33286" s="80"/>
    </row>
    <row r="33287">
      <c r="AI33287" s="80"/>
    </row>
    <row r="33288">
      <c r="AI33288" s="80"/>
    </row>
    <row r="33289">
      <c r="AI33289" s="80"/>
    </row>
    <row r="33290">
      <c r="AI33290" s="80"/>
    </row>
    <row r="33291">
      <c r="AI33291" s="80"/>
    </row>
    <row r="33292">
      <c r="AI33292" s="80"/>
    </row>
    <row r="33293">
      <c r="AI33293" s="80"/>
    </row>
    <row r="33294">
      <c r="AI33294" s="80"/>
    </row>
    <row r="33295">
      <c r="AI33295" s="80"/>
    </row>
    <row r="33296">
      <c r="AI33296" s="80"/>
    </row>
    <row r="33297">
      <c r="AI33297" s="80"/>
    </row>
    <row r="33298">
      <c r="AI33298" s="80"/>
    </row>
    <row r="33299">
      <c r="AI33299" s="80"/>
    </row>
    <row r="33300">
      <c r="AI33300" s="80"/>
    </row>
    <row r="33301">
      <c r="AI33301" s="80"/>
    </row>
    <row r="33302">
      <c r="AI33302" s="80"/>
    </row>
    <row r="33303">
      <c r="AI33303" s="80"/>
    </row>
    <row r="33304">
      <c r="AI33304" s="80"/>
    </row>
    <row r="33305">
      <c r="AI33305" s="80"/>
    </row>
    <row r="33306">
      <c r="AI33306" s="80"/>
    </row>
    <row r="33307">
      <c r="AI33307" s="80"/>
    </row>
    <row r="33308">
      <c r="AI33308" s="80"/>
    </row>
    <row r="33309">
      <c r="AI33309" s="80"/>
    </row>
    <row r="33310">
      <c r="AI33310" s="80"/>
    </row>
    <row r="33311">
      <c r="AI33311" s="80"/>
    </row>
    <row r="33312">
      <c r="AI33312" s="80"/>
    </row>
    <row r="33313">
      <c r="AI33313" s="80"/>
    </row>
    <row r="33314">
      <c r="AI33314" s="80"/>
    </row>
    <row r="33315">
      <c r="AI33315" s="80"/>
    </row>
    <row r="33316">
      <c r="AI33316" s="80"/>
    </row>
    <row r="33317">
      <c r="AI33317" s="80"/>
    </row>
    <row r="33318">
      <c r="AI33318" s="80"/>
    </row>
    <row r="33319">
      <c r="AI33319" s="80"/>
    </row>
    <row r="33320">
      <c r="AI33320" s="80"/>
    </row>
    <row r="33321">
      <c r="AI33321" s="80"/>
    </row>
    <row r="33322">
      <c r="AI33322" s="80"/>
    </row>
    <row r="33323">
      <c r="AI33323" s="80"/>
    </row>
    <row r="33324">
      <c r="AI33324" s="80"/>
    </row>
    <row r="33325">
      <c r="AI33325" s="80"/>
    </row>
    <row r="33326">
      <c r="AI33326" s="80"/>
    </row>
    <row r="33327">
      <c r="AI33327" s="80"/>
    </row>
    <row r="33328">
      <c r="AI33328" s="80"/>
    </row>
    <row r="33329">
      <c r="AI33329" s="80"/>
    </row>
    <row r="33330">
      <c r="AI33330" s="80"/>
    </row>
    <row r="33331">
      <c r="AI33331" s="80"/>
    </row>
    <row r="33332">
      <c r="AI33332" s="80"/>
    </row>
    <row r="33333">
      <c r="AI33333" s="80"/>
    </row>
    <row r="33334">
      <c r="AI33334" s="80"/>
    </row>
    <row r="33335">
      <c r="AI33335" s="80"/>
    </row>
    <row r="33336">
      <c r="AI33336" s="80"/>
    </row>
    <row r="33337">
      <c r="AI33337" s="80"/>
    </row>
    <row r="33338">
      <c r="AI33338" s="80"/>
    </row>
    <row r="33339">
      <c r="AI33339" s="80"/>
    </row>
    <row r="33340">
      <c r="AI33340" s="80"/>
    </row>
    <row r="33341">
      <c r="AI33341" s="80"/>
    </row>
    <row r="33342">
      <c r="AI33342" s="80"/>
    </row>
    <row r="33343">
      <c r="AI33343" s="80"/>
    </row>
    <row r="33344">
      <c r="AI33344" s="80"/>
    </row>
    <row r="33345">
      <c r="AI33345" s="80"/>
    </row>
    <row r="33346">
      <c r="AI33346" s="80"/>
    </row>
    <row r="33347">
      <c r="AI33347" s="80"/>
    </row>
    <row r="33348">
      <c r="AI33348" s="80"/>
    </row>
    <row r="33349">
      <c r="AI33349" s="80"/>
    </row>
    <row r="33350">
      <c r="AI33350" s="80"/>
    </row>
    <row r="33351">
      <c r="AI33351" s="80"/>
    </row>
    <row r="33352">
      <c r="AI33352" s="80"/>
    </row>
    <row r="33353">
      <c r="AI33353" s="80"/>
    </row>
    <row r="33354">
      <c r="AI33354" s="80"/>
    </row>
    <row r="33355">
      <c r="AI33355" s="80"/>
    </row>
    <row r="33356">
      <c r="AI33356" s="80"/>
    </row>
    <row r="33357">
      <c r="AI33357" s="80"/>
    </row>
    <row r="33358">
      <c r="AI33358" s="80"/>
    </row>
    <row r="33359">
      <c r="AI33359" s="80"/>
    </row>
    <row r="33360">
      <c r="AI33360" s="80"/>
    </row>
    <row r="33361">
      <c r="AI33361" s="80"/>
    </row>
    <row r="33362">
      <c r="AI33362" s="80"/>
    </row>
    <row r="33363">
      <c r="AI33363" s="80"/>
    </row>
    <row r="33364">
      <c r="AI33364" s="80"/>
    </row>
    <row r="33365">
      <c r="AI33365" s="80"/>
    </row>
    <row r="33366">
      <c r="AI33366" s="80"/>
    </row>
    <row r="33367">
      <c r="AI33367" s="80"/>
    </row>
    <row r="33368">
      <c r="AI33368" s="80"/>
    </row>
    <row r="33369">
      <c r="AI33369" s="80"/>
    </row>
    <row r="33370">
      <c r="AI33370" s="80"/>
    </row>
    <row r="33371">
      <c r="AI33371" s="80"/>
    </row>
    <row r="33372">
      <c r="AI33372" s="80"/>
    </row>
    <row r="33373">
      <c r="AI33373" s="80"/>
    </row>
    <row r="33374">
      <c r="AI33374" s="80"/>
    </row>
    <row r="33375">
      <c r="AI33375" s="80"/>
    </row>
    <row r="33376">
      <c r="AI33376" s="80"/>
    </row>
    <row r="33377">
      <c r="AI33377" s="80"/>
    </row>
    <row r="33378">
      <c r="AI33378" s="80"/>
    </row>
    <row r="33379">
      <c r="AI33379" s="80"/>
    </row>
    <row r="33380">
      <c r="AI33380" s="80"/>
    </row>
    <row r="33381">
      <c r="AI33381" s="80"/>
    </row>
    <row r="33382">
      <c r="AI33382" s="80"/>
    </row>
    <row r="33383">
      <c r="AI33383" s="80"/>
    </row>
    <row r="33384">
      <c r="AI33384" s="80"/>
    </row>
    <row r="33385">
      <c r="AI33385" s="80"/>
    </row>
    <row r="33386">
      <c r="AI33386" s="80"/>
    </row>
    <row r="33387">
      <c r="AI33387" s="80"/>
    </row>
    <row r="33388">
      <c r="AI33388" s="80"/>
    </row>
    <row r="33389">
      <c r="AI33389" s="80"/>
    </row>
    <row r="33390">
      <c r="AI33390" s="80"/>
    </row>
    <row r="33391">
      <c r="AI33391" s="80"/>
    </row>
    <row r="33392">
      <c r="AI33392" s="80"/>
    </row>
    <row r="33393">
      <c r="AI33393" s="80"/>
    </row>
    <row r="33394">
      <c r="AI33394" s="80"/>
    </row>
    <row r="33395">
      <c r="AI33395" s="80"/>
    </row>
    <row r="33396">
      <c r="AI33396" s="80"/>
    </row>
    <row r="33397">
      <c r="AI33397" s="80"/>
    </row>
    <row r="33398">
      <c r="AI33398" s="80"/>
    </row>
    <row r="33399">
      <c r="AI33399" s="80"/>
    </row>
    <row r="33400">
      <c r="AI33400" s="80"/>
    </row>
    <row r="33401">
      <c r="AI33401" s="80"/>
    </row>
    <row r="33402">
      <c r="AI33402" s="80"/>
    </row>
    <row r="33403">
      <c r="AI33403" s="80"/>
    </row>
    <row r="33404">
      <c r="AI33404" s="80"/>
    </row>
    <row r="33405">
      <c r="AI33405" s="80"/>
    </row>
    <row r="33406">
      <c r="AI33406" s="80"/>
    </row>
    <row r="33407">
      <c r="AI33407" s="80"/>
    </row>
    <row r="33408">
      <c r="AI33408" s="80"/>
    </row>
    <row r="33409">
      <c r="AI33409" s="80"/>
    </row>
    <row r="33410">
      <c r="AI33410" s="80"/>
    </row>
    <row r="33411">
      <c r="AI33411" s="80"/>
    </row>
    <row r="33412">
      <c r="AI33412" s="80"/>
    </row>
    <row r="33413">
      <c r="AI33413" s="80"/>
    </row>
    <row r="33414">
      <c r="AI33414" s="80"/>
    </row>
    <row r="33415">
      <c r="AI33415" s="80"/>
    </row>
    <row r="33416">
      <c r="AI33416" s="80"/>
    </row>
    <row r="33417">
      <c r="AI33417" s="80"/>
    </row>
    <row r="33418">
      <c r="AI33418" s="80"/>
    </row>
    <row r="33419">
      <c r="AI33419" s="80"/>
    </row>
    <row r="33420">
      <c r="AI33420" s="80"/>
    </row>
    <row r="33421">
      <c r="AI33421" s="80"/>
    </row>
    <row r="33422">
      <c r="AI33422" s="80"/>
    </row>
    <row r="33423">
      <c r="AI33423" s="80"/>
    </row>
    <row r="33424">
      <c r="AI33424" s="80"/>
    </row>
    <row r="33425">
      <c r="AI33425" s="80"/>
    </row>
    <row r="33426">
      <c r="AI33426" s="80"/>
    </row>
    <row r="33427">
      <c r="AI33427" s="80"/>
    </row>
    <row r="33428">
      <c r="AI33428" s="80"/>
    </row>
    <row r="33429">
      <c r="AI33429" s="80"/>
    </row>
    <row r="33430">
      <c r="AI33430" s="80"/>
    </row>
    <row r="33431">
      <c r="AI33431" s="80"/>
    </row>
    <row r="33432">
      <c r="AI33432" s="80"/>
    </row>
    <row r="33433">
      <c r="AI33433" s="80"/>
    </row>
    <row r="33434">
      <c r="AI33434" s="80"/>
    </row>
    <row r="33435">
      <c r="AI33435" s="80"/>
    </row>
    <row r="33436">
      <c r="AI33436" s="80"/>
    </row>
    <row r="33437">
      <c r="AI33437" s="80"/>
    </row>
    <row r="33438">
      <c r="AI33438" s="80"/>
    </row>
    <row r="33439">
      <c r="AI33439" s="80"/>
    </row>
    <row r="33440">
      <c r="AI33440" s="80"/>
    </row>
    <row r="33441">
      <c r="AI33441" s="80"/>
    </row>
    <row r="33442">
      <c r="AI33442" s="80"/>
    </row>
    <row r="33443">
      <c r="AI33443" s="80"/>
    </row>
    <row r="33444">
      <c r="AI33444" s="80"/>
    </row>
    <row r="33445">
      <c r="AI33445" s="80"/>
    </row>
    <row r="33446">
      <c r="AI33446" s="80"/>
    </row>
    <row r="33447">
      <c r="AI33447" s="80"/>
    </row>
    <row r="33448">
      <c r="AI33448" s="80"/>
    </row>
    <row r="33449">
      <c r="AI33449" s="80"/>
    </row>
    <row r="33450">
      <c r="AI33450" s="80"/>
    </row>
    <row r="33451">
      <c r="AI33451" s="80"/>
    </row>
    <row r="33452">
      <c r="AI33452" s="80"/>
    </row>
    <row r="33453">
      <c r="AI33453" s="80"/>
    </row>
    <row r="33454">
      <c r="AI33454" s="80"/>
    </row>
    <row r="33455">
      <c r="AI33455" s="80"/>
    </row>
    <row r="33456">
      <c r="AI33456" s="80"/>
    </row>
    <row r="33457">
      <c r="AI33457" s="80"/>
    </row>
    <row r="33458">
      <c r="AI33458" s="80"/>
    </row>
    <row r="33459">
      <c r="AI33459" s="80"/>
    </row>
    <row r="33460">
      <c r="AI33460" s="80"/>
    </row>
    <row r="33461">
      <c r="AI33461" s="80"/>
    </row>
    <row r="33462">
      <c r="AI33462" s="80"/>
    </row>
    <row r="33463">
      <c r="AI33463" s="80"/>
    </row>
    <row r="33464">
      <c r="AI33464" s="80"/>
    </row>
    <row r="33465">
      <c r="AI33465" s="80"/>
    </row>
    <row r="33466">
      <c r="AI33466" s="80"/>
    </row>
    <row r="33467">
      <c r="AI33467" s="80"/>
    </row>
    <row r="33468">
      <c r="AI33468" s="80"/>
    </row>
    <row r="33469">
      <c r="AI33469" s="80"/>
    </row>
    <row r="33470">
      <c r="AI33470" s="80"/>
    </row>
    <row r="33471">
      <c r="AI33471" s="80"/>
    </row>
    <row r="33472">
      <c r="AI33472" s="80"/>
    </row>
    <row r="33473">
      <c r="AI33473" s="80"/>
    </row>
    <row r="33474">
      <c r="AI33474" s="80"/>
    </row>
    <row r="33475">
      <c r="AI33475" s="80"/>
    </row>
    <row r="33476">
      <c r="AI33476" s="80"/>
    </row>
    <row r="33477">
      <c r="AI33477" s="80"/>
    </row>
    <row r="33478">
      <c r="AI33478" s="80"/>
    </row>
    <row r="33479">
      <c r="AI33479" s="80"/>
    </row>
    <row r="33480">
      <c r="AI33480" s="80"/>
    </row>
    <row r="33481">
      <c r="AI33481" s="80"/>
    </row>
    <row r="33482">
      <c r="AI33482" s="80"/>
    </row>
    <row r="33483">
      <c r="AI33483" s="80"/>
    </row>
    <row r="33484">
      <c r="AI33484" s="80"/>
    </row>
    <row r="33485">
      <c r="AI33485" s="80"/>
    </row>
    <row r="33486">
      <c r="AI33486" s="80"/>
    </row>
    <row r="33487">
      <c r="AI33487" s="80"/>
    </row>
    <row r="33488">
      <c r="AI33488" s="80"/>
    </row>
    <row r="33489">
      <c r="AI33489" s="80"/>
    </row>
    <row r="33490">
      <c r="AI33490" s="80"/>
    </row>
    <row r="33491">
      <c r="AI33491" s="80"/>
    </row>
    <row r="33492">
      <c r="AI33492" s="80"/>
    </row>
    <row r="33493">
      <c r="AI33493" s="80"/>
    </row>
    <row r="33494">
      <c r="AI33494" s="80"/>
    </row>
    <row r="33495">
      <c r="AI33495" s="80"/>
    </row>
    <row r="33496">
      <c r="AI33496" s="80"/>
    </row>
    <row r="33497">
      <c r="AI33497" s="80"/>
    </row>
    <row r="33498">
      <c r="AI33498" s="80"/>
    </row>
    <row r="33499">
      <c r="AI33499" s="80"/>
    </row>
    <row r="33500">
      <c r="AI33500" s="80"/>
    </row>
    <row r="33501">
      <c r="AI33501" s="80"/>
    </row>
    <row r="33502">
      <c r="AI33502" s="80"/>
    </row>
    <row r="33503">
      <c r="AI33503" s="80"/>
    </row>
    <row r="33504">
      <c r="AI33504" s="80"/>
    </row>
    <row r="33505">
      <c r="AI33505" s="80"/>
    </row>
    <row r="33506">
      <c r="AI33506" s="80"/>
    </row>
    <row r="33507">
      <c r="AI33507" s="80"/>
    </row>
    <row r="33508">
      <c r="AI33508" s="80"/>
    </row>
    <row r="33509">
      <c r="AI33509" s="80"/>
    </row>
    <row r="33510">
      <c r="AI33510" s="80"/>
    </row>
    <row r="33511">
      <c r="AI33511" s="80"/>
    </row>
    <row r="33512">
      <c r="AI33512" s="80"/>
    </row>
    <row r="33513">
      <c r="AI33513" s="80"/>
    </row>
    <row r="33514">
      <c r="AI33514" s="80"/>
    </row>
    <row r="33515">
      <c r="AI33515" s="80"/>
    </row>
    <row r="33516">
      <c r="AI33516" s="80"/>
    </row>
    <row r="33517">
      <c r="AI33517" s="80"/>
    </row>
    <row r="33518">
      <c r="AI33518" s="80"/>
    </row>
    <row r="33519">
      <c r="AI33519" s="80"/>
    </row>
    <row r="33520">
      <c r="AI33520" s="80"/>
    </row>
    <row r="33521">
      <c r="AI33521" s="80"/>
    </row>
    <row r="33522">
      <c r="AI33522" s="80"/>
    </row>
    <row r="33523">
      <c r="AI33523" s="80"/>
    </row>
    <row r="33524">
      <c r="AI33524" s="80"/>
    </row>
    <row r="33525">
      <c r="AI33525" s="80"/>
    </row>
    <row r="33526">
      <c r="AI33526" s="80"/>
    </row>
    <row r="33527">
      <c r="AI33527" s="80"/>
    </row>
    <row r="33528">
      <c r="AI33528" s="80"/>
    </row>
    <row r="33529">
      <c r="AI33529" s="80"/>
    </row>
    <row r="33530">
      <c r="AI33530" s="80"/>
    </row>
    <row r="33531">
      <c r="AI33531" s="80"/>
    </row>
    <row r="33532">
      <c r="AI33532" s="80"/>
    </row>
    <row r="33533">
      <c r="AI33533" s="80"/>
    </row>
    <row r="33534">
      <c r="AI33534" s="80"/>
    </row>
    <row r="33535">
      <c r="AI33535" s="80"/>
    </row>
    <row r="33536">
      <c r="AI33536" s="80"/>
    </row>
    <row r="33537">
      <c r="AI33537" s="80"/>
    </row>
    <row r="33538">
      <c r="AI33538" s="80"/>
    </row>
    <row r="33539">
      <c r="AI33539" s="80"/>
    </row>
    <row r="33540">
      <c r="AI33540" s="80"/>
    </row>
    <row r="33541">
      <c r="AI33541" s="80"/>
    </row>
    <row r="33542">
      <c r="AI33542" s="80"/>
    </row>
    <row r="33543">
      <c r="AI33543" s="80"/>
    </row>
    <row r="33544">
      <c r="AI33544" s="80"/>
    </row>
    <row r="33545">
      <c r="AI33545" s="80"/>
    </row>
    <row r="33546">
      <c r="AI33546" s="80"/>
    </row>
    <row r="33547">
      <c r="AI33547" s="80"/>
    </row>
    <row r="33548">
      <c r="AI33548" s="80"/>
    </row>
    <row r="33549">
      <c r="AI33549" s="80"/>
    </row>
    <row r="33550">
      <c r="AI33550" s="80"/>
    </row>
    <row r="33551">
      <c r="AI33551" s="80"/>
    </row>
    <row r="33552">
      <c r="AI33552" s="80"/>
    </row>
    <row r="33553">
      <c r="AI33553" s="80"/>
    </row>
    <row r="33554">
      <c r="AI33554" s="80"/>
    </row>
    <row r="33555">
      <c r="AI33555" s="80"/>
    </row>
    <row r="33556">
      <c r="AI33556" s="80"/>
    </row>
    <row r="33557">
      <c r="AI33557" s="80"/>
    </row>
    <row r="33558">
      <c r="AI33558" s="80"/>
    </row>
    <row r="33559">
      <c r="AI33559" s="80"/>
    </row>
    <row r="33560">
      <c r="AI33560" s="80"/>
    </row>
    <row r="33561">
      <c r="AI33561" s="80"/>
    </row>
    <row r="33562">
      <c r="AI33562" s="80"/>
    </row>
    <row r="33563">
      <c r="AI33563" s="80"/>
    </row>
    <row r="33564">
      <c r="AI33564" s="80"/>
    </row>
    <row r="33565">
      <c r="AI33565" s="80"/>
    </row>
    <row r="33566">
      <c r="AI33566" s="80"/>
    </row>
    <row r="33567">
      <c r="AI33567" s="80"/>
    </row>
    <row r="33568">
      <c r="AI33568" s="80"/>
    </row>
    <row r="33569">
      <c r="AI33569" s="80"/>
    </row>
    <row r="33570">
      <c r="AI33570" s="80"/>
    </row>
    <row r="33571">
      <c r="AI33571" s="80"/>
    </row>
    <row r="33572">
      <c r="AI33572" s="80"/>
    </row>
    <row r="33573">
      <c r="AI33573" s="80"/>
    </row>
    <row r="33574">
      <c r="AI33574" s="80"/>
    </row>
    <row r="33575">
      <c r="AI33575" s="80"/>
    </row>
    <row r="33576">
      <c r="AI33576" s="80"/>
    </row>
    <row r="33577">
      <c r="AI33577" s="80"/>
    </row>
    <row r="33578">
      <c r="AI33578" s="80"/>
    </row>
    <row r="33579">
      <c r="AI33579" s="80"/>
    </row>
    <row r="33580">
      <c r="AI33580" s="80"/>
    </row>
    <row r="33581">
      <c r="AI33581" s="80"/>
    </row>
    <row r="33582">
      <c r="AI33582" s="80"/>
    </row>
    <row r="33583">
      <c r="AI33583" s="80"/>
    </row>
    <row r="33584">
      <c r="AI33584" s="80"/>
    </row>
    <row r="33585">
      <c r="AI33585" s="80"/>
    </row>
    <row r="33586">
      <c r="AI33586" s="80"/>
    </row>
    <row r="33587">
      <c r="AI33587" s="80"/>
    </row>
    <row r="33588">
      <c r="AI33588" s="80"/>
    </row>
    <row r="33589">
      <c r="AI33589" s="80"/>
    </row>
    <row r="33590">
      <c r="AI33590" s="80"/>
    </row>
    <row r="33591">
      <c r="AI33591" s="80"/>
    </row>
    <row r="33592">
      <c r="AI33592" s="80"/>
    </row>
    <row r="33593">
      <c r="AI33593" s="80"/>
    </row>
    <row r="33594">
      <c r="AI33594" s="80"/>
    </row>
    <row r="33595">
      <c r="AI33595" s="80"/>
    </row>
    <row r="33596">
      <c r="AI33596" s="80"/>
    </row>
    <row r="33597">
      <c r="AI33597" s="80"/>
    </row>
    <row r="33598">
      <c r="AI33598" s="80"/>
    </row>
    <row r="33599">
      <c r="AI33599" s="80"/>
    </row>
    <row r="33600">
      <c r="AI33600" s="80"/>
    </row>
    <row r="33601">
      <c r="AI33601" s="80"/>
    </row>
    <row r="33602">
      <c r="AI33602" s="80"/>
    </row>
    <row r="33603">
      <c r="AI33603" s="80"/>
    </row>
    <row r="33604">
      <c r="AI33604" s="80"/>
    </row>
    <row r="33605">
      <c r="AI33605" s="80"/>
    </row>
    <row r="33606">
      <c r="AI33606" s="80"/>
    </row>
    <row r="33607">
      <c r="AI33607" s="80"/>
    </row>
    <row r="33608">
      <c r="AI33608" s="80"/>
    </row>
    <row r="33609">
      <c r="AI33609" s="80"/>
    </row>
    <row r="33610">
      <c r="AI33610" s="80"/>
    </row>
    <row r="33611">
      <c r="AI33611" s="80"/>
    </row>
    <row r="33612">
      <c r="AI33612" s="80"/>
    </row>
    <row r="33613">
      <c r="AI33613" s="80"/>
    </row>
    <row r="33614">
      <c r="AI33614" s="80"/>
    </row>
    <row r="33615">
      <c r="AI33615" s="80"/>
    </row>
    <row r="33616">
      <c r="AI33616" s="80"/>
    </row>
    <row r="33617">
      <c r="AI33617" s="80"/>
    </row>
    <row r="33618">
      <c r="AI33618" s="80"/>
    </row>
    <row r="33619">
      <c r="AI33619" s="80"/>
    </row>
    <row r="33620">
      <c r="AI33620" s="80"/>
    </row>
    <row r="33621">
      <c r="AI33621" s="80"/>
    </row>
    <row r="33622">
      <c r="AI33622" s="80"/>
    </row>
    <row r="33623">
      <c r="AI33623" s="80"/>
    </row>
    <row r="33624">
      <c r="AI33624" s="80"/>
    </row>
    <row r="33625">
      <c r="AI33625" s="80"/>
    </row>
    <row r="33626">
      <c r="AI33626" s="80"/>
    </row>
    <row r="33627">
      <c r="AI33627" s="80"/>
    </row>
    <row r="33628">
      <c r="AI33628" s="80"/>
    </row>
    <row r="33629">
      <c r="AI33629" s="80"/>
    </row>
    <row r="33630">
      <c r="AI33630" s="80"/>
    </row>
    <row r="33631">
      <c r="AI33631" s="80"/>
    </row>
    <row r="33632">
      <c r="AI33632" s="80"/>
    </row>
    <row r="33633">
      <c r="AI33633" s="80"/>
    </row>
    <row r="33634">
      <c r="AI33634" s="80"/>
    </row>
    <row r="33635">
      <c r="AI33635" s="80"/>
    </row>
    <row r="33636">
      <c r="AI33636" s="80"/>
    </row>
    <row r="33637">
      <c r="AI33637" s="80"/>
    </row>
    <row r="33638">
      <c r="AI33638" s="80"/>
    </row>
    <row r="33639">
      <c r="AI33639" s="80"/>
    </row>
    <row r="33640">
      <c r="AI33640" s="80"/>
    </row>
    <row r="33641">
      <c r="AI33641" s="80"/>
    </row>
    <row r="33642">
      <c r="AI33642" s="80"/>
    </row>
    <row r="33643">
      <c r="AI33643" s="80"/>
    </row>
    <row r="33644">
      <c r="AI33644" s="80"/>
    </row>
    <row r="33645">
      <c r="AI33645" s="80"/>
    </row>
    <row r="33646">
      <c r="AI33646" s="80"/>
    </row>
    <row r="33647">
      <c r="AI33647" s="80"/>
    </row>
    <row r="33648">
      <c r="AI33648" s="80"/>
    </row>
    <row r="33649">
      <c r="AI33649" s="80"/>
    </row>
    <row r="33650">
      <c r="AI33650" s="80"/>
    </row>
    <row r="33651">
      <c r="AI33651" s="80"/>
    </row>
    <row r="33652">
      <c r="AI33652" s="80"/>
    </row>
    <row r="33653">
      <c r="AI33653" s="80"/>
    </row>
    <row r="33654">
      <c r="AI33654" s="80"/>
    </row>
    <row r="33655">
      <c r="AI33655" s="80"/>
    </row>
    <row r="33656">
      <c r="AI33656" s="80"/>
    </row>
    <row r="33657">
      <c r="AI33657" s="80"/>
    </row>
    <row r="33658">
      <c r="AI33658" s="80"/>
    </row>
    <row r="33659">
      <c r="AI33659" s="80"/>
    </row>
    <row r="33660">
      <c r="AI33660" s="80"/>
    </row>
    <row r="33661">
      <c r="AI33661" s="80"/>
    </row>
    <row r="33662">
      <c r="AI33662" s="80"/>
    </row>
    <row r="33663">
      <c r="AI33663" s="80"/>
    </row>
    <row r="33664">
      <c r="AI33664" s="80"/>
    </row>
    <row r="33665">
      <c r="AI33665" s="80"/>
    </row>
    <row r="33666">
      <c r="AI33666" s="80"/>
    </row>
    <row r="33667">
      <c r="AI33667" s="80"/>
    </row>
    <row r="33668">
      <c r="AI33668" s="80"/>
    </row>
    <row r="33669">
      <c r="AI33669" s="80"/>
    </row>
    <row r="33670">
      <c r="AI33670" s="80"/>
    </row>
    <row r="33671">
      <c r="AI33671" s="80"/>
    </row>
    <row r="33672">
      <c r="AI33672" s="80"/>
    </row>
    <row r="33673">
      <c r="AI33673" s="80"/>
    </row>
    <row r="33674">
      <c r="AI33674" s="80"/>
    </row>
    <row r="33675">
      <c r="AI33675" s="80"/>
    </row>
    <row r="33676">
      <c r="AI33676" s="80"/>
    </row>
    <row r="33677">
      <c r="AI33677" s="80"/>
    </row>
    <row r="33678">
      <c r="AI33678" s="80"/>
    </row>
    <row r="33679">
      <c r="AI33679" s="80"/>
    </row>
    <row r="33680">
      <c r="AI33680" s="80"/>
    </row>
    <row r="33681">
      <c r="AI33681" s="80"/>
    </row>
    <row r="33682">
      <c r="AI33682" s="80"/>
    </row>
    <row r="33683">
      <c r="AI33683" s="80"/>
    </row>
    <row r="33684">
      <c r="AI33684" s="80"/>
    </row>
    <row r="33685">
      <c r="AI33685" s="80"/>
    </row>
    <row r="33686">
      <c r="AI33686" s="80"/>
    </row>
    <row r="33687">
      <c r="AI33687" s="80"/>
    </row>
    <row r="33688">
      <c r="AI33688" s="80"/>
    </row>
    <row r="33689">
      <c r="AI33689" s="80"/>
    </row>
    <row r="33690">
      <c r="AI33690" s="80"/>
    </row>
    <row r="33691">
      <c r="AI33691" s="80"/>
    </row>
    <row r="33692">
      <c r="AI33692" s="80"/>
    </row>
    <row r="33693">
      <c r="AI33693" s="80"/>
    </row>
    <row r="33694">
      <c r="AI33694" s="80"/>
    </row>
    <row r="33695">
      <c r="AI33695" s="80"/>
    </row>
    <row r="33696">
      <c r="AI33696" s="80"/>
    </row>
    <row r="33697">
      <c r="AI33697" s="80"/>
    </row>
    <row r="33698">
      <c r="AI33698" s="80"/>
    </row>
    <row r="33699">
      <c r="AI33699" s="80"/>
    </row>
    <row r="33700">
      <c r="AI33700" s="80"/>
    </row>
    <row r="33701">
      <c r="AI33701" s="80"/>
    </row>
    <row r="33702">
      <c r="AI33702" s="80"/>
    </row>
    <row r="33703">
      <c r="AI33703" s="80"/>
    </row>
    <row r="33704">
      <c r="AI33704" s="80"/>
    </row>
    <row r="33705">
      <c r="AI33705" s="80"/>
    </row>
    <row r="33706">
      <c r="AI33706" s="80"/>
    </row>
    <row r="33707">
      <c r="AI33707" s="80"/>
    </row>
    <row r="33708">
      <c r="AI33708" s="80"/>
    </row>
    <row r="33709">
      <c r="AI33709" s="80"/>
    </row>
    <row r="33710">
      <c r="AI33710" s="80"/>
    </row>
    <row r="33711">
      <c r="AI33711" s="80"/>
    </row>
    <row r="33712">
      <c r="AI33712" s="80"/>
    </row>
    <row r="33713">
      <c r="AI33713" s="80"/>
    </row>
    <row r="33714">
      <c r="AI33714" s="80"/>
    </row>
    <row r="33715">
      <c r="AI33715" s="80"/>
    </row>
    <row r="33716">
      <c r="AI33716" s="80"/>
    </row>
    <row r="33717">
      <c r="AI33717" s="80"/>
    </row>
    <row r="33718">
      <c r="AI33718" s="80"/>
    </row>
    <row r="33719">
      <c r="AI33719" s="80"/>
    </row>
    <row r="33720">
      <c r="AI33720" s="80"/>
    </row>
    <row r="33721">
      <c r="AI33721" s="80"/>
    </row>
    <row r="33722">
      <c r="AI33722" s="80"/>
    </row>
    <row r="33723">
      <c r="AI33723" s="80"/>
    </row>
    <row r="33724">
      <c r="AI33724" s="80"/>
    </row>
    <row r="33725">
      <c r="AI33725" s="80"/>
    </row>
    <row r="33726">
      <c r="AI33726" s="80"/>
    </row>
    <row r="33727">
      <c r="AI33727" s="80"/>
    </row>
    <row r="33728">
      <c r="AI33728" s="80"/>
    </row>
    <row r="33729">
      <c r="AI33729" s="80"/>
    </row>
    <row r="33730">
      <c r="AI33730" s="80"/>
    </row>
    <row r="33731">
      <c r="AI33731" s="80"/>
    </row>
    <row r="33732">
      <c r="AI33732" s="80"/>
    </row>
    <row r="33733">
      <c r="AI33733" s="80"/>
    </row>
    <row r="33734">
      <c r="AI33734" s="80"/>
    </row>
    <row r="33735">
      <c r="AI33735" s="80"/>
    </row>
    <row r="33736">
      <c r="AI33736" s="80"/>
    </row>
    <row r="33737">
      <c r="AI33737" s="80"/>
    </row>
    <row r="33738">
      <c r="AI33738" s="80"/>
    </row>
    <row r="33739">
      <c r="AI33739" s="80"/>
    </row>
    <row r="33740">
      <c r="AI33740" s="80"/>
    </row>
    <row r="33741">
      <c r="AI33741" s="80"/>
    </row>
    <row r="33742">
      <c r="AI33742" s="80"/>
    </row>
    <row r="33743">
      <c r="AI33743" s="80"/>
    </row>
    <row r="33744">
      <c r="AI33744" s="80"/>
    </row>
    <row r="33745">
      <c r="AI33745" s="80"/>
    </row>
    <row r="33746">
      <c r="AI33746" s="80"/>
    </row>
    <row r="33747">
      <c r="AI33747" s="80"/>
    </row>
    <row r="33748">
      <c r="AI33748" s="80"/>
    </row>
    <row r="33749">
      <c r="AI33749" s="80"/>
    </row>
    <row r="33750">
      <c r="AI33750" s="80"/>
    </row>
    <row r="33751">
      <c r="AI33751" s="80"/>
    </row>
    <row r="33752">
      <c r="AI33752" s="80"/>
    </row>
    <row r="33753">
      <c r="AI33753" s="80"/>
    </row>
    <row r="33754">
      <c r="AI33754" s="80"/>
    </row>
    <row r="33755">
      <c r="AI33755" s="80"/>
    </row>
    <row r="33756">
      <c r="AI33756" s="80"/>
    </row>
    <row r="33757">
      <c r="AI33757" s="80"/>
    </row>
    <row r="33758">
      <c r="AI33758" s="80"/>
    </row>
    <row r="33759">
      <c r="AI33759" s="80"/>
    </row>
    <row r="33760">
      <c r="AI33760" s="80"/>
    </row>
    <row r="33761">
      <c r="AI33761" s="80"/>
    </row>
    <row r="33762">
      <c r="AI33762" s="80"/>
    </row>
    <row r="33763">
      <c r="AI33763" s="80"/>
    </row>
    <row r="33764">
      <c r="AI33764" s="80"/>
    </row>
    <row r="33765">
      <c r="AI33765" s="80"/>
    </row>
    <row r="33766">
      <c r="AI33766" s="80"/>
    </row>
    <row r="33767">
      <c r="AI33767" s="80"/>
    </row>
    <row r="33768">
      <c r="AI33768" s="80"/>
    </row>
    <row r="33769">
      <c r="AI33769" s="80"/>
    </row>
    <row r="33770">
      <c r="AI33770" s="80"/>
    </row>
    <row r="33771">
      <c r="AI33771" s="80"/>
    </row>
    <row r="33772">
      <c r="AI33772" s="80"/>
    </row>
    <row r="33773">
      <c r="AI33773" s="80"/>
    </row>
    <row r="33774">
      <c r="AI33774" s="80"/>
    </row>
    <row r="33775">
      <c r="AI33775" s="80"/>
    </row>
    <row r="33776">
      <c r="AI33776" s="80"/>
    </row>
    <row r="33777">
      <c r="AI33777" s="80"/>
    </row>
    <row r="33778">
      <c r="AI33778" s="80"/>
    </row>
    <row r="33779">
      <c r="AI33779" s="80"/>
    </row>
    <row r="33780">
      <c r="AI33780" s="80"/>
    </row>
    <row r="33781">
      <c r="AI33781" s="80"/>
    </row>
    <row r="33782">
      <c r="AI33782" s="80"/>
    </row>
    <row r="33783">
      <c r="AI33783" s="80"/>
    </row>
    <row r="33784">
      <c r="AI33784" s="80"/>
    </row>
    <row r="33785">
      <c r="AI33785" s="80"/>
    </row>
    <row r="33786">
      <c r="AI33786" s="80"/>
    </row>
    <row r="33787">
      <c r="AI33787" s="80"/>
    </row>
    <row r="33788">
      <c r="AI33788" s="80"/>
    </row>
    <row r="33789">
      <c r="AI33789" s="80"/>
    </row>
    <row r="33790">
      <c r="AI33790" s="80"/>
    </row>
    <row r="33791">
      <c r="AI33791" s="80"/>
    </row>
    <row r="33792">
      <c r="AI33792" s="80"/>
    </row>
    <row r="33793">
      <c r="AI33793" s="80"/>
    </row>
    <row r="33794">
      <c r="AI33794" s="80"/>
    </row>
    <row r="33795">
      <c r="AI33795" s="80"/>
    </row>
    <row r="33796">
      <c r="AI33796" s="80"/>
    </row>
    <row r="33797">
      <c r="AI33797" s="80"/>
    </row>
    <row r="33798">
      <c r="AI33798" s="80"/>
    </row>
    <row r="33799">
      <c r="AI33799" s="80"/>
    </row>
    <row r="33800">
      <c r="AI33800" s="80"/>
    </row>
    <row r="33801">
      <c r="AI33801" s="80"/>
    </row>
    <row r="33802">
      <c r="AI33802" s="80"/>
    </row>
    <row r="33803">
      <c r="AI33803" s="80"/>
    </row>
    <row r="33804">
      <c r="AI33804" s="80"/>
    </row>
    <row r="33805">
      <c r="AI33805" s="80"/>
    </row>
    <row r="33806">
      <c r="AI33806" s="80"/>
    </row>
    <row r="33807">
      <c r="AI33807" s="80"/>
    </row>
    <row r="33808">
      <c r="AI33808" s="80"/>
    </row>
    <row r="33809">
      <c r="AI33809" s="80"/>
    </row>
    <row r="33810">
      <c r="AI33810" s="80"/>
    </row>
    <row r="33811">
      <c r="AI33811" s="80"/>
    </row>
    <row r="33812">
      <c r="AI33812" s="80"/>
    </row>
    <row r="33813">
      <c r="AI33813" s="80"/>
    </row>
    <row r="33814">
      <c r="AI33814" s="80"/>
    </row>
    <row r="33815">
      <c r="AI33815" s="80"/>
    </row>
    <row r="33816">
      <c r="AI33816" s="80"/>
    </row>
    <row r="33817">
      <c r="AI33817" s="80"/>
    </row>
    <row r="33818">
      <c r="AI33818" s="80"/>
    </row>
    <row r="33819">
      <c r="AI33819" s="80"/>
    </row>
    <row r="33820">
      <c r="AI33820" s="80"/>
    </row>
    <row r="33821">
      <c r="AI33821" s="80"/>
    </row>
    <row r="33822">
      <c r="AI33822" s="80"/>
    </row>
    <row r="33823">
      <c r="AI33823" s="80"/>
    </row>
    <row r="33824">
      <c r="AI33824" s="80"/>
    </row>
    <row r="33825">
      <c r="AI33825" s="80"/>
    </row>
    <row r="33826">
      <c r="AI33826" s="80"/>
    </row>
    <row r="33827">
      <c r="AI33827" s="80"/>
    </row>
    <row r="33828">
      <c r="AI33828" s="80"/>
    </row>
    <row r="33829">
      <c r="AI33829" s="80"/>
    </row>
    <row r="33830">
      <c r="AI33830" s="80"/>
    </row>
    <row r="33831">
      <c r="AI33831" s="80"/>
    </row>
    <row r="33832">
      <c r="AI33832" s="80"/>
    </row>
    <row r="33833">
      <c r="AI33833" s="80"/>
    </row>
    <row r="33834">
      <c r="AI33834" s="80"/>
    </row>
    <row r="33835">
      <c r="AI33835" s="80"/>
    </row>
    <row r="33836">
      <c r="AI33836" s="80"/>
    </row>
    <row r="33837">
      <c r="AI33837" s="80"/>
    </row>
    <row r="33838">
      <c r="AI33838" s="80"/>
    </row>
    <row r="33839">
      <c r="AI33839" s="80"/>
    </row>
    <row r="33840">
      <c r="AI33840" s="80"/>
    </row>
    <row r="33841">
      <c r="AI33841" s="80"/>
    </row>
    <row r="33842">
      <c r="AI33842" s="80"/>
    </row>
    <row r="33843">
      <c r="AI33843" s="80"/>
    </row>
    <row r="33844">
      <c r="AI33844" s="80"/>
    </row>
    <row r="33845">
      <c r="AI33845" s="80"/>
    </row>
    <row r="33846">
      <c r="AI33846" s="80"/>
    </row>
    <row r="33847">
      <c r="AI33847" s="80"/>
    </row>
    <row r="33848">
      <c r="AI33848" s="80"/>
    </row>
    <row r="33849">
      <c r="AI33849" s="80"/>
    </row>
    <row r="33850">
      <c r="AI33850" s="80"/>
    </row>
    <row r="33851">
      <c r="AI33851" s="80"/>
    </row>
    <row r="33852">
      <c r="AI33852" s="80"/>
    </row>
    <row r="33853">
      <c r="AI33853" s="80"/>
    </row>
    <row r="33854">
      <c r="AI33854" s="80"/>
    </row>
    <row r="33855">
      <c r="AI33855" s="80"/>
    </row>
    <row r="33856">
      <c r="AI33856" s="80"/>
    </row>
    <row r="33857">
      <c r="AI33857" s="80"/>
    </row>
    <row r="33858">
      <c r="AI33858" s="80"/>
    </row>
    <row r="33859">
      <c r="AI33859" s="80"/>
    </row>
    <row r="33860">
      <c r="AI33860" s="80"/>
    </row>
    <row r="33861">
      <c r="AI33861" s="80"/>
    </row>
    <row r="33862">
      <c r="AI33862" s="80"/>
    </row>
    <row r="33863">
      <c r="AI33863" s="80"/>
    </row>
    <row r="33864">
      <c r="AI33864" s="80"/>
    </row>
    <row r="33865">
      <c r="AI33865" s="80"/>
    </row>
    <row r="33866">
      <c r="AI33866" s="80"/>
    </row>
    <row r="33867">
      <c r="AI33867" s="80"/>
    </row>
    <row r="33868">
      <c r="AI33868" s="80"/>
    </row>
    <row r="33869">
      <c r="AI33869" s="80"/>
    </row>
    <row r="33870">
      <c r="AI33870" s="80"/>
    </row>
    <row r="33871">
      <c r="AI33871" s="80"/>
    </row>
    <row r="33872">
      <c r="AI33872" s="80"/>
    </row>
    <row r="33873">
      <c r="AI33873" s="80"/>
    </row>
    <row r="33874">
      <c r="AI33874" s="80"/>
    </row>
    <row r="33875">
      <c r="AI33875" s="80"/>
    </row>
    <row r="33876">
      <c r="AI33876" s="80"/>
    </row>
    <row r="33877">
      <c r="AI33877" s="80"/>
    </row>
    <row r="33878">
      <c r="AI33878" s="80"/>
    </row>
    <row r="33879">
      <c r="AI33879" s="80"/>
    </row>
    <row r="33880">
      <c r="AI33880" s="80"/>
    </row>
    <row r="33881">
      <c r="AI33881" s="80"/>
    </row>
    <row r="33882">
      <c r="AI33882" s="80"/>
    </row>
    <row r="33883">
      <c r="AI33883" s="80"/>
    </row>
    <row r="33884">
      <c r="AI33884" s="80"/>
    </row>
    <row r="33885">
      <c r="AI33885" s="80"/>
    </row>
    <row r="33886">
      <c r="AI33886" s="80"/>
    </row>
    <row r="33887">
      <c r="AI33887" s="80"/>
    </row>
    <row r="33888">
      <c r="AI33888" s="80"/>
    </row>
    <row r="33889">
      <c r="AI33889" s="80"/>
    </row>
    <row r="33890">
      <c r="AI33890" s="80"/>
    </row>
    <row r="33891">
      <c r="AI33891" s="80"/>
    </row>
    <row r="33892">
      <c r="AI33892" s="80"/>
    </row>
    <row r="33893">
      <c r="AI33893" s="80"/>
    </row>
    <row r="33894">
      <c r="AI33894" s="80"/>
    </row>
    <row r="33895">
      <c r="AI33895" s="80"/>
    </row>
    <row r="33896">
      <c r="AI33896" s="80"/>
    </row>
    <row r="33897">
      <c r="AI33897" s="80"/>
    </row>
    <row r="33898">
      <c r="AI33898" s="80"/>
    </row>
    <row r="33899">
      <c r="AI33899" s="80"/>
    </row>
    <row r="33900">
      <c r="AI33900" s="80"/>
    </row>
    <row r="33901">
      <c r="AI33901" s="80"/>
    </row>
    <row r="33902">
      <c r="AI33902" s="80"/>
    </row>
    <row r="33903">
      <c r="AI33903" s="80"/>
    </row>
    <row r="33904">
      <c r="AI33904" s="80"/>
    </row>
    <row r="33905">
      <c r="AI33905" s="80"/>
    </row>
    <row r="33906">
      <c r="AI33906" s="80"/>
    </row>
    <row r="33907">
      <c r="AI33907" s="80"/>
    </row>
    <row r="33908">
      <c r="AI33908" s="80"/>
    </row>
    <row r="33909">
      <c r="AI33909" s="80"/>
    </row>
    <row r="33910">
      <c r="AI33910" s="80"/>
    </row>
    <row r="33911">
      <c r="AI33911" s="80"/>
    </row>
    <row r="33912">
      <c r="AI33912" s="80"/>
    </row>
    <row r="33913">
      <c r="AI33913" s="80"/>
    </row>
    <row r="33914">
      <c r="AI33914" s="80"/>
    </row>
    <row r="33915">
      <c r="AI33915" s="80"/>
    </row>
    <row r="33916">
      <c r="AI33916" s="80"/>
    </row>
    <row r="33917">
      <c r="AI33917" s="80"/>
    </row>
    <row r="33918">
      <c r="AI33918" s="80"/>
    </row>
    <row r="33919">
      <c r="AI33919" s="80"/>
    </row>
    <row r="33920">
      <c r="AI33920" s="80"/>
    </row>
    <row r="33921">
      <c r="AI33921" s="80"/>
    </row>
    <row r="33922">
      <c r="AI33922" s="80"/>
    </row>
    <row r="33923">
      <c r="AI33923" s="80"/>
    </row>
    <row r="33924">
      <c r="AI33924" s="80"/>
    </row>
    <row r="33925">
      <c r="AI33925" s="80"/>
    </row>
    <row r="33926">
      <c r="AI33926" s="80"/>
    </row>
    <row r="33927">
      <c r="AI33927" s="80"/>
    </row>
    <row r="33928">
      <c r="AI33928" s="80"/>
    </row>
    <row r="33929">
      <c r="AI33929" s="80"/>
    </row>
    <row r="33930">
      <c r="AI33930" s="80"/>
    </row>
    <row r="33931">
      <c r="AI33931" s="80"/>
    </row>
    <row r="33932">
      <c r="AI33932" s="80"/>
    </row>
    <row r="33933">
      <c r="AI33933" s="80"/>
    </row>
    <row r="33934">
      <c r="AI33934" s="80"/>
    </row>
    <row r="33935">
      <c r="AI33935" s="80"/>
    </row>
    <row r="33936">
      <c r="AI33936" s="80"/>
    </row>
    <row r="33937">
      <c r="AI33937" s="80"/>
    </row>
    <row r="33938">
      <c r="AI33938" s="80"/>
    </row>
    <row r="33939">
      <c r="AI33939" s="80"/>
    </row>
    <row r="33940">
      <c r="AI33940" s="80"/>
    </row>
    <row r="33941">
      <c r="AI33941" s="80"/>
    </row>
    <row r="33942">
      <c r="AI33942" s="80"/>
    </row>
    <row r="33943">
      <c r="AI33943" s="80"/>
    </row>
    <row r="33944">
      <c r="AI33944" s="80"/>
    </row>
    <row r="33945">
      <c r="AI33945" s="80"/>
    </row>
    <row r="33946">
      <c r="AI33946" s="80"/>
    </row>
    <row r="33947">
      <c r="AI33947" s="80"/>
    </row>
    <row r="33948">
      <c r="AI33948" s="80"/>
    </row>
    <row r="33949">
      <c r="AI33949" s="80"/>
    </row>
    <row r="33950">
      <c r="AI33950" s="80"/>
    </row>
    <row r="33951">
      <c r="AI33951" s="80"/>
    </row>
    <row r="33952">
      <c r="AI33952" s="80"/>
    </row>
    <row r="33953">
      <c r="AI33953" s="80"/>
    </row>
    <row r="33954">
      <c r="AI33954" s="80"/>
    </row>
    <row r="33955">
      <c r="AI33955" s="80"/>
    </row>
    <row r="33956">
      <c r="AI33956" s="80"/>
    </row>
    <row r="33957">
      <c r="AI33957" s="80"/>
    </row>
    <row r="33958">
      <c r="AI33958" s="80"/>
    </row>
    <row r="33959">
      <c r="AI33959" s="80"/>
    </row>
    <row r="33960">
      <c r="AI33960" s="80"/>
    </row>
    <row r="33961">
      <c r="AI33961" s="80"/>
    </row>
    <row r="33962">
      <c r="AI33962" s="80"/>
    </row>
    <row r="33963">
      <c r="AI33963" s="80"/>
    </row>
    <row r="33964">
      <c r="AI33964" s="80"/>
    </row>
    <row r="33965">
      <c r="AI33965" s="80"/>
    </row>
    <row r="33966">
      <c r="AI33966" s="80"/>
    </row>
    <row r="33967">
      <c r="AI33967" s="80"/>
    </row>
    <row r="33968">
      <c r="AI33968" s="80"/>
    </row>
    <row r="33969">
      <c r="AI33969" s="80"/>
    </row>
    <row r="33970">
      <c r="AI33970" s="80"/>
    </row>
    <row r="33971">
      <c r="AI33971" s="80"/>
    </row>
    <row r="33972">
      <c r="AI33972" s="80"/>
    </row>
    <row r="33973">
      <c r="AI33973" s="80"/>
    </row>
    <row r="33974">
      <c r="AI33974" s="80"/>
    </row>
    <row r="33975">
      <c r="AI33975" s="80"/>
    </row>
    <row r="33976">
      <c r="AI33976" s="80"/>
    </row>
    <row r="33977">
      <c r="AI33977" s="80"/>
    </row>
    <row r="33978">
      <c r="AI33978" s="80"/>
    </row>
    <row r="33979">
      <c r="AI33979" s="80"/>
    </row>
    <row r="33980">
      <c r="AI33980" s="80"/>
    </row>
    <row r="33981">
      <c r="AI33981" s="80"/>
    </row>
    <row r="33982">
      <c r="AI33982" s="80"/>
    </row>
    <row r="33983">
      <c r="AI33983" s="80"/>
    </row>
    <row r="33984">
      <c r="AI33984" s="80"/>
    </row>
    <row r="33985">
      <c r="AI33985" s="80"/>
    </row>
    <row r="33986">
      <c r="AI33986" s="80"/>
    </row>
    <row r="33987">
      <c r="AI33987" s="80"/>
    </row>
    <row r="33988">
      <c r="AI33988" s="80"/>
    </row>
    <row r="33989">
      <c r="AI33989" s="80"/>
    </row>
    <row r="33990">
      <c r="AI33990" s="80"/>
    </row>
    <row r="33991">
      <c r="AI33991" s="80"/>
    </row>
    <row r="33992">
      <c r="AI33992" s="80"/>
    </row>
    <row r="33993">
      <c r="AI33993" s="80"/>
    </row>
    <row r="33994">
      <c r="AI33994" s="80"/>
    </row>
    <row r="33995">
      <c r="AI33995" s="80"/>
    </row>
    <row r="33996">
      <c r="AI33996" s="80"/>
    </row>
    <row r="33997">
      <c r="AI33997" s="80"/>
    </row>
    <row r="33998">
      <c r="AI33998" s="80"/>
    </row>
    <row r="33999">
      <c r="AI33999" s="80"/>
    </row>
    <row r="34000">
      <c r="AI34000" s="80"/>
    </row>
    <row r="34001">
      <c r="AI34001" s="80"/>
    </row>
    <row r="34002">
      <c r="AI34002" s="80"/>
    </row>
    <row r="34003">
      <c r="AI34003" s="80"/>
    </row>
    <row r="34004">
      <c r="AI34004" s="80"/>
    </row>
    <row r="34005">
      <c r="AI34005" s="80"/>
    </row>
    <row r="34006">
      <c r="AI34006" s="80"/>
    </row>
    <row r="34007">
      <c r="AI34007" s="80"/>
    </row>
    <row r="34008">
      <c r="AI34008" s="80"/>
    </row>
    <row r="34009">
      <c r="AI34009" s="80"/>
    </row>
    <row r="34010">
      <c r="AI34010" s="80"/>
    </row>
    <row r="34011">
      <c r="AI34011" s="80"/>
    </row>
    <row r="34012">
      <c r="AI34012" s="80"/>
    </row>
    <row r="34013">
      <c r="AI34013" s="80"/>
    </row>
    <row r="34014">
      <c r="AI34014" s="80"/>
    </row>
    <row r="34015">
      <c r="AI34015" s="80"/>
    </row>
    <row r="34016">
      <c r="AI34016" s="80"/>
    </row>
    <row r="34017">
      <c r="AI34017" s="80"/>
    </row>
    <row r="34018">
      <c r="AI34018" s="80"/>
    </row>
    <row r="34019">
      <c r="AI34019" s="80"/>
    </row>
    <row r="34020">
      <c r="AI34020" s="80"/>
    </row>
    <row r="34021">
      <c r="AI34021" s="80"/>
    </row>
    <row r="34022">
      <c r="AI34022" s="80"/>
    </row>
    <row r="34023">
      <c r="AI34023" s="80"/>
    </row>
    <row r="34024">
      <c r="AI34024" s="80"/>
    </row>
    <row r="34025">
      <c r="AI34025" s="80"/>
    </row>
    <row r="34026">
      <c r="AI34026" s="80"/>
    </row>
    <row r="34027">
      <c r="AI34027" s="80"/>
    </row>
    <row r="34028">
      <c r="AI34028" s="80"/>
    </row>
    <row r="34029">
      <c r="AI34029" s="80"/>
    </row>
    <row r="34030">
      <c r="AI34030" s="80"/>
    </row>
    <row r="34031">
      <c r="AI34031" s="80"/>
    </row>
    <row r="34032">
      <c r="AI34032" s="80"/>
    </row>
    <row r="34033">
      <c r="AI34033" s="80"/>
    </row>
    <row r="34034">
      <c r="AI34034" s="80"/>
    </row>
    <row r="34035">
      <c r="AI34035" s="80"/>
    </row>
    <row r="34036">
      <c r="AI34036" s="80"/>
    </row>
    <row r="34037">
      <c r="AI34037" s="80"/>
    </row>
    <row r="34038">
      <c r="AI34038" s="80"/>
    </row>
    <row r="34039">
      <c r="AI34039" s="80"/>
    </row>
    <row r="34040">
      <c r="AI34040" s="80"/>
    </row>
    <row r="34041">
      <c r="AI34041" s="80"/>
    </row>
    <row r="34042">
      <c r="AI34042" s="80"/>
    </row>
    <row r="34043">
      <c r="AI34043" s="80"/>
    </row>
    <row r="34044">
      <c r="AI34044" s="80"/>
    </row>
    <row r="34045">
      <c r="AI34045" s="80"/>
    </row>
    <row r="34046">
      <c r="AI34046" s="80"/>
    </row>
    <row r="34047">
      <c r="AI34047" s="80"/>
    </row>
    <row r="34048">
      <c r="AI34048" s="80"/>
    </row>
    <row r="34049">
      <c r="AI34049" s="80"/>
    </row>
    <row r="34050">
      <c r="AI34050" s="80"/>
    </row>
    <row r="34051">
      <c r="AI34051" s="80"/>
    </row>
    <row r="34052">
      <c r="AI34052" s="80"/>
    </row>
    <row r="34053">
      <c r="AI34053" s="80"/>
    </row>
    <row r="34054">
      <c r="AI34054" s="80"/>
    </row>
    <row r="34055">
      <c r="AI34055" s="80"/>
    </row>
    <row r="34056">
      <c r="AI34056" s="80"/>
    </row>
    <row r="34057">
      <c r="AI34057" s="80"/>
    </row>
    <row r="34058">
      <c r="AI34058" s="80"/>
    </row>
    <row r="34059">
      <c r="AI34059" s="80"/>
    </row>
    <row r="34060">
      <c r="AI34060" s="80"/>
    </row>
    <row r="34061">
      <c r="AI34061" s="80"/>
    </row>
    <row r="34062">
      <c r="AI34062" s="80"/>
    </row>
    <row r="34063">
      <c r="AI34063" s="80"/>
    </row>
    <row r="34064">
      <c r="AI34064" s="80"/>
    </row>
    <row r="34065">
      <c r="AI34065" s="80"/>
    </row>
    <row r="34066">
      <c r="AI34066" s="80"/>
    </row>
    <row r="34067">
      <c r="AI34067" s="80"/>
    </row>
    <row r="34068">
      <c r="AI34068" s="80"/>
    </row>
    <row r="34069">
      <c r="AI34069" s="80"/>
    </row>
    <row r="34070">
      <c r="AI34070" s="80"/>
    </row>
    <row r="34071">
      <c r="AI34071" s="80"/>
    </row>
    <row r="34072">
      <c r="AI34072" s="80"/>
    </row>
    <row r="34073">
      <c r="AI34073" s="80"/>
    </row>
    <row r="34074">
      <c r="AI34074" s="80"/>
    </row>
    <row r="34075">
      <c r="AI34075" s="80"/>
    </row>
    <row r="34076">
      <c r="AI34076" s="80"/>
    </row>
    <row r="34077">
      <c r="AI34077" s="80"/>
    </row>
    <row r="34078">
      <c r="AI34078" s="80"/>
    </row>
    <row r="34079">
      <c r="AI34079" s="80"/>
    </row>
    <row r="34080">
      <c r="AI34080" s="80"/>
    </row>
    <row r="34081">
      <c r="AI34081" s="80"/>
    </row>
    <row r="34082">
      <c r="AI34082" s="80"/>
    </row>
    <row r="34083">
      <c r="AI34083" s="80"/>
    </row>
    <row r="34084">
      <c r="AI34084" s="80"/>
    </row>
    <row r="34085">
      <c r="AI34085" s="80"/>
    </row>
    <row r="34086">
      <c r="AI34086" s="80"/>
    </row>
    <row r="34087">
      <c r="AI34087" s="80"/>
    </row>
    <row r="34088">
      <c r="AI34088" s="80"/>
    </row>
    <row r="34089">
      <c r="AI34089" s="80"/>
    </row>
    <row r="34090">
      <c r="AI34090" s="80"/>
    </row>
    <row r="34091">
      <c r="AI34091" s="80"/>
    </row>
    <row r="34092">
      <c r="AI34092" s="80"/>
    </row>
    <row r="34093">
      <c r="AI34093" s="80"/>
    </row>
    <row r="34094">
      <c r="AI34094" s="80"/>
    </row>
    <row r="34095">
      <c r="AI34095" s="80"/>
    </row>
    <row r="34096">
      <c r="AI34096" s="80"/>
    </row>
    <row r="34097">
      <c r="AI34097" s="80"/>
    </row>
    <row r="34098">
      <c r="AI34098" s="80"/>
    </row>
    <row r="34099">
      <c r="AI34099" s="80"/>
    </row>
    <row r="34100">
      <c r="AI34100" s="80"/>
    </row>
    <row r="34101">
      <c r="AI34101" s="80"/>
    </row>
    <row r="34102">
      <c r="AI34102" s="80"/>
    </row>
    <row r="34103">
      <c r="AI34103" s="80"/>
    </row>
    <row r="34104">
      <c r="AI34104" s="80"/>
    </row>
    <row r="34105">
      <c r="AI34105" s="80"/>
    </row>
    <row r="34106">
      <c r="AI34106" s="80"/>
    </row>
    <row r="34107">
      <c r="AI34107" s="80"/>
    </row>
    <row r="34108">
      <c r="AI34108" s="80"/>
    </row>
    <row r="34109">
      <c r="AI34109" s="80"/>
    </row>
    <row r="34110">
      <c r="AI34110" s="80"/>
    </row>
    <row r="34111">
      <c r="AI34111" s="80"/>
    </row>
    <row r="34112">
      <c r="AI34112" s="80"/>
    </row>
    <row r="34113">
      <c r="AI34113" s="80"/>
    </row>
    <row r="34114">
      <c r="AI34114" s="80"/>
    </row>
    <row r="34115">
      <c r="AI34115" s="80"/>
    </row>
    <row r="34116">
      <c r="AI34116" s="80"/>
    </row>
    <row r="34117">
      <c r="AI34117" s="80"/>
    </row>
    <row r="34118">
      <c r="AI34118" s="80"/>
    </row>
    <row r="34119">
      <c r="AI34119" s="80"/>
    </row>
    <row r="34120">
      <c r="AI34120" s="80"/>
    </row>
    <row r="34121">
      <c r="AI34121" s="80"/>
    </row>
    <row r="34122">
      <c r="AI34122" s="80"/>
    </row>
    <row r="34123">
      <c r="AI34123" s="80"/>
    </row>
    <row r="34124">
      <c r="AI34124" s="80"/>
    </row>
    <row r="34125">
      <c r="AI34125" s="80"/>
    </row>
    <row r="34126">
      <c r="AI34126" s="80"/>
    </row>
    <row r="34127">
      <c r="AI34127" s="80"/>
    </row>
    <row r="34128">
      <c r="AI34128" s="80"/>
    </row>
    <row r="34129">
      <c r="AI34129" s="80"/>
    </row>
    <row r="34130">
      <c r="AI34130" s="80"/>
    </row>
    <row r="34131">
      <c r="AI34131" s="80"/>
    </row>
    <row r="34132">
      <c r="AI34132" s="80"/>
    </row>
    <row r="34133">
      <c r="AI34133" s="80"/>
    </row>
    <row r="34134">
      <c r="AI34134" s="80"/>
    </row>
    <row r="34135">
      <c r="AI34135" s="80"/>
    </row>
    <row r="34136">
      <c r="AI34136" s="80"/>
    </row>
    <row r="34137">
      <c r="AI34137" s="80"/>
    </row>
    <row r="34138">
      <c r="AI34138" s="80"/>
    </row>
    <row r="34139">
      <c r="AI34139" s="80"/>
    </row>
    <row r="34140">
      <c r="AI34140" s="80"/>
    </row>
    <row r="34141">
      <c r="AI34141" s="80"/>
    </row>
    <row r="34142">
      <c r="AI34142" s="80"/>
    </row>
    <row r="34143">
      <c r="AI34143" s="80"/>
    </row>
    <row r="34144">
      <c r="AI34144" s="80"/>
    </row>
    <row r="34145">
      <c r="AI34145" s="80"/>
    </row>
    <row r="34146">
      <c r="AI34146" s="80"/>
    </row>
    <row r="34147">
      <c r="AI34147" s="80"/>
    </row>
    <row r="34148">
      <c r="AI34148" s="80"/>
    </row>
    <row r="34149">
      <c r="AI34149" s="80"/>
    </row>
    <row r="34150">
      <c r="AI34150" s="80"/>
    </row>
    <row r="34151">
      <c r="AI34151" s="80"/>
    </row>
    <row r="34152">
      <c r="AI34152" s="80"/>
    </row>
    <row r="34153">
      <c r="AI34153" s="80"/>
    </row>
    <row r="34154">
      <c r="AI34154" s="80"/>
    </row>
    <row r="34155">
      <c r="AI34155" s="80"/>
    </row>
    <row r="34156">
      <c r="AI34156" s="80"/>
    </row>
    <row r="34157">
      <c r="AI34157" s="80"/>
    </row>
    <row r="34158">
      <c r="AI34158" s="80"/>
    </row>
    <row r="34159">
      <c r="AI34159" s="80"/>
    </row>
    <row r="34160">
      <c r="AI34160" s="80"/>
    </row>
    <row r="34161">
      <c r="AI34161" s="80"/>
    </row>
    <row r="34162">
      <c r="AI34162" s="80"/>
    </row>
    <row r="34163">
      <c r="AI34163" s="80"/>
    </row>
    <row r="34164">
      <c r="AI34164" s="80"/>
    </row>
    <row r="34165">
      <c r="AI34165" s="80"/>
    </row>
    <row r="34166">
      <c r="AI34166" s="80"/>
    </row>
    <row r="34167">
      <c r="AI34167" s="80"/>
    </row>
    <row r="34168">
      <c r="AI34168" s="80"/>
    </row>
    <row r="34169">
      <c r="AI34169" s="80"/>
    </row>
    <row r="34170">
      <c r="AI34170" s="80"/>
    </row>
    <row r="34171">
      <c r="AI34171" s="80"/>
    </row>
    <row r="34172">
      <c r="AI34172" s="80"/>
    </row>
    <row r="34173">
      <c r="AI34173" s="80"/>
    </row>
    <row r="34174">
      <c r="AI34174" s="80"/>
    </row>
    <row r="34175">
      <c r="AI34175" s="80"/>
    </row>
    <row r="34176">
      <c r="AI34176" s="80"/>
    </row>
    <row r="34177">
      <c r="AI34177" s="80"/>
    </row>
    <row r="34178">
      <c r="AI34178" s="80"/>
    </row>
    <row r="34179">
      <c r="AI34179" s="80"/>
    </row>
    <row r="34180">
      <c r="AI34180" s="80"/>
    </row>
    <row r="34181">
      <c r="AI34181" s="80"/>
    </row>
    <row r="34182">
      <c r="AI34182" s="80"/>
    </row>
    <row r="34183">
      <c r="AI34183" s="80"/>
    </row>
    <row r="34184">
      <c r="AI34184" s="80"/>
    </row>
    <row r="34185">
      <c r="AI34185" s="80"/>
    </row>
    <row r="34186">
      <c r="AI34186" s="80"/>
    </row>
    <row r="34187">
      <c r="AI34187" s="80"/>
    </row>
    <row r="34188">
      <c r="AI34188" s="80"/>
    </row>
    <row r="34189">
      <c r="AI34189" s="80"/>
    </row>
    <row r="34190">
      <c r="AI34190" s="80"/>
    </row>
    <row r="34191">
      <c r="AI34191" s="80"/>
    </row>
    <row r="34192">
      <c r="AI34192" s="80"/>
    </row>
    <row r="34193">
      <c r="AI34193" s="80"/>
    </row>
    <row r="34194">
      <c r="AI34194" s="80"/>
    </row>
    <row r="34195">
      <c r="AI34195" s="80"/>
    </row>
    <row r="34196">
      <c r="AI34196" s="80"/>
    </row>
    <row r="34197">
      <c r="AI34197" s="80"/>
    </row>
    <row r="34198">
      <c r="AI34198" s="80"/>
    </row>
    <row r="34199">
      <c r="AI34199" s="80"/>
    </row>
    <row r="34200">
      <c r="AI34200" s="80"/>
    </row>
    <row r="34201">
      <c r="AI34201" s="80"/>
    </row>
    <row r="34202">
      <c r="AI34202" s="80"/>
    </row>
    <row r="34203">
      <c r="AI34203" s="80"/>
    </row>
    <row r="34204">
      <c r="AI34204" s="80"/>
    </row>
    <row r="34205">
      <c r="AI34205" s="80"/>
    </row>
    <row r="34206">
      <c r="AI34206" s="80"/>
    </row>
    <row r="34207">
      <c r="AI34207" s="80"/>
    </row>
    <row r="34208">
      <c r="AI34208" s="80"/>
    </row>
    <row r="34209">
      <c r="AI34209" s="80"/>
    </row>
    <row r="34210">
      <c r="AI34210" s="80"/>
    </row>
    <row r="34211">
      <c r="AI34211" s="80"/>
    </row>
    <row r="34212">
      <c r="AI34212" s="80"/>
    </row>
    <row r="34213">
      <c r="AI34213" s="80"/>
    </row>
    <row r="34214">
      <c r="AI34214" s="80"/>
    </row>
    <row r="34215">
      <c r="AI34215" s="80"/>
    </row>
    <row r="34216">
      <c r="AI34216" s="80"/>
    </row>
    <row r="34217">
      <c r="AI34217" s="80"/>
    </row>
    <row r="34218">
      <c r="AI34218" s="80"/>
    </row>
    <row r="34219">
      <c r="AI34219" s="80"/>
    </row>
    <row r="34220">
      <c r="AI34220" s="80"/>
    </row>
    <row r="34221">
      <c r="AI34221" s="80"/>
    </row>
    <row r="34222">
      <c r="AI34222" s="80"/>
    </row>
    <row r="34223">
      <c r="AI34223" s="80"/>
    </row>
    <row r="34224">
      <c r="AI34224" s="80"/>
    </row>
    <row r="34225">
      <c r="AI34225" s="80"/>
    </row>
    <row r="34226">
      <c r="AI34226" s="80"/>
    </row>
    <row r="34227">
      <c r="AI34227" s="80"/>
    </row>
    <row r="34228">
      <c r="AI34228" s="80"/>
    </row>
    <row r="34229">
      <c r="AI34229" s="80"/>
    </row>
    <row r="34230">
      <c r="AI34230" s="80"/>
    </row>
    <row r="34231">
      <c r="AI34231" s="80"/>
    </row>
    <row r="34232">
      <c r="AI34232" s="80"/>
    </row>
    <row r="34233">
      <c r="AI34233" s="80"/>
    </row>
    <row r="34234">
      <c r="AI34234" s="80"/>
    </row>
    <row r="34235">
      <c r="AI34235" s="80"/>
    </row>
    <row r="34236">
      <c r="AI34236" s="80"/>
    </row>
    <row r="34237">
      <c r="AI34237" s="80"/>
    </row>
    <row r="34238">
      <c r="AI34238" s="80"/>
    </row>
    <row r="34239">
      <c r="AI34239" s="80"/>
    </row>
    <row r="34240">
      <c r="AI34240" s="80"/>
    </row>
    <row r="34241">
      <c r="AI34241" s="80"/>
    </row>
    <row r="34242">
      <c r="AI34242" s="80"/>
    </row>
    <row r="34243">
      <c r="AI34243" s="80"/>
    </row>
    <row r="34244">
      <c r="AI34244" s="80"/>
    </row>
    <row r="34245">
      <c r="AI34245" s="80"/>
    </row>
    <row r="34246">
      <c r="AI34246" s="80"/>
    </row>
    <row r="34247">
      <c r="AI34247" s="80"/>
    </row>
    <row r="34248">
      <c r="AI34248" s="80"/>
    </row>
    <row r="34249">
      <c r="AI34249" s="80"/>
    </row>
    <row r="34250">
      <c r="AI34250" s="80"/>
    </row>
    <row r="34251">
      <c r="AI34251" s="80"/>
    </row>
    <row r="34252">
      <c r="AI34252" s="80"/>
    </row>
    <row r="34253">
      <c r="AI34253" s="80"/>
    </row>
    <row r="34254">
      <c r="AI34254" s="80"/>
    </row>
    <row r="34255">
      <c r="AI34255" s="80"/>
    </row>
    <row r="34256">
      <c r="AI34256" s="80"/>
    </row>
    <row r="34257">
      <c r="AI34257" s="80"/>
    </row>
    <row r="34258">
      <c r="AI34258" s="80"/>
    </row>
    <row r="34259">
      <c r="AI34259" s="80"/>
    </row>
    <row r="34260">
      <c r="AI34260" s="80"/>
    </row>
    <row r="34261">
      <c r="AI34261" s="80"/>
    </row>
    <row r="34262">
      <c r="AI34262" s="80"/>
    </row>
    <row r="34263">
      <c r="AI34263" s="80"/>
    </row>
    <row r="34264">
      <c r="AI34264" s="80"/>
    </row>
    <row r="34265">
      <c r="AI34265" s="80"/>
    </row>
    <row r="34266">
      <c r="AI34266" s="80"/>
    </row>
    <row r="34267">
      <c r="AI34267" s="80"/>
    </row>
    <row r="34268">
      <c r="AI34268" s="80"/>
    </row>
    <row r="34269">
      <c r="AI34269" s="80"/>
    </row>
    <row r="34270">
      <c r="AI34270" s="80"/>
    </row>
    <row r="34271">
      <c r="AI34271" s="80"/>
    </row>
    <row r="34272">
      <c r="AI34272" s="80"/>
    </row>
    <row r="34273">
      <c r="AI34273" s="80"/>
    </row>
    <row r="34274">
      <c r="AI34274" s="80"/>
    </row>
    <row r="34275">
      <c r="AI34275" s="80"/>
    </row>
    <row r="34276">
      <c r="AI34276" s="80"/>
    </row>
    <row r="34277">
      <c r="AI34277" s="80"/>
    </row>
    <row r="34278">
      <c r="AI34278" s="80"/>
    </row>
    <row r="34279">
      <c r="AI34279" s="80"/>
    </row>
    <row r="34280">
      <c r="AI34280" s="80"/>
    </row>
    <row r="34281">
      <c r="AI34281" s="80"/>
    </row>
    <row r="34282">
      <c r="AI34282" s="80"/>
    </row>
    <row r="34283">
      <c r="AI34283" s="80"/>
    </row>
    <row r="34284">
      <c r="AI34284" s="80"/>
    </row>
    <row r="34285">
      <c r="AI34285" s="80"/>
    </row>
    <row r="34286">
      <c r="AI34286" s="80"/>
    </row>
    <row r="34287">
      <c r="AI34287" s="80"/>
    </row>
    <row r="34288">
      <c r="AI34288" s="80"/>
    </row>
    <row r="34289">
      <c r="AI34289" s="80"/>
    </row>
    <row r="34290">
      <c r="AI34290" s="80"/>
    </row>
    <row r="34291">
      <c r="AI34291" s="80"/>
    </row>
    <row r="34292">
      <c r="AI34292" s="80"/>
    </row>
    <row r="34293">
      <c r="AI34293" s="80"/>
    </row>
    <row r="34294">
      <c r="AI34294" s="80"/>
    </row>
    <row r="34295">
      <c r="AI34295" s="80"/>
    </row>
    <row r="34296">
      <c r="AI34296" s="80"/>
    </row>
    <row r="34297">
      <c r="AI34297" s="80"/>
    </row>
    <row r="34298">
      <c r="AI34298" s="80"/>
    </row>
    <row r="34299">
      <c r="AI34299" s="80"/>
    </row>
    <row r="34300">
      <c r="AI34300" s="80"/>
    </row>
    <row r="34301">
      <c r="AI34301" s="80"/>
    </row>
    <row r="34302">
      <c r="AI34302" s="80"/>
    </row>
    <row r="34303">
      <c r="AI34303" s="80"/>
    </row>
    <row r="34304">
      <c r="AI34304" s="80"/>
    </row>
    <row r="34305">
      <c r="AI34305" s="80"/>
    </row>
    <row r="34306">
      <c r="AI34306" s="80"/>
    </row>
    <row r="34307">
      <c r="AI34307" s="80"/>
    </row>
    <row r="34308">
      <c r="AI34308" s="80"/>
    </row>
    <row r="34309">
      <c r="AI34309" s="80"/>
    </row>
    <row r="34310">
      <c r="AI34310" s="80"/>
    </row>
    <row r="34311">
      <c r="AI34311" s="80"/>
    </row>
    <row r="34312">
      <c r="AI34312" s="80"/>
    </row>
    <row r="34313">
      <c r="AI34313" s="80"/>
    </row>
    <row r="34314">
      <c r="AI34314" s="80"/>
    </row>
    <row r="34315">
      <c r="AI34315" s="80"/>
    </row>
    <row r="34316">
      <c r="AI34316" s="80"/>
    </row>
    <row r="34317">
      <c r="AI34317" s="80"/>
    </row>
    <row r="34318">
      <c r="AI34318" s="80"/>
    </row>
    <row r="34319">
      <c r="AI34319" s="80"/>
    </row>
    <row r="34320">
      <c r="AI34320" s="80"/>
    </row>
    <row r="34321">
      <c r="AI34321" s="80"/>
    </row>
    <row r="34322">
      <c r="AI34322" s="80"/>
    </row>
    <row r="34323">
      <c r="AI34323" s="80"/>
    </row>
    <row r="34324">
      <c r="AI34324" s="80"/>
    </row>
    <row r="34325">
      <c r="AI34325" s="80"/>
    </row>
    <row r="34326">
      <c r="AI34326" s="80"/>
    </row>
    <row r="34327">
      <c r="AI34327" s="80"/>
    </row>
    <row r="34328">
      <c r="AI34328" s="80"/>
    </row>
    <row r="34329">
      <c r="AI34329" s="80"/>
    </row>
    <row r="34330">
      <c r="AI34330" s="80"/>
    </row>
    <row r="34331">
      <c r="AI34331" s="80"/>
    </row>
    <row r="34332">
      <c r="AI34332" s="80"/>
    </row>
    <row r="34333">
      <c r="AI34333" s="80"/>
    </row>
    <row r="34334">
      <c r="AI34334" s="80"/>
    </row>
    <row r="34335">
      <c r="AI34335" s="80"/>
    </row>
    <row r="34336">
      <c r="AI34336" s="80"/>
    </row>
    <row r="34337">
      <c r="AI34337" s="80"/>
    </row>
    <row r="34338">
      <c r="AI34338" s="80"/>
    </row>
    <row r="34339">
      <c r="AI34339" s="80"/>
    </row>
    <row r="34340">
      <c r="AI34340" s="80"/>
    </row>
    <row r="34341">
      <c r="AI34341" s="80"/>
    </row>
    <row r="34342">
      <c r="AI34342" s="80"/>
    </row>
    <row r="34343">
      <c r="AI34343" s="80"/>
    </row>
    <row r="34344">
      <c r="AI34344" s="80"/>
    </row>
    <row r="34345">
      <c r="AI34345" s="80"/>
    </row>
    <row r="34346">
      <c r="AI34346" s="80"/>
    </row>
    <row r="34347">
      <c r="AI34347" s="80"/>
    </row>
    <row r="34348">
      <c r="AI34348" s="80"/>
    </row>
    <row r="34349">
      <c r="AI34349" s="80"/>
    </row>
    <row r="34350">
      <c r="AI34350" s="80"/>
    </row>
    <row r="34351">
      <c r="AI34351" s="80"/>
    </row>
    <row r="34352">
      <c r="AI34352" s="80"/>
    </row>
    <row r="34353">
      <c r="AI34353" s="80"/>
    </row>
    <row r="34354">
      <c r="AI34354" s="80"/>
    </row>
    <row r="34355">
      <c r="AI34355" s="80"/>
    </row>
    <row r="34356">
      <c r="AI34356" s="80"/>
    </row>
    <row r="34357">
      <c r="AI34357" s="80"/>
    </row>
    <row r="34358">
      <c r="AI34358" s="80"/>
    </row>
    <row r="34359">
      <c r="AI34359" s="80"/>
    </row>
    <row r="34360">
      <c r="AI34360" s="80"/>
    </row>
    <row r="34361">
      <c r="AI34361" s="80"/>
    </row>
    <row r="34362">
      <c r="AI34362" s="80"/>
    </row>
    <row r="34363">
      <c r="AI34363" s="80"/>
    </row>
    <row r="34364">
      <c r="AI34364" s="80"/>
    </row>
    <row r="34365">
      <c r="AI34365" s="80"/>
    </row>
    <row r="34366">
      <c r="AI34366" s="80"/>
    </row>
    <row r="34367">
      <c r="AI34367" s="80"/>
    </row>
    <row r="34368">
      <c r="AI34368" s="80"/>
    </row>
    <row r="34369">
      <c r="AI34369" s="80"/>
    </row>
    <row r="34370">
      <c r="AI34370" s="80"/>
    </row>
    <row r="34371">
      <c r="AI34371" s="80"/>
    </row>
    <row r="34372">
      <c r="AI34372" s="80"/>
    </row>
    <row r="34373">
      <c r="AI34373" s="80"/>
    </row>
    <row r="34374">
      <c r="AI34374" s="80"/>
    </row>
    <row r="34375">
      <c r="AI34375" s="80"/>
    </row>
    <row r="34376">
      <c r="AI34376" s="80"/>
    </row>
    <row r="34377">
      <c r="AI34377" s="80"/>
    </row>
    <row r="34378">
      <c r="AI34378" s="80"/>
    </row>
    <row r="34379">
      <c r="AI34379" s="80"/>
    </row>
    <row r="34380">
      <c r="AI34380" s="80"/>
    </row>
    <row r="34381">
      <c r="AI34381" s="80"/>
    </row>
    <row r="34382">
      <c r="AI34382" s="80"/>
    </row>
    <row r="34383">
      <c r="AI34383" s="80"/>
    </row>
    <row r="34384">
      <c r="AI34384" s="80"/>
    </row>
    <row r="34385">
      <c r="AI34385" s="80"/>
    </row>
    <row r="34386">
      <c r="AI34386" s="80"/>
    </row>
    <row r="34387">
      <c r="AI34387" s="80"/>
    </row>
    <row r="34388">
      <c r="AI34388" s="80"/>
    </row>
    <row r="34389">
      <c r="AI34389" s="80"/>
    </row>
    <row r="34390">
      <c r="AI34390" s="80"/>
    </row>
    <row r="34391">
      <c r="AI34391" s="80"/>
    </row>
    <row r="34392">
      <c r="AI34392" s="80"/>
    </row>
    <row r="34393">
      <c r="AI34393" s="80"/>
    </row>
    <row r="34394">
      <c r="AI34394" s="80"/>
    </row>
    <row r="34395">
      <c r="AI34395" s="80"/>
    </row>
    <row r="34396">
      <c r="AI34396" s="80"/>
    </row>
    <row r="34397">
      <c r="AI34397" s="80"/>
    </row>
    <row r="34398">
      <c r="AI34398" s="80"/>
    </row>
    <row r="34399">
      <c r="AI34399" s="80"/>
    </row>
    <row r="34400">
      <c r="AI34400" s="80"/>
    </row>
    <row r="34401">
      <c r="AI34401" s="80"/>
    </row>
    <row r="34402">
      <c r="AI34402" s="80"/>
    </row>
    <row r="34403">
      <c r="AI34403" s="80"/>
    </row>
    <row r="34404">
      <c r="AI34404" s="80"/>
    </row>
    <row r="34405">
      <c r="AI34405" s="80"/>
    </row>
    <row r="34406">
      <c r="AI34406" s="80"/>
    </row>
    <row r="34407">
      <c r="AI34407" s="80"/>
    </row>
    <row r="34408">
      <c r="AI34408" s="80"/>
    </row>
    <row r="34409">
      <c r="AI34409" s="80"/>
    </row>
    <row r="34410">
      <c r="AI34410" s="80"/>
    </row>
    <row r="34411">
      <c r="AI34411" s="80"/>
    </row>
    <row r="34412">
      <c r="AI34412" s="80"/>
    </row>
    <row r="34413">
      <c r="AI34413" s="80"/>
    </row>
    <row r="34414">
      <c r="AI34414" s="80"/>
    </row>
    <row r="34415">
      <c r="AI34415" s="80"/>
    </row>
    <row r="34416">
      <c r="AI34416" s="80"/>
    </row>
    <row r="34417">
      <c r="AI34417" s="80"/>
    </row>
    <row r="34418">
      <c r="AI34418" s="80"/>
    </row>
    <row r="34419">
      <c r="AI34419" s="80"/>
    </row>
    <row r="34420">
      <c r="AI34420" s="80"/>
    </row>
    <row r="34421">
      <c r="AI34421" s="80"/>
    </row>
    <row r="34422">
      <c r="AI34422" s="80"/>
    </row>
    <row r="34423">
      <c r="AI34423" s="80"/>
    </row>
    <row r="34424">
      <c r="AI34424" s="80"/>
    </row>
    <row r="34425">
      <c r="AI34425" s="80"/>
    </row>
    <row r="34426">
      <c r="AI34426" s="80"/>
    </row>
    <row r="34427">
      <c r="AI34427" s="80"/>
    </row>
    <row r="34428">
      <c r="AI34428" s="80"/>
    </row>
    <row r="34429">
      <c r="AI34429" s="80"/>
    </row>
    <row r="34430">
      <c r="AI34430" s="80"/>
    </row>
    <row r="34431">
      <c r="AI34431" s="80"/>
    </row>
    <row r="34432">
      <c r="AI34432" s="80"/>
    </row>
    <row r="34433">
      <c r="AI34433" s="80"/>
    </row>
    <row r="34434">
      <c r="AI34434" s="80"/>
    </row>
    <row r="34435">
      <c r="AI34435" s="80"/>
    </row>
    <row r="34436">
      <c r="AI34436" s="80"/>
    </row>
    <row r="34437">
      <c r="AI34437" s="80"/>
    </row>
    <row r="34438">
      <c r="AI34438" s="80"/>
    </row>
    <row r="34439">
      <c r="AI34439" s="80"/>
    </row>
    <row r="34440">
      <c r="AI34440" s="80"/>
    </row>
    <row r="34441">
      <c r="AI34441" s="80"/>
    </row>
    <row r="34442">
      <c r="AI34442" s="80"/>
    </row>
    <row r="34443">
      <c r="AI34443" s="80"/>
    </row>
    <row r="34444">
      <c r="AI34444" s="80"/>
    </row>
    <row r="34445">
      <c r="AI34445" s="80"/>
    </row>
    <row r="34446">
      <c r="AI34446" s="80"/>
    </row>
    <row r="34447">
      <c r="AI34447" s="80"/>
    </row>
    <row r="34448">
      <c r="AI34448" s="80"/>
    </row>
    <row r="34449">
      <c r="AI34449" s="80"/>
    </row>
    <row r="34450">
      <c r="AI34450" s="80"/>
    </row>
    <row r="34451">
      <c r="AI34451" s="80"/>
    </row>
    <row r="34452">
      <c r="AI34452" s="80"/>
    </row>
    <row r="34453">
      <c r="AI34453" s="80"/>
    </row>
    <row r="34454">
      <c r="AI34454" s="80"/>
    </row>
    <row r="34455">
      <c r="AI34455" s="80"/>
    </row>
    <row r="34456">
      <c r="AI34456" s="80"/>
    </row>
    <row r="34457">
      <c r="AI34457" s="80"/>
    </row>
    <row r="34458">
      <c r="AI34458" s="80"/>
    </row>
    <row r="34459">
      <c r="AI34459" s="80"/>
    </row>
    <row r="34460">
      <c r="AI34460" s="80"/>
    </row>
    <row r="34461">
      <c r="AI34461" s="80"/>
    </row>
    <row r="34462">
      <c r="AI34462" s="80"/>
    </row>
    <row r="34463">
      <c r="AI34463" s="80"/>
    </row>
    <row r="34464">
      <c r="AI34464" s="80"/>
    </row>
    <row r="34465">
      <c r="AI34465" s="80"/>
    </row>
    <row r="34466">
      <c r="AI34466" s="80"/>
    </row>
    <row r="34467">
      <c r="AI34467" s="80"/>
    </row>
    <row r="34468">
      <c r="AI34468" s="80"/>
    </row>
    <row r="34469">
      <c r="AI34469" s="80"/>
    </row>
    <row r="34470">
      <c r="AI34470" s="80"/>
    </row>
    <row r="34471">
      <c r="AI34471" s="80"/>
    </row>
    <row r="34472">
      <c r="AI34472" s="80"/>
    </row>
    <row r="34473">
      <c r="AI34473" s="80"/>
    </row>
    <row r="34474">
      <c r="AI34474" s="80"/>
    </row>
    <row r="34475">
      <c r="AI34475" s="80"/>
    </row>
    <row r="34476">
      <c r="AI34476" s="80"/>
    </row>
    <row r="34477">
      <c r="AI34477" s="80"/>
    </row>
    <row r="34478">
      <c r="AI34478" s="80"/>
    </row>
    <row r="34479">
      <c r="AI34479" s="80"/>
    </row>
    <row r="34480">
      <c r="AI34480" s="80"/>
    </row>
    <row r="34481">
      <c r="AI34481" s="80"/>
    </row>
    <row r="34482">
      <c r="AI34482" s="80"/>
    </row>
    <row r="34483">
      <c r="AI34483" s="80"/>
    </row>
    <row r="34484">
      <c r="AI34484" s="80"/>
    </row>
    <row r="34485">
      <c r="AI34485" s="80"/>
    </row>
    <row r="34486">
      <c r="AI34486" s="80"/>
    </row>
    <row r="34487">
      <c r="AI34487" s="80"/>
    </row>
    <row r="34488">
      <c r="AI34488" s="80"/>
    </row>
    <row r="34489">
      <c r="AI34489" s="80"/>
    </row>
    <row r="34490">
      <c r="AI34490" s="80"/>
    </row>
    <row r="34491">
      <c r="AI34491" s="80"/>
    </row>
    <row r="34492">
      <c r="AI34492" s="80"/>
    </row>
    <row r="34493">
      <c r="AI34493" s="80"/>
    </row>
    <row r="34494">
      <c r="AI34494" s="80"/>
    </row>
    <row r="34495">
      <c r="AI34495" s="80"/>
    </row>
    <row r="34496">
      <c r="AI34496" s="80"/>
    </row>
    <row r="34497">
      <c r="AI34497" s="80"/>
    </row>
    <row r="34498">
      <c r="AI34498" s="80"/>
    </row>
    <row r="34499">
      <c r="AI34499" s="80"/>
    </row>
    <row r="34500">
      <c r="AI34500" s="80"/>
    </row>
    <row r="34501">
      <c r="AI34501" s="80"/>
    </row>
    <row r="34502">
      <c r="AI34502" s="80"/>
    </row>
    <row r="34503">
      <c r="AI34503" s="80"/>
    </row>
    <row r="34504">
      <c r="AI34504" s="80"/>
    </row>
    <row r="34505">
      <c r="AI34505" s="80"/>
    </row>
    <row r="34506">
      <c r="AI34506" s="80"/>
    </row>
    <row r="34507">
      <c r="AI34507" s="80"/>
    </row>
    <row r="34508">
      <c r="AI34508" s="80"/>
    </row>
    <row r="34509">
      <c r="AI34509" s="80"/>
    </row>
    <row r="34510">
      <c r="AI34510" s="80"/>
    </row>
    <row r="34511">
      <c r="AI34511" s="80"/>
    </row>
    <row r="34512">
      <c r="AI34512" s="80"/>
    </row>
    <row r="34513">
      <c r="AI34513" s="80"/>
    </row>
    <row r="34514">
      <c r="AI34514" s="80"/>
    </row>
    <row r="34515">
      <c r="AI34515" s="80"/>
    </row>
    <row r="34516">
      <c r="AI34516" s="80"/>
    </row>
    <row r="34517">
      <c r="AI34517" s="80"/>
    </row>
    <row r="34518">
      <c r="AI34518" s="80"/>
    </row>
    <row r="34519">
      <c r="AI34519" s="80"/>
    </row>
    <row r="34520">
      <c r="AI34520" s="80"/>
    </row>
    <row r="34521">
      <c r="AI34521" s="80"/>
    </row>
    <row r="34522">
      <c r="AI34522" s="80"/>
    </row>
    <row r="34523">
      <c r="AI34523" s="80"/>
    </row>
    <row r="34524">
      <c r="AI34524" s="80"/>
    </row>
    <row r="34525">
      <c r="AI34525" s="80"/>
    </row>
    <row r="34526">
      <c r="AI34526" s="80"/>
    </row>
    <row r="34527">
      <c r="AI34527" s="80"/>
    </row>
    <row r="34528">
      <c r="AI34528" s="80"/>
    </row>
    <row r="34529">
      <c r="AI34529" s="80"/>
    </row>
    <row r="34530">
      <c r="AI34530" s="80"/>
    </row>
    <row r="34531">
      <c r="AI34531" s="80"/>
    </row>
    <row r="34532">
      <c r="AI34532" s="80"/>
    </row>
    <row r="34533">
      <c r="AI34533" s="80"/>
    </row>
    <row r="34534">
      <c r="AI34534" s="80"/>
    </row>
    <row r="34535">
      <c r="AI34535" s="80"/>
    </row>
    <row r="34536">
      <c r="AI34536" s="80"/>
    </row>
    <row r="34537">
      <c r="AI34537" s="80"/>
    </row>
    <row r="34538">
      <c r="AI34538" s="80"/>
    </row>
    <row r="34539">
      <c r="AI34539" s="80"/>
    </row>
    <row r="34540">
      <c r="AI34540" s="80"/>
    </row>
    <row r="34541">
      <c r="AI34541" s="80"/>
    </row>
    <row r="34542">
      <c r="AI34542" s="80"/>
    </row>
    <row r="34543">
      <c r="AI34543" s="80"/>
    </row>
    <row r="34544">
      <c r="AI34544" s="80"/>
    </row>
    <row r="34545">
      <c r="AI34545" s="80"/>
    </row>
    <row r="34546">
      <c r="AI34546" s="80"/>
    </row>
    <row r="34547">
      <c r="AI34547" s="80"/>
    </row>
    <row r="34548">
      <c r="AI34548" s="80"/>
    </row>
    <row r="34549">
      <c r="AI34549" s="80"/>
    </row>
    <row r="34550">
      <c r="AI34550" s="80"/>
    </row>
    <row r="34551">
      <c r="AI34551" s="80"/>
    </row>
    <row r="34552">
      <c r="AI34552" s="80"/>
    </row>
    <row r="34553">
      <c r="AI34553" s="80"/>
    </row>
    <row r="34554">
      <c r="AI34554" s="80"/>
    </row>
    <row r="34555">
      <c r="AI34555" s="80"/>
    </row>
    <row r="34556">
      <c r="AI34556" s="80"/>
    </row>
    <row r="34557">
      <c r="AI34557" s="80"/>
    </row>
    <row r="34558">
      <c r="AI34558" s="80"/>
    </row>
    <row r="34559">
      <c r="AI34559" s="80"/>
    </row>
    <row r="34560">
      <c r="AI34560" s="80"/>
    </row>
    <row r="34561">
      <c r="AI34561" s="80"/>
    </row>
    <row r="34562">
      <c r="AI34562" s="80"/>
    </row>
    <row r="34563">
      <c r="AI34563" s="80"/>
    </row>
    <row r="34564">
      <c r="AI34564" s="80"/>
    </row>
    <row r="34565">
      <c r="AI34565" s="80"/>
    </row>
    <row r="34566">
      <c r="AI34566" s="80"/>
    </row>
    <row r="34567">
      <c r="AI34567" s="80"/>
    </row>
    <row r="34568">
      <c r="AI34568" s="80"/>
    </row>
    <row r="34569">
      <c r="AI34569" s="80"/>
    </row>
    <row r="34570">
      <c r="AI34570" s="80"/>
    </row>
    <row r="34571">
      <c r="AI34571" s="80"/>
    </row>
    <row r="34572">
      <c r="AI34572" s="80"/>
    </row>
    <row r="34573">
      <c r="AI34573" s="80"/>
    </row>
    <row r="34574">
      <c r="AI34574" s="80"/>
    </row>
    <row r="34575">
      <c r="AI34575" s="80"/>
    </row>
    <row r="34576">
      <c r="AI34576" s="80"/>
    </row>
    <row r="34577">
      <c r="AI34577" s="80"/>
    </row>
    <row r="34578">
      <c r="AI34578" s="80"/>
    </row>
    <row r="34579">
      <c r="AI34579" s="80"/>
    </row>
    <row r="34580">
      <c r="AI34580" s="80"/>
    </row>
    <row r="34581">
      <c r="AI34581" s="80"/>
    </row>
    <row r="34582">
      <c r="AI34582" s="80"/>
    </row>
    <row r="34583">
      <c r="AI34583" s="80"/>
    </row>
    <row r="34584">
      <c r="AI34584" s="80"/>
    </row>
    <row r="34585">
      <c r="AI34585" s="80"/>
    </row>
    <row r="34586">
      <c r="AI34586" s="80"/>
    </row>
    <row r="34587">
      <c r="AI34587" s="80"/>
    </row>
    <row r="34588">
      <c r="AI34588" s="80"/>
    </row>
    <row r="34589">
      <c r="AI34589" s="80"/>
    </row>
    <row r="34590">
      <c r="AI34590" s="80"/>
    </row>
    <row r="34591">
      <c r="AI34591" s="80"/>
    </row>
    <row r="34592">
      <c r="AI34592" s="80"/>
    </row>
    <row r="34593">
      <c r="AI34593" s="80"/>
    </row>
    <row r="34594">
      <c r="AI34594" s="80"/>
    </row>
    <row r="34595">
      <c r="AI34595" s="80"/>
    </row>
    <row r="34596">
      <c r="AI34596" s="80"/>
    </row>
    <row r="34597">
      <c r="AI34597" s="80"/>
    </row>
    <row r="34598">
      <c r="AI34598" s="80"/>
    </row>
    <row r="34599">
      <c r="AI34599" s="80"/>
    </row>
    <row r="34600">
      <c r="AI34600" s="80"/>
    </row>
    <row r="34601">
      <c r="AI34601" s="80"/>
    </row>
    <row r="34602">
      <c r="AI34602" s="80"/>
    </row>
    <row r="34603">
      <c r="AI34603" s="80"/>
    </row>
    <row r="34604">
      <c r="AI34604" s="80"/>
    </row>
    <row r="34605">
      <c r="AI34605" s="80"/>
    </row>
    <row r="34606">
      <c r="AI34606" s="80"/>
    </row>
    <row r="34607">
      <c r="AI34607" s="80"/>
    </row>
    <row r="34608">
      <c r="AI34608" s="80"/>
    </row>
    <row r="34609">
      <c r="AI34609" s="80"/>
    </row>
    <row r="34610">
      <c r="AI34610" s="80"/>
    </row>
    <row r="34611">
      <c r="AI34611" s="80"/>
    </row>
    <row r="34612">
      <c r="AI34612" s="80"/>
    </row>
    <row r="34613">
      <c r="AI34613" s="80"/>
    </row>
    <row r="34614">
      <c r="AI34614" s="80"/>
    </row>
    <row r="34615">
      <c r="AI34615" s="80"/>
    </row>
    <row r="34616">
      <c r="AI34616" s="80"/>
    </row>
    <row r="34617">
      <c r="AI34617" s="80"/>
    </row>
    <row r="34618">
      <c r="AI34618" s="80"/>
    </row>
    <row r="34619">
      <c r="AI34619" s="80"/>
    </row>
    <row r="34620">
      <c r="AI34620" s="80"/>
    </row>
    <row r="34621">
      <c r="AI34621" s="80"/>
    </row>
    <row r="34622">
      <c r="AI34622" s="80"/>
    </row>
    <row r="34623">
      <c r="AI34623" s="80"/>
    </row>
    <row r="34624">
      <c r="AI34624" s="80"/>
    </row>
    <row r="34625">
      <c r="AI34625" s="80"/>
    </row>
    <row r="34626">
      <c r="AI34626" s="80"/>
    </row>
    <row r="34627">
      <c r="AI34627" s="80"/>
    </row>
    <row r="34628">
      <c r="AI34628" s="80"/>
    </row>
    <row r="34629">
      <c r="AI34629" s="80"/>
    </row>
    <row r="34630">
      <c r="AI34630" s="80"/>
    </row>
    <row r="34631">
      <c r="AI34631" s="80"/>
    </row>
    <row r="34632">
      <c r="AI34632" s="80"/>
    </row>
    <row r="34633">
      <c r="AI34633" s="80"/>
    </row>
    <row r="34634">
      <c r="AI34634" s="80"/>
    </row>
    <row r="34635">
      <c r="AI34635" s="80"/>
    </row>
    <row r="34636">
      <c r="AI34636" s="80"/>
    </row>
    <row r="34637">
      <c r="AI34637" s="80"/>
    </row>
    <row r="34638">
      <c r="AI34638" s="80"/>
    </row>
    <row r="34639">
      <c r="AI34639" s="80"/>
    </row>
    <row r="34640">
      <c r="AI34640" s="80"/>
    </row>
    <row r="34641">
      <c r="AI34641" s="80"/>
    </row>
    <row r="34642">
      <c r="AI34642" s="80"/>
    </row>
    <row r="34643">
      <c r="AI34643" s="80"/>
    </row>
    <row r="34644">
      <c r="AI34644" s="80"/>
    </row>
    <row r="34645">
      <c r="AI34645" s="80"/>
    </row>
    <row r="34646">
      <c r="AI34646" s="80"/>
    </row>
    <row r="34647">
      <c r="AI34647" s="80"/>
    </row>
    <row r="34648">
      <c r="AI34648" s="80"/>
    </row>
    <row r="34649">
      <c r="AI34649" s="80"/>
    </row>
    <row r="34650">
      <c r="AI34650" s="80"/>
    </row>
    <row r="34651">
      <c r="AI34651" s="80"/>
    </row>
    <row r="34652">
      <c r="AI34652" s="80"/>
    </row>
    <row r="34653">
      <c r="AI34653" s="80"/>
    </row>
    <row r="34654">
      <c r="AI34654" s="80"/>
    </row>
    <row r="34655">
      <c r="AI34655" s="80"/>
    </row>
    <row r="34656">
      <c r="AI34656" s="80"/>
    </row>
    <row r="34657">
      <c r="AI34657" s="80"/>
    </row>
    <row r="34658">
      <c r="AI34658" s="80"/>
    </row>
    <row r="34659">
      <c r="AI34659" s="80"/>
    </row>
    <row r="34660">
      <c r="AI34660" s="80"/>
    </row>
    <row r="34661">
      <c r="AI34661" s="80"/>
    </row>
    <row r="34662">
      <c r="AI34662" s="80"/>
    </row>
    <row r="34663">
      <c r="AI34663" s="80"/>
    </row>
    <row r="34664">
      <c r="AI34664" s="80"/>
    </row>
    <row r="34665">
      <c r="AI34665" s="80"/>
    </row>
    <row r="34666">
      <c r="AI34666" s="80"/>
    </row>
    <row r="34667">
      <c r="AI34667" s="80"/>
    </row>
    <row r="34668">
      <c r="AI34668" s="80"/>
    </row>
    <row r="34669">
      <c r="AI34669" s="80"/>
    </row>
    <row r="34670">
      <c r="AI34670" s="80"/>
    </row>
    <row r="34671">
      <c r="AI34671" s="80"/>
    </row>
    <row r="34672">
      <c r="AI34672" s="80"/>
    </row>
    <row r="34673">
      <c r="AI34673" s="80"/>
    </row>
    <row r="34674">
      <c r="AI34674" s="80"/>
    </row>
    <row r="34675">
      <c r="AI34675" s="80"/>
    </row>
    <row r="34676">
      <c r="AI34676" s="80"/>
    </row>
    <row r="34677">
      <c r="AI34677" s="80"/>
    </row>
    <row r="34678">
      <c r="AI34678" s="80"/>
    </row>
    <row r="34679">
      <c r="AI34679" s="80"/>
    </row>
    <row r="34680">
      <c r="AI34680" s="80"/>
    </row>
    <row r="34681">
      <c r="AI34681" s="80"/>
    </row>
    <row r="34682">
      <c r="AI34682" s="80"/>
    </row>
    <row r="34683">
      <c r="AI34683" s="80"/>
    </row>
    <row r="34684">
      <c r="AI34684" s="80"/>
    </row>
    <row r="34685">
      <c r="AI34685" s="80"/>
    </row>
    <row r="34686">
      <c r="AI34686" s="80"/>
    </row>
    <row r="34687">
      <c r="AI34687" s="80"/>
    </row>
    <row r="34688">
      <c r="AI34688" s="80"/>
    </row>
    <row r="34689">
      <c r="AI34689" s="80"/>
    </row>
    <row r="34690">
      <c r="AI34690" s="80"/>
    </row>
    <row r="34691">
      <c r="AI34691" s="80"/>
    </row>
    <row r="34692">
      <c r="AI34692" s="80"/>
    </row>
    <row r="34693">
      <c r="AI34693" s="80"/>
    </row>
    <row r="34694">
      <c r="AI34694" s="80"/>
    </row>
    <row r="34695">
      <c r="AI34695" s="80"/>
    </row>
    <row r="34696">
      <c r="AI34696" s="80"/>
    </row>
    <row r="34697">
      <c r="AI34697" s="80"/>
    </row>
    <row r="34698">
      <c r="AI34698" s="80"/>
    </row>
    <row r="34699">
      <c r="AI34699" s="80"/>
    </row>
    <row r="34700">
      <c r="AI34700" s="80"/>
    </row>
    <row r="34701">
      <c r="AI34701" s="80"/>
    </row>
    <row r="34702">
      <c r="AI34702" s="80"/>
    </row>
    <row r="34703">
      <c r="AI34703" s="80"/>
    </row>
    <row r="34704">
      <c r="AI34704" s="80"/>
    </row>
    <row r="34705">
      <c r="AI34705" s="80"/>
    </row>
    <row r="34706">
      <c r="AI34706" s="80"/>
    </row>
    <row r="34707">
      <c r="AI34707" s="80"/>
    </row>
    <row r="34708">
      <c r="AI34708" s="80"/>
    </row>
    <row r="34709">
      <c r="AI34709" s="80"/>
    </row>
    <row r="34710">
      <c r="AI34710" s="80"/>
    </row>
    <row r="34711">
      <c r="AI34711" s="80"/>
    </row>
    <row r="34712">
      <c r="AI34712" s="80"/>
    </row>
    <row r="34713">
      <c r="AI34713" s="80"/>
    </row>
    <row r="34714">
      <c r="AI34714" s="80"/>
    </row>
    <row r="34715">
      <c r="AI34715" s="80"/>
    </row>
    <row r="34716">
      <c r="AI34716" s="80"/>
    </row>
    <row r="34717">
      <c r="AI34717" s="80"/>
    </row>
    <row r="34718">
      <c r="AI34718" s="80"/>
    </row>
    <row r="34719">
      <c r="AI34719" s="80"/>
    </row>
    <row r="34720">
      <c r="AI34720" s="80"/>
    </row>
    <row r="34721">
      <c r="AI34721" s="80"/>
    </row>
    <row r="34722">
      <c r="AI34722" s="80"/>
    </row>
    <row r="34723">
      <c r="AI34723" s="80"/>
    </row>
    <row r="34724">
      <c r="AI34724" s="80"/>
    </row>
    <row r="34725">
      <c r="AI34725" s="80"/>
    </row>
    <row r="34726">
      <c r="AI34726" s="80"/>
    </row>
    <row r="34727">
      <c r="AI34727" s="80"/>
    </row>
    <row r="34728">
      <c r="AI34728" s="80"/>
    </row>
    <row r="34729">
      <c r="AI34729" s="80"/>
    </row>
    <row r="34730">
      <c r="AI34730" s="80"/>
    </row>
    <row r="34731">
      <c r="AI34731" s="80"/>
    </row>
    <row r="34732">
      <c r="AI34732" s="80"/>
    </row>
    <row r="34733">
      <c r="AI34733" s="80"/>
    </row>
    <row r="34734">
      <c r="AI34734" s="80"/>
    </row>
    <row r="34735">
      <c r="AI34735" s="80"/>
    </row>
    <row r="34736">
      <c r="AI34736" s="80"/>
    </row>
    <row r="34737">
      <c r="AI34737" s="80"/>
    </row>
    <row r="34738">
      <c r="AI34738" s="80"/>
    </row>
    <row r="34739">
      <c r="AI34739" s="80"/>
    </row>
    <row r="34740">
      <c r="AI34740" s="80"/>
    </row>
    <row r="34741">
      <c r="AI34741" s="80"/>
    </row>
    <row r="34742">
      <c r="AI34742" s="80"/>
    </row>
    <row r="34743">
      <c r="AI34743" s="80"/>
    </row>
    <row r="34744">
      <c r="AI34744" s="80"/>
    </row>
    <row r="34745">
      <c r="AI34745" s="80"/>
    </row>
    <row r="34746">
      <c r="AI34746" s="80"/>
    </row>
    <row r="34747">
      <c r="AI34747" s="80"/>
    </row>
    <row r="34748">
      <c r="AI34748" s="80"/>
    </row>
    <row r="34749">
      <c r="AI34749" s="80"/>
    </row>
    <row r="34750">
      <c r="AI34750" s="80"/>
    </row>
    <row r="34751">
      <c r="AI34751" s="80"/>
    </row>
    <row r="34752">
      <c r="AI34752" s="80"/>
    </row>
    <row r="34753">
      <c r="AI34753" s="80"/>
    </row>
    <row r="34754">
      <c r="AI34754" s="80"/>
    </row>
    <row r="34755">
      <c r="AI34755" s="80"/>
    </row>
    <row r="34756">
      <c r="AI34756" s="80"/>
    </row>
    <row r="34757">
      <c r="AI34757" s="80"/>
    </row>
    <row r="34758">
      <c r="AI34758" s="80"/>
    </row>
    <row r="34759">
      <c r="AI34759" s="80"/>
    </row>
    <row r="34760">
      <c r="AI34760" s="80"/>
    </row>
    <row r="34761">
      <c r="AI34761" s="80"/>
    </row>
    <row r="34762">
      <c r="AI34762" s="80"/>
    </row>
    <row r="34763">
      <c r="AI34763" s="80"/>
    </row>
    <row r="34764">
      <c r="AI34764" s="80"/>
    </row>
    <row r="34765">
      <c r="AI34765" s="80"/>
    </row>
    <row r="34766">
      <c r="AI34766" s="80"/>
    </row>
    <row r="34767">
      <c r="AI34767" s="80"/>
    </row>
    <row r="34768">
      <c r="AI34768" s="80"/>
    </row>
    <row r="34769">
      <c r="AI34769" s="80"/>
    </row>
    <row r="34770">
      <c r="AI34770" s="80"/>
    </row>
    <row r="34771">
      <c r="AI34771" s="80"/>
    </row>
    <row r="34772">
      <c r="AI34772" s="80"/>
    </row>
    <row r="34773">
      <c r="AI34773" s="80"/>
    </row>
    <row r="34774">
      <c r="AI34774" s="80"/>
    </row>
    <row r="34775">
      <c r="AI34775" s="80"/>
    </row>
    <row r="34776">
      <c r="AI34776" s="80"/>
    </row>
    <row r="34777">
      <c r="AI34777" s="80"/>
    </row>
    <row r="34778">
      <c r="AI34778" s="80"/>
    </row>
    <row r="34779">
      <c r="AI34779" s="80"/>
    </row>
    <row r="34780">
      <c r="AI34780" s="80"/>
    </row>
    <row r="34781">
      <c r="AI34781" s="80"/>
    </row>
    <row r="34782">
      <c r="AI34782" s="80"/>
    </row>
    <row r="34783">
      <c r="AI34783" s="80"/>
    </row>
    <row r="34784">
      <c r="AI34784" s="80"/>
    </row>
    <row r="34785">
      <c r="AI34785" s="80"/>
    </row>
    <row r="34786">
      <c r="AI34786" s="80"/>
    </row>
    <row r="34787">
      <c r="AI34787" s="80"/>
    </row>
    <row r="34788">
      <c r="AI34788" s="80"/>
    </row>
    <row r="34789">
      <c r="AI34789" s="80"/>
    </row>
    <row r="34790">
      <c r="AI34790" s="80"/>
    </row>
    <row r="34791">
      <c r="AI34791" s="80"/>
    </row>
    <row r="34792">
      <c r="AI34792" s="80"/>
    </row>
    <row r="34793">
      <c r="AI34793" s="80"/>
    </row>
    <row r="34794">
      <c r="AI34794" s="80"/>
    </row>
    <row r="34795">
      <c r="AI34795" s="80"/>
    </row>
    <row r="34796">
      <c r="AI34796" s="80"/>
    </row>
    <row r="34797">
      <c r="AI34797" s="80"/>
    </row>
    <row r="34798">
      <c r="AI34798" s="80"/>
    </row>
    <row r="34799">
      <c r="AI34799" s="80"/>
    </row>
    <row r="34800">
      <c r="AI34800" s="80"/>
    </row>
    <row r="34801">
      <c r="AI34801" s="80"/>
    </row>
    <row r="34802">
      <c r="AI34802" s="80"/>
    </row>
    <row r="34803">
      <c r="AI34803" s="80"/>
    </row>
    <row r="34804">
      <c r="AI34804" s="80"/>
    </row>
    <row r="34805">
      <c r="AI34805" s="80"/>
    </row>
    <row r="34806">
      <c r="AI34806" s="80"/>
    </row>
    <row r="34807">
      <c r="AI34807" s="80"/>
    </row>
    <row r="34808">
      <c r="AI34808" s="80"/>
    </row>
    <row r="34809">
      <c r="AI34809" s="80"/>
    </row>
    <row r="34810">
      <c r="AI34810" s="80"/>
    </row>
    <row r="34811">
      <c r="AI34811" s="80"/>
    </row>
    <row r="34812">
      <c r="AI34812" s="80"/>
    </row>
    <row r="34813">
      <c r="AI34813" s="80"/>
    </row>
    <row r="34814">
      <c r="AI34814" s="80"/>
    </row>
    <row r="34815">
      <c r="AI34815" s="80"/>
    </row>
    <row r="34816">
      <c r="AI34816" s="80"/>
    </row>
    <row r="34817">
      <c r="AI34817" s="80"/>
    </row>
    <row r="34818">
      <c r="AI34818" s="80"/>
    </row>
    <row r="34819">
      <c r="AI34819" s="80"/>
    </row>
    <row r="34820">
      <c r="AI34820" s="80"/>
    </row>
    <row r="34821">
      <c r="AI34821" s="80"/>
    </row>
    <row r="34822">
      <c r="AI34822" s="80"/>
    </row>
    <row r="34823">
      <c r="AI34823" s="80"/>
    </row>
    <row r="34824">
      <c r="AI34824" s="80"/>
    </row>
    <row r="34825">
      <c r="AI34825" s="80"/>
    </row>
    <row r="34826">
      <c r="AI34826" s="80"/>
    </row>
    <row r="34827">
      <c r="AI34827" s="80"/>
    </row>
    <row r="34828">
      <c r="AI34828" s="80"/>
    </row>
    <row r="34829">
      <c r="AI34829" s="80"/>
    </row>
    <row r="34830">
      <c r="AI34830" s="80"/>
    </row>
    <row r="34831">
      <c r="AI34831" s="80"/>
    </row>
    <row r="34832">
      <c r="AI34832" s="80"/>
    </row>
    <row r="34833">
      <c r="AI34833" s="80"/>
    </row>
    <row r="34834">
      <c r="AI34834" s="80"/>
    </row>
    <row r="34835">
      <c r="AI34835" s="80"/>
    </row>
    <row r="34836">
      <c r="AI34836" s="80"/>
    </row>
    <row r="34837">
      <c r="AI34837" s="80"/>
    </row>
    <row r="34838">
      <c r="AI34838" s="80"/>
    </row>
    <row r="34839">
      <c r="AI34839" s="80"/>
    </row>
    <row r="34840">
      <c r="AI34840" s="80"/>
    </row>
    <row r="34841">
      <c r="AI34841" s="80"/>
    </row>
    <row r="34842">
      <c r="AI34842" s="80"/>
    </row>
    <row r="34843">
      <c r="AI34843" s="80"/>
    </row>
    <row r="34844">
      <c r="AI34844" s="80"/>
    </row>
    <row r="34845">
      <c r="AI34845" s="80"/>
    </row>
    <row r="34846">
      <c r="AI34846" s="80"/>
    </row>
    <row r="34847">
      <c r="AI34847" s="80"/>
    </row>
    <row r="34848">
      <c r="AI34848" s="80"/>
    </row>
    <row r="34849">
      <c r="AI34849" s="80"/>
    </row>
    <row r="34850">
      <c r="AI34850" s="80"/>
    </row>
    <row r="34851">
      <c r="AI34851" s="80"/>
    </row>
    <row r="34852">
      <c r="AI34852" s="80"/>
    </row>
    <row r="34853">
      <c r="AI34853" s="80"/>
    </row>
    <row r="34854">
      <c r="AI34854" s="80"/>
    </row>
    <row r="34855">
      <c r="AI34855" s="80"/>
    </row>
    <row r="34856">
      <c r="AI34856" s="80"/>
    </row>
    <row r="34857">
      <c r="AI34857" s="80"/>
    </row>
    <row r="34858">
      <c r="AI34858" s="80"/>
    </row>
    <row r="34859">
      <c r="AI34859" s="80"/>
    </row>
    <row r="34860">
      <c r="AI34860" s="80"/>
    </row>
    <row r="34861">
      <c r="AI34861" s="80"/>
    </row>
    <row r="34862">
      <c r="AI34862" s="80"/>
    </row>
    <row r="34863">
      <c r="AI34863" s="80"/>
    </row>
    <row r="34864">
      <c r="AI34864" s="80"/>
    </row>
    <row r="34865">
      <c r="AI34865" s="80"/>
    </row>
    <row r="34866">
      <c r="AI34866" s="80"/>
    </row>
    <row r="34867">
      <c r="AI34867" s="80"/>
    </row>
    <row r="34868">
      <c r="AI34868" s="80"/>
    </row>
    <row r="34869">
      <c r="AI34869" s="80"/>
    </row>
    <row r="34870">
      <c r="AI34870" s="80"/>
    </row>
    <row r="34871">
      <c r="AI34871" s="80"/>
    </row>
    <row r="34872">
      <c r="AI34872" s="80"/>
    </row>
    <row r="34873">
      <c r="AI34873" s="80"/>
    </row>
    <row r="34874">
      <c r="AI34874" s="80"/>
    </row>
    <row r="34875">
      <c r="AI34875" s="80"/>
    </row>
    <row r="34876">
      <c r="AI34876" s="80"/>
    </row>
    <row r="34877">
      <c r="AI34877" s="80"/>
    </row>
    <row r="34878">
      <c r="AI34878" s="80"/>
    </row>
    <row r="34879">
      <c r="AI34879" s="80"/>
    </row>
    <row r="34880">
      <c r="AI34880" s="80"/>
    </row>
    <row r="34881">
      <c r="AI34881" s="80"/>
    </row>
    <row r="34882">
      <c r="AI34882" s="80"/>
    </row>
    <row r="34883">
      <c r="AI34883" s="80"/>
    </row>
    <row r="34884">
      <c r="AI34884" s="80"/>
    </row>
    <row r="34885">
      <c r="AI34885" s="80"/>
    </row>
    <row r="34886">
      <c r="AI34886" s="80"/>
    </row>
    <row r="34887">
      <c r="AI34887" s="80"/>
    </row>
    <row r="34888">
      <c r="AI34888" s="80"/>
    </row>
    <row r="34889">
      <c r="AI34889" s="80"/>
    </row>
    <row r="34890">
      <c r="AI34890" s="80"/>
    </row>
    <row r="34891">
      <c r="AI34891" s="80"/>
    </row>
    <row r="34892">
      <c r="AI34892" s="80"/>
    </row>
    <row r="34893">
      <c r="AI34893" s="80"/>
    </row>
    <row r="34894">
      <c r="AI34894" s="80"/>
    </row>
    <row r="34895">
      <c r="AI34895" s="80"/>
    </row>
    <row r="34896">
      <c r="AI34896" s="80"/>
    </row>
    <row r="34897">
      <c r="AI34897" s="80"/>
    </row>
    <row r="34898">
      <c r="AI34898" s="80"/>
    </row>
    <row r="34899">
      <c r="AI34899" s="80"/>
    </row>
    <row r="34900">
      <c r="AI34900" s="80"/>
    </row>
    <row r="34901">
      <c r="AI34901" s="80"/>
    </row>
    <row r="34902">
      <c r="AI34902" s="80"/>
    </row>
    <row r="34903">
      <c r="AI34903" s="80"/>
    </row>
    <row r="34904">
      <c r="AI34904" s="80"/>
    </row>
    <row r="34905">
      <c r="AI34905" s="80"/>
    </row>
    <row r="34906">
      <c r="AI34906" s="80"/>
    </row>
    <row r="34907">
      <c r="AI34907" s="80"/>
    </row>
    <row r="34908">
      <c r="AI34908" s="80"/>
    </row>
    <row r="34909">
      <c r="AI34909" s="80"/>
    </row>
    <row r="34910">
      <c r="AI34910" s="80"/>
    </row>
    <row r="34911">
      <c r="AI34911" s="80"/>
    </row>
    <row r="34912">
      <c r="AI34912" s="80"/>
    </row>
    <row r="34913">
      <c r="AI34913" s="80"/>
    </row>
    <row r="34914">
      <c r="AI34914" s="80"/>
    </row>
    <row r="34915">
      <c r="AI34915" s="80"/>
    </row>
    <row r="34916">
      <c r="AI34916" s="80"/>
    </row>
    <row r="34917">
      <c r="AI34917" s="80"/>
    </row>
    <row r="34918">
      <c r="AI34918" s="80"/>
    </row>
    <row r="34919">
      <c r="AI34919" s="80"/>
    </row>
    <row r="34920">
      <c r="AI34920" s="80"/>
    </row>
    <row r="34921">
      <c r="AI34921" s="80"/>
    </row>
    <row r="34922">
      <c r="AI34922" s="80"/>
    </row>
    <row r="34923">
      <c r="AI34923" s="80"/>
    </row>
    <row r="34924">
      <c r="AI34924" s="80"/>
    </row>
    <row r="34925">
      <c r="AI34925" s="80"/>
    </row>
    <row r="34926">
      <c r="AI34926" s="80"/>
    </row>
    <row r="34927">
      <c r="AI34927" s="80"/>
    </row>
    <row r="34928">
      <c r="AI34928" s="80"/>
    </row>
    <row r="34929">
      <c r="AI34929" s="80"/>
    </row>
    <row r="34930">
      <c r="AI34930" s="80"/>
    </row>
    <row r="34931">
      <c r="AI34931" s="80"/>
    </row>
    <row r="34932">
      <c r="AI34932" s="80"/>
    </row>
    <row r="34933">
      <c r="AI34933" s="80"/>
    </row>
    <row r="34934">
      <c r="AI34934" s="80"/>
    </row>
    <row r="34935">
      <c r="AI34935" s="80"/>
    </row>
    <row r="34936">
      <c r="AI34936" s="80"/>
    </row>
    <row r="34937">
      <c r="AI34937" s="80"/>
    </row>
    <row r="34938">
      <c r="AI34938" s="80"/>
    </row>
    <row r="34939">
      <c r="AI34939" s="80"/>
    </row>
    <row r="34940">
      <c r="AI34940" s="80"/>
    </row>
    <row r="34941">
      <c r="AI34941" s="80"/>
    </row>
    <row r="34942">
      <c r="AI34942" s="80"/>
    </row>
    <row r="34943">
      <c r="AI34943" s="80"/>
    </row>
    <row r="34944">
      <c r="AI34944" s="80"/>
    </row>
    <row r="34945">
      <c r="AI34945" s="80"/>
    </row>
    <row r="34946">
      <c r="AI34946" s="80"/>
    </row>
    <row r="34947">
      <c r="AI34947" s="80"/>
    </row>
    <row r="34948">
      <c r="AI34948" s="80"/>
    </row>
    <row r="34949">
      <c r="AI34949" s="80"/>
    </row>
    <row r="34950">
      <c r="AI34950" s="80"/>
    </row>
    <row r="34951">
      <c r="AI34951" s="80"/>
    </row>
    <row r="34952">
      <c r="AI34952" s="80"/>
    </row>
    <row r="34953">
      <c r="AI34953" s="80"/>
    </row>
    <row r="34954">
      <c r="AI34954" s="80"/>
    </row>
    <row r="34955">
      <c r="AI34955" s="80"/>
    </row>
    <row r="34956">
      <c r="AI34956" s="80"/>
    </row>
    <row r="34957">
      <c r="AI34957" s="80"/>
    </row>
    <row r="34958">
      <c r="AI34958" s="80"/>
    </row>
    <row r="34959">
      <c r="AI34959" s="80"/>
    </row>
    <row r="34960">
      <c r="AI34960" s="80"/>
    </row>
    <row r="34961">
      <c r="AI34961" s="80"/>
    </row>
    <row r="34962">
      <c r="AI34962" s="80"/>
    </row>
    <row r="34963">
      <c r="AI34963" s="80"/>
    </row>
    <row r="34964">
      <c r="AI34964" s="80"/>
    </row>
    <row r="34965">
      <c r="AI34965" s="80"/>
    </row>
    <row r="34966">
      <c r="AI34966" s="80"/>
    </row>
    <row r="34967">
      <c r="AI34967" s="80"/>
    </row>
    <row r="34968">
      <c r="AI34968" s="80"/>
    </row>
    <row r="34969">
      <c r="AI34969" s="80"/>
    </row>
    <row r="34970">
      <c r="AI34970" s="80"/>
    </row>
    <row r="34971">
      <c r="AI34971" s="80"/>
    </row>
    <row r="34972">
      <c r="AI34972" s="80"/>
    </row>
    <row r="34973">
      <c r="AI34973" s="80"/>
    </row>
    <row r="34974">
      <c r="AI34974" s="80"/>
    </row>
    <row r="34975">
      <c r="AI34975" s="80"/>
    </row>
    <row r="34976">
      <c r="AI34976" s="80"/>
    </row>
    <row r="34977">
      <c r="AI34977" s="80"/>
    </row>
    <row r="34978">
      <c r="AI34978" s="80"/>
    </row>
    <row r="34979">
      <c r="AI34979" s="80"/>
    </row>
    <row r="34980">
      <c r="AI34980" s="80"/>
    </row>
    <row r="34981">
      <c r="AI34981" s="80"/>
    </row>
    <row r="34982">
      <c r="AI34982" s="80"/>
    </row>
    <row r="34983">
      <c r="AI34983" s="80"/>
    </row>
    <row r="34984">
      <c r="AI34984" s="80"/>
    </row>
    <row r="34985">
      <c r="AI34985" s="80"/>
    </row>
    <row r="34986">
      <c r="AI34986" s="80"/>
    </row>
    <row r="34987">
      <c r="AI34987" s="80"/>
    </row>
    <row r="34988">
      <c r="AI34988" s="80"/>
    </row>
    <row r="34989">
      <c r="AI34989" s="80"/>
    </row>
    <row r="34990">
      <c r="AI34990" s="80"/>
    </row>
    <row r="34991">
      <c r="AI34991" s="80"/>
    </row>
    <row r="34992">
      <c r="AI34992" s="80"/>
    </row>
    <row r="34993">
      <c r="AI34993" s="80"/>
    </row>
    <row r="34994">
      <c r="AI34994" s="80"/>
    </row>
    <row r="34995">
      <c r="AI34995" s="80"/>
    </row>
    <row r="34996">
      <c r="AI34996" s="80"/>
    </row>
    <row r="34997">
      <c r="AI34997" s="80"/>
    </row>
    <row r="34998">
      <c r="AI34998" s="80"/>
    </row>
    <row r="34999">
      <c r="AI34999" s="80"/>
    </row>
    <row r="35000">
      <c r="AI35000" s="80"/>
    </row>
    <row r="35001">
      <c r="AI35001" s="80"/>
    </row>
    <row r="35002">
      <c r="AI35002" s="80"/>
    </row>
    <row r="35003">
      <c r="AI35003" s="80"/>
    </row>
    <row r="35004">
      <c r="AI35004" s="80"/>
    </row>
    <row r="35005">
      <c r="AI35005" s="80"/>
    </row>
    <row r="35006">
      <c r="AI35006" s="80"/>
    </row>
    <row r="35007">
      <c r="AI35007" s="80"/>
    </row>
    <row r="35008">
      <c r="AI35008" s="80"/>
    </row>
    <row r="35009">
      <c r="AI35009" s="80"/>
    </row>
    <row r="35010">
      <c r="AI35010" s="80"/>
    </row>
    <row r="35011">
      <c r="AI35011" s="80"/>
    </row>
    <row r="35012">
      <c r="AI35012" s="80"/>
    </row>
    <row r="35013">
      <c r="AI35013" s="80"/>
    </row>
    <row r="35014">
      <c r="AI35014" s="80"/>
    </row>
    <row r="35015">
      <c r="AI35015" s="80"/>
    </row>
    <row r="35016">
      <c r="AI35016" s="80"/>
    </row>
    <row r="35017">
      <c r="AI35017" s="80"/>
    </row>
    <row r="35018">
      <c r="AI35018" s="80"/>
    </row>
    <row r="35019">
      <c r="AI35019" s="80"/>
    </row>
    <row r="35020">
      <c r="AI35020" s="80"/>
    </row>
    <row r="35021">
      <c r="AI35021" s="80"/>
    </row>
    <row r="35022">
      <c r="AI35022" s="80"/>
    </row>
    <row r="35023">
      <c r="AI35023" s="80"/>
    </row>
    <row r="35024">
      <c r="AI35024" s="80"/>
    </row>
    <row r="35025">
      <c r="AI35025" s="80"/>
    </row>
    <row r="35026">
      <c r="AI35026" s="80"/>
    </row>
    <row r="35027">
      <c r="AI35027" s="80"/>
    </row>
    <row r="35028">
      <c r="AI35028" s="80"/>
    </row>
    <row r="35029">
      <c r="AI35029" s="80"/>
    </row>
    <row r="35030">
      <c r="AI35030" s="80"/>
    </row>
    <row r="35031">
      <c r="AI35031" s="80"/>
    </row>
    <row r="35032">
      <c r="AI35032" s="80"/>
    </row>
    <row r="35033">
      <c r="AI35033" s="80"/>
    </row>
    <row r="35034">
      <c r="AI35034" s="80"/>
    </row>
    <row r="35035">
      <c r="AI35035" s="80"/>
    </row>
    <row r="35036">
      <c r="AI35036" s="80"/>
    </row>
    <row r="35037">
      <c r="AI35037" s="80"/>
    </row>
    <row r="35038">
      <c r="AI35038" s="80"/>
    </row>
    <row r="35039">
      <c r="AI35039" s="80"/>
    </row>
    <row r="35040">
      <c r="AI35040" s="80"/>
    </row>
    <row r="35041">
      <c r="AI35041" s="80"/>
    </row>
    <row r="35042">
      <c r="AI35042" s="80"/>
    </row>
    <row r="35043">
      <c r="AI35043" s="80"/>
    </row>
    <row r="35044">
      <c r="AI35044" s="80"/>
    </row>
    <row r="35045">
      <c r="AI35045" s="80"/>
    </row>
    <row r="35046">
      <c r="AI35046" s="80"/>
    </row>
    <row r="35047">
      <c r="AI35047" s="80"/>
    </row>
    <row r="35048">
      <c r="AI35048" s="80"/>
    </row>
    <row r="35049">
      <c r="AI35049" s="80"/>
    </row>
    <row r="35050">
      <c r="AI35050" s="80"/>
    </row>
    <row r="35051">
      <c r="AI35051" s="80"/>
    </row>
    <row r="35052">
      <c r="AI35052" s="80"/>
    </row>
    <row r="35053">
      <c r="AI35053" s="80"/>
    </row>
    <row r="35054">
      <c r="AI35054" s="80"/>
    </row>
    <row r="35055">
      <c r="AI35055" s="80"/>
    </row>
    <row r="35056">
      <c r="AI35056" s="80"/>
    </row>
    <row r="35057">
      <c r="AI35057" s="80"/>
    </row>
    <row r="35058">
      <c r="AI35058" s="80"/>
    </row>
    <row r="35059">
      <c r="AI35059" s="80"/>
    </row>
    <row r="35060">
      <c r="AI35060" s="80"/>
    </row>
    <row r="35061">
      <c r="AI35061" s="80"/>
    </row>
    <row r="35062">
      <c r="AI35062" s="80"/>
    </row>
    <row r="35063">
      <c r="AI35063" s="80"/>
    </row>
    <row r="35064">
      <c r="AI35064" s="80"/>
    </row>
    <row r="35065">
      <c r="AI35065" s="80"/>
    </row>
    <row r="35066">
      <c r="AI35066" s="80"/>
    </row>
    <row r="35067">
      <c r="AI35067" s="80"/>
    </row>
    <row r="35068">
      <c r="AI35068" s="80"/>
    </row>
    <row r="35069">
      <c r="AI35069" s="80"/>
    </row>
    <row r="35070">
      <c r="AI35070" s="80"/>
    </row>
    <row r="35071">
      <c r="AI35071" s="80"/>
    </row>
    <row r="35072">
      <c r="AI35072" s="80"/>
    </row>
    <row r="35073">
      <c r="AI35073" s="80"/>
    </row>
    <row r="35074">
      <c r="AI35074" s="80"/>
    </row>
    <row r="35075">
      <c r="AI35075" s="80"/>
    </row>
    <row r="35076">
      <c r="AI35076" s="80"/>
    </row>
    <row r="35077">
      <c r="AI35077" s="80"/>
    </row>
    <row r="35078">
      <c r="AI35078" s="80"/>
    </row>
    <row r="35079">
      <c r="AI35079" s="80"/>
    </row>
    <row r="35080">
      <c r="AI35080" s="80"/>
    </row>
    <row r="35081">
      <c r="AI35081" s="80"/>
    </row>
    <row r="35082">
      <c r="AI35082" s="80"/>
    </row>
    <row r="35083">
      <c r="AI35083" s="80"/>
    </row>
    <row r="35084">
      <c r="AI35084" s="80"/>
    </row>
    <row r="35085">
      <c r="AI35085" s="80"/>
    </row>
    <row r="35086">
      <c r="AI35086" s="80"/>
    </row>
    <row r="35087">
      <c r="AI35087" s="80"/>
    </row>
    <row r="35088">
      <c r="AI35088" s="80"/>
    </row>
    <row r="35089">
      <c r="AI35089" s="80"/>
    </row>
    <row r="35090">
      <c r="AI35090" s="80"/>
    </row>
    <row r="35091">
      <c r="AI35091" s="80"/>
    </row>
    <row r="35092">
      <c r="AI35092" s="80"/>
    </row>
    <row r="35093">
      <c r="AI35093" s="80"/>
    </row>
    <row r="35094">
      <c r="AI35094" s="80"/>
    </row>
    <row r="35095">
      <c r="AI35095" s="80"/>
    </row>
    <row r="35096">
      <c r="AI35096" s="80"/>
    </row>
    <row r="35097">
      <c r="AI35097" s="80"/>
    </row>
    <row r="35098">
      <c r="AI35098" s="80"/>
    </row>
    <row r="35099">
      <c r="AI35099" s="80"/>
    </row>
    <row r="35100">
      <c r="AI35100" s="80"/>
    </row>
    <row r="35101">
      <c r="AI35101" s="80"/>
    </row>
    <row r="35102">
      <c r="AI35102" s="80"/>
    </row>
    <row r="35103">
      <c r="AI35103" s="80"/>
    </row>
    <row r="35104">
      <c r="AI35104" s="80"/>
    </row>
    <row r="35105">
      <c r="AI35105" s="80"/>
    </row>
    <row r="35106">
      <c r="AI35106" s="80"/>
    </row>
    <row r="35107">
      <c r="AI35107" s="80"/>
    </row>
    <row r="35108">
      <c r="AI35108" s="80"/>
    </row>
    <row r="35109">
      <c r="AI35109" s="80"/>
    </row>
    <row r="35110">
      <c r="AI35110" s="80"/>
    </row>
    <row r="35111">
      <c r="AI35111" s="80"/>
    </row>
    <row r="35112">
      <c r="AI35112" s="80"/>
    </row>
    <row r="35113">
      <c r="AI35113" s="80"/>
    </row>
    <row r="35114">
      <c r="AI35114" s="80"/>
    </row>
    <row r="35115">
      <c r="AI35115" s="80"/>
    </row>
    <row r="35116">
      <c r="AI35116" s="80"/>
    </row>
    <row r="35117">
      <c r="AI35117" s="80"/>
    </row>
    <row r="35118">
      <c r="AI35118" s="80"/>
    </row>
    <row r="35119">
      <c r="AI35119" s="80"/>
    </row>
    <row r="35120">
      <c r="AI35120" s="80"/>
    </row>
    <row r="35121">
      <c r="AI35121" s="80"/>
    </row>
    <row r="35122">
      <c r="AI35122" s="80"/>
    </row>
    <row r="35123">
      <c r="AI35123" s="80"/>
    </row>
    <row r="35124">
      <c r="AI35124" s="80"/>
    </row>
    <row r="35125">
      <c r="AI35125" s="80"/>
    </row>
    <row r="35126">
      <c r="AI35126" s="80"/>
    </row>
    <row r="35127">
      <c r="AI35127" s="80"/>
    </row>
    <row r="35128">
      <c r="AI35128" s="80"/>
    </row>
    <row r="35129">
      <c r="AI35129" s="80"/>
    </row>
    <row r="35130">
      <c r="AI35130" s="80"/>
    </row>
    <row r="35131">
      <c r="AI35131" s="80"/>
    </row>
    <row r="35132">
      <c r="AI35132" s="80"/>
    </row>
    <row r="35133">
      <c r="AI35133" s="80"/>
    </row>
    <row r="35134">
      <c r="AI35134" s="80"/>
    </row>
    <row r="35135">
      <c r="AI35135" s="80"/>
    </row>
    <row r="35136">
      <c r="AI35136" s="80"/>
    </row>
    <row r="35137">
      <c r="AI35137" s="80"/>
    </row>
    <row r="35138">
      <c r="AI35138" s="80"/>
    </row>
    <row r="35139">
      <c r="AI35139" s="80"/>
    </row>
    <row r="35140">
      <c r="AI35140" s="80"/>
    </row>
    <row r="35141">
      <c r="AI35141" s="80"/>
    </row>
    <row r="35142">
      <c r="AI35142" s="80"/>
    </row>
    <row r="35143">
      <c r="AI35143" s="80"/>
    </row>
    <row r="35144">
      <c r="AI35144" s="80"/>
    </row>
    <row r="35145">
      <c r="AI35145" s="80"/>
    </row>
    <row r="35146">
      <c r="AI35146" s="80"/>
    </row>
    <row r="35147">
      <c r="AI35147" s="80"/>
    </row>
    <row r="35148">
      <c r="AI35148" s="80"/>
    </row>
    <row r="35149">
      <c r="AI35149" s="80"/>
    </row>
    <row r="35150">
      <c r="AI35150" s="80"/>
    </row>
    <row r="35151">
      <c r="AI35151" s="80"/>
    </row>
    <row r="35152">
      <c r="AI35152" s="80"/>
    </row>
    <row r="35153">
      <c r="AI35153" s="80"/>
    </row>
    <row r="35154">
      <c r="AI35154" s="80"/>
    </row>
    <row r="35155">
      <c r="AI35155" s="80"/>
    </row>
    <row r="35156">
      <c r="AI35156" s="80"/>
    </row>
    <row r="35157">
      <c r="AI35157" s="80"/>
    </row>
    <row r="35158">
      <c r="AI35158" s="80"/>
    </row>
    <row r="35159">
      <c r="AI35159" s="80"/>
    </row>
    <row r="35160">
      <c r="AI35160" s="80"/>
    </row>
    <row r="35161">
      <c r="AI35161" s="80"/>
    </row>
    <row r="35162">
      <c r="AI35162" s="80"/>
    </row>
    <row r="35163">
      <c r="AI35163" s="80"/>
    </row>
    <row r="35164">
      <c r="AI35164" s="80"/>
    </row>
    <row r="35165">
      <c r="AI35165" s="80"/>
    </row>
    <row r="35166">
      <c r="AI35166" s="80"/>
    </row>
    <row r="35167">
      <c r="AI35167" s="80"/>
    </row>
    <row r="35168">
      <c r="AI35168" s="80"/>
    </row>
    <row r="35169">
      <c r="AI35169" s="80"/>
    </row>
    <row r="35170">
      <c r="AI35170" s="80"/>
    </row>
    <row r="35171">
      <c r="AI35171" s="80"/>
    </row>
    <row r="35172">
      <c r="AI35172" s="80"/>
    </row>
    <row r="35173">
      <c r="AI35173" s="80"/>
    </row>
    <row r="35174">
      <c r="AI35174" s="80"/>
    </row>
    <row r="35175">
      <c r="AI35175" s="80"/>
    </row>
    <row r="35176">
      <c r="AI35176" s="80"/>
    </row>
    <row r="35177">
      <c r="AI35177" s="80"/>
    </row>
    <row r="35178">
      <c r="AI35178" s="80"/>
    </row>
    <row r="35179">
      <c r="AI35179" s="80"/>
    </row>
    <row r="35180">
      <c r="AI35180" s="80"/>
    </row>
    <row r="35181">
      <c r="AI35181" s="80"/>
    </row>
    <row r="35182">
      <c r="AI35182" s="80"/>
    </row>
    <row r="35183">
      <c r="AI35183" s="80"/>
    </row>
    <row r="35184">
      <c r="AI35184" s="80"/>
    </row>
    <row r="35185">
      <c r="AI35185" s="80"/>
    </row>
    <row r="35186">
      <c r="AI35186" s="80"/>
    </row>
    <row r="35187">
      <c r="AI35187" s="80"/>
    </row>
    <row r="35188">
      <c r="AI35188" s="80"/>
    </row>
    <row r="35189">
      <c r="AI35189" s="80"/>
    </row>
    <row r="35190">
      <c r="AI35190" s="80"/>
    </row>
    <row r="35191">
      <c r="AI35191" s="80"/>
    </row>
    <row r="35192">
      <c r="AI35192" s="80"/>
    </row>
    <row r="35193">
      <c r="AI35193" s="80"/>
    </row>
    <row r="35194">
      <c r="AI35194" s="80"/>
    </row>
    <row r="35195">
      <c r="AI35195" s="80"/>
    </row>
    <row r="35196">
      <c r="AI35196" s="80"/>
    </row>
    <row r="35197">
      <c r="AI35197" s="80"/>
    </row>
    <row r="35198">
      <c r="AI35198" s="80"/>
    </row>
    <row r="35199">
      <c r="AI35199" s="80"/>
    </row>
    <row r="35200">
      <c r="AI35200" s="80"/>
    </row>
    <row r="35201">
      <c r="AI35201" s="80"/>
    </row>
    <row r="35202">
      <c r="AI35202" s="80"/>
    </row>
    <row r="35203">
      <c r="AI35203" s="80"/>
    </row>
    <row r="35204">
      <c r="AI35204" s="80"/>
    </row>
    <row r="35205">
      <c r="AI35205" s="80"/>
    </row>
    <row r="35206">
      <c r="AI35206" s="80"/>
    </row>
    <row r="35207">
      <c r="AI35207" s="80"/>
    </row>
    <row r="35208">
      <c r="AI35208" s="80"/>
    </row>
    <row r="35209">
      <c r="AI35209" s="80"/>
    </row>
    <row r="35210">
      <c r="AI35210" s="80"/>
    </row>
    <row r="35211">
      <c r="AI35211" s="80"/>
    </row>
    <row r="35212">
      <c r="AI35212" s="80"/>
    </row>
    <row r="35213">
      <c r="AI35213" s="80"/>
    </row>
    <row r="35214">
      <c r="AI35214" s="80"/>
    </row>
    <row r="35215">
      <c r="AI35215" s="80"/>
    </row>
    <row r="35216">
      <c r="AI35216" s="80"/>
    </row>
    <row r="35217">
      <c r="AI35217" s="80"/>
    </row>
    <row r="35218">
      <c r="AI35218" s="80"/>
    </row>
    <row r="35219">
      <c r="AI35219" s="80"/>
    </row>
    <row r="35220">
      <c r="AI35220" s="80"/>
    </row>
    <row r="35221">
      <c r="AI35221" s="80"/>
    </row>
    <row r="35222">
      <c r="AI35222" s="80"/>
    </row>
    <row r="35223">
      <c r="AI35223" s="80"/>
    </row>
    <row r="35224">
      <c r="AI35224" s="80"/>
    </row>
    <row r="35225">
      <c r="AI35225" s="80"/>
    </row>
    <row r="35226">
      <c r="AI35226" s="80"/>
    </row>
    <row r="35227">
      <c r="AI35227" s="80"/>
    </row>
    <row r="35228">
      <c r="AI35228" s="80"/>
    </row>
    <row r="35229">
      <c r="AI35229" s="80"/>
    </row>
    <row r="35230">
      <c r="AI35230" s="80"/>
    </row>
    <row r="35231">
      <c r="AI35231" s="80"/>
    </row>
    <row r="35232">
      <c r="AI35232" s="80"/>
    </row>
    <row r="35233">
      <c r="AI35233" s="80"/>
    </row>
    <row r="35234">
      <c r="AI35234" s="80"/>
    </row>
    <row r="35235">
      <c r="AI35235" s="80"/>
    </row>
    <row r="35236">
      <c r="AI35236" s="80"/>
    </row>
    <row r="35237">
      <c r="AI35237" s="80"/>
    </row>
    <row r="35238">
      <c r="AI35238" s="80"/>
    </row>
    <row r="35239">
      <c r="AI35239" s="80"/>
    </row>
    <row r="35240">
      <c r="AI35240" s="80"/>
    </row>
    <row r="35241">
      <c r="AI35241" s="80"/>
    </row>
    <row r="35242">
      <c r="AI35242" s="80"/>
    </row>
    <row r="35243">
      <c r="AI35243" s="80"/>
    </row>
    <row r="35244">
      <c r="AI35244" s="80"/>
    </row>
    <row r="35245">
      <c r="AI35245" s="80"/>
    </row>
    <row r="35246">
      <c r="AI35246" s="80"/>
    </row>
    <row r="35247">
      <c r="AI35247" s="80"/>
    </row>
    <row r="35248">
      <c r="AI35248" s="80"/>
    </row>
    <row r="35249">
      <c r="AI35249" s="80"/>
    </row>
    <row r="35250">
      <c r="AI35250" s="80"/>
    </row>
    <row r="35251">
      <c r="AI35251" s="80"/>
    </row>
    <row r="35252">
      <c r="AI35252" s="80"/>
    </row>
    <row r="35253">
      <c r="AI35253" s="80"/>
    </row>
    <row r="35254">
      <c r="AI35254" s="80"/>
    </row>
    <row r="35255">
      <c r="AI35255" s="80"/>
    </row>
    <row r="35256">
      <c r="AI35256" s="80"/>
    </row>
    <row r="35257">
      <c r="AI35257" s="80"/>
    </row>
    <row r="35258">
      <c r="AI35258" s="80"/>
    </row>
    <row r="35259">
      <c r="AI35259" s="80"/>
    </row>
    <row r="35260">
      <c r="AI35260" s="80"/>
    </row>
    <row r="35261">
      <c r="AI35261" s="80"/>
    </row>
    <row r="35262">
      <c r="AI35262" s="80"/>
    </row>
    <row r="35263">
      <c r="AI35263" s="80"/>
    </row>
    <row r="35264">
      <c r="AI35264" s="80"/>
    </row>
    <row r="35265">
      <c r="AI35265" s="80"/>
    </row>
    <row r="35266">
      <c r="AI35266" s="80"/>
    </row>
    <row r="35267">
      <c r="AI35267" s="80"/>
    </row>
    <row r="35268">
      <c r="AI35268" s="80"/>
    </row>
    <row r="35269">
      <c r="AI35269" s="80"/>
    </row>
    <row r="35270">
      <c r="AI35270" s="80"/>
    </row>
    <row r="35271">
      <c r="AI35271" s="80"/>
    </row>
    <row r="35272">
      <c r="AI35272" s="80"/>
    </row>
    <row r="35273">
      <c r="AI35273" s="80"/>
    </row>
    <row r="35274">
      <c r="AI35274" s="80"/>
    </row>
    <row r="35275">
      <c r="AI35275" s="80"/>
    </row>
    <row r="35276">
      <c r="AI35276" s="80"/>
    </row>
    <row r="35277">
      <c r="AI35277" s="80"/>
    </row>
    <row r="35278">
      <c r="AI35278" s="80"/>
    </row>
    <row r="35279">
      <c r="AI35279" s="80"/>
    </row>
    <row r="35280">
      <c r="AI35280" s="80"/>
    </row>
    <row r="35281">
      <c r="AI35281" s="80"/>
    </row>
    <row r="35282">
      <c r="AI35282" s="80"/>
    </row>
    <row r="35283">
      <c r="AI35283" s="80"/>
    </row>
    <row r="35284">
      <c r="AI35284" s="80"/>
    </row>
    <row r="35285">
      <c r="AI35285" s="80"/>
    </row>
    <row r="35286">
      <c r="AI35286" s="80"/>
    </row>
    <row r="35287">
      <c r="AI35287" s="80"/>
    </row>
    <row r="35288">
      <c r="AI35288" s="80"/>
    </row>
    <row r="35289">
      <c r="AI35289" s="80"/>
    </row>
    <row r="35290">
      <c r="AI35290" s="80"/>
    </row>
    <row r="35291">
      <c r="AI35291" s="80"/>
    </row>
    <row r="35292">
      <c r="AI35292" s="80"/>
    </row>
    <row r="35293">
      <c r="AI35293" s="80"/>
    </row>
    <row r="35294">
      <c r="AI35294" s="80"/>
    </row>
    <row r="35295">
      <c r="AI35295" s="80"/>
    </row>
    <row r="35296">
      <c r="AI35296" s="80"/>
    </row>
    <row r="35297">
      <c r="AI35297" s="80"/>
    </row>
    <row r="35298">
      <c r="AI35298" s="80"/>
    </row>
    <row r="35299">
      <c r="AI35299" s="80"/>
    </row>
    <row r="35300">
      <c r="AI35300" s="80"/>
    </row>
    <row r="35301">
      <c r="AI35301" s="80"/>
    </row>
    <row r="35302">
      <c r="AI35302" s="80"/>
    </row>
    <row r="35303">
      <c r="AI35303" s="80"/>
    </row>
    <row r="35304">
      <c r="AI35304" s="80"/>
    </row>
    <row r="35305">
      <c r="AI35305" s="80"/>
    </row>
    <row r="35306">
      <c r="AI35306" s="80"/>
    </row>
    <row r="35307">
      <c r="AI35307" s="80"/>
    </row>
    <row r="35308">
      <c r="AI35308" s="80"/>
    </row>
    <row r="35309">
      <c r="AI35309" s="80"/>
    </row>
    <row r="35310">
      <c r="AI35310" s="80"/>
    </row>
    <row r="35311">
      <c r="AI35311" s="80"/>
    </row>
    <row r="35312">
      <c r="AI35312" s="80"/>
    </row>
    <row r="35313">
      <c r="AI35313" s="80"/>
    </row>
    <row r="35314">
      <c r="AI35314" s="80"/>
    </row>
    <row r="35315">
      <c r="AI35315" s="80"/>
    </row>
    <row r="35316">
      <c r="AI35316" s="80"/>
    </row>
    <row r="35317">
      <c r="AI35317" s="80"/>
    </row>
    <row r="35318">
      <c r="AI35318" s="80"/>
    </row>
    <row r="35319">
      <c r="AI35319" s="80"/>
    </row>
    <row r="35320">
      <c r="AI35320" s="80"/>
    </row>
    <row r="35321">
      <c r="AI35321" s="80"/>
    </row>
    <row r="35322">
      <c r="AI35322" s="80"/>
    </row>
    <row r="35323">
      <c r="AI35323" s="80"/>
    </row>
    <row r="35324">
      <c r="AI35324" s="80"/>
    </row>
    <row r="35325">
      <c r="AI35325" s="80"/>
    </row>
    <row r="35326">
      <c r="AI35326" s="80"/>
    </row>
    <row r="35327">
      <c r="AI35327" s="80"/>
    </row>
    <row r="35328">
      <c r="AI35328" s="80"/>
    </row>
    <row r="35329">
      <c r="AI35329" s="80"/>
    </row>
    <row r="35330">
      <c r="AI35330" s="80"/>
    </row>
    <row r="35331">
      <c r="AI35331" s="80"/>
    </row>
    <row r="35332">
      <c r="AI35332" s="80"/>
    </row>
    <row r="35333">
      <c r="AI35333" s="80"/>
    </row>
    <row r="35334">
      <c r="AI35334" s="80"/>
    </row>
    <row r="35335">
      <c r="AI35335" s="80"/>
    </row>
    <row r="35336">
      <c r="AI35336" s="80"/>
    </row>
    <row r="35337">
      <c r="AI35337" s="80"/>
    </row>
    <row r="35338">
      <c r="AI35338" s="80"/>
    </row>
    <row r="35339">
      <c r="AI35339" s="80"/>
    </row>
    <row r="35340">
      <c r="AI35340" s="80"/>
    </row>
    <row r="35341">
      <c r="AI35341" s="80"/>
    </row>
    <row r="35342">
      <c r="AI35342" s="80"/>
    </row>
    <row r="35343">
      <c r="AI35343" s="80"/>
    </row>
    <row r="35344">
      <c r="AI35344" s="80"/>
    </row>
    <row r="35345">
      <c r="AI35345" s="80"/>
    </row>
    <row r="35346">
      <c r="AI35346" s="80"/>
    </row>
    <row r="35347">
      <c r="AI35347" s="80"/>
    </row>
    <row r="35348">
      <c r="AI35348" s="80"/>
    </row>
    <row r="35349">
      <c r="AI35349" s="80"/>
    </row>
    <row r="35350">
      <c r="AI35350" s="80"/>
    </row>
    <row r="35351">
      <c r="AI35351" s="80"/>
    </row>
    <row r="35352">
      <c r="AI35352" s="80"/>
    </row>
    <row r="35353">
      <c r="AI35353" s="80"/>
    </row>
    <row r="35354">
      <c r="AI35354" s="80"/>
    </row>
    <row r="35355">
      <c r="AI35355" s="80"/>
    </row>
    <row r="35356">
      <c r="AI35356" s="80"/>
    </row>
    <row r="35357">
      <c r="AI35357" s="80"/>
    </row>
    <row r="35358">
      <c r="AI35358" s="80"/>
    </row>
    <row r="35359">
      <c r="AI35359" s="80"/>
    </row>
    <row r="35360">
      <c r="AI35360" s="80"/>
    </row>
    <row r="35361">
      <c r="AI35361" s="80"/>
    </row>
    <row r="35362">
      <c r="AI35362" s="80"/>
    </row>
    <row r="35363">
      <c r="AI35363" s="80"/>
    </row>
    <row r="35364">
      <c r="AI35364" s="80"/>
    </row>
    <row r="35365">
      <c r="AI35365" s="80"/>
    </row>
    <row r="35366">
      <c r="AI35366" s="80"/>
    </row>
    <row r="35367">
      <c r="AI35367" s="80"/>
    </row>
    <row r="35368">
      <c r="AI35368" s="80"/>
    </row>
    <row r="35369">
      <c r="AI35369" s="80"/>
    </row>
    <row r="35370">
      <c r="AI35370" s="80"/>
    </row>
    <row r="35371">
      <c r="AI35371" s="80"/>
    </row>
    <row r="35372">
      <c r="AI35372" s="80"/>
    </row>
    <row r="35373">
      <c r="AI35373" s="80"/>
    </row>
    <row r="35374">
      <c r="AI35374" s="80"/>
    </row>
    <row r="35375">
      <c r="AI35375" s="80"/>
    </row>
    <row r="35376">
      <c r="AI35376" s="80"/>
    </row>
    <row r="35377">
      <c r="AI35377" s="80"/>
    </row>
    <row r="35378">
      <c r="AI35378" s="80"/>
    </row>
    <row r="35379">
      <c r="AI35379" s="80"/>
    </row>
    <row r="35380">
      <c r="AI35380" s="80"/>
    </row>
    <row r="35381">
      <c r="AI35381" s="80"/>
    </row>
    <row r="35382">
      <c r="AI35382" s="80"/>
    </row>
    <row r="35383">
      <c r="AI35383" s="80"/>
    </row>
    <row r="35384">
      <c r="AI35384" s="80"/>
    </row>
    <row r="35385">
      <c r="AI35385" s="80"/>
    </row>
    <row r="35386">
      <c r="AI35386" s="80"/>
    </row>
    <row r="35387">
      <c r="AI35387" s="80"/>
    </row>
    <row r="35388">
      <c r="AI35388" s="80"/>
    </row>
    <row r="35389">
      <c r="AI35389" s="80"/>
    </row>
    <row r="35390">
      <c r="AI35390" s="80"/>
    </row>
    <row r="35391">
      <c r="AI35391" s="80"/>
    </row>
    <row r="35392">
      <c r="AI35392" s="80"/>
    </row>
    <row r="35393">
      <c r="AI35393" s="80"/>
    </row>
    <row r="35394">
      <c r="AI35394" s="80"/>
    </row>
    <row r="35395">
      <c r="AI35395" s="80"/>
    </row>
    <row r="35396">
      <c r="AI35396" s="80"/>
    </row>
    <row r="35397">
      <c r="AI35397" s="80"/>
    </row>
    <row r="35398">
      <c r="AI35398" s="80"/>
    </row>
    <row r="35399">
      <c r="AI35399" s="80"/>
    </row>
    <row r="35400">
      <c r="AI35400" s="80"/>
    </row>
    <row r="35401">
      <c r="AI35401" s="80"/>
    </row>
    <row r="35402">
      <c r="AI35402" s="80"/>
    </row>
    <row r="35403">
      <c r="AI35403" s="80"/>
    </row>
    <row r="35404">
      <c r="AI35404" s="80"/>
    </row>
    <row r="35405">
      <c r="AI35405" s="80"/>
    </row>
    <row r="35406">
      <c r="AI35406" s="80"/>
    </row>
    <row r="35407">
      <c r="AI35407" s="80"/>
    </row>
    <row r="35408">
      <c r="AI35408" s="80"/>
    </row>
    <row r="35409">
      <c r="AI35409" s="80"/>
    </row>
    <row r="35410">
      <c r="AI35410" s="80"/>
    </row>
    <row r="35411">
      <c r="AI35411" s="80"/>
    </row>
    <row r="35412">
      <c r="AI35412" s="80"/>
    </row>
    <row r="35413">
      <c r="AI35413" s="80"/>
    </row>
    <row r="35414">
      <c r="AI35414" s="80"/>
    </row>
    <row r="35415">
      <c r="AI35415" s="80"/>
    </row>
    <row r="35416">
      <c r="AI35416" s="80"/>
    </row>
    <row r="35417">
      <c r="AI35417" s="80"/>
    </row>
    <row r="35418">
      <c r="AI35418" s="80"/>
    </row>
    <row r="35419">
      <c r="AI35419" s="80"/>
    </row>
    <row r="35420">
      <c r="AI35420" s="80"/>
    </row>
    <row r="35421">
      <c r="AI35421" s="80"/>
    </row>
    <row r="35422">
      <c r="AI35422" s="80"/>
    </row>
    <row r="35423">
      <c r="AI35423" s="80"/>
    </row>
    <row r="35424">
      <c r="AI35424" s="80"/>
    </row>
    <row r="35425">
      <c r="AI35425" s="80"/>
    </row>
    <row r="35426">
      <c r="AI35426" s="80"/>
    </row>
    <row r="35427">
      <c r="AI35427" s="80"/>
    </row>
    <row r="35428">
      <c r="AI35428" s="80"/>
    </row>
    <row r="35429">
      <c r="AI35429" s="80"/>
    </row>
    <row r="35430">
      <c r="AI35430" s="80"/>
    </row>
    <row r="35431">
      <c r="AI35431" s="80"/>
    </row>
    <row r="35432">
      <c r="AI35432" s="80"/>
    </row>
    <row r="35433">
      <c r="AI35433" s="80"/>
    </row>
    <row r="35434">
      <c r="AI35434" s="80"/>
    </row>
    <row r="35435">
      <c r="AI35435" s="80"/>
    </row>
    <row r="35436">
      <c r="AI35436" s="80"/>
    </row>
    <row r="35437">
      <c r="AI35437" s="80"/>
    </row>
    <row r="35438">
      <c r="AI35438" s="80"/>
    </row>
    <row r="35439">
      <c r="AI35439" s="80"/>
    </row>
    <row r="35440">
      <c r="AI35440" s="80"/>
    </row>
    <row r="35441">
      <c r="AI35441" s="80"/>
    </row>
    <row r="35442">
      <c r="AI35442" s="80"/>
    </row>
    <row r="35443">
      <c r="AI35443" s="80"/>
    </row>
    <row r="35444">
      <c r="AI35444" s="80"/>
    </row>
    <row r="35445">
      <c r="AI35445" s="80"/>
    </row>
    <row r="35446">
      <c r="AI35446" s="80"/>
    </row>
    <row r="35447">
      <c r="AI35447" s="80"/>
    </row>
    <row r="35448">
      <c r="AI35448" s="80"/>
    </row>
    <row r="35449">
      <c r="AI35449" s="80"/>
    </row>
    <row r="35450">
      <c r="AI35450" s="80"/>
    </row>
    <row r="35451">
      <c r="AI35451" s="80"/>
    </row>
    <row r="35452">
      <c r="AI35452" s="80"/>
    </row>
    <row r="35453">
      <c r="AI35453" s="80"/>
    </row>
    <row r="35454">
      <c r="AI35454" s="80"/>
    </row>
    <row r="35455">
      <c r="AI35455" s="80"/>
    </row>
    <row r="35456">
      <c r="AI35456" s="80"/>
    </row>
    <row r="35457">
      <c r="AI35457" s="80"/>
    </row>
    <row r="35458">
      <c r="AI35458" s="80"/>
    </row>
    <row r="35459">
      <c r="AI35459" s="80"/>
    </row>
    <row r="35460">
      <c r="AI35460" s="80"/>
    </row>
    <row r="35461">
      <c r="AI35461" s="80"/>
    </row>
    <row r="35462">
      <c r="AI35462" s="80"/>
    </row>
    <row r="35463">
      <c r="AI35463" s="80"/>
    </row>
    <row r="35464">
      <c r="AI35464" s="80"/>
    </row>
    <row r="35465">
      <c r="AI35465" s="80"/>
    </row>
    <row r="35466">
      <c r="AI35466" s="80"/>
    </row>
    <row r="35467">
      <c r="AI35467" s="80"/>
    </row>
    <row r="35468">
      <c r="AI35468" s="80"/>
    </row>
    <row r="35469">
      <c r="AI35469" s="80"/>
    </row>
    <row r="35470">
      <c r="AI35470" s="80"/>
    </row>
    <row r="35471">
      <c r="AI35471" s="80"/>
    </row>
    <row r="35472">
      <c r="AI35472" s="80"/>
    </row>
    <row r="35473">
      <c r="AI35473" s="80"/>
    </row>
    <row r="35474">
      <c r="AI35474" s="80"/>
    </row>
    <row r="35475">
      <c r="AI35475" s="80"/>
    </row>
    <row r="35476">
      <c r="AI35476" s="80"/>
    </row>
    <row r="35477">
      <c r="AI35477" s="80"/>
    </row>
    <row r="35478">
      <c r="AI35478" s="80"/>
    </row>
    <row r="35479">
      <c r="AI35479" s="80"/>
    </row>
    <row r="35480">
      <c r="AI35480" s="80"/>
    </row>
    <row r="35481">
      <c r="AI35481" s="80"/>
    </row>
    <row r="35482">
      <c r="AI35482" s="80"/>
    </row>
    <row r="35483">
      <c r="AI35483" s="80"/>
    </row>
    <row r="35484">
      <c r="AI35484" s="80"/>
    </row>
    <row r="35485">
      <c r="AI35485" s="80"/>
    </row>
    <row r="35486">
      <c r="AI35486" s="80"/>
    </row>
    <row r="35487">
      <c r="AI35487" s="80"/>
    </row>
    <row r="35488">
      <c r="AI35488" s="80"/>
    </row>
    <row r="35489">
      <c r="AI35489" s="80"/>
    </row>
    <row r="35490">
      <c r="AI35490" s="80"/>
    </row>
    <row r="35491">
      <c r="AI35491" s="80"/>
    </row>
    <row r="35492">
      <c r="AI35492" s="80"/>
    </row>
    <row r="35493">
      <c r="AI35493" s="80"/>
    </row>
    <row r="35494">
      <c r="AI35494" s="80"/>
    </row>
    <row r="35495">
      <c r="AI35495" s="80"/>
    </row>
    <row r="35496">
      <c r="AI35496" s="80"/>
    </row>
    <row r="35497">
      <c r="AI35497" s="80"/>
    </row>
    <row r="35498">
      <c r="AI35498" s="80"/>
    </row>
    <row r="35499">
      <c r="AI35499" s="80"/>
    </row>
    <row r="35500">
      <c r="AI35500" s="80"/>
    </row>
    <row r="35501">
      <c r="AI35501" s="80"/>
    </row>
    <row r="35502">
      <c r="AI35502" s="80"/>
    </row>
    <row r="35503">
      <c r="AI35503" s="80"/>
    </row>
    <row r="35504">
      <c r="AI35504" s="80"/>
    </row>
    <row r="35505">
      <c r="AI35505" s="80"/>
    </row>
    <row r="35506">
      <c r="AI35506" s="80"/>
    </row>
    <row r="35507">
      <c r="AI35507" s="80"/>
    </row>
    <row r="35508">
      <c r="AI35508" s="80"/>
    </row>
    <row r="35509">
      <c r="AI35509" s="80"/>
    </row>
    <row r="35510">
      <c r="AI35510" s="80"/>
    </row>
    <row r="35511">
      <c r="AI35511" s="80"/>
    </row>
    <row r="35512">
      <c r="AI35512" s="80"/>
    </row>
    <row r="35513">
      <c r="AI35513" s="80"/>
    </row>
    <row r="35514">
      <c r="AI35514" s="80"/>
    </row>
    <row r="35515">
      <c r="AI35515" s="80"/>
    </row>
    <row r="35516">
      <c r="AI35516" s="80"/>
    </row>
    <row r="35517">
      <c r="AI35517" s="80"/>
    </row>
    <row r="35518">
      <c r="AI35518" s="80"/>
    </row>
    <row r="35519">
      <c r="AI35519" s="80"/>
    </row>
    <row r="35520">
      <c r="AI35520" s="80"/>
    </row>
    <row r="35521">
      <c r="AI35521" s="80"/>
    </row>
    <row r="35522">
      <c r="AI35522" s="80"/>
    </row>
    <row r="35523">
      <c r="AI35523" s="80"/>
    </row>
    <row r="35524">
      <c r="AI35524" s="80"/>
    </row>
    <row r="35525">
      <c r="AI35525" s="80"/>
    </row>
    <row r="35526">
      <c r="AI35526" s="80"/>
    </row>
    <row r="35527">
      <c r="AI35527" s="80"/>
    </row>
    <row r="35528">
      <c r="AI35528" s="80"/>
    </row>
    <row r="35529">
      <c r="AI35529" s="80"/>
    </row>
    <row r="35530">
      <c r="AI35530" s="80"/>
    </row>
    <row r="35531">
      <c r="AI35531" s="80"/>
    </row>
    <row r="35532">
      <c r="AI35532" s="80"/>
    </row>
    <row r="35533">
      <c r="AI35533" s="80"/>
    </row>
    <row r="35534">
      <c r="AI35534" s="80"/>
    </row>
    <row r="35535">
      <c r="AI35535" s="80"/>
    </row>
    <row r="35536">
      <c r="AI35536" s="80"/>
    </row>
    <row r="35537">
      <c r="AI35537" s="80"/>
    </row>
    <row r="35538">
      <c r="AI35538" s="80"/>
    </row>
    <row r="35539">
      <c r="AI35539" s="80"/>
    </row>
    <row r="35540">
      <c r="AI35540" s="80"/>
    </row>
    <row r="35541">
      <c r="AI35541" s="80"/>
    </row>
    <row r="35542">
      <c r="AI35542" s="80"/>
    </row>
    <row r="35543">
      <c r="AI35543" s="80"/>
    </row>
    <row r="35544">
      <c r="AI35544" s="80"/>
    </row>
    <row r="35545">
      <c r="AI35545" s="80"/>
    </row>
    <row r="35546">
      <c r="AI35546" s="80"/>
    </row>
    <row r="35547">
      <c r="AI35547" s="80"/>
    </row>
    <row r="35548">
      <c r="AI35548" s="80"/>
    </row>
    <row r="35549">
      <c r="AI35549" s="80"/>
    </row>
    <row r="35550">
      <c r="AI35550" s="80"/>
    </row>
    <row r="35551">
      <c r="AI35551" s="80"/>
    </row>
    <row r="35552">
      <c r="AI35552" s="80"/>
    </row>
    <row r="35553">
      <c r="AI35553" s="80"/>
    </row>
    <row r="35554">
      <c r="AI35554" s="80"/>
    </row>
    <row r="35555">
      <c r="AI35555" s="80"/>
    </row>
    <row r="35556">
      <c r="AI35556" s="80"/>
    </row>
    <row r="35557">
      <c r="AI35557" s="80"/>
    </row>
    <row r="35558">
      <c r="AI35558" s="80"/>
    </row>
    <row r="35559">
      <c r="AI35559" s="80"/>
    </row>
    <row r="35560">
      <c r="AI35560" s="80"/>
    </row>
    <row r="35561">
      <c r="AI35561" s="80"/>
    </row>
    <row r="35562">
      <c r="AI35562" s="80"/>
    </row>
    <row r="35563">
      <c r="AI35563" s="80"/>
    </row>
    <row r="35564">
      <c r="AI35564" s="80"/>
    </row>
    <row r="35565">
      <c r="AI35565" s="80"/>
    </row>
    <row r="35566">
      <c r="AI35566" s="80"/>
    </row>
    <row r="35567">
      <c r="AI35567" s="80"/>
    </row>
    <row r="35568">
      <c r="AI35568" s="80"/>
    </row>
    <row r="35569">
      <c r="AI35569" s="80"/>
    </row>
    <row r="35570">
      <c r="AI35570" s="80"/>
    </row>
    <row r="35571">
      <c r="AI35571" s="80"/>
    </row>
    <row r="35572">
      <c r="AI35572" s="80"/>
    </row>
    <row r="35573">
      <c r="AI35573" s="80"/>
    </row>
    <row r="35574">
      <c r="AI35574" s="80"/>
    </row>
    <row r="35575">
      <c r="AI35575" s="80"/>
    </row>
    <row r="35576">
      <c r="AI35576" s="80"/>
    </row>
    <row r="35577">
      <c r="AI35577" s="80"/>
    </row>
    <row r="35578">
      <c r="AI35578" s="80"/>
    </row>
    <row r="35579">
      <c r="AI35579" s="80"/>
    </row>
    <row r="35580">
      <c r="AI35580" s="80"/>
    </row>
    <row r="35581">
      <c r="AI35581" s="80"/>
    </row>
    <row r="35582">
      <c r="AI35582" s="80"/>
    </row>
    <row r="35583">
      <c r="AI35583" s="80"/>
    </row>
    <row r="35584">
      <c r="AI35584" s="80"/>
    </row>
    <row r="35585">
      <c r="AI35585" s="80"/>
    </row>
    <row r="35586">
      <c r="AI35586" s="80"/>
    </row>
    <row r="35587">
      <c r="AI35587" s="80"/>
    </row>
    <row r="35588">
      <c r="AI35588" s="80"/>
    </row>
    <row r="35589">
      <c r="AI35589" s="80"/>
    </row>
    <row r="35590">
      <c r="AI35590" s="80"/>
    </row>
    <row r="35591">
      <c r="AI35591" s="80"/>
    </row>
    <row r="35592">
      <c r="AI35592" s="80"/>
    </row>
    <row r="35593">
      <c r="AI35593" s="80"/>
    </row>
    <row r="35594">
      <c r="AI35594" s="80"/>
    </row>
    <row r="35595">
      <c r="AI35595" s="80"/>
    </row>
    <row r="35596">
      <c r="AI35596" s="80"/>
    </row>
    <row r="35597">
      <c r="AI35597" s="80"/>
    </row>
    <row r="35598">
      <c r="AI35598" s="80"/>
    </row>
    <row r="35599">
      <c r="AI35599" s="80"/>
    </row>
    <row r="35600">
      <c r="AI35600" s="80"/>
    </row>
    <row r="35601">
      <c r="AI35601" s="80"/>
    </row>
    <row r="35602">
      <c r="AI35602" s="80"/>
    </row>
    <row r="35603">
      <c r="AI35603" s="80"/>
    </row>
    <row r="35604">
      <c r="AI35604" s="80"/>
    </row>
    <row r="35605">
      <c r="AI35605" s="80"/>
    </row>
    <row r="35606">
      <c r="AI35606" s="80"/>
    </row>
    <row r="35607">
      <c r="AI35607" s="80"/>
    </row>
    <row r="35608">
      <c r="AI35608" s="80"/>
    </row>
    <row r="35609">
      <c r="AI35609" s="80"/>
    </row>
    <row r="35610">
      <c r="AI35610" s="80"/>
    </row>
    <row r="35611">
      <c r="AI35611" s="80"/>
    </row>
    <row r="35612">
      <c r="AI35612" s="80"/>
    </row>
    <row r="35613">
      <c r="AI35613" s="80"/>
    </row>
    <row r="35614">
      <c r="AI35614" s="80"/>
    </row>
    <row r="35615">
      <c r="AI35615" s="80"/>
    </row>
    <row r="35616">
      <c r="AI35616" s="80"/>
    </row>
    <row r="35617">
      <c r="AI35617" s="80"/>
    </row>
    <row r="35618">
      <c r="AI35618" s="80"/>
    </row>
    <row r="35619">
      <c r="AI35619" s="80"/>
    </row>
    <row r="35620">
      <c r="AI35620" s="80"/>
    </row>
    <row r="35621">
      <c r="AI35621" s="80"/>
    </row>
    <row r="35622">
      <c r="AI35622" s="80"/>
    </row>
    <row r="35623">
      <c r="AI35623" s="80"/>
    </row>
    <row r="35624">
      <c r="AI35624" s="80"/>
    </row>
    <row r="35625">
      <c r="AI35625" s="80"/>
    </row>
    <row r="35626">
      <c r="AI35626" s="80"/>
    </row>
    <row r="35627">
      <c r="AI35627" s="80"/>
    </row>
    <row r="35628">
      <c r="AI35628" s="80"/>
    </row>
    <row r="35629">
      <c r="AI35629" s="80"/>
    </row>
    <row r="35630">
      <c r="AI35630" s="80"/>
    </row>
    <row r="35631">
      <c r="AI35631" s="80"/>
    </row>
    <row r="35632">
      <c r="AI35632" s="80"/>
    </row>
    <row r="35633">
      <c r="AI35633" s="80"/>
    </row>
    <row r="35634">
      <c r="AI35634" s="80"/>
    </row>
    <row r="35635">
      <c r="AI35635" s="80"/>
    </row>
    <row r="35636">
      <c r="AI35636" s="80"/>
    </row>
    <row r="35637">
      <c r="AI35637" s="80"/>
    </row>
    <row r="35638">
      <c r="AI35638" s="80"/>
    </row>
    <row r="35639">
      <c r="AI35639" s="80"/>
    </row>
    <row r="35640">
      <c r="AI35640" s="80"/>
    </row>
    <row r="35641">
      <c r="AI35641" s="80"/>
    </row>
    <row r="35642">
      <c r="AI35642" s="80"/>
    </row>
    <row r="35643">
      <c r="AI35643" s="80"/>
    </row>
    <row r="35644">
      <c r="AI35644" s="80"/>
    </row>
    <row r="35645">
      <c r="AI35645" s="80"/>
    </row>
    <row r="35646">
      <c r="AI35646" s="80"/>
    </row>
    <row r="35647">
      <c r="AI35647" s="80"/>
    </row>
    <row r="35648">
      <c r="AI35648" s="80"/>
    </row>
    <row r="35649">
      <c r="AI35649" s="80"/>
    </row>
    <row r="35650">
      <c r="AI35650" s="80"/>
    </row>
    <row r="35651">
      <c r="AI35651" s="80"/>
    </row>
    <row r="35652">
      <c r="AI35652" s="80"/>
    </row>
    <row r="35653">
      <c r="AI35653" s="80"/>
    </row>
    <row r="35654">
      <c r="AI35654" s="80"/>
    </row>
    <row r="35655">
      <c r="AI35655" s="80"/>
    </row>
    <row r="35656">
      <c r="AI35656" s="80"/>
    </row>
    <row r="35657">
      <c r="AI35657" s="80"/>
    </row>
    <row r="35658">
      <c r="AI35658" s="80"/>
    </row>
    <row r="35659">
      <c r="AI35659" s="80"/>
    </row>
    <row r="35660">
      <c r="AI35660" s="80"/>
    </row>
    <row r="35661">
      <c r="AI35661" s="80"/>
    </row>
    <row r="35662">
      <c r="AI35662" s="80"/>
    </row>
    <row r="35663">
      <c r="AI35663" s="80"/>
    </row>
    <row r="35664">
      <c r="AI35664" s="80"/>
    </row>
    <row r="35665">
      <c r="AI35665" s="80"/>
    </row>
    <row r="35666">
      <c r="AI35666" s="80"/>
    </row>
    <row r="35667">
      <c r="AI35667" s="80"/>
    </row>
    <row r="35668">
      <c r="AI35668" s="80"/>
    </row>
    <row r="35669">
      <c r="AI35669" s="80"/>
    </row>
    <row r="35670">
      <c r="AI35670" s="80"/>
    </row>
    <row r="35671">
      <c r="AI35671" s="80"/>
    </row>
    <row r="35672">
      <c r="AI35672" s="80"/>
    </row>
    <row r="35673">
      <c r="AI35673" s="80"/>
    </row>
    <row r="35674">
      <c r="AI35674" s="80"/>
    </row>
    <row r="35675">
      <c r="AI35675" s="80"/>
    </row>
    <row r="35676">
      <c r="AI35676" s="80"/>
    </row>
    <row r="35677">
      <c r="AI35677" s="80"/>
    </row>
    <row r="35678">
      <c r="AI35678" s="80"/>
    </row>
    <row r="35679">
      <c r="AI35679" s="80"/>
    </row>
    <row r="35680">
      <c r="AI35680" s="80"/>
    </row>
    <row r="35681">
      <c r="AI35681" s="80"/>
    </row>
    <row r="35682">
      <c r="AI35682" s="80"/>
    </row>
    <row r="35683">
      <c r="AI35683" s="80"/>
    </row>
    <row r="35684">
      <c r="AI35684" s="80"/>
    </row>
    <row r="35685">
      <c r="AI35685" s="80"/>
    </row>
    <row r="35686">
      <c r="AI35686" s="80"/>
    </row>
    <row r="35687">
      <c r="AI35687" s="80"/>
    </row>
    <row r="35688">
      <c r="AI35688" s="80"/>
    </row>
    <row r="35689">
      <c r="AI35689" s="80"/>
    </row>
    <row r="35690">
      <c r="AI35690" s="80"/>
    </row>
    <row r="35691">
      <c r="AI35691" s="80"/>
    </row>
    <row r="35692">
      <c r="AI35692" s="80"/>
    </row>
    <row r="35693">
      <c r="AI35693" s="80"/>
    </row>
    <row r="35694">
      <c r="AI35694" s="80"/>
    </row>
    <row r="35695">
      <c r="AI35695" s="80"/>
    </row>
    <row r="35696">
      <c r="AI35696" s="80"/>
    </row>
    <row r="35697">
      <c r="AI35697" s="80"/>
    </row>
    <row r="35698">
      <c r="AI35698" s="80"/>
    </row>
    <row r="35699">
      <c r="AI35699" s="80"/>
    </row>
    <row r="35700">
      <c r="AI35700" s="80"/>
    </row>
    <row r="35701">
      <c r="AI35701" s="80"/>
    </row>
    <row r="35702">
      <c r="AI35702" s="80"/>
    </row>
    <row r="35703">
      <c r="AI35703" s="80"/>
    </row>
    <row r="35704">
      <c r="AI35704" s="80"/>
    </row>
    <row r="35705">
      <c r="AI35705" s="80"/>
    </row>
    <row r="35706">
      <c r="AI35706" s="80"/>
    </row>
    <row r="35707">
      <c r="AI35707" s="80"/>
    </row>
    <row r="35708">
      <c r="AI35708" s="80"/>
    </row>
    <row r="35709">
      <c r="AI35709" s="80"/>
    </row>
    <row r="35710">
      <c r="AI35710" s="80"/>
    </row>
    <row r="35711">
      <c r="AI35711" s="80"/>
    </row>
    <row r="35712">
      <c r="AI35712" s="80"/>
    </row>
    <row r="35713">
      <c r="AI35713" s="80"/>
    </row>
    <row r="35714">
      <c r="AI35714" s="80"/>
    </row>
    <row r="35715">
      <c r="AI35715" s="80"/>
    </row>
    <row r="35716">
      <c r="AI35716" s="80"/>
    </row>
    <row r="35717">
      <c r="AI35717" s="80"/>
    </row>
    <row r="35718">
      <c r="AI35718" s="80"/>
    </row>
    <row r="35719">
      <c r="AI35719" s="80"/>
    </row>
    <row r="35720">
      <c r="AI35720" s="80"/>
    </row>
    <row r="35721">
      <c r="AI35721" s="80"/>
    </row>
    <row r="35722">
      <c r="AI35722" s="80"/>
    </row>
    <row r="35723">
      <c r="AI35723" s="80"/>
    </row>
    <row r="35724">
      <c r="AI35724" s="80"/>
    </row>
    <row r="35725">
      <c r="AI35725" s="80"/>
    </row>
    <row r="35726">
      <c r="AI35726" s="80"/>
    </row>
    <row r="35727">
      <c r="AI35727" s="80"/>
    </row>
    <row r="35728">
      <c r="AI35728" s="80"/>
    </row>
    <row r="35729">
      <c r="AI35729" s="80"/>
    </row>
    <row r="35730">
      <c r="AI35730" s="80"/>
    </row>
    <row r="35731">
      <c r="AI35731" s="80"/>
    </row>
    <row r="35732">
      <c r="AI35732" s="80"/>
    </row>
    <row r="35733">
      <c r="AI35733" s="80"/>
    </row>
    <row r="35734">
      <c r="AI35734" s="80"/>
    </row>
    <row r="35735">
      <c r="AI35735" s="80"/>
    </row>
    <row r="35736">
      <c r="AI35736" s="80"/>
    </row>
    <row r="35737">
      <c r="AI35737" s="80"/>
    </row>
    <row r="35738">
      <c r="AI35738" s="80"/>
    </row>
    <row r="35739">
      <c r="AI35739" s="80"/>
    </row>
    <row r="35740">
      <c r="AI35740" s="80"/>
    </row>
    <row r="35741">
      <c r="AI35741" s="80"/>
    </row>
    <row r="35742">
      <c r="AI35742" s="80"/>
    </row>
    <row r="35743">
      <c r="AI35743" s="80"/>
    </row>
    <row r="35744">
      <c r="AI35744" s="80"/>
    </row>
    <row r="35745">
      <c r="AI35745" s="80"/>
    </row>
    <row r="35746">
      <c r="AI35746" s="80"/>
    </row>
    <row r="35747">
      <c r="AI35747" s="80"/>
    </row>
    <row r="35748">
      <c r="AI35748" s="80"/>
    </row>
    <row r="35749">
      <c r="AI35749" s="80"/>
    </row>
    <row r="35750">
      <c r="AI35750" s="80"/>
    </row>
    <row r="35751">
      <c r="AI35751" s="80"/>
    </row>
    <row r="35752">
      <c r="AI35752" s="80"/>
    </row>
    <row r="35753">
      <c r="AI35753" s="80"/>
    </row>
    <row r="35754">
      <c r="AI35754" s="80"/>
    </row>
    <row r="35755">
      <c r="AI35755" s="80"/>
    </row>
    <row r="35756">
      <c r="AI35756" s="80"/>
    </row>
    <row r="35757">
      <c r="AI35757" s="80"/>
    </row>
    <row r="35758">
      <c r="AI35758" s="80"/>
    </row>
    <row r="35759">
      <c r="AI35759" s="80"/>
    </row>
    <row r="35760">
      <c r="AI35760" s="80"/>
    </row>
    <row r="35761">
      <c r="AI35761" s="80"/>
    </row>
    <row r="35762">
      <c r="AI35762" s="80"/>
    </row>
    <row r="35763">
      <c r="AI35763" s="80"/>
    </row>
    <row r="35764">
      <c r="AI35764" s="80"/>
    </row>
    <row r="35765">
      <c r="AI35765" s="80"/>
    </row>
    <row r="35766">
      <c r="AI35766" s="80"/>
    </row>
    <row r="35767">
      <c r="AI35767" s="80"/>
    </row>
    <row r="35768">
      <c r="AI35768" s="80"/>
    </row>
    <row r="35769">
      <c r="AI35769" s="80"/>
    </row>
    <row r="35770">
      <c r="AI35770" s="80"/>
    </row>
    <row r="35771">
      <c r="AI35771" s="80"/>
    </row>
    <row r="35772">
      <c r="AI35772" s="80"/>
    </row>
    <row r="35773">
      <c r="AI35773" s="80"/>
    </row>
    <row r="35774">
      <c r="AI35774" s="80"/>
    </row>
    <row r="35775">
      <c r="AI35775" s="80"/>
    </row>
    <row r="35776">
      <c r="AI35776" s="80"/>
    </row>
    <row r="35777">
      <c r="AI35777" s="80"/>
    </row>
    <row r="35778">
      <c r="AI35778" s="80"/>
    </row>
    <row r="35779">
      <c r="AI35779" s="80"/>
    </row>
    <row r="35780">
      <c r="AI35780" s="80"/>
    </row>
    <row r="35781">
      <c r="AI35781" s="80"/>
    </row>
    <row r="35782">
      <c r="AI35782" s="80"/>
    </row>
    <row r="35783">
      <c r="AI35783" s="80"/>
    </row>
    <row r="35784">
      <c r="AI35784" s="80"/>
    </row>
    <row r="35785">
      <c r="AI35785" s="80"/>
    </row>
    <row r="35786">
      <c r="AI35786" s="80"/>
    </row>
    <row r="35787">
      <c r="AI35787" s="80"/>
    </row>
    <row r="35788">
      <c r="AI35788" s="80"/>
    </row>
    <row r="35789">
      <c r="AI35789" s="80"/>
    </row>
    <row r="35790">
      <c r="AI35790" s="80"/>
    </row>
    <row r="35791">
      <c r="AI35791" s="80"/>
    </row>
    <row r="35792">
      <c r="AI35792" s="80"/>
    </row>
    <row r="35793">
      <c r="AI35793" s="80"/>
    </row>
    <row r="35794">
      <c r="AI35794" s="80"/>
    </row>
    <row r="35795">
      <c r="AI35795" s="80"/>
    </row>
    <row r="35796">
      <c r="AI35796" s="80"/>
    </row>
    <row r="35797">
      <c r="AI35797" s="80"/>
    </row>
    <row r="35798">
      <c r="AI35798" s="80"/>
    </row>
    <row r="35799">
      <c r="AI35799" s="80"/>
    </row>
    <row r="35800">
      <c r="AI35800" s="80"/>
    </row>
    <row r="35801">
      <c r="AI35801" s="80"/>
    </row>
    <row r="35802">
      <c r="AI35802" s="80"/>
    </row>
    <row r="35803">
      <c r="AI35803" s="80"/>
    </row>
    <row r="35804">
      <c r="AI35804" s="80"/>
    </row>
    <row r="35805">
      <c r="AI35805" s="80"/>
    </row>
    <row r="35806">
      <c r="AI35806" s="80"/>
    </row>
    <row r="35807">
      <c r="AI35807" s="80"/>
    </row>
    <row r="35808">
      <c r="AI35808" s="80"/>
    </row>
    <row r="35809">
      <c r="AI35809" s="80"/>
    </row>
    <row r="35810">
      <c r="AI35810" s="80"/>
    </row>
    <row r="35811">
      <c r="AI35811" s="80"/>
    </row>
    <row r="35812">
      <c r="AI35812" s="80"/>
    </row>
    <row r="35813">
      <c r="AI35813" s="80"/>
    </row>
    <row r="35814">
      <c r="AI35814" s="80"/>
    </row>
    <row r="35815">
      <c r="AI35815" s="80"/>
    </row>
    <row r="35816">
      <c r="AI35816" s="80"/>
    </row>
    <row r="35817">
      <c r="AI35817" s="80"/>
    </row>
    <row r="35818">
      <c r="AI35818" s="80"/>
    </row>
    <row r="35819">
      <c r="AI35819" s="80"/>
    </row>
    <row r="35820">
      <c r="AI35820" s="80"/>
    </row>
    <row r="35821">
      <c r="AI35821" s="80"/>
    </row>
    <row r="35822">
      <c r="AI35822" s="80"/>
    </row>
    <row r="35823">
      <c r="AI35823" s="80"/>
    </row>
    <row r="35824">
      <c r="AI35824" s="80"/>
    </row>
    <row r="35825">
      <c r="AI35825" s="80"/>
    </row>
    <row r="35826">
      <c r="AI35826" s="80"/>
    </row>
    <row r="35827">
      <c r="AI35827" s="80"/>
    </row>
    <row r="35828">
      <c r="AI35828" s="80"/>
    </row>
    <row r="35829">
      <c r="AI35829" s="80"/>
    </row>
    <row r="35830">
      <c r="AI35830" s="80"/>
    </row>
    <row r="35831">
      <c r="AI35831" s="80"/>
    </row>
    <row r="35832">
      <c r="AI35832" s="80"/>
    </row>
    <row r="35833">
      <c r="AI35833" s="80"/>
    </row>
    <row r="35834">
      <c r="AI35834" s="80"/>
    </row>
    <row r="35835">
      <c r="AI35835" s="80"/>
    </row>
    <row r="35836">
      <c r="AI35836" s="80"/>
    </row>
    <row r="35837">
      <c r="AI35837" s="80"/>
    </row>
    <row r="35838">
      <c r="AI35838" s="80"/>
    </row>
    <row r="35839">
      <c r="AI35839" s="80"/>
    </row>
    <row r="35840">
      <c r="AI35840" s="80"/>
    </row>
    <row r="35841">
      <c r="AI35841" s="80"/>
    </row>
    <row r="35842">
      <c r="AI35842" s="80"/>
    </row>
    <row r="35843">
      <c r="AI35843" s="80"/>
    </row>
    <row r="35844">
      <c r="AI35844" s="80"/>
    </row>
    <row r="35845">
      <c r="AI35845" s="80"/>
    </row>
    <row r="35846">
      <c r="AI35846" s="80"/>
    </row>
    <row r="35847">
      <c r="AI35847" s="80"/>
    </row>
    <row r="35848">
      <c r="AI35848" s="80"/>
    </row>
    <row r="35849">
      <c r="AI35849" s="80"/>
    </row>
    <row r="35850">
      <c r="AI35850" s="80"/>
    </row>
    <row r="35851">
      <c r="AI35851" s="80"/>
    </row>
    <row r="35852">
      <c r="AI35852" s="80"/>
    </row>
    <row r="35853">
      <c r="AI35853" s="80"/>
    </row>
    <row r="35854">
      <c r="AI35854" s="80"/>
    </row>
    <row r="35855">
      <c r="AI35855" s="80"/>
    </row>
    <row r="35856">
      <c r="AI35856" s="80"/>
    </row>
    <row r="35857">
      <c r="AI35857" s="80"/>
    </row>
    <row r="35858">
      <c r="AI35858" s="80"/>
    </row>
    <row r="35859">
      <c r="AI35859" s="80"/>
    </row>
    <row r="35860">
      <c r="AI35860" s="80"/>
    </row>
    <row r="35861">
      <c r="AI35861" s="80"/>
    </row>
    <row r="35862">
      <c r="AI35862" s="80"/>
    </row>
    <row r="35863">
      <c r="AI35863" s="80"/>
    </row>
    <row r="35864">
      <c r="AI35864" s="80"/>
    </row>
    <row r="35865">
      <c r="AI35865" s="80"/>
    </row>
    <row r="35866">
      <c r="AI35866" s="80"/>
    </row>
    <row r="35867">
      <c r="AI35867" s="80"/>
    </row>
    <row r="35868">
      <c r="AI35868" s="80"/>
    </row>
    <row r="35869">
      <c r="AI35869" s="80"/>
    </row>
    <row r="35870">
      <c r="AI35870" s="80"/>
    </row>
    <row r="35871">
      <c r="AI35871" s="80"/>
    </row>
    <row r="35872">
      <c r="AI35872" s="80"/>
    </row>
    <row r="35873">
      <c r="AI35873" s="80"/>
    </row>
    <row r="35874">
      <c r="AI35874" s="80"/>
    </row>
    <row r="35875">
      <c r="AI35875" s="80"/>
    </row>
    <row r="35876">
      <c r="AI35876" s="80"/>
    </row>
    <row r="35877">
      <c r="AI35877" s="80"/>
    </row>
    <row r="35878">
      <c r="AI35878" s="80"/>
    </row>
    <row r="35879">
      <c r="AI35879" s="80"/>
    </row>
    <row r="35880">
      <c r="AI35880" s="80"/>
    </row>
    <row r="35881">
      <c r="AI35881" s="80"/>
    </row>
    <row r="35882">
      <c r="AI35882" s="80"/>
    </row>
    <row r="35883">
      <c r="AI35883" s="80"/>
    </row>
    <row r="35884">
      <c r="AI35884" s="80"/>
    </row>
    <row r="35885">
      <c r="AI35885" s="80"/>
    </row>
    <row r="35886">
      <c r="AI35886" s="80"/>
    </row>
    <row r="35887">
      <c r="AI35887" s="80"/>
    </row>
    <row r="35888">
      <c r="AI35888" s="80"/>
    </row>
    <row r="35889">
      <c r="AI35889" s="80"/>
    </row>
    <row r="35890">
      <c r="AI35890" s="80"/>
    </row>
    <row r="35891">
      <c r="AI35891" s="80"/>
    </row>
    <row r="35892">
      <c r="AI35892" s="80"/>
    </row>
    <row r="35893">
      <c r="AI35893" s="80"/>
    </row>
    <row r="35894">
      <c r="AI35894" s="80"/>
    </row>
    <row r="35895">
      <c r="AI35895" s="80"/>
    </row>
    <row r="35896">
      <c r="AI35896" s="80"/>
    </row>
    <row r="35897">
      <c r="AI35897" s="80"/>
    </row>
    <row r="35898">
      <c r="AI35898" s="80"/>
    </row>
    <row r="35899">
      <c r="AI35899" s="80"/>
    </row>
    <row r="35900">
      <c r="AI35900" s="80"/>
    </row>
    <row r="35901">
      <c r="AI35901" s="80"/>
    </row>
    <row r="35902">
      <c r="AI35902" s="80"/>
    </row>
    <row r="35903">
      <c r="AI35903" s="80"/>
    </row>
    <row r="35904">
      <c r="AI35904" s="80"/>
    </row>
    <row r="35905">
      <c r="AI35905" s="80"/>
    </row>
    <row r="35906">
      <c r="AI35906" s="80"/>
    </row>
    <row r="35907">
      <c r="AI35907" s="80"/>
    </row>
    <row r="35908">
      <c r="AI35908" s="80"/>
    </row>
    <row r="35909">
      <c r="AI35909" s="80"/>
    </row>
    <row r="35910">
      <c r="AI35910" s="80"/>
    </row>
    <row r="35911">
      <c r="AI35911" s="80"/>
    </row>
    <row r="35912">
      <c r="AI35912" s="80"/>
    </row>
    <row r="35913">
      <c r="AI35913" s="80"/>
    </row>
    <row r="35914">
      <c r="AI35914" s="80"/>
    </row>
    <row r="35915">
      <c r="AI35915" s="80"/>
    </row>
    <row r="35916">
      <c r="AI35916" s="80"/>
    </row>
    <row r="35917">
      <c r="AI35917" s="80"/>
    </row>
    <row r="35918">
      <c r="AI35918" s="80"/>
    </row>
    <row r="35919">
      <c r="AI35919" s="80"/>
    </row>
    <row r="35920">
      <c r="AI35920" s="80"/>
    </row>
    <row r="35921">
      <c r="AI35921" s="80"/>
    </row>
    <row r="35922">
      <c r="AI35922" s="80"/>
    </row>
    <row r="35923">
      <c r="AI35923" s="80"/>
    </row>
    <row r="35924">
      <c r="AI35924" s="80"/>
    </row>
    <row r="35925">
      <c r="AI35925" s="80"/>
    </row>
    <row r="35926">
      <c r="AI35926" s="80"/>
    </row>
    <row r="35927">
      <c r="AI35927" s="80"/>
    </row>
    <row r="35928">
      <c r="AI35928" s="80"/>
    </row>
    <row r="35929">
      <c r="AI35929" s="80"/>
    </row>
    <row r="35930">
      <c r="AI35930" s="80"/>
    </row>
    <row r="35931">
      <c r="AI35931" s="80"/>
    </row>
    <row r="35932">
      <c r="AI35932" s="80"/>
    </row>
    <row r="35933">
      <c r="AI35933" s="80"/>
    </row>
    <row r="35934">
      <c r="AI35934" s="80"/>
    </row>
    <row r="35935">
      <c r="AI35935" s="80"/>
    </row>
    <row r="35936">
      <c r="AI35936" s="80"/>
    </row>
    <row r="35937">
      <c r="AI35937" s="80"/>
    </row>
    <row r="35938">
      <c r="AI35938" s="80"/>
    </row>
    <row r="35939">
      <c r="AI35939" s="80"/>
    </row>
    <row r="35940">
      <c r="AI35940" s="80"/>
    </row>
    <row r="35941">
      <c r="AI35941" s="80"/>
    </row>
    <row r="35942">
      <c r="AI35942" s="80"/>
    </row>
    <row r="35943">
      <c r="AI35943" s="80"/>
    </row>
    <row r="35944">
      <c r="AI35944" s="80"/>
    </row>
    <row r="35945">
      <c r="AI35945" s="80"/>
    </row>
    <row r="35946">
      <c r="AI35946" s="80"/>
    </row>
    <row r="35947">
      <c r="AI35947" s="80"/>
    </row>
    <row r="35948">
      <c r="AI35948" s="80"/>
    </row>
    <row r="35949">
      <c r="AI35949" s="80"/>
    </row>
    <row r="35950">
      <c r="AI35950" s="80"/>
    </row>
    <row r="35951">
      <c r="AI35951" s="80"/>
    </row>
    <row r="35952">
      <c r="AI35952" s="80"/>
    </row>
    <row r="35953">
      <c r="AI35953" s="80"/>
    </row>
    <row r="35954">
      <c r="AI35954" s="80"/>
    </row>
    <row r="35955">
      <c r="AI35955" s="80"/>
    </row>
    <row r="35956">
      <c r="AI35956" s="80"/>
    </row>
    <row r="35957">
      <c r="AI35957" s="80"/>
    </row>
    <row r="35958">
      <c r="AI35958" s="80"/>
    </row>
    <row r="35959">
      <c r="AI35959" s="80"/>
    </row>
    <row r="35960">
      <c r="AI35960" s="80"/>
    </row>
    <row r="35961">
      <c r="AI35961" s="80"/>
    </row>
    <row r="35962">
      <c r="AI35962" s="80"/>
    </row>
    <row r="35963">
      <c r="AI35963" s="80"/>
    </row>
    <row r="35964">
      <c r="AI35964" s="80"/>
    </row>
    <row r="35965">
      <c r="AI35965" s="80"/>
    </row>
    <row r="35966">
      <c r="AI35966" s="80"/>
    </row>
    <row r="35967">
      <c r="AI35967" s="80"/>
    </row>
    <row r="35968">
      <c r="AI35968" s="80"/>
    </row>
    <row r="35969">
      <c r="AI35969" s="80"/>
    </row>
    <row r="35970">
      <c r="AI35970" s="80"/>
    </row>
    <row r="35971">
      <c r="AI35971" s="80"/>
    </row>
    <row r="35972">
      <c r="AI35972" s="80"/>
    </row>
    <row r="35973">
      <c r="AI35973" s="80"/>
    </row>
    <row r="35974">
      <c r="AI35974" s="80"/>
    </row>
    <row r="35975">
      <c r="AI35975" s="80"/>
    </row>
    <row r="35976">
      <c r="AI35976" s="80"/>
    </row>
    <row r="35977">
      <c r="AI35977" s="80"/>
    </row>
    <row r="35978">
      <c r="AI35978" s="80"/>
    </row>
    <row r="35979">
      <c r="AI35979" s="80"/>
    </row>
    <row r="35980">
      <c r="AI35980" s="80"/>
    </row>
    <row r="35981">
      <c r="AI35981" s="80"/>
    </row>
    <row r="35982">
      <c r="AI35982" s="80"/>
    </row>
    <row r="35983">
      <c r="AI35983" s="80"/>
    </row>
    <row r="35984">
      <c r="AI35984" s="80"/>
    </row>
    <row r="35985">
      <c r="AI35985" s="80"/>
    </row>
    <row r="35986">
      <c r="AI35986" s="80"/>
    </row>
    <row r="35987">
      <c r="AI35987" s="80"/>
    </row>
    <row r="35988">
      <c r="AI35988" s="80"/>
    </row>
    <row r="35989">
      <c r="AI35989" s="80"/>
    </row>
    <row r="35990">
      <c r="AI35990" s="80"/>
    </row>
    <row r="35991">
      <c r="AI35991" s="80"/>
    </row>
    <row r="35992">
      <c r="AI35992" s="80"/>
    </row>
    <row r="35993">
      <c r="AI35993" s="80"/>
    </row>
    <row r="35994">
      <c r="AI35994" s="80"/>
    </row>
    <row r="35995">
      <c r="AI35995" s="80"/>
    </row>
    <row r="35996">
      <c r="AI35996" s="80"/>
    </row>
    <row r="35997">
      <c r="AI35997" s="80"/>
    </row>
    <row r="35998">
      <c r="AI35998" s="80"/>
    </row>
    <row r="35999">
      <c r="AI35999" s="80"/>
    </row>
    <row r="36000">
      <c r="AI36000" s="80"/>
    </row>
    <row r="36001">
      <c r="AI36001" s="80"/>
    </row>
    <row r="36002">
      <c r="AI36002" s="80"/>
    </row>
    <row r="36003">
      <c r="AI36003" s="80"/>
    </row>
    <row r="36004">
      <c r="AI36004" s="80"/>
    </row>
    <row r="36005">
      <c r="AI36005" s="80"/>
    </row>
    <row r="36006">
      <c r="AI36006" s="80"/>
    </row>
    <row r="36007">
      <c r="AI36007" s="80"/>
    </row>
    <row r="36008">
      <c r="AI36008" s="80"/>
    </row>
    <row r="36009">
      <c r="AI36009" s="80"/>
    </row>
    <row r="36010">
      <c r="AI36010" s="80"/>
    </row>
    <row r="36011">
      <c r="AI36011" s="80"/>
    </row>
    <row r="36012">
      <c r="AI36012" s="80"/>
    </row>
    <row r="36013">
      <c r="AI36013" s="80"/>
    </row>
    <row r="36014">
      <c r="AI36014" s="80"/>
    </row>
    <row r="36015">
      <c r="AI36015" s="80"/>
    </row>
    <row r="36016">
      <c r="AI36016" s="80"/>
    </row>
    <row r="36017">
      <c r="AI36017" s="80"/>
    </row>
    <row r="36018">
      <c r="AI36018" s="80"/>
    </row>
    <row r="36019">
      <c r="AI36019" s="80"/>
    </row>
    <row r="36020">
      <c r="AI36020" s="80"/>
    </row>
    <row r="36021">
      <c r="AI36021" s="80"/>
    </row>
    <row r="36022">
      <c r="AI36022" s="80"/>
    </row>
    <row r="36023">
      <c r="AI36023" s="80"/>
    </row>
    <row r="36024">
      <c r="AI36024" s="80"/>
    </row>
    <row r="36025">
      <c r="AI36025" s="80"/>
    </row>
    <row r="36026">
      <c r="AI36026" s="80"/>
    </row>
    <row r="36027">
      <c r="AI36027" s="80"/>
    </row>
    <row r="36028">
      <c r="AI36028" s="80"/>
    </row>
    <row r="36029">
      <c r="AI36029" s="80"/>
    </row>
    <row r="36030">
      <c r="AI36030" s="80"/>
    </row>
    <row r="36031">
      <c r="AI36031" s="80"/>
    </row>
    <row r="36032">
      <c r="AI36032" s="80"/>
    </row>
    <row r="36033">
      <c r="AI36033" s="80"/>
    </row>
    <row r="36034">
      <c r="AI36034" s="80"/>
    </row>
    <row r="36035">
      <c r="AI36035" s="80"/>
    </row>
    <row r="36036">
      <c r="AI36036" s="80"/>
    </row>
    <row r="36037">
      <c r="AI36037" s="80"/>
    </row>
    <row r="36038">
      <c r="AI36038" s="80"/>
    </row>
    <row r="36039">
      <c r="AI36039" s="80"/>
    </row>
    <row r="36040">
      <c r="AI36040" s="80"/>
    </row>
    <row r="36041">
      <c r="AI36041" s="80"/>
    </row>
    <row r="36042">
      <c r="AI36042" s="80"/>
    </row>
    <row r="36043">
      <c r="AI36043" s="80"/>
    </row>
    <row r="36044">
      <c r="AI36044" s="80"/>
    </row>
    <row r="36045">
      <c r="AI36045" s="80"/>
    </row>
    <row r="36046">
      <c r="AI36046" s="80"/>
    </row>
    <row r="36047">
      <c r="AI36047" s="80"/>
    </row>
    <row r="36048">
      <c r="AI36048" s="80"/>
    </row>
    <row r="36049">
      <c r="AI36049" s="80"/>
    </row>
    <row r="36050">
      <c r="AI36050" s="80"/>
    </row>
    <row r="36051">
      <c r="AI36051" s="80"/>
    </row>
    <row r="36052">
      <c r="AI36052" s="80"/>
    </row>
    <row r="36053">
      <c r="AI36053" s="80"/>
    </row>
    <row r="36054">
      <c r="AI36054" s="80"/>
    </row>
    <row r="36055">
      <c r="AI36055" s="80"/>
    </row>
    <row r="36056">
      <c r="AI36056" s="80"/>
    </row>
    <row r="36057">
      <c r="AI36057" s="80"/>
    </row>
    <row r="36058">
      <c r="AI36058" s="80"/>
    </row>
    <row r="36059">
      <c r="AI36059" s="80"/>
    </row>
    <row r="36060">
      <c r="AI36060" s="80"/>
    </row>
    <row r="36061">
      <c r="AI36061" s="80"/>
    </row>
    <row r="36062">
      <c r="AI36062" s="80"/>
    </row>
    <row r="36063">
      <c r="AI36063" s="80"/>
    </row>
    <row r="36064">
      <c r="AI36064" s="80"/>
    </row>
    <row r="36065">
      <c r="AI36065" s="80"/>
    </row>
    <row r="36066">
      <c r="AI36066" s="80"/>
    </row>
    <row r="36067">
      <c r="AI36067" s="80"/>
    </row>
    <row r="36068">
      <c r="AI36068" s="80"/>
    </row>
    <row r="36069">
      <c r="AI36069" s="80"/>
    </row>
    <row r="36070">
      <c r="AI36070" s="80"/>
    </row>
    <row r="36071">
      <c r="AI36071" s="80"/>
    </row>
    <row r="36072">
      <c r="AI36072" s="80"/>
    </row>
    <row r="36073">
      <c r="AI36073" s="80"/>
    </row>
    <row r="36074">
      <c r="AI36074" s="80"/>
    </row>
    <row r="36075">
      <c r="AI36075" s="80"/>
    </row>
    <row r="36076">
      <c r="AI36076" s="80"/>
    </row>
    <row r="36077">
      <c r="AI36077" s="80"/>
    </row>
    <row r="36078">
      <c r="AI36078" s="80"/>
    </row>
    <row r="36079">
      <c r="AI36079" s="80"/>
    </row>
    <row r="36080">
      <c r="AI36080" s="80"/>
    </row>
    <row r="36081">
      <c r="AI36081" s="80"/>
    </row>
    <row r="36082">
      <c r="AI36082" s="80"/>
    </row>
    <row r="36083">
      <c r="AI36083" s="80"/>
    </row>
    <row r="36084">
      <c r="AI36084" s="80"/>
    </row>
    <row r="36085">
      <c r="AI36085" s="80"/>
    </row>
    <row r="36086">
      <c r="AI36086" s="80"/>
    </row>
    <row r="36087">
      <c r="AI36087" s="80"/>
    </row>
    <row r="36088">
      <c r="AI36088" s="80"/>
    </row>
    <row r="36089">
      <c r="AI36089" s="80"/>
    </row>
    <row r="36090">
      <c r="AI36090" s="80"/>
    </row>
    <row r="36091">
      <c r="AI36091" s="80"/>
    </row>
    <row r="36092">
      <c r="AI36092" s="80"/>
    </row>
    <row r="36093">
      <c r="AI36093" s="80"/>
    </row>
    <row r="36094">
      <c r="AI36094" s="80"/>
    </row>
    <row r="36095">
      <c r="AI36095" s="80"/>
    </row>
    <row r="36096">
      <c r="AI36096" s="80"/>
    </row>
    <row r="36097">
      <c r="AI36097" s="80"/>
    </row>
    <row r="36098">
      <c r="AI36098" s="80"/>
    </row>
    <row r="36099">
      <c r="AI36099" s="80"/>
    </row>
    <row r="36100">
      <c r="AI36100" s="80"/>
    </row>
    <row r="36101">
      <c r="AI36101" s="80"/>
    </row>
    <row r="36102">
      <c r="AI36102" s="80"/>
    </row>
    <row r="36103">
      <c r="AI36103" s="80"/>
    </row>
    <row r="36104">
      <c r="AI36104" s="80"/>
    </row>
    <row r="36105">
      <c r="AI36105" s="80"/>
    </row>
    <row r="36106">
      <c r="AI36106" s="80"/>
    </row>
    <row r="36107">
      <c r="AI36107" s="80"/>
    </row>
    <row r="36108">
      <c r="AI36108" s="80"/>
    </row>
    <row r="36109">
      <c r="AI36109" s="80"/>
    </row>
    <row r="36110">
      <c r="AI36110" s="80"/>
    </row>
    <row r="36111">
      <c r="AI36111" s="80"/>
    </row>
    <row r="36112">
      <c r="AI36112" s="80"/>
    </row>
    <row r="36113">
      <c r="AI36113" s="80"/>
    </row>
    <row r="36114">
      <c r="AI36114" s="80"/>
    </row>
    <row r="36115">
      <c r="AI36115" s="80"/>
    </row>
    <row r="36116">
      <c r="AI36116" s="80"/>
    </row>
    <row r="36117">
      <c r="AI36117" s="80"/>
    </row>
    <row r="36118">
      <c r="AI36118" s="80"/>
    </row>
    <row r="36119">
      <c r="AI36119" s="80"/>
    </row>
    <row r="36120">
      <c r="AI36120" s="80"/>
    </row>
    <row r="36121">
      <c r="AI36121" s="80"/>
    </row>
    <row r="36122">
      <c r="AI36122" s="80"/>
    </row>
    <row r="36123">
      <c r="AI36123" s="80"/>
    </row>
    <row r="36124">
      <c r="AI36124" s="80"/>
    </row>
    <row r="36125">
      <c r="AI36125" s="80"/>
    </row>
    <row r="36126">
      <c r="AI36126" s="80"/>
    </row>
    <row r="36127">
      <c r="AI36127" s="80"/>
    </row>
    <row r="36128">
      <c r="AI36128" s="80"/>
    </row>
    <row r="36129">
      <c r="AI36129" s="80"/>
    </row>
    <row r="36130">
      <c r="AI36130" s="80"/>
    </row>
    <row r="36131">
      <c r="AI36131" s="80"/>
    </row>
    <row r="36132">
      <c r="AI36132" s="80"/>
    </row>
    <row r="36133">
      <c r="AI36133" s="80"/>
    </row>
    <row r="36134">
      <c r="AI36134" s="80"/>
    </row>
    <row r="36135">
      <c r="AI36135" s="80"/>
    </row>
    <row r="36136">
      <c r="AI36136" s="80"/>
    </row>
    <row r="36137">
      <c r="AI36137" s="80"/>
    </row>
    <row r="36138">
      <c r="AI36138" s="80"/>
    </row>
    <row r="36139">
      <c r="AI36139" s="80"/>
    </row>
    <row r="36140">
      <c r="AI36140" s="80"/>
    </row>
    <row r="36141">
      <c r="AI36141" s="80"/>
    </row>
    <row r="36142">
      <c r="AI36142" s="80"/>
    </row>
    <row r="36143">
      <c r="AI36143" s="80"/>
    </row>
    <row r="36144">
      <c r="AI36144" s="80"/>
    </row>
    <row r="36145">
      <c r="AI36145" s="80"/>
    </row>
    <row r="36146">
      <c r="AI36146" s="80"/>
    </row>
    <row r="36147">
      <c r="AI36147" s="80"/>
    </row>
    <row r="36148">
      <c r="AI36148" s="80"/>
    </row>
    <row r="36149">
      <c r="AI36149" s="80"/>
    </row>
    <row r="36150">
      <c r="AI36150" s="80"/>
    </row>
    <row r="36151">
      <c r="AI36151" s="80"/>
    </row>
    <row r="36152">
      <c r="AI36152" s="80"/>
    </row>
    <row r="36153">
      <c r="AI36153" s="80"/>
    </row>
    <row r="36154">
      <c r="AI36154" s="80"/>
    </row>
    <row r="36155">
      <c r="AI36155" s="80"/>
    </row>
    <row r="36156">
      <c r="AI36156" s="80"/>
    </row>
    <row r="36157">
      <c r="AI36157" s="80"/>
    </row>
    <row r="36158">
      <c r="AI36158" s="80"/>
    </row>
    <row r="36159">
      <c r="AI36159" s="80"/>
    </row>
    <row r="36160">
      <c r="AI36160" s="80"/>
    </row>
    <row r="36161">
      <c r="AI36161" s="80"/>
    </row>
    <row r="36162">
      <c r="AI36162" s="80"/>
    </row>
    <row r="36163">
      <c r="AI36163" s="80"/>
    </row>
    <row r="36164">
      <c r="AI36164" s="80"/>
    </row>
    <row r="36165">
      <c r="AI36165" s="80"/>
    </row>
    <row r="36166">
      <c r="AI36166" s="80"/>
    </row>
    <row r="36167">
      <c r="AI36167" s="80"/>
    </row>
    <row r="36168">
      <c r="AI36168" s="80"/>
    </row>
    <row r="36169">
      <c r="AI36169" s="80"/>
    </row>
    <row r="36170">
      <c r="AI36170" s="80"/>
    </row>
    <row r="36171">
      <c r="AI36171" s="80"/>
    </row>
    <row r="36172">
      <c r="AI36172" s="80"/>
    </row>
    <row r="36173">
      <c r="AI36173" s="80"/>
    </row>
    <row r="36174">
      <c r="AI36174" s="80"/>
    </row>
    <row r="36175">
      <c r="AI36175" s="80"/>
    </row>
    <row r="36176">
      <c r="AI36176" s="80"/>
    </row>
    <row r="36177">
      <c r="AI36177" s="80"/>
    </row>
    <row r="36178">
      <c r="AI36178" s="80"/>
    </row>
    <row r="36179">
      <c r="AI36179" s="80"/>
    </row>
    <row r="36180">
      <c r="AI36180" s="80"/>
    </row>
    <row r="36181">
      <c r="AI36181" s="80"/>
    </row>
    <row r="36182">
      <c r="AI36182" s="80"/>
    </row>
    <row r="36183">
      <c r="AI36183" s="80"/>
    </row>
    <row r="36184">
      <c r="AI36184" s="80"/>
    </row>
    <row r="36185">
      <c r="AI36185" s="80"/>
    </row>
    <row r="36186">
      <c r="AI36186" s="80"/>
    </row>
    <row r="36187">
      <c r="AI36187" s="80"/>
    </row>
    <row r="36188">
      <c r="AI36188" s="80"/>
    </row>
    <row r="36189">
      <c r="AI36189" s="80"/>
    </row>
    <row r="36190">
      <c r="AI36190" s="80"/>
    </row>
    <row r="36191">
      <c r="AI36191" s="80"/>
    </row>
    <row r="36192">
      <c r="AI36192" s="80"/>
    </row>
    <row r="36193">
      <c r="AI36193" s="80"/>
    </row>
    <row r="36194">
      <c r="AI36194" s="80"/>
    </row>
    <row r="36195">
      <c r="AI36195" s="80"/>
    </row>
    <row r="36196">
      <c r="AI36196" s="80"/>
    </row>
    <row r="36197">
      <c r="AI36197" s="80"/>
    </row>
    <row r="36198">
      <c r="AI36198" s="80"/>
    </row>
    <row r="36199">
      <c r="AI36199" s="80"/>
    </row>
    <row r="36200">
      <c r="AI36200" s="80"/>
    </row>
    <row r="36201">
      <c r="AI36201" s="80"/>
    </row>
    <row r="36202">
      <c r="AI36202" s="80"/>
    </row>
    <row r="36203">
      <c r="AI36203" s="80"/>
    </row>
    <row r="36204">
      <c r="AI36204" s="80"/>
    </row>
    <row r="36205">
      <c r="AI36205" s="80"/>
    </row>
    <row r="36206">
      <c r="AI36206" s="80"/>
    </row>
    <row r="36207">
      <c r="AI36207" s="80"/>
    </row>
    <row r="36208">
      <c r="AI36208" s="80"/>
    </row>
    <row r="36209">
      <c r="AI36209" s="80"/>
    </row>
    <row r="36210">
      <c r="AI36210" s="80"/>
    </row>
    <row r="36211">
      <c r="AI36211" s="80"/>
    </row>
    <row r="36212">
      <c r="AI36212" s="80"/>
    </row>
    <row r="36213">
      <c r="AI36213" s="80"/>
    </row>
    <row r="36214">
      <c r="AI36214" s="80"/>
    </row>
    <row r="36215">
      <c r="AI36215" s="80"/>
    </row>
    <row r="36216">
      <c r="AI36216" s="80"/>
    </row>
    <row r="36217">
      <c r="AI36217" s="80"/>
    </row>
    <row r="36218">
      <c r="AI36218" s="80"/>
    </row>
    <row r="36219">
      <c r="AI36219" s="80"/>
    </row>
    <row r="36220">
      <c r="AI36220" s="80"/>
    </row>
    <row r="36221">
      <c r="AI36221" s="80"/>
    </row>
    <row r="36222">
      <c r="AI36222" s="80"/>
    </row>
    <row r="36223">
      <c r="AI36223" s="80"/>
    </row>
    <row r="36224">
      <c r="AI36224" s="80"/>
    </row>
    <row r="36225">
      <c r="AI36225" s="80"/>
    </row>
    <row r="36226">
      <c r="AI36226" s="80"/>
    </row>
    <row r="36227">
      <c r="AI36227" s="80"/>
    </row>
    <row r="36228">
      <c r="AI36228" s="80"/>
    </row>
    <row r="36229">
      <c r="AI36229" s="80"/>
    </row>
    <row r="36230">
      <c r="AI36230" s="80"/>
    </row>
    <row r="36231">
      <c r="AI36231" s="80"/>
    </row>
    <row r="36232">
      <c r="AI36232" s="80"/>
    </row>
    <row r="36233">
      <c r="AI36233" s="80"/>
    </row>
    <row r="36234">
      <c r="AI36234" s="80"/>
    </row>
    <row r="36235">
      <c r="AI36235" s="80"/>
    </row>
    <row r="36236">
      <c r="AI36236" s="80"/>
    </row>
    <row r="36237">
      <c r="AI36237" s="80"/>
    </row>
    <row r="36238">
      <c r="AI36238" s="80"/>
    </row>
    <row r="36239">
      <c r="AI36239" s="80"/>
    </row>
    <row r="36240">
      <c r="AI36240" s="80"/>
    </row>
    <row r="36241">
      <c r="AI36241" s="80"/>
    </row>
    <row r="36242">
      <c r="AI36242" s="80"/>
    </row>
    <row r="36243">
      <c r="AI36243" s="80"/>
    </row>
    <row r="36244">
      <c r="AI36244" s="80"/>
    </row>
    <row r="36245">
      <c r="AI36245" s="80"/>
    </row>
    <row r="36246">
      <c r="AI36246" s="80"/>
    </row>
    <row r="36247">
      <c r="AI36247" s="80"/>
    </row>
    <row r="36248">
      <c r="AI36248" s="80"/>
    </row>
    <row r="36249">
      <c r="AI36249" s="80"/>
    </row>
    <row r="36250">
      <c r="AI36250" s="80"/>
    </row>
    <row r="36251">
      <c r="AI36251" s="80"/>
    </row>
    <row r="36252">
      <c r="AI36252" s="80"/>
    </row>
    <row r="36253">
      <c r="AI36253" s="80"/>
    </row>
    <row r="36254">
      <c r="AI36254" s="80"/>
    </row>
    <row r="36255">
      <c r="AI36255" s="80"/>
    </row>
    <row r="36256">
      <c r="AI36256" s="80"/>
    </row>
    <row r="36257">
      <c r="AI36257" s="80"/>
    </row>
    <row r="36258">
      <c r="AI36258" s="80"/>
    </row>
    <row r="36259">
      <c r="AI36259" s="80"/>
    </row>
    <row r="36260">
      <c r="AI36260" s="80"/>
    </row>
    <row r="36261">
      <c r="AI36261" s="80"/>
    </row>
    <row r="36262">
      <c r="AI36262" s="80"/>
    </row>
    <row r="36263">
      <c r="AI36263" s="80"/>
    </row>
    <row r="36264">
      <c r="AI36264" s="80"/>
    </row>
    <row r="36265">
      <c r="AI36265" s="80"/>
    </row>
    <row r="36266">
      <c r="AI36266" s="80"/>
    </row>
    <row r="36267">
      <c r="AI36267" s="80"/>
    </row>
    <row r="36268">
      <c r="AI36268" s="80"/>
    </row>
    <row r="36269">
      <c r="AI36269" s="80"/>
    </row>
    <row r="36270">
      <c r="AI36270" s="80"/>
    </row>
    <row r="36271">
      <c r="AI36271" s="80"/>
    </row>
    <row r="36272">
      <c r="AI36272" s="80"/>
    </row>
    <row r="36273">
      <c r="AI36273" s="80"/>
    </row>
    <row r="36274">
      <c r="AI36274" s="80"/>
    </row>
    <row r="36275">
      <c r="AI36275" s="80"/>
    </row>
    <row r="36276">
      <c r="AI36276" s="80"/>
    </row>
    <row r="36277">
      <c r="AI36277" s="80"/>
    </row>
    <row r="36278">
      <c r="AI36278" s="80"/>
    </row>
    <row r="36279">
      <c r="AI36279" s="80"/>
    </row>
    <row r="36280">
      <c r="AI36280" s="80"/>
    </row>
    <row r="36281">
      <c r="AI36281" s="80"/>
    </row>
    <row r="36282">
      <c r="AI36282" s="80"/>
    </row>
    <row r="36283">
      <c r="AI36283" s="80"/>
    </row>
    <row r="36284">
      <c r="AI36284" s="80"/>
    </row>
    <row r="36285">
      <c r="AI36285" s="80"/>
    </row>
    <row r="36286">
      <c r="AI36286" s="80"/>
    </row>
    <row r="36287">
      <c r="AI36287" s="80"/>
    </row>
    <row r="36288">
      <c r="AI36288" s="80"/>
    </row>
    <row r="36289">
      <c r="AI36289" s="80"/>
    </row>
    <row r="36290">
      <c r="AI36290" s="80"/>
    </row>
    <row r="36291">
      <c r="AI36291" s="80"/>
    </row>
    <row r="36292">
      <c r="AI36292" s="80"/>
    </row>
    <row r="36293">
      <c r="AI36293" s="80"/>
    </row>
    <row r="36294">
      <c r="AI36294" s="80"/>
    </row>
    <row r="36295">
      <c r="AI36295" s="80"/>
    </row>
    <row r="36296">
      <c r="AI36296" s="80"/>
    </row>
    <row r="36297">
      <c r="AI36297" s="80"/>
    </row>
    <row r="36298">
      <c r="AI36298" s="80"/>
    </row>
    <row r="36299">
      <c r="AI36299" s="80"/>
    </row>
    <row r="36300">
      <c r="AI36300" s="80"/>
    </row>
    <row r="36301">
      <c r="AI36301" s="80"/>
    </row>
    <row r="36302">
      <c r="AI36302" s="80"/>
    </row>
    <row r="36303">
      <c r="AI36303" s="80"/>
    </row>
    <row r="36304">
      <c r="AI36304" s="80"/>
    </row>
    <row r="36305">
      <c r="AI36305" s="80"/>
    </row>
    <row r="36306">
      <c r="AI36306" s="80"/>
    </row>
    <row r="36307">
      <c r="AI36307" s="80"/>
    </row>
    <row r="36308">
      <c r="AI36308" s="80"/>
    </row>
    <row r="36309">
      <c r="AI36309" s="80"/>
    </row>
    <row r="36310">
      <c r="AI36310" s="80"/>
    </row>
    <row r="36311">
      <c r="AI36311" s="80"/>
    </row>
    <row r="36312">
      <c r="AI36312" s="80"/>
    </row>
    <row r="36313">
      <c r="AI36313" s="80"/>
    </row>
    <row r="36314">
      <c r="AI36314" s="80"/>
    </row>
    <row r="36315">
      <c r="AI36315" s="80"/>
    </row>
    <row r="36316">
      <c r="AI36316" s="80"/>
    </row>
    <row r="36317">
      <c r="AI36317" s="80"/>
    </row>
    <row r="36318">
      <c r="AI36318" s="80"/>
    </row>
    <row r="36319">
      <c r="AI36319" s="80"/>
    </row>
    <row r="36320">
      <c r="AI36320" s="80"/>
    </row>
    <row r="36321">
      <c r="AI36321" s="80"/>
    </row>
    <row r="36322">
      <c r="AI36322" s="80"/>
    </row>
    <row r="36323">
      <c r="AI36323" s="80"/>
    </row>
    <row r="36324">
      <c r="AI36324" s="80"/>
    </row>
    <row r="36325">
      <c r="AI36325" s="80"/>
    </row>
    <row r="36326">
      <c r="AI36326" s="80"/>
    </row>
    <row r="36327">
      <c r="AI36327" s="80"/>
    </row>
    <row r="36328">
      <c r="AI36328" s="80"/>
    </row>
    <row r="36329">
      <c r="AI36329" s="80"/>
    </row>
    <row r="36330">
      <c r="AI36330" s="80"/>
    </row>
    <row r="36331">
      <c r="AI36331" s="80"/>
    </row>
    <row r="36332">
      <c r="AI36332" s="80"/>
    </row>
    <row r="36333">
      <c r="AI36333" s="80"/>
    </row>
    <row r="36334">
      <c r="AI36334" s="80"/>
    </row>
    <row r="36335">
      <c r="AI36335" s="80"/>
    </row>
    <row r="36336">
      <c r="AI36336" s="80"/>
    </row>
    <row r="36337">
      <c r="AI36337" s="80"/>
    </row>
    <row r="36338">
      <c r="AI36338" s="80"/>
    </row>
    <row r="36339">
      <c r="AI36339" s="80"/>
    </row>
    <row r="36340">
      <c r="AI36340" s="80"/>
    </row>
    <row r="36341">
      <c r="AI36341" s="80"/>
    </row>
    <row r="36342">
      <c r="AI36342" s="80"/>
    </row>
    <row r="36343">
      <c r="AI36343" s="80"/>
    </row>
    <row r="36344">
      <c r="AI36344" s="80"/>
    </row>
    <row r="36345">
      <c r="AI36345" s="80"/>
    </row>
    <row r="36346">
      <c r="AI36346" s="80"/>
    </row>
    <row r="36347">
      <c r="AI36347" s="80"/>
    </row>
    <row r="36348">
      <c r="AI36348" s="80"/>
    </row>
    <row r="36349">
      <c r="AI36349" s="80"/>
    </row>
    <row r="36350">
      <c r="AI36350" s="80"/>
    </row>
    <row r="36351">
      <c r="AI36351" s="80"/>
    </row>
    <row r="36352">
      <c r="AI36352" s="80"/>
    </row>
    <row r="36353">
      <c r="AI36353" s="80"/>
    </row>
    <row r="36354">
      <c r="AI36354" s="80"/>
    </row>
    <row r="36355">
      <c r="AI36355" s="80"/>
    </row>
    <row r="36356">
      <c r="AI36356" s="80"/>
    </row>
    <row r="36357">
      <c r="AI36357" s="80"/>
    </row>
    <row r="36358">
      <c r="AI36358" s="80"/>
    </row>
    <row r="36359">
      <c r="AI36359" s="80"/>
    </row>
    <row r="36360">
      <c r="AI36360" s="80"/>
    </row>
    <row r="36361">
      <c r="AI36361" s="80"/>
    </row>
    <row r="36362">
      <c r="AI36362" s="80"/>
    </row>
    <row r="36363">
      <c r="AI36363" s="80"/>
    </row>
    <row r="36364">
      <c r="AI36364" s="80"/>
    </row>
    <row r="36365">
      <c r="AI36365" s="80"/>
    </row>
    <row r="36366">
      <c r="AI36366" s="80"/>
    </row>
    <row r="36367">
      <c r="AI36367" s="80"/>
    </row>
    <row r="36368">
      <c r="AI36368" s="80"/>
    </row>
    <row r="36369">
      <c r="AI36369" s="80"/>
    </row>
    <row r="36370">
      <c r="AI36370" s="80"/>
    </row>
    <row r="36371">
      <c r="AI36371" s="80"/>
    </row>
    <row r="36372">
      <c r="AI36372" s="80"/>
    </row>
    <row r="36373">
      <c r="AI36373" s="80"/>
    </row>
    <row r="36374">
      <c r="AI36374" s="80"/>
    </row>
    <row r="36375">
      <c r="AI36375" s="80"/>
    </row>
    <row r="36376">
      <c r="AI36376" s="80"/>
    </row>
    <row r="36377">
      <c r="AI36377" s="80"/>
    </row>
    <row r="36378">
      <c r="AI36378" s="80"/>
    </row>
    <row r="36379">
      <c r="AI36379" s="80"/>
    </row>
    <row r="36380">
      <c r="AI36380" s="80"/>
    </row>
    <row r="36381">
      <c r="AI36381" s="80"/>
    </row>
    <row r="36382">
      <c r="AI36382" s="80"/>
    </row>
    <row r="36383">
      <c r="AI36383" s="80"/>
    </row>
    <row r="36384">
      <c r="AI36384" s="80"/>
    </row>
    <row r="36385">
      <c r="AI36385" s="80"/>
    </row>
    <row r="36386">
      <c r="AI36386" s="80"/>
    </row>
    <row r="36387">
      <c r="AI36387" s="80"/>
    </row>
    <row r="36388">
      <c r="AI36388" s="80"/>
    </row>
    <row r="36389">
      <c r="AI36389" s="80"/>
    </row>
    <row r="36390">
      <c r="AI36390" s="80"/>
    </row>
    <row r="36391">
      <c r="AI36391" s="80"/>
    </row>
    <row r="36392">
      <c r="AI36392" s="80"/>
    </row>
    <row r="36393">
      <c r="AI36393" s="80"/>
    </row>
    <row r="36394">
      <c r="AI36394" s="80"/>
    </row>
    <row r="36395">
      <c r="AI36395" s="80"/>
    </row>
    <row r="36396">
      <c r="AI36396" s="80"/>
    </row>
    <row r="36397">
      <c r="AI36397" s="80"/>
    </row>
    <row r="36398">
      <c r="AI36398" s="80"/>
    </row>
    <row r="36399">
      <c r="AI36399" s="80"/>
    </row>
    <row r="36400">
      <c r="AI36400" s="80"/>
    </row>
    <row r="36401">
      <c r="AI36401" s="80"/>
    </row>
    <row r="36402">
      <c r="AI36402" s="80"/>
    </row>
    <row r="36403">
      <c r="AI36403" s="80"/>
    </row>
    <row r="36404">
      <c r="AI36404" s="80"/>
    </row>
    <row r="36405">
      <c r="AI36405" s="80"/>
    </row>
    <row r="36406">
      <c r="AI36406" s="80"/>
    </row>
    <row r="36407">
      <c r="AI36407" s="80"/>
    </row>
    <row r="36408">
      <c r="AI36408" s="80"/>
    </row>
    <row r="36409">
      <c r="AI36409" s="80"/>
    </row>
    <row r="36410">
      <c r="AI36410" s="80"/>
    </row>
    <row r="36411">
      <c r="AI36411" s="80"/>
    </row>
    <row r="36412">
      <c r="AI36412" s="80"/>
    </row>
    <row r="36413">
      <c r="AI36413" s="80"/>
    </row>
    <row r="36414">
      <c r="AI36414" s="80"/>
    </row>
    <row r="36415">
      <c r="AI36415" s="80"/>
    </row>
    <row r="36416">
      <c r="AI36416" s="80"/>
    </row>
    <row r="36417">
      <c r="AI36417" s="80"/>
    </row>
    <row r="36418">
      <c r="AI36418" s="80"/>
    </row>
    <row r="36419">
      <c r="AI36419" s="80"/>
    </row>
    <row r="36420">
      <c r="AI36420" s="80"/>
    </row>
    <row r="36421">
      <c r="AI36421" s="80"/>
    </row>
    <row r="36422">
      <c r="AI36422" s="80"/>
    </row>
    <row r="36423">
      <c r="AI36423" s="80"/>
    </row>
    <row r="36424">
      <c r="AI36424" s="80"/>
    </row>
    <row r="36425">
      <c r="AI36425" s="80"/>
    </row>
    <row r="36426">
      <c r="AI36426" s="80"/>
    </row>
    <row r="36427">
      <c r="AI36427" s="80"/>
    </row>
    <row r="36428">
      <c r="AI36428" s="80"/>
    </row>
    <row r="36429">
      <c r="AI36429" s="80"/>
    </row>
    <row r="36430">
      <c r="AI36430" s="80"/>
    </row>
    <row r="36431">
      <c r="AI36431" s="80"/>
    </row>
    <row r="36432">
      <c r="AI36432" s="80"/>
    </row>
    <row r="36433">
      <c r="AI36433" s="80"/>
    </row>
    <row r="36434">
      <c r="AI36434" s="80"/>
    </row>
    <row r="36435">
      <c r="AI36435" s="80"/>
    </row>
    <row r="36436">
      <c r="AI36436" s="80"/>
    </row>
    <row r="36437">
      <c r="AI36437" s="80"/>
    </row>
    <row r="36438">
      <c r="AI36438" s="80"/>
    </row>
    <row r="36439">
      <c r="AI36439" s="80"/>
    </row>
    <row r="36440">
      <c r="AI36440" s="80"/>
    </row>
    <row r="36441">
      <c r="AI36441" s="80"/>
    </row>
    <row r="36442">
      <c r="AI36442" s="80"/>
    </row>
    <row r="36443">
      <c r="AI36443" s="80"/>
    </row>
    <row r="36444">
      <c r="AI36444" s="80"/>
    </row>
    <row r="36445">
      <c r="AI36445" s="80"/>
    </row>
    <row r="36446">
      <c r="AI36446" s="80"/>
    </row>
    <row r="36447">
      <c r="AI36447" s="80"/>
    </row>
    <row r="36448">
      <c r="AI36448" s="80"/>
    </row>
    <row r="36449">
      <c r="AI36449" s="80"/>
    </row>
    <row r="36450">
      <c r="AI36450" s="80"/>
    </row>
    <row r="36451">
      <c r="AI36451" s="80"/>
    </row>
    <row r="36452">
      <c r="AI36452" s="80"/>
    </row>
    <row r="36453">
      <c r="AI36453" s="80"/>
    </row>
    <row r="36454">
      <c r="AI36454" s="80"/>
    </row>
    <row r="36455">
      <c r="AI36455" s="80"/>
    </row>
    <row r="36456">
      <c r="AI36456" s="80"/>
    </row>
    <row r="36457">
      <c r="AI36457" s="80"/>
    </row>
    <row r="36458">
      <c r="AI36458" s="80"/>
    </row>
    <row r="36459">
      <c r="AI36459" s="80"/>
    </row>
    <row r="36460">
      <c r="AI36460" s="80"/>
    </row>
    <row r="36461">
      <c r="AI36461" s="80"/>
    </row>
    <row r="36462">
      <c r="AI36462" s="80"/>
    </row>
    <row r="36463">
      <c r="AI36463" s="80"/>
    </row>
    <row r="36464">
      <c r="AI36464" s="80"/>
    </row>
    <row r="36465">
      <c r="AI36465" s="80"/>
    </row>
    <row r="36466">
      <c r="AI36466" s="80"/>
    </row>
    <row r="36467">
      <c r="AI36467" s="80"/>
    </row>
    <row r="36468">
      <c r="AI36468" s="80"/>
    </row>
    <row r="36469">
      <c r="AI36469" s="80"/>
    </row>
    <row r="36470">
      <c r="AI36470" s="80"/>
    </row>
    <row r="36471">
      <c r="AI36471" s="80"/>
    </row>
    <row r="36472">
      <c r="AI36472" s="80"/>
    </row>
    <row r="36473">
      <c r="AI36473" s="80"/>
    </row>
    <row r="36474">
      <c r="AI36474" s="80"/>
    </row>
    <row r="36475">
      <c r="AI36475" s="80"/>
    </row>
    <row r="36476">
      <c r="AI36476" s="80"/>
    </row>
    <row r="36477">
      <c r="AI36477" s="80"/>
    </row>
    <row r="36478">
      <c r="AI36478" s="80"/>
    </row>
    <row r="36479">
      <c r="AI36479" s="80"/>
    </row>
    <row r="36480">
      <c r="AI36480" s="80"/>
    </row>
    <row r="36481">
      <c r="AI36481" s="80"/>
    </row>
    <row r="36482">
      <c r="AI36482" s="80"/>
    </row>
    <row r="36483">
      <c r="AI36483" s="80"/>
    </row>
    <row r="36484">
      <c r="AI36484" s="80"/>
    </row>
    <row r="36485">
      <c r="AI36485" s="80"/>
    </row>
    <row r="36486">
      <c r="AI36486" s="80"/>
    </row>
    <row r="36487">
      <c r="AI36487" s="80"/>
    </row>
    <row r="36488">
      <c r="AI36488" s="80"/>
    </row>
    <row r="36489">
      <c r="AI36489" s="80"/>
    </row>
    <row r="36490">
      <c r="AI36490" s="80"/>
    </row>
    <row r="36491">
      <c r="AI36491" s="80"/>
    </row>
    <row r="36492">
      <c r="AI36492" s="80"/>
    </row>
    <row r="36493">
      <c r="AI36493" s="80"/>
    </row>
    <row r="36494">
      <c r="AI36494" s="80"/>
    </row>
    <row r="36495">
      <c r="AI36495" s="80"/>
    </row>
    <row r="36496">
      <c r="AI36496" s="80"/>
    </row>
    <row r="36497">
      <c r="AI36497" s="80"/>
    </row>
    <row r="36498">
      <c r="AI36498" s="80"/>
    </row>
    <row r="36499">
      <c r="AI36499" s="80"/>
    </row>
    <row r="36500">
      <c r="AI36500" s="80"/>
    </row>
    <row r="36501">
      <c r="AI36501" s="80"/>
    </row>
    <row r="36502">
      <c r="AI36502" s="80"/>
    </row>
    <row r="36503">
      <c r="AI36503" s="80"/>
    </row>
    <row r="36504">
      <c r="AI36504" s="80"/>
    </row>
    <row r="36505">
      <c r="AI36505" s="80"/>
    </row>
    <row r="36506">
      <c r="AI36506" s="80"/>
    </row>
    <row r="36507">
      <c r="AI36507" s="80"/>
    </row>
    <row r="36508">
      <c r="AI36508" s="80"/>
    </row>
    <row r="36509">
      <c r="AI36509" s="80"/>
    </row>
    <row r="36510">
      <c r="AI36510" s="80"/>
    </row>
    <row r="36511">
      <c r="AI36511" s="80"/>
    </row>
    <row r="36512">
      <c r="AI36512" s="80"/>
    </row>
    <row r="36513">
      <c r="AI36513" s="80"/>
    </row>
    <row r="36514">
      <c r="AI36514" s="80"/>
    </row>
    <row r="36515">
      <c r="AI36515" s="80"/>
    </row>
    <row r="36516">
      <c r="AI36516" s="80"/>
    </row>
    <row r="36517">
      <c r="AI36517" s="80"/>
    </row>
    <row r="36518">
      <c r="AI36518" s="80"/>
    </row>
    <row r="36519">
      <c r="AI36519" s="80"/>
    </row>
    <row r="36520">
      <c r="AI36520" s="80"/>
    </row>
    <row r="36521">
      <c r="AI36521" s="80"/>
    </row>
    <row r="36522">
      <c r="AI36522" s="80"/>
    </row>
    <row r="36523">
      <c r="AI36523" s="80"/>
    </row>
    <row r="36524">
      <c r="AI36524" s="80"/>
    </row>
    <row r="36525">
      <c r="AI36525" s="80"/>
    </row>
    <row r="36526">
      <c r="AI36526" s="80"/>
    </row>
    <row r="36527">
      <c r="AI36527" s="80"/>
    </row>
    <row r="36528">
      <c r="AI36528" s="80"/>
    </row>
    <row r="36529">
      <c r="AI36529" s="80"/>
    </row>
    <row r="36530">
      <c r="AI36530" s="80"/>
    </row>
    <row r="36531">
      <c r="AI36531" s="80"/>
    </row>
    <row r="36532">
      <c r="AI36532" s="80"/>
    </row>
    <row r="36533">
      <c r="AI36533" s="80"/>
    </row>
    <row r="36534">
      <c r="AI36534" s="80"/>
    </row>
    <row r="36535">
      <c r="AI36535" s="80"/>
    </row>
    <row r="36536">
      <c r="AI36536" s="80"/>
    </row>
    <row r="36537">
      <c r="AI36537" s="80"/>
    </row>
    <row r="36538">
      <c r="AI36538" s="80"/>
    </row>
    <row r="36539">
      <c r="AI36539" s="80"/>
    </row>
    <row r="36540">
      <c r="AI36540" s="80"/>
    </row>
    <row r="36541">
      <c r="AI36541" s="80"/>
    </row>
    <row r="36542">
      <c r="AI36542" s="80"/>
    </row>
    <row r="36543">
      <c r="AI36543" s="80"/>
    </row>
    <row r="36544">
      <c r="AI36544" s="80"/>
    </row>
    <row r="36545">
      <c r="AI36545" s="80"/>
    </row>
    <row r="36546">
      <c r="AI36546" s="80"/>
    </row>
    <row r="36547">
      <c r="AI36547" s="80"/>
    </row>
    <row r="36548">
      <c r="AI36548" s="80"/>
    </row>
    <row r="36549">
      <c r="AI36549" s="80"/>
    </row>
    <row r="36550">
      <c r="AI36550" s="80"/>
    </row>
    <row r="36551">
      <c r="AI36551" s="80"/>
    </row>
    <row r="36552">
      <c r="AI36552" s="80"/>
    </row>
    <row r="36553">
      <c r="AI36553" s="80"/>
    </row>
    <row r="36554">
      <c r="AI36554" s="80"/>
    </row>
    <row r="36555">
      <c r="AI36555" s="80"/>
    </row>
    <row r="36556">
      <c r="AI36556" s="80"/>
    </row>
    <row r="36557">
      <c r="AI36557" s="80"/>
    </row>
    <row r="36558">
      <c r="AI36558" s="80"/>
    </row>
    <row r="36559">
      <c r="AI36559" s="80"/>
    </row>
    <row r="36560">
      <c r="AI36560" s="80"/>
    </row>
    <row r="36561">
      <c r="AI36561" s="80"/>
    </row>
    <row r="36562">
      <c r="AI36562" s="80"/>
    </row>
    <row r="36563">
      <c r="AI36563" s="80"/>
    </row>
    <row r="36564">
      <c r="AI36564" s="80"/>
    </row>
    <row r="36565">
      <c r="AI36565" s="80"/>
    </row>
    <row r="36566">
      <c r="AI36566" s="80"/>
    </row>
    <row r="36567">
      <c r="AI36567" s="80"/>
    </row>
    <row r="36568">
      <c r="AI36568" s="80"/>
    </row>
    <row r="36569">
      <c r="AI36569" s="80"/>
    </row>
    <row r="36570">
      <c r="AI36570" s="80"/>
    </row>
    <row r="36571">
      <c r="AI36571" s="80"/>
    </row>
    <row r="36572">
      <c r="AI36572" s="80"/>
    </row>
    <row r="36573">
      <c r="AI36573" s="80"/>
    </row>
    <row r="36574">
      <c r="AI36574" s="80"/>
    </row>
    <row r="36575">
      <c r="AI36575" s="80"/>
    </row>
    <row r="36576">
      <c r="AI36576" s="80"/>
    </row>
    <row r="36577">
      <c r="AI36577" s="80"/>
    </row>
    <row r="36578">
      <c r="AI36578" s="80"/>
    </row>
    <row r="36579">
      <c r="AI36579" s="80"/>
    </row>
    <row r="36580">
      <c r="AI36580" s="80"/>
    </row>
    <row r="36581">
      <c r="AI36581" s="80"/>
    </row>
    <row r="36582">
      <c r="AI36582" s="80"/>
    </row>
    <row r="36583">
      <c r="AI36583" s="80"/>
    </row>
    <row r="36584">
      <c r="AI36584" s="80"/>
    </row>
    <row r="36585">
      <c r="AI36585" s="80"/>
    </row>
    <row r="36586">
      <c r="AI36586" s="80"/>
    </row>
    <row r="36587">
      <c r="AI36587" s="80"/>
    </row>
    <row r="36588">
      <c r="AI36588" s="80"/>
    </row>
    <row r="36589">
      <c r="AI36589" s="80"/>
    </row>
    <row r="36590">
      <c r="AI36590" s="80"/>
    </row>
    <row r="36591">
      <c r="AI36591" s="80"/>
    </row>
    <row r="36592">
      <c r="AI36592" s="80"/>
    </row>
    <row r="36593">
      <c r="AI36593" s="80"/>
    </row>
    <row r="36594">
      <c r="AI36594" s="80"/>
    </row>
    <row r="36595">
      <c r="AI36595" s="80"/>
    </row>
    <row r="36596">
      <c r="AI36596" s="80"/>
    </row>
    <row r="36597">
      <c r="AI36597" s="80"/>
    </row>
    <row r="36598">
      <c r="AI36598" s="80"/>
    </row>
    <row r="36599">
      <c r="AI36599" s="80"/>
    </row>
    <row r="36600">
      <c r="AI36600" s="80"/>
    </row>
    <row r="36601">
      <c r="AI36601" s="80"/>
    </row>
    <row r="36602">
      <c r="AI36602" s="80"/>
    </row>
    <row r="36603">
      <c r="AI36603" s="80"/>
    </row>
    <row r="36604">
      <c r="AI36604" s="80"/>
    </row>
    <row r="36605">
      <c r="AI36605" s="80"/>
    </row>
    <row r="36606">
      <c r="AI36606" s="80"/>
    </row>
    <row r="36607">
      <c r="AI36607" s="80"/>
    </row>
    <row r="36608">
      <c r="AI36608" s="80"/>
    </row>
    <row r="36609">
      <c r="AI36609" s="80"/>
    </row>
    <row r="36610">
      <c r="AI36610" s="80"/>
    </row>
    <row r="36611">
      <c r="AI36611" s="80"/>
    </row>
    <row r="36612">
      <c r="AI36612" s="80"/>
    </row>
    <row r="36613">
      <c r="AI36613" s="80"/>
    </row>
    <row r="36614">
      <c r="AI36614" s="80"/>
    </row>
    <row r="36615">
      <c r="AI36615" s="80"/>
    </row>
    <row r="36616">
      <c r="AI36616" s="80"/>
    </row>
    <row r="36617">
      <c r="AI36617" s="80"/>
    </row>
    <row r="36618">
      <c r="AI36618" s="80"/>
    </row>
    <row r="36619">
      <c r="AI36619" s="80"/>
    </row>
    <row r="36620">
      <c r="AI36620" s="80"/>
    </row>
    <row r="36621">
      <c r="AI36621" s="80"/>
    </row>
    <row r="36622">
      <c r="AI36622" s="80"/>
    </row>
    <row r="36623">
      <c r="AI36623" s="80"/>
    </row>
    <row r="36624">
      <c r="AI36624" s="80"/>
    </row>
    <row r="36625">
      <c r="AI36625" s="80"/>
    </row>
    <row r="36626">
      <c r="AI36626" s="80"/>
    </row>
    <row r="36627">
      <c r="AI36627" s="80"/>
    </row>
    <row r="36628">
      <c r="AI36628" s="80"/>
    </row>
    <row r="36629">
      <c r="AI36629" s="80"/>
    </row>
    <row r="36630">
      <c r="AI36630" s="80"/>
    </row>
    <row r="36631">
      <c r="AI36631" s="80"/>
    </row>
    <row r="36632">
      <c r="AI36632" s="80"/>
    </row>
    <row r="36633">
      <c r="AI36633" s="80"/>
    </row>
    <row r="36634">
      <c r="AI36634" s="80"/>
    </row>
    <row r="36635">
      <c r="AI36635" s="80"/>
    </row>
    <row r="36636">
      <c r="AI36636" s="80"/>
    </row>
    <row r="36637">
      <c r="AI36637" s="80"/>
    </row>
    <row r="36638">
      <c r="AI36638" s="80"/>
    </row>
    <row r="36639">
      <c r="AI36639" s="80"/>
    </row>
    <row r="36640">
      <c r="AI36640" s="80"/>
    </row>
    <row r="36641">
      <c r="AI36641" s="80"/>
    </row>
    <row r="36642">
      <c r="AI36642" s="80"/>
    </row>
    <row r="36643">
      <c r="AI36643" s="80"/>
    </row>
    <row r="36644">
      <c r="AI36644" s="80"/>
    </row>
    <row r="36645">
      <c r="AI36645" s="80"/>
    </row>
    <row r="36646">
      <c r="AI36646" s="80"/>
    </row>
    <row r="36647">
      <c r="AI36647" s="80"/>
    </row>
    <row r="36648">
      <c r="AI36648" s="80"/>
    </row>
    <row r="36649">
      <c r="AI36649" s="80"/>
    </row>
    <row r="36650">
      <c r="AI36650" s="80"/>
    </row>
    <row r="36651">
      <c r="AI36651" s="80"/>
    </row>
    <row r="36652">
      <c r="AI36652" s="80"/>
    </row>
    <row r="36653">
      <c r="AI36653" s="80"/>
    </row>
    <row r="36654">
      <c r="AI36654" s="80"/>
    </row>
    <row r="36655">
      <c r="AI36655" s="80"/>
    </row>
    <row r="36656">
      <c r="AI36656" s="80"/>
    </row>
    <row r="36657">
      <c r="AI36657" s="80"/>
    </row>
    <row r="36658">
      <c r="AI36658" s="80"/>
    </row>
    <row r="36659">
      <c r="AI36659" s="80"/>
    </row>
    <row r="36660">
      <c r="AI36660" s="80"/>
    </row>
    <row r="36661">
      <c r="AI36661" s="80"/>
    </row>
    <row r="36662">
      <c r="AI36662" s="80"/>
    </row>
    <row r="36663">
      <c r="AI36663" s="80"/>
    </row>
    <row r="36664">
      <c r="AI36664" s="80"/>
    </row>
    <row r="36665">
      <c r="AI36665" s="80"/>
    </row>
    <row r="36666">
      <c r="AI36666" s="80"/>
    </row>
    <row r="36667">
      <c r="AI36667" s="80"/>
    </row>
    <row r="36668">
      <c r="AI36668" s="80"/>
    </row>
    <row r="36669">
      <c r="AI36669" s="80"/>
    </row>
    <row r="36670">
      <c r="AI36670" s="80"/>
    </row>
    <row r="36671">
      <c r="AI36671" s="80"/>
    </row>
    <row r="36672">
      <c r="AI36672" s="80"/>
    </row>
    <row r="36673">
      <c r="AI36673" s="80"/>
    </row>
    <row r="36674">
      <c r="AI36674" s="80"/>
    </row>
    <row r="36675">
      <c r="AI36675" s="80"/>
    </row>
    <row r="36676">
      <c r="AI36676" s="80"/>
    </row>
    <row r="36677">
      <c r="AI36677" s="80"/>
    </row>
    <row r="36678">
      <c r="AI36678" s="80"/>
    </row>
    <row r="36679">
      <c r="AI36679" s="80"/>
    </row>
    <row r="36680">
      <c r="AI36680" s="80"/>
    </row>
    <row r="36681">
      <c r="AI36681" s="80"/>
    </row>
    <row r="36682">
      <c r="AI36682" s="80"/>
    </row>
    <row r="36683">
      <c r="AI36683" s="80"/>
    </row>
    <row r="36684">
      <c r="AI36684" s="80"/>
    </row>
    <row r="36685">
      <c r="AI36685" s="80"/>
    </row>
    <row r="36686">
      <c r="AI36686" s="80"/>
    </row>
    <row r="36687">
      <c r="AI36687" s="80"/>
    </row>
    <row r="36688">
      <c r="AI36688" s="80"/>
    </row>
    <row r="36689">
      <c r="AI36689" s="80"/>
    </row>
    <row r="36690">
      <c r="AI36690" s="80"/>
    </row>
    <row r="36691">
      <c r="AI36691" s="80"/>
    </row>
    <row r="36692">
      <c r="AI36692" s="80"/>
    </row>
    <row r="36693">
      <c r="AI36693" s="80"/>
    </row>
    <row r="36694">
      <c r="AI36694" s="80"/>
    </row>
    <row r="36695">
      <c r="AI36695" s="80"/>
    </row>
    <row r="36696">
      <c r="AI36696" s="80"/>
    </row>
    <row r="36697">
      <c r="AI36697" s="80"/>
    </row>
    <row r="36698">
      <c r="AI36698" s="80"/>
    </row>
    <row r="36699">
      <c r="AI36699" s="80"/>
    </row>
    <row r="36700">
      <c r="AI36700" s="80"/>
    </row>
    <row r="36701">
      <c r="AI36701" s="80"/>
    </row>
    <row r="36702">
      <c r="AI36702" s="80"/>
    </row>
    <row r="36703">
      <c r="AI36703" s="80"/>
    </row>
    <row r="36704">
      <c r="AI36704" s="80"/>
    </row>
    <row r="36705">
      <c r="AI36705" s="80"/>
    </row>
    <row r="36706">
      <c r="AI36706" s="80"/>
    </row>
    <row r="36707">
      <c r="AI36707" s="80"/>
    </row>
    <row r="36708">
      <c r="AI36708" s="80"/>
    </row>
    <row r="36709">
      <c r="AI36709" s="80"/>
    </row>
    <row r="36710">
      <c r="AI36710" s="80"/>
    </row>
    <row r="36711">
      <c r="AI36711" s="80"/>
    </row>
    <row r="36712">
      <c r="AI36712" s="80"/>
    </row>
    <row r="36713">
      <c r="AI36713" s="80"/>
    </row>
    <row r="36714">
      <c r="AI36714" s="80"/>
    </row>
    <row r="36715">
      <c r="AI36715" s="80"/>
    </row>
    <row r="36716">
      <c r="AI36716" s="80"/>
    </row>
    <row r="36717">
      <c r="AI36717" s="80"/>
    </row>
    <row r="36718">
      <c r="AI36718" s="80"/>
    </row>
    <row r="36719">
      <c r="AI36719" s="80"/>
    </row>
    <row r="36720">
      <c r="AI36720" s="80"/>
    </row>
    <row r="36721">
      <c r="AI36721" s="80"/>
    </row>
    <row r="36722">
      <c r="AI36722" s="80"/>
    </row>
    <row r="36723">
      <c r="AI36723" s="80"/>
    </row>
    <row r="36724">
      <c r="AI36724" s="80"/>
    </row>
    <row r="36725">
      <c r="AI36725" s="80"/>
    </row>
    <row r="36726">
      <c r="AI36726" s="80"/>
    </row>
    <row r="36727">
      <c r="AI36727" s="80"/>
    </row>
    <row r="36728">
      <c r="AI36728" s="80"/>
    </row>
    <row r="36729">
      <c r="AI36729" s="80"/>
    </row>
    <row r="36730">
      <c r="AI36730" s="80"/>
    </row>
    <row r="36731">
      <c r="AI36731" s="80"/>
    </row>
    <row r="36732">
      <c r="AI36732" s="80"/>
    </row>
    <row r="36733">
      <c r="AI36733" s="80"/>
    </row>
    <row r="36734">
      <c r="AI36734" s="80"/>
    </row>
    <row r="36735">
      <c r="AI36735" s="80"/>
    </row>
    <row r="36736">
      <c r="AI36736" s="80"/>
    </row>
    <row r="36737">
      <c r="AI36737" s="80"/>
    </row>
    <row r="36738">
      <c r="AI36738" s="80"/>
    </row>
    <row r="36739">
      <c r="AI36739" s="80"/>
    </row>
    <row r="36740">
      <c r="AI36740" s="80"/>
    </row>
    <row r="36741">
      <c r="AI36741" s="80"/>
    </row>
    <row r="36742">
      <c r="AI36742" s="80"/>
    </row>
    <row r="36743">
      <c r="AI36743" s="80"/>
    </row>
    <row r="36744">
      <c r="AI36744" s="80"/>
    </row>
    <row r="36745">
      <c r="AI36745" s="80"/>
    </row>
    <row r="36746">
      <c r="AI36746" s="80"/>
    </row>
    <row r="36747">
      <c r="AI36747" s="80"/>
    </row>
    <row r="36748">
      <c r="AI36748" s="80"/>
    </row>
    <row r="36749">
      <c r="AI36749" s="80"/>
    </row>
    <row r="36750">
      <c r="AI36750" s="80"/>
    </row>
    <row r="36751">
      <c r="AI36751" s="80"/>
    </row>
    <row r="36752">
      <c r="AI36752" s="80"/>
    </row>
    <row r="36753">
      <c r="AI36753" s="80"/>
    </row>
    <row r="36754">
      <c r="AI36754" s="80"/>
    </row>
    <row r="36755">
      <c r="AI36755" s="80"/>
    </row>
    <row r="36756">
      <c r="AI36756" s="80"/>
    </row>
    <row r="36757">
      <c r="AI36757" s="80"/>
    </row>
    <row r="36758">
      <c r="AI36758" s="80"/>
    </row>
    <row r="36759">
      <c r="AI36759" s="80"/>
    </row>
    <row r="36760">
      <c r="AI36760" s="80"/>
    </row>
    <row r="36761">
      <c r="AI36761" s="80"/>
    </row>
    <row r="36762">
      <c r="AI36762" s="80"/>
    </row>
    <row r="36763">
      <c r="AI36763" s="80"/>
    </row>
    <row r="36764">
      <c r="AI36764" s="80"/>
    </row>
    <row r="36765">
      <c r="AI36765" s="80"/>
    </row>
    <row r="36766">
      <c r="AI36766" s="80"/>
    </row>
    <row r="36767">
      <c r="AI36767" s="80"/>
    </row>
    <row r="36768">
      <c r="AI36768" s="80"/>
    </row>
    <row r="36769">
      <c r="AI36769" s="80"/>
    </row>
    <row r="36770">
      <c r="AI36770" s="80"/>
    </row>
    <row r="36771">
      <c r="AI36771" s="80"/>
    </row>
    <row r="36772">
      <c r="AI36772" s="80"/>
    </row>
    <row r="36773">
      <c r="AI36773" s="80"/>
    </row>
    <row r="36774">
      <c r="AI36774" s="80"/>
    </row>
    <row r="36775">
      <c r="AI36775" s="80"/>
    </row>
    <row r="36776">
      <c r="AI36776" s="80"/>
    </row>
    <row r="36777">
      <c r="AI36777" s="80"/>
    </row>
    <row r="36778">
      <c r="AI36778" s="80"/>
    </row>
    <row r="36779">
      <c r="AI36779" s="80"/>
    </row>
    <row r="36780">
      <c r="AI36780" s="80"/>
    </row>
    <row r="36781">
      <c r="AI36781" s="80"/>
    </row>
    <row r="36782">
      <c r="AI36782" s="80"/>
    </row>
    <row r="36783">
      <c r="AI36783" s="80"/>
    </row>
    <row r="36784">
      <c r="AI36784" s="80"/>
    </row>
    <row r="36785">
      <c r="AI36785" s="80"/>
    </row>
    <row r="36786">
      <c r="AI36786" s="80"/>
    </row>
    <row r="36787">
      <c r="AI36787" s="80"/>
    </row>
    <row r="36788">
      <c r="AI36788" s="80"/>
    </row>
    <row r="36789">
      <c r="AI36789" s="80"/>
    </row>
    <row r="36790">
      <c r="AI36790" s="80"/>
    </row>
    <row r="36791">
      <c r="AI36791" s="80"/>
    </row>
    <row r="36792">
      <c r="AI36792" s="80"/>
    </row>
    <row r="36793">
      <c r="AI36793" s="80"/>
    </row>
    <row r="36794">
      <c r="AI36794" s="80"/>
    </row>
    <row r="36795">
      <c r="AI36795" s="80"/>
    </row>
    <row r="36796">
      <c r="AI36796" s="80"/>
    </row>
    <row r="36797">
      <c r="AI36797" s="80"/>
    </row>
    <row r="36798">
      <c r="AI36798" s="80"/>
    </row>
    <row r="36799">
      <c r="AI36799" s="80"/>
    </row>
    <row r="36800">
      <c r="AI36800" s="80"/>
    </row>
    <row r="36801">
      <c r="AI36801" s="80"/>
    </row>
    <row r="36802">
      <c r="AI36802" s="80"/>
    </row>
    <row r="36803">
      <c r="AI36803" s="80"/>
    </row>
    <row r="36804">
      <c r="AI36804" s="80"/>
    </row>
    <row r="36805">
      <c r="AI36805" s="80"/>
    </row>
    <row r="36806">
      <c r="AI36806" s="80"/>
    </row>
    <row r="36807">
      <c r="AI36807" s="80"/>
    </row>
    <row r="36808">
      <c r="AI36808" s="80"/>
    </row>
    <row r="36809">
      <c r="AI36809" s="80"/>
    </row>
    <row r="36810">
      <c r="AI36810" s="80"/>
    </row>
    <row r="36811">
      <c r="AI36811" s="80"/>
    </row>
    <row r="36812">
      <c r="AI36812" s="80"/>
    </row>
    <row r="36813">
      <c r="AI36813" s="80"/>
    </row>
    <row r="36814">
      <c r="AI36814" s="80"/>
    </row>
    <row r="36815">
      <c r="AI36815" s="80"/>
    </row>
    <row r="36816">
      <c r="AI36816" s="80"/>
    </row>
    <row r="36817">
      <c r="AI36817" s="80"/>
    </row>
    <row r="36818">
      <c r="AI36818" s="80"/>
    </row>
    <row r="36819">
      <c r="AI36819" s="80"/>
    </row>
    <row r="36820">
      <c r="AI36820" s="80"/>
    </row>
    <row r="36821">
      <c r="AI36821" s="80"/>
    </row>
    <row r="36822">
      <c r="AI36822" s="80"/>
    </row>
    <row r="36823">
      <c r="AI36823" s="80"/>
    </row>
    <row r="36824">
      <c r="AI36824" s="80"/>
    </row>
    <row r="36825">
      <c r="AI36825" s="80"/>
    </row>
    <row r="36826">
      <c r="AI36826" s="80"/>
    </row>
    <row r="36827">
      <c r="AI36827" s="80"/>
    </row>
    <row r="36828">
      <c r="AI36828" s="80"/>
    </row>
    <row r="36829">
      <c r="AI36829" s="80"/>
    </row>
    <row r="36830">
      <c r="AI36830" s="80"/>
    </row>
    <row r="36831">
      <c r="AI36831" s="80"/>
    </row>
    <row r="36832">
      <c r="AI36832" s="80"/>
    </row>
    <row r="36833">
      <c r="AI36833" s="80"/>
    </row>
    <row r="36834">
      <c r="AI36834" s="80"/>
    </row>
    <row r="36835">
      <c r="AI36835" s="80"/>
    </row>
    <row r="36836">
      <c r="AI36836" s="80"/>
    </row>
    <row r="36837">
      <c r="AI36837" s="80"/>
    </row>
    <row r="36838">
      <c r="AI36838" s="80"/>
    </row>
    <row r="36839">
      <c r="AI36839" s="80"/>
    </row>
    <row r="36840">
      <c r="AI36840" s="80"/>
    </row>
    <row r="36841">
      <c r="AI36841" s="80"/>
    </row>
    <row r="36842">
      <c r="AI36842" s="80"/>
    </row>
    <row r="36843">
      <c r="AI36843" s="80"/>
    </row>
    <row r="36844">
      <c r="AI36844" s="80"/>
    </row>
    <row r="36845">
      <c r="AI36845" s="80"/>
    </row>
    <row r="36846">
      <c r="AI36846" s="80"/>
    </row>
    <row r="36847">
      <c r="AI36847" s="80"/>
    </row>
    <row r="36848">
      <c r="AI36848" s="80"/>
    </row>
    <row r="36849">
      <c r="AI36849" s="80"/>
    </row>
    <row r="36850">
      <c r="AI36850" s="80"/>
    </row>
    <row r="36851">
      <c r="AI36851" s="80"/>
    </row>
    <row r="36852">
      <c r="AI36852" s="80"/>
    </row>
    <row r="36853">
      <c r="AI36853" s="80"/>
    </row>
    <row r="36854">
      <c r="AI36854" s="80"/>
    </row>
    <row r="36855">
      <c r="AI36855" s="80"/>
    </row>
    <row r="36856">
      <c r="AI36856" s="80"/>
    </row>
    <row r="36857">
      <c r="AI36857" s="80"/>
    </row>
    <row r="36858">
      <c r="AI36858" s="80"/>
    </row>
    <row r="36859">
      <c r="AI36859" s="80"/>
    </row>
    <row r="36860">
      <c r="AI36860" s="80"/>
    </row>
    <row r="36861">
      <c r="AI36861" s="80"/>
    </row>
    <row r="36862">
      <c r="AI36862" s="80"/>
    </row>
    <row r="36863">
      <c r="AI36863" s="80"/>
    </row>
    <row r="36864">
      <c r="AI36864" s="80"/>
    </row>
    <row r="36865">
      <c r="AI36865" s="80"/>
    </row>
    <row r="36866">
      <c r="AI36866" s="80"/>
    </row>
    <row r="36867">
      <c r="AI36867" s="80"/>
    </row>
    <row r="36868">
      <c r="AI36868" s="80"/>
    </row>
    <row r="36869">
      <c r="AI36869" s="80"/>
    </row>
    <row r="36870">
      <c r="AI36870" s="80"/>
    </row>
    <row r="36871">
      <c r="AI36871" s="80"/>
    </row>
    <row r="36872">
      <c r="AI36872" s="80"/>
    </row>
    <row r="36873">
      <c r="AI36873" s="80"/>
    </row>
    <row r="36874">
      <c r="AI36874" s="80"/>
    </row>
    <row r="36875">
      <c r="AI36875" s="80"/>
    </row>
    <row r="36876">
      <c r="AI36876" s="80"/>
    </row>
    <row r="36877">
      <c r="AI36877" s="80"/>
    </row>
    <row r="36878">
      <c r="AI36878" s="80"/>
    </row>
    <row r="36879">
      <c r="AI36879" s="80"/>
    </row>
    <row r="36880">
      <c r="AI36880" s="80"/>
    </row>
    <row r="36881">
      <c r="AI36881" s="80"/>
    </row>
    <row r="36882">
      <c r="AI36882" s="80"/>
    </row>
    <row r="36883">
      <c r="AI36883" s="80"/>
    </row>
    <row r="36884">
      <c r="AI36884" s="80"/>
    </row>
    <row r="36885">
      <c r="AI36885" s="80"/>
    </row>
    <row r="36886">
      <c r="AI36886" s="80"/>
    </row>
    <row r="36887">
      <c r="AI36887" s="80"/>
    </row>
    <row r="36888">
      <c r="AI36888" s="80"/>
    </row>
    <row r="36889">
      <c r="AI36889" s="80"/>
    </row>
    <row r="36890">
      <c r="AI36890" s="80"/>
    </row>
    <row r="36891">
      <c r="AI36891" s="80"/>
    </row>
    <row r="36892">
      <c r="AI36892" s="80"/>
    </row>
    <row r="36893">
      <c r="AI36893" s="80"/>
    </row>
    <row r="36894">
      <c r="AI36894" s="80"/>
    </row>
    <row r="36895">
      <c r="AI36895" s="80"/>
    </row>
    <row r="36896">
      <c r="AI36896" s="80"/>
    </row>
    <row r="36897">
      <c r="AI36897" s="80"/>
    </row>
    <row r="36898">
      <c r="AI36898" s="80"/>
    </row>
    <row r="36899">
      <c r="AI36899" s="80"/>
    </row>
    <row r="36900">
      <c r="AI36900" s="80"/>
    </row>
    <row r="36901">
      <c r="AI36901" s="80"/>
    </row>
    <row r="36902">
      <c r="AI36902" s="80"/>
    </row>
    <row r="36903">
      <c r="AI36903" s="80"/>
    </row>
    <row r="36904">
      <c r="AI36904" s="80"/>
    </row>
    <row r="36905">
      <c r="AI36905" s="80"/>
    </row>
    <row r="36906">
      <c r="AI36906" s="80"/>
    </row>
    <row r="36907">
      <c r="AI36907" s="80"/>
    </row>
    <row r="36908">
      <c r="AI36908" s="80"/>
    </row>
    <row r="36909">
      <c r="AI36909" s="80"/>
    </row>
    <row r="36910">
      <c r="AI36910" s="80"/>
    </row>
    <row r="36911">
      <c r="AI36911" s="80"/>
    </row>
    <row r="36912">
      <c r="AI36912" s="80"/>
    </row>
    <row r="36913">
      <c r="AI36913" s="80"/>
    </row>
    <row r="36914">
      <c r="AI36914" s="80"/>
    </row>
    <row r="36915">
      <c r="AI36915" s="80"/>
    </row>
    <row r="36916">
      <c r="AI36916" s="80"/>
    </row>
    <row r="36917">
      <c r="AI36917" s="80"/>
    </row>
    <row r="36918">
      <c r="AI36918" s="80"/>
    </row>
    <row r="36919">
      <c r="AI36919" s="80"/>
    </row>
    <row r="36920">
      <c r="AI36920" s="80"/>
    </row>
    <row r="36921">
      <c r="AI36921" s="80"/>
    </row>
    <row r="36922">
      <c r="AI36922" s="80"/>
    </row>
    <row r="36923">
      <c r="AI36923" s="80"/>
    </row>
    <row r="36924">
      <c r="AI36924" s="80"/>
    </row>
    <row r="36925">
      <c r="AI36925" s="80"/>
    </row>
    <row r="36926">
      <c r="AI36926" s="80"/>
    </row>
    <row r="36927">
      <c r="AI36927" s="80"/>
    </row>
    <row r="36928">
      <c r="AI36928" s="80"/>
    </row>
    <row r="36929">
      <c r="AI36929" s="80"/>
    </row>
    <row r="36930">
      <c r="AI36930" s="80"/>
    </row>
    <row r="36931">
      <c r="AI36931" s="80"/>
    </row>
    <row r="36932">
      <c r="AI36932" s="80"/>
    </row>
    <row r="36933">
      <c r="AI36933" s="80"/>
    </row>
    <row r="36934">
      <c r="AI36934" s="80"/>
    </row>
    <row r="36935">
      <c r="AI36935" s="80"/>
    </row>
    <row r="36936">
      <c r="AI36936" s="80"/>
    </row>
    <row r="36937">
      <c r="AI36937" s="80"/>
    </row>
    <row r="36938">
      <c r="AI36938" s="80"/>
    </row>
    <row r="36939">
      <c r="AI36939" s="80"/>
    </row>
    <row r="36940">
      <c r="AI36940" s="80"/>
    </row>
    <row r="36941">
      <c r="AI36941" s="80"/>
    </row>
    <row r="36942">
      <c r="AI36942" s="80"/>
    </row>
    <row r="36943">
      <c r="AI36943" s="80"/>
    </row>
    <row r="36944">
      <c r="AI36944" s="80"/>
    </row>
    <row r="36945">
      <c r="AI36945" s="80"/>
    </row>
    <row r="36946">
      <c r="AI36946" s="80"/>
    </row>
    <row r="36947">
      <c r="AI36947" s="80"/>
    </row>
    <row r="36948">
      <c r="AI36948" s="80"/>
    </row>
    <row r="36949">
      <c r="AI36949" s="80"/>
    </row>
    <row r="36950">
      <c r="AI36950" s="80"/>
    </row>
    <row r="36951">
      <c r="AI36951" s="80"/>
    </row>
    <row r="36952">
      <c r="AI36952" s="80"/>
    </row>
    <row r="36953">
      <c r="AI36953" s="80"/>
    </row>
    <row r="36954">
      <c r="AI36954" s="80"/>
    </row>
    <row r="36955">
      <c r="AI36955" s="80"/>
    </row>
    <row r="36956">
      <c r="AI36956" s="80"/>
    </row>
    <row r="36957">
      <c r="AI36957" s="80"/>
    </row>
    <row r="36958">
      <c r="AI36958" s="80"/>
    </row>
    <row r="36959">
      <c r="AI36959" s="80"/>
    </row>
    <row r="36960">
      <c r="AI36960" s="80"/>
    </row>
    <row r="36961">
      <c r="AI36961" s="80"/>
    </row>
    <row r="36962">
      <c r="AI36962" s="80"/>
    </row>
    <row r="36963">
      <c r="AI36963" s="80"/>
    </row>
    <row r="36964">
      <c r="AI36964" s="80"/>
    </row>
    <row r="36965">
      <c r="AI36965" s="80"/>
    </row>
    <row r="36966">
      <c r="AI36966" s="80"/>
    </row>
    <row r="36967">
      <c r="AI36967" s="80"/>
    </row>
    <row r="36968">
      <c r="AI36968" s="80"/>
    </row>
    <row r="36969">
      <c r="AI36969" s="80"/>
    </row>
    <row r="36970">
      <c r="AI36970" s="80"/>
    </row>
    <row r="36971">
      <c r="AI36971" s="80"/>
    </row>
    <row r="36972">
      <c r="AI36972" s="80"/>
    </row>
    <row r="36973">
      <c r="AI36973" s="80"/>
    </row>
    <row r="36974">
      <c r="AI36974" s="80"/>
    </row>
    <row r="36975">
      <c r="AI36975" s="80"/>
    </row>
    <row r="36976">
      <c r="AI36976" s="80"/>
    </row>
    <row r="36977">
      <c r="AI36977" s="80"/>
    </row>
    <row r="36978">
      <c r="AI36978" s="80"/>
    </row>
    <row r="36979">
      <c r="AI36979" s="80"/>
    </row>
    <row r="36980">
      <c r="AI36980" s="80"/>
    </row>
    <row r="36981">
      <c r="AI36981" s="80"/>
    </row>
    <row r="36982">
      <c r="AI36982" s="80"/>
    </row>
    <row r="36983">
      <c r="AI36983" s="80"/>
    </row>
    <row r="36984">
      <c r="AI36984" s="80"/>
    </row>
    <row r="36985">
      <c r="AI36985" s="80"/>
    </row>
    <row r="36986">
      <c r="AI36986" s="80"/>
    </row>
    <row r="36987">
      <c r="AI36987" s="80"/>
    </row>
    <row r="36988">
      <c r="AI36988" s="80"/>
    </row>
    <row r="36989">
      <c r="AI36989" s="80"/>
    </row>
    <row r="36990">
      <c r="AI36990" s="80"/>
    </row>
    <row r="36991">
      <c r="AI36991" s="80"/>
    </row>
    <row r="36992">
      <c r="AI36992" s="80"/>
    </row>
    <row r="36993">
      <c r="AI36993" s="80"/>
    </row>
    <row r="36994">
      <c r="AI36994" s="80"/>
    </row>
    <row r="36995">
      <c r="AI36995" s="80"/>
    </row>
    <row r="36996">
      <c r="AI36996" s="80"/>
    </row>
    <row r="36997">
      <c r="AI36997" s="80"/>
    </row>
    <row r="36998">
      <c r="AI36998" s="80"/>
    </row>
    <row r="36999">
      <c r="AI36999" s="80"/>
    </row>
    <row r="37000">
      <c r="AI37000" s="80"/>
    </row>
    <row r="37001">
      <c r="AI37001" s="80"/>
    </row>
    <row r="37002">
      <c r="AI37002" s="80"/>
    </row>
    <row r="37003">
      <c r="AI37003" s="80"/>
    </row>
    <row r="37004">
      <c r="AI37004" s="80"/>
    </row>
    <row r="37005">
      <c r="AI37005" s="80"/>
    </row>
    <row r="37006">
      <c r="AI37006" s="80"/>
    </row>
    <row r="37007">
      <c r="AI37007" s="80"/>
    </row>
    <row r="37008">
      <c r="AI37008" s="80"/>
    </row>
    <row r="37009">
      <c r="AI37009" s="80"/>
    </row>
    <row r="37010">
      <c r="AI37010" s="80"/>
    </row>
    <row r="37011">
      <c r="AI37011" s="80"/>
    </row>
    <row r="37012">
      <c r="AI37012" s="80"/>
    </row>
    <row r="37013">
      <c r="AI37013" s="80"/>
    </row>
    <row r="37014">
      <c r="AI37014" s="80"/>
    </row>
    <row r="37015">
      <c r="AI37015" s="80"/>
    </row>
    <row r="37016">
      <c r="AI37016" s="80"/>
    </row>
    <row r="37017">
      <c r="AI37017" s="80"/>
    </row>
    <row r="37018">
      <c r="AI37018" s="80"/>
    </row>
    <row r="37019">
      <c r="AI37019" s="80"/>
    </row>
    <row r="37020">
      <c r="AI37020" s="80"/>
    </row>
    <row r="37021">
      <c r="AI37021" s="80"/>
    </row>
    <row r="37022">
      <c r="AI37022" s="80"/>
    </row>
    <row r="37023">
      <c r="AI37023" s="80"/>
    </row>
    <row r="37024">
      <c r="AI37024" s="80"/>
    </row>
    <row r="37025">
      <c r="AI37025" s="80"/>
    </row>
    <row r="37026">
      <c r="AI37026" s="80"/>
    </row>
    <row r="37027">
      <c r="AI37027" s="80"/>
    </row>
    <row r="37028">
      <c r="AI37028" s="80"/>
    </row>
    <row r="37029">
      <c r="AI37029" s="80"/>
    </row>
    <row r="37030">
      <c r="AI37030" s="80"/>
    </row>
    <row r="37031">
      <c r="AI37031" s="80"/>
    </row>
    <row r="37032">
      <c r="AI37032" s="80"/>
    </row>
    <row r="37033">
      <c r="AI37033" s="80"/>
    </row>
    <row r="37034">
      <c r="AI37034" s="80"/>
    </row>
    <row r="37035">
      <c r="AI37035" s="80"/>
    </row>
    <row r="37036">
      <c r="AI37036" s="80"/>
    </row>
    <row r="37037">
      <c r="AI37037" s="80"/>
    </row>
    <row r="37038">
      <c r="AI37038" s="80"/>
    </row>
    <row r="37039">
      <c r="AI37039" s="80"/>
    </row>
    <row r="37040">
      <c r="AI37040" s="80"/>
    </row>
    <row r="37041">
      <c r="AI37041" s="80"/>
    </row>
    <row r="37042">
      <c r="AI37042" s="80"/>
    </row>
    <row r="37043">
      <c r="AI37043" s="80"/>
    </row>
    <row r="37044">
      <c r="AI37044" s="80"/>
    </row>
    <row r="37045">
      <c r="AI37045" s="80"/>
    </row>
    <row r="37046">
      <c r="AI37046" s="80"/>
    </row>
    <row r="37047">
      <c r="AI37047" s="80"/>
    </row>
    <row r="37048">
      <c r="AI37048" s="80"/>
    </row>
    <row r="37049">
      <c r="AI37049" s="80"/>
    </row>
    <row r="37050">
      <c r="AI37050" s="80"/>
    </row>
    <row r="37051">
      <c r="AI37051" s="80"/>
    </row>
    <row r="37052">
      <c r="AI37052" s="80"/>
    </row>
    <row r="37053">
      <c r="AI37053" s="80"/>
    </row>
    <row r="37054">
      <c r="AI37054" s="80"/>
    </row>
    <row r="37055">
      <c r="AI37055" s="80"/>
    </row>
    <row r="37056">
      <c r="AI37056" s="80"/>
    </row>
    <row r="37057">
      <c r="AI37057" s="80"/>
    </row>
    <row r="37058">
      <c r="AI37058" s="80"/>
    </row>
    <row r="37059">
      <c r="AI37059" s="80"/>
    </row>
    <row r="37060">
      <c r="AI37060" s="80"/>
    </row>
    <row r="37061">
      <c r="AI37061" s="80"/>
    </row>
    <row r="37062">
      <c r="AI37062" s="80"/>
    </row>
    <row r="37063">
      <c r="AI37063" s="80"/>
    </row>
    <row r="37064">
      <c r="AI37064" s="80"/>
    </row>
    <row r="37065">
      <c r="AI37065" s="80"/>
    </row>
    <row r="37066">
      <c r="AI37066" s="80"/>
    </row>
    <row r="37067">
      <c r="AI37067" s="80"/>
    </row>
    <row r="37068">
      <c r="AI37068" s="80"/>
    </row>
    <row r="37069">
      <c r="AI37069" s="80"/>
    </row>
    <row r="37070">
      <c r="AI37070" s="80"/>
    </row>
    <row r="37071">
      <c r="AI37071" s="80"/>
    </row>
    <row r="37072">
      <c r="AI37072" s="80"/>
    </row>
    <row r="37073">
      <c r="AI37073" s="80"/>
    </row>
    <row r="37074">
      <c r="AI37074" s="80"/>
    </row>
    <row r="37075">
      <c r="AI37075" s="80"/>
    </row>
    <row r="37076">
      <c r="AI37076" s="80"/>
    </row>
    <row r="37077">
      <c r="AI37077" s="80"/>
    </row>
    <row r="37078">
      <c r="AI37078" s="80"/>
    </row>
    <row r="37079">
      <c r="AI37079" s="80"/>
    </row>
    <row r="37080">
      <c r="AI37080" s="80"/>
    </row>
    <row r="37081">
      <c r="AI37081" s="80"/>
    </row>
    <row r="37082">
      <c r="AI37082" s="80"/>
    </row>
    <row r="37083">
      <c r="AI37083" s="80"/>
    </row>
    <row r="37084">
      <c r="AI37084" s="80"/>
    </row>
    <row r="37085">
      <c r="AI37085" s="80"/>
    </row>
    <row r="37086">
      <c r="AI37086" s="80"/>
    </row>
    <row r="37087">
      <c r="AI37087" s="80"/>
    </row>
    <row r="37088">
      <c r="AI37088" s="80"/>
    </row>
    <row r="37089">
      <c r="AI37089" s="80"/>
    </row>
    <row r="37090">
      <c r="AI37090" s="80"/>
    </row>
    <row r="37091">
      <c r="AI37091" s="80"/>
    </row>
    <row r="37092">
      <c r="AI37092" s="80"/>
    </row>
    <row r="37093">
      <c r="AI37093" s="80"/>
    </row>
    <row r="37094">
      <c r="AI37094" s="80"/>
    </row>
    <row r="37095">
      <c r="AI37095" s="80"/>
    </row>
    <row r="37096">
      <c r="AI37096" s="80"/>
    </row>
    <row r="37097">
      <c r="AI37097" s="80"/>
    </row>
    <row r="37098">
      <c r="AI37098" s="80"/>
    </row>
    <row r="37099">
      <c r="AI37099" s="80"/>
    </row>
    <row r="37100">
      <c r="AI37100" s="80"/>
    </row>
    <row r="37101">
      <c r="AI37101" s="80"/>
    </row>
    <row r="37102">
      <c r="AI37102" s="80"/>
    </row>
    <row r="37103">
      <c r="AI37103" s="80"/>
    </row>
    <row r="37104">
      <c r="AI37104" s="80"/>
    </row>
    <row r="37105">
      <c r="AI37105" s="80"/>
    </row>
    <row r="37106">
      <c r="AI37106" s="80"/>
    </row>
    <row r="37107">
      <c r="AI37107" s="80"/>
    </row>
    <row r="37108">
      <c r="AI37108" s="80"/>
    </row>
    <row r="37109">
      <c r="AI37109" s="80"/>
    </row>
    <row r="37110">
      <c r="AI37110" s="80"/>
    </row>
    <row r="37111">
      <c r="AI37111" s="80"/>
    </row>
    <row r="37112">
      <c r="AI37112" s="80"/>
    </row>
    <row r="37113">
      <c r="AI37113" s="80"/>
    </row>
    <row r="37114">
      <c r="AI37114" s="80"/>
    </row>
    <row r="37115">
      <c r="AI37115" s="80"/>
    </row>
    <row r="37116">
      <c r="AI37116" s="80"/>
    </row>
    <row r="37117">
      <c r="AI37117" s="80"/>
    </row>
    <row r="37118">
      <c r="AI37118" s="80"/>
    </row>
    <row r="37119">
      <c r="AI37119" s="80"/>
    </row>
    <row r="37120">
      <c r="AI37120" s="80"/>
    </row>
    <row r="37121">
      <c r="AI37121" s="80"/>
    </row>
    <row r="37122">
      <c r="AI37122" s="80"/>
    </row>
    <row r="37123">
      <c r="AI37123" s="80"/>
    </row>
    <row r="37124">
      <c r="AI37124" s="80"/>
    </row>
    <row r="37125">
      <c r="AI37125" s="80"/>
    </row>
    <row r="37126">
      <c r="AI37126" s="80"/>
    </row>
    <row r="37127">
      <c r="AI37127" s="80"/>
    </row>
    <row r="37128">
      <c r="AI37128" s="80"/>
    </row>
    <row r="37129">
      <c r="AI37129" s="80"/>
    </row>
    <row r="37130">
      <c r="AI37130" s="80"/>
    </row>
    <row r="37131">
      <c r="AI37131" s="80"/>
    </row>
    <row r="37132">
      <c r="AI37132" s="80"/>
    </row>
    <row r="37133">
      <c r="AI37133" s="80"/>
    </row>
    <row r="37134">
      <c r="AI37134" s="80"/>
    </row>
    <row r="37135">
      <c r="AI37135" s="80"/>
    </row>
    <row r="37136">
      <c r="AI37136" s="80"/>
    </row>
    <row r="37137">
      <c r="AI37137" s="80"/>
    </row>
    <row r="37138">
      <c r="AI37138" s="80"/>
    </row>
    <row r="37139">
      <c r="AI37139" s="80"/>
    </row>
    <row r="37140">
      <c r="AI37140" s="80"/>
    </row>
    <row r="37141">
      <c r="AI37141" s="80"/>
    </row>
    <row r="37142">
      <c r="AI37142" s="80"/>
    </row>
    <row r="37143">
      <c r="AI37143" s="80"/>
    </row>
    <row r="37144">
      <c r="AI37144" s="80"/>
    </row>
    <row r="37145">
      <c r="AI37145" s="80"/>
    </row>
    <row r="37146">
      <c r="AI37146" s="80"/>
    </row>
    <row r="37147">
      <c r="AI37147" s="80"/>
    </row>
    <row r="37148">
      <c r="AI37148" s="80"/>
    </row>
    <row r="37149">
      <c r="AI37149" s="80"/>
    </row>
    <row r="37150">
      <c r="AI37150" s="80"/>
    </row>
    <row r="37151">
      <c r="AI37151" s="80"/>
    </row>
    <row r="37152">
      <c r="AI37152" s="80"/>
    </row>
    <row r="37153">
      <c r="AI37153" s="80"/>
    </row>
    <row r="37154">
      <c r="AI37154" s="80"/>
    </row>
    <row r="37155">
      <c r="AI37155" s="80"/>
    </row>
    <row r="37156">
      <c r="AI37156" s="80"/>
    </row>
    <row r="37157">
      <c r="AI37157" s="80"/>
    </row>
    <row r="37158">
      <c r="AI37158" s="80"/>
    </row>
    <row r="37159">
      <c r="AI37159" s="80"/>
    </row>
    <row r="37160">
      <c r="AI37160" s="80"/>
    </row>
    <row r="37161">
      <c r="AI37161" s="80"/>
    </row>
    <row r="37162">
      <c r="AI37162" s="80"/>
    </row>
    <row r="37163">
      <c r="AI37163" s="80"/>
    </row>
    <row r="37164">
      <c r="AI37164" s="80"/>
    </row>
    <row r="37165">
      <c r="AI37165" s="80"/>
    </row>
    <row r="37166">
      <c r="AI37166" s="80"/>
    </row>
    <row r="37167">
      <c r="AI37167" s="80"/>
    </row>
    <row r="37168">
      <c r="AI37168" s="80"/>
    </row>
    <row r="37169">
      <c r="AI37169" s="80"/>
    </row>
    <row r="37170">
      <c r="AI37170" s="80"/>
    </row>
    <row r="37171">
      <c r="AI37171" s="80"/>
    </row>
    <row r="37172">
      <c r="AI37172" s="80"/>
    </row>
    <row r="37173">
      <c r="AI37173" s="80"/>
    </row>
    <row r="37174">
      <c r="AI37174" s="80"/>
    </row>
    <row r="37175">
      <c r="AI37175" s="80"/>
    </row>
    <row r="37176">
      <c r="AI37176" s="80"/>
    </row>
    <row r="37177">
      <c r="AI37177" s="80"/>
    </row>
    <row r="37178">
      <c r="AI37178" s="80"/>
    </row>
    <row r="37179">
      <c r="AI37179" s="80"/>
    </row>
    <row r="37180">
      <c r="AI37180" s="80"/>
    </row>
    <row r="37181">
      <c r="AI37181" s="80"/>
    </row>
    <row r="37182">
      <c r="AI37182" s="80"/>
    </row>
    <row r="37183">
      <c r="AI37183" s="80"/>
    </row>
    <row r="37184">
      <c r="AI37184" s="80"/>
    </row>
    <row r="37185">
      <c r="AI37185" s="80"/>
    </row>
    <row r="37186">
      <c r="AI37186" s="80"/>
    </row>
    <row r="37187">
      <c r="AI37187" s="80"/>
    </row>
    <row r="37188">
      <c r="AI37188" s="80"/>
    </row>
    <row r="37189">
      <c r="AI37189" s="80"/>
    </row>
    <row r="37190">
      <c r="AI37190" s="80"/>
    </row>
    <row r="37191">
      <c r="AI37191" s="80"/>
    </row>
    <row r="37192">
      <c r="AI37192" s="80"/>
    </row>
    <row r="37193">
      <c r="AI37193" s="80"/>
    </row>
    <row r="37194">
      <c r="AI37194" s="80"/>
    </row>
    <row r="37195">
      <c r="AI37195" s="80"/>
    </row>
    <row r="37196">
      <c r="AI37196" s="80"/>
    </row>
    <row r="37197">
      <c r="AI37197" s="80"/>
    </row>
    <row r="37198">
      <c r="AI37198" s="80"/>
    </row>
    <row r="37199">
      <c r="AI37199" s="80"/>
    </row>
    <row r="37200">
      <c r="AI37200" s="80"/>
    </row>
    <row r="37201">
      <c r="AI37201" s="80"/>
    </row>
    <row r="37202">
      <c r="AI37202" s="80"/>
    </row>
    <row r="37203">
      <c r="AI37203" s="80"/>
    </row>
    <row r="37204">
      <c r="AI37204" s="80"/>
    </row>
    <row r="37205">
      <c r="AI37205" s="80"/>
    </row>
    <row r="37206">
      <c r="AI37206" s="80"/>
    </row>
    <row r="37207">
      <c r="AI37207" s="80"/>
    </row>
    <row r="37208">
      <c r="AI37208" s="80"/>
    </row>
    <row r="37209">
      <c r="AI37209" s="80"/>
    </row>
    <row r="37210">
      <c r="AI37210" s="80"/>
    </row>
    <row r="37211">
      <c r="AI37211" s="80"/>
    </row>
    <row r="37212">
      <c r="AI37212" s="80"/>
    </row>
    <row r="37213">
      <c r="AI37213" s="80"/>
    </row>
    <row r="37214">
      <c r="AI37214" s="80"/>
    </row>
    <row r="37215">
      <c r="AI37215" s="80"/>
    </row>
    <row r="37216">
      <c r="AI37216" s="80"/>
    </row>
    <row r="37217">
      <c r="AI37217" s="80"/>
    </row>
    <row r="37218">
      <c r="AI37218" s="80"/>
    </row>
    <row r="37219">
      <c r="AI37219" s="80"/>
    </row>
    <row r="37220">
      <c r="AI37220" s="80"/>
    </row>
    <row r="37221">
      <c r="AI37221" s="80"/>
    </row>
    <row r="37222">
      <c r="AI37222" s="80"/>
    </row>
    <row r="37223">
      <c r="AI37223" s="80"/>
    </row>
    <row r="37224">
      <c r="AI37224" s="80"/>
    </row>
    <row r="37225">
      <c r="AI37225" s="80"/>
    </row>
    <row r="37226">
      <c r="AI37226" s="80"/>
    </row>
    <row r="37227">
      <c r="AI37227" s="80"/>
    </row>
    <row r="37228">
      <c r="AI37228" s="80"/>
    </row>
    <row r="37229">
      <c r="AI37229" s="80"/>
    </row>
    <row r="37230">
      <c r="AI37230" s="80"/>
    </row>
    <row r="37231">
      <c r="AI37231" s="80"/>
    </row>
    <row r="37232">
      <c r="AI37232" s="80"/>
    </row>
    <row r="37233">
      <c r="AI37233" s="80"/>
    </row>
    <row r="37234">
      <c r="AI37234" s="80"/>
    </row>
    <row r="37235">
      <c r="AI37235" s="80"/>
    </row>
    <row r="37236">
      <c r="AI37236" s="80"/>
    </row>
    <row r="37237">
      <c r="AI37237" s="80"/>
    </row>
    <row r="37238">
      <c r="AI37238" s="80"/>
    </row>
    <row r="37239">
      <c r="AI37239" s="80"/>
    </row>
    <row r="37240">
      <c r="AI37240" s="80"/>
    </row>
    <row r="37241">
      <c r="AI37241" s="80"/>
    </row>
    <row r="37242">
      <c r="AI37242" s="80"/>
    </row>
    <row r="37243">
      <c r="AI37243" s="80"/>
    </row>
    <row r="37244">
      <c r="AI37244" s="80"/>
    </row>
    <row r="37245">
      <c r="AI37245" s="80"/>
    </row>
    <row r="37246">
      <c r="AI37246" s="80"/>
    </row>
    <row r="37247">
      <c r="AI37247" s="80"/>
    </row>
    <row r="37248">
      <c r="AI37248" s="80"/>
    </row>
    <row r="37249">
      <c r="AI37249" s="80"/>
    </row>
    <row r="37250">
      <c r="AI37250" s="80"/>
    </row>
    <row r="37251">
      <c r="AI37251" s="80"/>
    </row>
    <row r="37252">
      <c r="AI37252" s="80"/>
    </row>
    <row r="37253">
      <c r="AI37253" s="80"/>
    </row>
    <row r="37254">
      <c r="AI37254" s="80"/>
    </row>
    <row r="37255">
      <c r="AI37255" s="80"/>
    </row>
    <row r="37256">
      <c r="AI37256" s="80"/>
    </row>
    <row r="37257">
      <c r="AI37257" s="80"/>
    </row>
    <row r="37258">
      <c r="AI37258" s="80"/>
    </row>
    <row r="37259">
      <c r="AI37259" s="80"/>
    </row>
    <row r="37260">
      <c r="AI37260" s="80"/>
    </row>
    <row r="37261">
      <c r="AI37261" s="80"/>
    </row>
    <row r="37262">
      <c r="AI37262" s="80"/>
    </row>
    <row r="37263">
      <c r="AI37263" s="80"/>
    </row>
    <row r="37264">
      <c r="AI37264" s="80"/>
    </row>
    <row r="37265">
      <c r="AI37265" s="80"/>
    </row>
    <row r="37266">
      <c r="AI37266" s="80"/>
    </row>
    <row r="37267">
      <c r="AI37267" s="80"/>
    </row>
    <row r="37268">
      <c r="AI37268" s="80"/>
    </row>
    <row r="37269">
      <c r="AI37269" s="80"/>
    </row>
    <row r="37270">
      <c r="AI37270" s="80"/>
    </row>
    <row r="37271">
      <c r="AI37271" s="80"/>
    </row>
    <row r="37272">
      <c r="AI37272" s="80"/>
    </row>
    <row r="37273">
      <c r="AI37273" s="80"/>
    </row>
    <row r="37274">
      <c r="AI37274" s="80"/>
    </row>
    <row r="37275">
      <c r="AI37275" s="80"/>
    </row>
    <row r="37276">
      <c r="AI37276" s="80"/>
    </row>
    <row r="37277">
      <c r="AI37277" s="80"/>
    </row>
    <row r="37278">
      <c r="AI37278" s="80"/>
    </row>
    <row r="37279">
      <c r="AI37279" s="80"/>
    </row>
    <row r="37280">
      <c r="AI37280" s="80"/>
    </row>
    <row r="37281">
      <c r="AI37281" s="80"/>
    </row>
    <row r="37282">
      <c r="AI37282" s="80"/>
    </row>
    <row r="37283">
      <c r="AI37283" s="80"/>
    </row>
    <row r="37284">
      <c r="AI37284" s="80"/>
    </row>
    <row r="37285">
      <c r="AI37285" s="80"/>
    </row>
    <row r="37286">
      <c r="AI37286" s="80"/>
    </row>
    <row r="37287">
      <c r="AI37287" s="80"/>
    </row>
    <row r="37288">
      <c r="AI37288" s="80"/>
    </row>
    <row r="37289">
      <c r="AI37289" s="80"/>
    </row>
    <row r="37290">
      <c r="AI37290" s="80"/>
    </row>
    <row r="37291">
      <c r="AI37291" s="80"/>
    </row>
    <row r="37292">
      <c r="AI37292" s="80"/>
    </row>
    <row r="37293">
      <c r="AI37293" s="80"/>
    </row>
    <row r="37294">
      <c r="AI37294" s="80"/>
    </row>
    <row r="37295">
      <c r="AI37295" s="80"/>
    </row>
    <row r="37296">
      <c r="AI37296" s="80"/>
    </row>
    <row r="37297">
      <c r="AI37297" s="80"/>
    </row>
    <row r="37298">
      <c r="AI37298" s="80"/>
    </row>
    <row r="37299">
      <c r="AI37299" s="80"/>
    </row>
    <row r="37300">
      <c r="AI37300" s="80"/>
    </row>
    <row r="37301">
      <c r="AI37301" s="80"/>
    </row>
    <row r="37302">
      <c r="AI37302" s="80"/>
    </row>
    <row r="37303">
      <c r="AI37303" s="80"/>
    </row>
    <row r="37304">
      <c r="AI37304" s="80"/>
    </row>
    <row r="37305">
      <c r="AI37305" s="80"/>
    </row>
    <row r="37306">
      <c r="AI37306" s="80"/>
    </row>
    <row r="37307">
      <c r="AI37307" s="80"/>
    </row>
    <row r="37308">
      <c r="AI37308" s="80"/>
    </row>
    <row r="37309">
      <c r="AI37309" s="80"/>
    </row>
    <row r="37310">
      <c r="AI37310" s="80"/>
    </row>
    <row r="37311">
      <c r="AI37311" s="80"/>
    </row>
    <row r="37312">
      <c r="AI37312" s="80"/>
    </row>
    <row r="37313">
      <c r="AI37313" s="80"/>
    </row>
    <row r="37314">
      <c r="AI37314" s="80"/>
    </row>
    <row r="37315">
      <c r="AI37315" s="80"/>
    </row>
    <row r="37316">
      <c r="AI37316" s="80"/>
    </row>
    <row r="37317">
      <c r="AI37317" s="80"/>
    </row>
    <row r="37318">
      <c r="AI37318" s="80"/>
    </row>
    <row r="37319">
      <c r="AI37319" s="80"/>
    </row>
    <row r="37320">
      <c r="AI37320" s="80"/>
    </row>
    <row r="37321">
      <c r="AI37321" s="80"/>
    </row>
    <row r="37322">
      <c r="AI37322" s="80"/>
    </row>
    <row r="37323">
      <c r="AI37323" s="80"/>
    </row>
    <row r="37324">
      <c r="AI37324" s="80"/>
    </row>
    <row r="37325">
      <c r="AI37325" s="80"/>
    </row>
    <row r="37326">
      <c r="AI37326" s="80"/>
    </row>
    <row r="37327">
      <c r="AI37327" s="80"/>
    </row>
    <row r="37328">
      <c r="AI37328" s="80"/>
    </row>
    <row r="37329">
      <c r="AI37329" s="80"/>
    </row>
    <row r="37330">
      <c r="AI37330" s="80"/>
    </row>
    <row r="37331">
      <c r="AI37331" s="80"/>
    </row>
    <row r="37332">
      <c r="AI37332" s="80"/>
    </row>
    <row r="37333">
      <c r="AI37333" s="80"/>
    </row>
    <row r="37334">
      <c r="AI37334" s="80"/>
    </row>
    <row r="37335">
      <c r="AI37335" s="80"/>
    </row>
    <row r="37336">
      <c r="AI37336" s="80"/>
    </row>
    <row r="37337">
      <c r="AI37337" s="80"/>
    </row>
    <row r="37338">
      <c r="AI37338" s="80"/>
    </row>
    <row r="37339">
      <c r="AI37339" s="80"/>
    </row>
    <row r="37340">
      <c r="AI37340" s="80"/>
    </row>
    <row r="37341">
      <c r="AI37341" s="80"/>
    </row>
    <row r="37342">
      <c r="AI37342" s="80"/>
    </row>
    <row r="37343">
      <c r="AI37343" s="80"/>
    </row>
    <row r="37344">
      <c r="AI37344" s="80"/>
    </row>
    <row r="37345">
      <c r="AI37345" s="80"/>
    </row>
    <row r="37346">
      <c r="AI37346" s="80"/>
    </row>
    <row r="37347">
      <c r="AI37347" s="80"/>
    </row>
    <row r="37348">
      <c r="AI37348" s="80"/>
    </row>
    <row r="37349">
      <c r="AI37349" s="80"/>
    </row>
    <row r="37350">
      <c r="AI37350" s="80"/>
    </row>
    <row r="37351">
      <c r="AI37351" s="80"/>
    </row>
    <row r="37352">
      <c r="AI37352" s="80"/>
    </row>
    <row r="37353">
      <c r="AI37353" s="80"/>
    </row>
    <row r="37354">
      <c r="AI37354" s="80"/>
    </row>
    <row r="37355">
      <c r="AI37355" s="80"/>
    </row>
    <row r="37356">
      <c r="AI37356" s="80"/>
    </row>
    <row r="37357">
      <c r="AI37357" s="80"/>
    </row>
    <row r="37358">
      <c r="AI37358" s="80"/>
    </row>
    <row r="37359">
      <c r="AI37359" s="80"/>
    </row>
    <row r="37360">
      <c r="AI37360" s="80"/>
    </row>
    <row r="37361">
      <c r="AI37361" s="80"/>
    </row>
    <row r="37362">
      <c r="AI37362" s="80"/>
    </row>
    <row r="37363">
      <c r="AI37363" s="80"/>
    </row>
    <row r="37364">
      <c r="AI37364" s="80"/>
    </row>
    <row r="37365">
      <c r="AI37365" s="80"/>
    </row>
    <row r="37366">
      <c r="AI37366" s="80"/>
    </row>
    <row r="37367">
      <c r="AI37367" s="80"/>
    </row>
    <row r="37368">
      <c r="AI37368" s="80"/>
    </row>
    <row r="37369">
      <c r="AI37369" s="80"/>
    </row>
    <row r="37370">
      <c r="AI37370" s="80"/>
    </row>
    <row r="37371">
      <c r="AI37371" s="80"/>
    </row>
    <row r="37372">
      <c r="AI37372" s="80"/>
    </row>
    <row r="37373">
      <c r="AI37373" s="80"/>
    </row>
    <row r="37374">
      <c r="AI37374" s="80"/>
    </row>
    <row r="37375">
      <c r="AI37375" s="80"/>
    </row>
    <row r="37376">
      <c r="AI37376" s="80"/>
    </row>
    <row r="37377">
      <c r="AI37377" s="80"/>
    </row>
    <row r="37378">
      <c r="AI37378" s="80"/>
    </row>
    <row r="37379">
      <c r="AI37379" s="80"/>
    </row>
    <row r="37380">
      <c r="AI37380" s="80"/>
    </row>
    <row r="37381">
      <c r="AI37381" s="80"/>
    </row>
    <row r="37382">
      <c r="AI37382" s="80"/>
    </row>
    <row r="37383">
      <c r="AI37383" s="80"/>
    </row>
    <row r="37384">
      <c r="AI37384" s="80"/>
    </row>
    <row r="37385">
      <c r="AI37385" s="80"/>
    </row>
    <row r="37386">
      <c r="AI37386" s="80"/>
    </row>
    <row r="37387">
      <c r="AI37387" s="80"/>
    </row>
    <row r="37388">
      <c r="AI37388" s="80"/>
    </row>
    <row r="37389">
      <c r="AI37389" s="80"/>
    </row>
    <row r="37390">
      <c r="AI37390" s="80"/>
    </row>
    <row r="37391">
      <c r="AI37391" s="80"/>
    </row>
    <row r="37392">
      <c r="AI37392" s="80"/>
    </row>
    <row r="37393">
      <c r="AI37393" s="80"/>
    </row>
    <row r="37394">
      <c r="AI37394" s="80"/>
    </row>
    <row r="37395">
      <c r="AI37395" s="80"/>
    </row>
    <row r="37396">
      <c r="AI37396" s="80"/>
    </row>
    <row r="37397">
      <c r="AI37397" s="80"/>
    </row>
    <row r="37398">
      <c r="AI37398" s="80"/>
    </row>
    <row r="37399">
      <c r="AI37399" s="80"/>
    </row>
    <row r="37400">
      <c r="AI37400" s="80"/>
    </row>
    <row r="37401">
      <c r="AI37401" s="80"/>
    </row>
    <row r="37402">
      <c r="AI37402" s="80"/>
    </row>
    <row r="37403">
      <c r="AI37403" s="80"/>
    </row>
    <row r="37404">
      <c r="AI37404" s="80"/>
    </row>
    <row r="37405">
      <c r="AI37405" s="80"/>
    </row>
    <row r="37406">
      <c r="AI37406" s="80"/>
    </row>
    <row r="37407">
      <c r="AI37407" s="80"/>
    </row>
    <row r="37408">
      <c r="AI37408" s="80"/>
    </row>
    <row r="37409">
      <c r="AI37409" s="80"/>
    </row>
    <row r="37410">
      <c r="AI37410" s="80"/>
    </row>
    <row r="37411">
      <c r="AI37411" s="80"/>
    </row>
    <row r="37412">
      <c r="AI37412" s="80"/>
    </row>
    <row r="37413">
      <c r="AI37413" s="80"/>
    </row>
    <row r="37414">
      <c r="AI37414" s="80"/>
    </row>
    <row r="37415">
      <c r="AI37415" s="80"/>
    </row>
    <row r="37416">
      <c r="AI37416" s="80"/>
    </row>
    <row r="37417">
      <c r="AI37417" s="80"/>
    </row>
    <row r="37418">
      <c r="AI37418" s="80"/>
    </row>
    <row r="37419">
      <c r="AI37419" s="80"/>
    </row>
    <row r="37420">
      <c r="AI37420" s="80"/>
    </row>
    <row r="37421">
      <c r="AI37421" s="80"/>
    </row>
    <row r="37422">
      <c r="AI37422" s="80"/>
    </row>
    <row r="37423">
      <c r="AI37423" s="80"/>
    </row>
    <row r="37424">
      <c r="AI37424" s="80"/>
    </row>
    <row r="37425">
      <c r="AI37425" s="80"/>
    </row>
    <row r="37426">
      <c r="AI37426" s="80"/>
    </row>
    <row r="37427">
      <c r="AI37427" s="80"/>
    </row>
    <row r="37428">
      <c r="AI37428" s="80"/>
    </row>
    <row r="37429">
      <c r="AI37429" s="80"/>
    </row>
    <row r="37430">
      <c r="AI37430" s="80"/>
    </row>
    <row r="37431">
      <c r="AI37431" s="80"/>
    </row>
    <row r="37432">
      <c r="AI37432" s="80"/>
    </row>
    <row r="37433">
      <c r="AI37433" s="80"/>
    </row>
    <row r="37434">
      <c r="AI37434" s="80"/>
    </row>
    <row r="37435">
      <c r="AI37435" s="80"/>
    </row>
    <row r="37436">
      <c r="AI37436" s="80"/>
    </row>
    <row r="37437">
      <c r="AI37437" s="80"/>
    </row>
    <row r="37438">
      <c r="AI37438" s="80"/>
    </row>
    <row r="37439">
      <c r="AI37439" s="80"/>
    </row>
    <row r="37440">
      <c r="AI37440" s="80"/>
    </row>
    <row r="37441">
      <c r="AI37441" s="80"/>
    </row>
    <row r="37442">
      <c r="AI37442" s="80"/>
    </row>
    <row r="37443">
      <c r="AI37443" s="80"/>
    </row>
    <row r="37444">
      <c r="AI37444" s="80"/>
    </row>
    <row r="37445">
      <c r="AI37445" s="80"/>
    </row>
    <row r="37446">
      <c r="AI37446" s="80"/>
    </row>
    <row r="37447">
      <c r="AI37447" s="80"/>
    </row>
    <row r="37448">
      <c r="AI37448" s="80"/>
    </row>
    <row r="37449">
      <c r="AI37449" s="80"/>
    </row>
    <row r="37450">
      <c r="AI37450" s="80"/>
    </row>
    <row r="37451">
      <c r="AI37451" s="80"/>
    </row>
    <row r="37452">
      <c r="AI37452" s="80"/>
    </row>
    <row r="37453">
      <c r="AI37453" s="80"/>
    </row>
    <row r="37454">
      <c r="AI37454" s="80"/>
    </row>
    <row r="37455">
      <c r="AI37455" s="80"/>
    </row>
    <row r="37456">
      <c r="AI37456" s="80"/>
    </row>
    <row r="37457">
      <c r="AI37457" s="80"/>
    </row>
    <row r="37458">
      <c r="AI37458" s="80"/>
    </row>
    <row r="37459">
      <c r="AI37459" s="80"/>
    </row>
    <row r="37460">
      <c r="AI37460" s="80"/>
    </row>
    <row r="37461">
      <c r="AI37461" s="80"/>
    </row>
    <row r="37462">
      <c r="AI37462" s="80"/>
    </row>
    <row r="37463">
      <c r="AI37463" s="80"/>
    </row>
    <row r="37464">
      <c r="AI37464" s="80"/>
    </row>
    <row r="37465">
      <c r="AI37465" s="80"/>
    </row>
    <row r="37466">
      <c r="AI37466" s="80"/>
    </row>
    <row r="37467">
      <c r="AI37467" s="80"/>
    </row>
    <row r="37468">
      <c r="AI37468" s="80"/>
    </row>
    <row r="37469">
      <c r="AI37469" s="80"/>
    </row>
    <row r="37470">
      <c r="AI37470" s="80"/>
    </row>
    <row r="37471">
      <c r="AI37471" s="80"/>
    </row>
    <row r="37472">
      <c r="AI37472" s="80"/>
    </row>
    <row r="37473">
      <c r="AI37473" s="80"/>
    </row>
    <row r="37474">
      <c r="AI37474" s="80"/>
    </row>
    <row r="37475">
      <c r="AI37475" s="80"/>
    </row>
    <row r="37476">
      <c r="AI37476" s="80"/>
    </row>
    <row r="37477">
      <c r="AI37477" s="80"/>
    </row>
    <row r="37478">
      <c r="AI37478" s="80"/>
    </row>
    <row r="37479">
      <c r="AI37479" s="80"/>
    </row>
    <row r="37480">
      <c r="AI37480" s="80"/>
    </row>
    <row r="37481">
      <c r="AI37481" s="80"/>
    </row>
    <row r="37482">
      <c r="AI37482" s="80"/>
    </row>
    <row r="37483">
      <c r="AI37483" s="80"/>
    </row>
    <row r="37484">
      <c r="AI37484" s="80"/>
    </row>
    <row r="37485">
      <c r="AI37485" s="80"/>
    </row>
    <row r="37486">
      <c r="AI37486" s="80"/>
    </row>
    <row r="37487">
      <c r="AI37487" s="80"/>
    </row>
    <row r="37488">
      <c r="AI37488" s="80"/>
    </row>
    <row r="37489">
      <c r="AI37489" s="80"/>
    </row>
    <row r="37490">
      <c r="AI37490" s="80"/>
    </row>
    <row r="37491">
      <c r="AI37491" s="80"/>
    </row>
    <row r="37492">
      <c r="AI37492" s="80"/>
    </row>
    <row r="37493">
      <c r="AI37493" s="80"/>
    </row>
    <row r="37494">
      <c r="AI37494" s="80"/>
    </row>
    <row r="37495">
      <c r="AI37495" s="80"/>
    </row>
    <row r="37496">
      <c r="AI37496" s="80"/>
    </row>
    <row r="37497">
      <c r="AI37497" s="80"/>
    </row>
    <row r="37498">
      <c r="AI37498" s="80"/>
    </row>
    <row r="37499">
      <c r="AI37499" s="80"/>
    </row>
    <row r="37500">
      <c r="AI37500" s="80"/>
    </row>
    <row r="37501">
      <c r="AI37501" s="80"/>
    </row>
    <row r="37502">
      <c r="AI37502" s="80"/>
    </row>
    <row r="37503">
      <c r="AI37503" s="80"/>
    </row>
    <row r="37504">
      <c r="AI37504" s="80"/>
    </row>
    <row r="37505">
      <c r="AI37505" s="80"/>
    </row>
    <row r="37506">
      <c r="AI37506" s="80"/>
    </row>
    <row r="37507">
      <c r="AI37507" s="80"/>
    </row>
    <row r="37508">
      <c r="AI37508" s="80"/>
    </row>
    <row r="37509">
      <c r="AI37509" s="80"/>
    </row>
    <row r="37510">
      <c r="AI37510" s="80"/>
    </row>
    <row r="37511">
      <c r="AI37511" s="80"/>
    </row>
    <row r="37512">
      <c r="AI37512" s="80"/>
    </row>
    <row r="37513">
      <c r="AI37513" s="80"/>
    </row>
    <row r="37514">
      <c r="AI37514" s="80"/>
    </row>
    <row r="37515">
      <c r="AI37515" s="80"/>
    </row>
    <row r="37516">
      <c r="AI37516" s="80"/>
    </row>
    <row r="37517">
      <c r="AI37517" s="80"/>
    </row>
    <row r="37518">
      <c r="AI37518" s="80"/>
    </row>
    <row r="37519">
      <c r="AI37519" s="80"/>
    </row>
    <row r="37520">
      <c r="AI37520" s="80"/>
    </row>
    <row r="37521">
      <c r="AI37521" s="80"/>
    </row>
    <row r="37522">
      <c r="AI37522" s="80"/>
    </row>
    <row r="37523">
      <c r="AI37523" s="80"/>
    </row>
    <row r="37524">
      <c r="AI37524" s="80"/>
    </row>
    <row r="37525">
      <c r="AI37525" s="80"/>
    </row>
    <row r="37526">
      <c r="AI37526" s="80"/>
    </row>
    <row r="37527">
      <c r="AI37527" s="80"/>
    </row>
    <row r="37528">
      <c r="AI37528" s="80"/>
    </row>
    <row r="37529">
      <c r="AI37529" s="80"/>
    </row>
    <row r="37530">
      <c r="AI37530" s="80"/>
    </row>
    <row r="37531">
      <c r="AI37531" s="80"/>
    </row>
    <row r="37532">
      <c r="AI37532" s="80"/>
    </row>
    <row r="37533">
      <c r="AI37533" s="80"/>
    </row>
    <row r="37534">
      <c r="AI37534" s="80"/>
    </row>
    <row r="37535">
      <c r="AI37535" s="80"/>
    </row>
    <row r="37536">
      <c r="AI37536" s="80"/>
    </row>
    <row r="37537">
      <c r="AI37537" s="80"/>
    </row>
    <row r="37538">
      <c r="AI37538" s="80"/>
    </row>
    <row r="37539">
      <c r="AI37539" s="80"/>
    </row>
    <row r="37540">
      <c r="AI37540" s="80"/>
    </row>
    <row r="37541">
      <c r="AI37541" s="80"/>
    </row>
    <row r="37542">
      <c r="AI37542" s="80"/>
    </row>
    <row r="37543">
      <c r="AI37543" s="80"/>
    </row>
    <row r="37544">
      <c r="AI37544" s="80"/>
    </row>
    <row r="37545">
      <c r="AI37545" s="80"/>
    </row>
    <row r="37546">
      <c r="AI37546" s="80"/>
    </row>
    <row r="37547">
      <c r="AI37547" s="80"/>
    </row>
    <row r="37548">
      <c r="AI37548" s="80"/>
    </row>
    <row r="37549">
      <c r="AI37549" s="80"/>
    </row>
    <row r="37550">
      <c r="AI37550" s="80"/>
    </row>
    <row r="37551">
      <c r="AI37551" s="80"/>
    </row>
    <row r="37552">
      <c r="AI37552" s="80"/>
    </row>
    <row r="37553">
      <c r="AI37553" s="80"/>
    </row>
    <row r="37554">
      <c r="AI37554" s="80"/>
    </row>
    <row r="37555">
      <c r="AI37555" s="80"/>
    </row>
    <row r="37556">
      <c r="AI37556" s="80"/>
    </row>
    <row r="37557">
      <c r="AI37557" s="80"/>
    </row>
    <row r="37558">
      <c r="AI37558" s="80"/>
    </row>
    <row r="37559">
      <c r="AI37559" s="80"/>
    </row>
    <row r="37560">
      <c r="AI37560" s="80"/>
    </row>
    <row r="37561">
      <c r="AI37561" s="80"/>
    </row>
    <row r="37562">
      <c r="AI37562" s="80"/>
    </row>
    <row r="37563">
      <c r="AI37563" s="80"/>
    </row>
    <row r="37564">
      <c r="AI37564" s="80"/>
    </row>
    <row r="37565">
      <c r="AI37565" s="80"/>
    </row>
    <row r="37566">
      <c r="AI37566" s="80"/>
    </row>
    <row r="37567">
      <c r="AI37567" s="80"/>
    </row>
    <row r="37568">
      <c r="AI37568" s="80"/>
    </row>
    <row r="37569">
      <c r="AI37569" s="80"/>
    </row>
    <row r="37570">
      <c r="AI37570" s="80"/>
    </row>
    <row r="37571">
      <c r="AI37571" s="80"/>
    </row>
    <row r="37572">
      <c r="AI37572" s="80"/>
    </row>
    <row r="37573">
      <c r="AI37573" s="80"/>
    </row>
    <row r="37574">
      <c r="AI37574" s="80"/>
    </row>
    <row r="37575">
      <c r="AI37575" s="80"/>
    </row>
    <row r="37576">
      <c r="AI37576" s="80"/>
    </row>
    <row r="37577">
      <c r="AI37577" s="80"/>
    </row>
    <row r="37578">
      <c r="AI37578" s="80"/>
    </row>
    <row r="37579">
      <c r="AI37579" s="80"/>
    </row>
    <row r="37580">
      <c r="AI37580" s="80"/>
    </row>
    <row r="37581">
      <c r="AI37581" s="80"/>
    </row>
    <row r="37582">
      <c r="AI37582" s="80"/>
    </row>
    <row r="37583">
      <c r="AI37583" s="80"/>
    </row>
    <row r="37584">
      <c r="AI37584" s="80"/>
    </row>
    <row r="37585">
      <c r="AI37585" s="80"/>
    </row>
    <row r="37586">
      <c r="AI37586" s="80"/>
    </row>
    <row r="37587">
      <c r="AI37587" s="80"/>
    </row>
    <row r="37588">
      <c r="AI37588" s="80"/>
    </row>
    <row r="37589">
      <c r="AI37589" s="80"/>
    </row>
    <row r="37590">
      <c r="AI37590" s="80"/>
    </row>
    <row r="37591">
      <c r="AI37591" s="80"/>
    </row>
    <row r="37592">
      <c r="AI37592" s="80"/>
    </row>
    <row r="37593">
      <c r="AI37593" s="80"/>
    </row>
    <row r="37594">
      <c r="AI37594" s="80"/>
    </row>
    <row r="37595">
      <c r="AI37595" s="80"/>
    </row>
    <row r="37596">
      <c r="AI37596" s="80"/>
    </row>
    <row r="37597">
      <c r="AI37597" s="80"/>
    </row>
    <row r="37598">
      <c r="AI37598" s="80"/>
    </row>
    <row r="37599">
      <c r="AI37599" s="80"/>
    </row>
    <row r="37600">
      <c r="AI37600" s="80"/>
    </row>
    <row r="37601">
      <c r="AI37601" s="80"/>
    </row>
    <row r="37602">
      <c r="AI37602" s="80"/>
    </row>
    <row r="37603">
      <c r="AI37603" s="80"/>
    </row>
    <row r="37604">
      <c r="AI37604" s="80"/>
    </row>
    <row r="37605">
      <c r="AI37605" s="80"/>
    </row>
    <row r="37606">
      <c r="AI37606" s="80"/>
    </row>
    <row r="37607">
      <c r="AI37607" s="80"/>
    </row>
    <row r="37608">
      <c r="AI37608" s="80"/>
    </row>
    <row r="37609">
      <c r="AI37609" s="80"/>
    </row>
    <row r="37610">
      <c r="AI37610" s="80"/>
    </row>
    <row r="37611">
      <c r="AI37611" s="80"/>
    </row>
    <row r="37612">
      <c r="AI37612" s="80"/>
    </row>
    <row r="37613">
      <c r="AI37613" s="80"/>
    </row>
    <row r="37614">
      <c r="AI37614" s="80"/>
    </row>
    <row r="37615">
      <c r="AI37615" s="80"/>
    </row>
    <row r="37616">
      <c r="AI37616" s="80"/>
    </row>
    <row r="37617">
      <c r="AI37617" s="80"/>
    </row>
    <row r="37618">
      <c r="AI37618" s="80"/>
    </row>
    <row r="37619">
      <c r="AI37619" s="80"/>
    </row>
    <row r="37620">
      <c r="AI37620" s="80"/>
    </row>
    <row r="37621">
      <c r="AI37621" s="80"/>
    </row>
    <row r="37622">
      <c r="AI37622" s="80"/>
    </row>
    <row r="37623">
      <c r="AI37623" s="80"/>
    </row>
    <row r="37624">
      <c r="AI37624" s="80"/>
    </row>
    <row r="37625">
      <c r="AI37625" s="80"/>
    </row>
    <row r="37626">
      <c r="AI37626" s="80"/>
    </row>
    <row r="37627">
      <c r="AI37627" s="80"/>
    </row>
    <row r="37628">
      <c r="AI37628" s="80"/>
    </row>
    <row r="37629">
      <c r="AI37629" s="80"/>
    </row>
    <row r="37630">
      <c r="AI37630" s="80"/>
    </row>
    <row r="37631">
      <c r="AI37631" s="80"/>
    </row>
    <row r="37632">
      <c r="AI37632" s="80"/>
    </row>
    <row r="37633">
      <c r="AI37633" s="80"/>
    </row>
    <row r="37634">
      <c r="AI37634" s="80"/>
    </row>
    <row r="37635">
      <c r="AI37635" s="80"/>
    </row>
    <row r="37636">
      <c r="AI37636" s="80"/>
    </row>
    <row r="37637">
      <c r="AI37637" s="80"/>
    </row>
    <row r="37638">
      <c r="AI37638" s="80"/>
    </row>
    <row r="37639">
      <c r="AI37639" s="80"/>
    </row>
    <row r="37640">
      <c r="AI37640" s="80"/>
    </row>
    <row r="37641">
      <c r="AI37641" s="80"/>
    </row>
    <row r="37642">
      <c r="AI37642" s="80"/>
    </row>
    <row r="37643">
      <c r="AI37643" s="80"/>
    </row>
    <row r="37644">
      <c r="AI37644" s="80"/>
    </row>
    <row r="37645">
      <c r="AI37645" s="80"/>
    </row>
    <row r="37646">
      <c r="AI37646" s="80"/>
    </row>
    <row r="37647">
      <c r="AI37647" s="80"/>
    </row>
    <row r="37648">
      <c r="AI37648" s="80"/>
    </row>
    <row r="37649">
      <c r="AI37649" s="80"/>
    </row>
    <row r="37650">
      <c r="AI37650" s="80"/>
    </row>
    <row r="37651">
      <c r="AI37651" s="80"/>
    </row>
    <row r="37652">
      <c r="AI37652" s="80"/>
    </row>
    <row r="37653">
      <c r="AI37653" s="80"/>
    </row>
    <row r="37654">
      <c r="AI37654" s="80"/>
    </row>
    <row r="37655">
      <c r="AI37655" s="80"/>
    </row>
    <row r="37656">
      <c r="AI37656" s="80"/>
    </row>
    <row r="37657">
      <c r="AI37657" s="80"/>
    </row>
    <row r="37658">
      <c r="AI37658" s="80"/>
    </row>
    <row r="37659">
      <c r="AI37659" s="80"/>
    </row>
    <row r="37660">
      <c r="AI37660" s="80"/>
    </row>
    <row r="37661">
      <c r="AI37661" s="80"/>
    </row>
    <row r="37662">
      <c r="AI37662" s="80"/>
    </row>
    <row r="37663">
      <c r="AI37663" s="80"/>
    </row>
    <row r="37664">
      <c r="AI37664" s="80"/>
    </row>
    <row r="37665">
      <c r="AI37665" s="80"/>
    </row>
    <row r="37666">
      <c r="AI37666" s="80"/>
    </row>
    <row r="37667">
      <c r="AI37667" s="80"/>
    </row>
    <row r="37668">
      <c r="AI37668" s="80"/>
    </row>
    <row r="37669">
      <c r="AI37669" s="80"/>
    </row>
    <row r="37670">
      <c r="AI37670" s="80"/>
    </row>
    <row r="37671">
      <c r="AI37671" s="80"/>
    </row>
    <row r="37672">
      <c r="AI37672" s="80"/>
    </row>
    <row r="37673">
      <c r="AI37673" s="80"/>
    </row>
    <row r="37674">
      <c r="AI37674" s="80"/>
    </row>
    <row r="37675">
      <c r="AI37675" s="80"/>
    </row>
    <row r="37676">
      <c r="AI37676" s="80"/>
    </row>
    <row r="37677">
      <c r="AI37677" s="80"/>
    </row>
    <row r="37678">
      <c r="AI37678" s="80"/>
    </row>
    <row r="37679">
      <c r="AI37679" s="80"/>
    </row>
    <row r="37680">
      <c r="AI37680" s="80"/>
    </row>
    <row r="37681">
      <c r="AI37681" s="80"/>
    </row>
    <row r="37682">
      <c r="AI37682" s="80"/>
    </row>
    <row r="37683">
      <c r="AI37683" s="80"/>
    </row>
    <row r="37684">
      <c r="AI37684" s="80"/>
    </row>
    <row r="37685">
      <c r="AI37685" s="80"/>
    </row>
    <row r="37686">
      <c r="AI37686" s="80"/>
    </row>
    <row r="37687">
      <c r="AI37687" s="80"/>
    </row>
    <row r="37688">
      <c r="AI37688" s="80"/>
    </row>
    <row r="37689">
      <c r="AI37689" s="80"/>
    </row>
    <row r="37690">
      <c r="AI37690" s="80"/>
    </row>
    <row r="37691">
      <c r="AI37691" s="80"/>
    </row>
    <row r="37692">
      <c r="AI37692" s="80"/>
    </row>
    <row r="37693">
      <c r="AI37693" s="80"/>
    </row>
    <row r="37694">
      <c r="AI37694" s="80"/>
    </row>
    <row r="37695">
      <c r="AI37695" s="80"/>
    </row>
    <row r="37696">
      <c r="AI37696" s="80"/>
    </row>
    <row r="37697">
      <c r="AI37697" s="80"/>
    </row>
    <row r="37698">
      <c r="AI37698" s="80"/>
    </row>
    <row r="37699">
      <c r="AI37699" s="80"/>
    </row>
    <row r="37700">
      <c r="AI37700" s="80"/>
    </row>
    <row r="37701">
      <c r="AI37701" s="80"/>
    </row>
    <row r="37702">
      <c r="AI37702" s="80"/>
    </row>
    <row r="37703">
      <c r="AI37703" s="80"/>
    </row>
    <row r="37704">
      <c r="AI37704" s="80"/>
    </row>
    <row r="37705">
      <c r="AI37705" s="80"/>
    </row>
    <row r="37706">
      <c r="AI37706" s="80"/>
    </row>
    <row r="37707">
      <c r="AI37707" s="80"/>
    </row>
    <row r="37708">
      <c r="AI37708" s="80"/>
    </row>
    <row r="37709">
      <c r="AI37709" s="80"/>
    </row>
    <row r="37710">
      <c r="AI37710" s="80"/>
    </row>
    <row r="37711">
      <c r="AI37711" s="80"/>
    </row>
    <row r="37712">
      <c r="AI37712" s="80"/>
    </row>
    <row r="37713">
      <c r="AI37713" s="80"/>
    </row>
    <row r="37714">
      <c r="AI37714" s="80"/>
    </row>
    <row r="37715">
      <c r="AI37715" s="80"/>
    </row>
    <row r="37716">
      <c r="AI37716" s="80"/>
    </row>
    <row r="37717">
      <c r="AI37717" s="80"/>
    </row>
    <row r="37718">
      <c r="AI37718" s="80"/>
    </row>
    <row r="37719">
      <c r="AI37719" s="80"/>
    </row>
    <row r="37720">
      <c r="AI37720" s="80"/>
    </row>
    <row r="37721">
      <c r="AI37721" s="80"/>
    </row>
    <row r="37722">
      <c r="AI37722" s="80"/>
    </row>
    <row r="37723">
      <c r="AI37723" s="80"/>
    </row>
    <row r="37724">
      <c r="AI37724" s="80"/>
    </row>
    <row r="37725">
      <c r="AI37725" s="80"/>
    </row>
    <row r="37726">
      <c r="AI37726" s="80"/>
    </row>
    <row r="37727">
      <c r="AI37727" s="80"/>
    </row>
    <row r="37728">
      <c r="AI37728" s="80"/>
    </row>
    <row r="37729">
      <c r="AI37729" s="80"/>
    </row>
    <row r="37730">
      <c r="AI37730" s="80"/>
    </row>
    <row r="37731">
      <c r="AI37731" s="80"/>
    </row>
    <row r="37732">
      <c r="AI37732" s="80"/>
    </row>
    <row r="37733">
      <c r="AI37733" s="80"/>
    </row>
    <row r="37734">
      <c r="AI37734" s="80"/>
    </row>
    <row r="37735">
      <c r="AI37735" s="80"/>
    </row>
    <row r="37736">
      <c r="AI37736" s="80"/>
    </row>
    <row r="37737">
      <c r="AI37737" s="80"/>
    </row>
    <row r="37738">
      <c r="AI37738" s="80"/>
    </row>
    <row r="37739">
      <c r="AI37739" s="80"/>
    </row>
    <row r="37740">
      <c r="AI37740" s="80"/>
    </row>
    <row r="37741">
      <c r="AI37741" s="80"/>
    </row>
    <row r="37742">
      <c r="AI37742" s="80"/>
    </row>
    <row r="37743">
      <c r="AI37743" s="80"/>
    </row>
    <row r="37744">
      <c r="AI37744" s="80"/>
    </row>
    <row r="37745">
      <c r="AI37745" s="80"/>
    </row>
    <row r="37746">
      <c r="AI37746" s="80"/>
    </row>
    <row r="37747">
      <c r="AI37747" s="80"/>
    </row>
    <row r="37748">
      <c r="AI37748" s="80"/>
    </row>
    <row r="37749">
      <c r="AI37749" s="80"/>
    </row>
    <row r="37750">
      <c r="AI37750" s="80"/>
    </row>
    <row r="37751">
      <c r="AI37751" s="80"/>
    </row>
    <row r="37752">
      <c r="AI37752" s="80"/>
    </row>
    <row r="37753">
      <c r="AI37753" s="80"/>
    </row>
    <row r="37754">
      <c r="AI37754" s="80"/>
    </row>
    <row r="37755">
      <c r="AI37755" s="80"/>
    </row>
    <row r="37756">
      <c r="AI37756" s="80"/>
    </row>
    <row r="37757">
      <c r="AI37757" s="80"/>
    </row>
    <row r="37758">
      <c r="AI37758" s="80"/>
    </row>
    <row r="37759">
      <c r="AI37759" s="80"/>
    </row>
    <row r="37760">
      <c r="AI37760" s="80"/>
    </row>
    <row r="37761">
      <c r="AI37761" s="80"/>
    </row>
    <row r="37762">
      <c r="AI37762" s="80"/>
    </row>
    <row r="37763">
      <c r="AI37763" s="80"/>
    </row>
    <row r="37764">
      <c r="AI37764" s="80"/>
    </row>
    <row r="37765">
      <c r="AI37765" s="80"/>
    </row>
    <row r="37766">
      <c r="AI37766" s="80"/>
    </row>
    <row r="37767">
      <c r="AI37767" s="80"/>
    </row>
    <row r="37768">
      <c r="AI37768" s="80"/>
    </row>
    <row r="37769">
      <c r="AI37769" s="80"/>
    </row>
    <row r="37770">
      <c r="AI37770" s="80"/>
    </row>
    <row r="37771">
      <c r="AI37771" s="80"/>
    </row>
    <row r="37772">
      <c r="AI37772" s="80"/>
    </row>
    <row r="37773">
      <c r="AI37773" s="80"/>
    </row>
    <row r="37774">
      <c r="AI37774" s="80"/>
    </row>
    <row r="37775">
      <c r="AI37775" s="80"/>
    </row>
    <row r="37776">
      <c r="AI37776" s="80"/>
    </row>
    <row r="37777">
      <c r="AI37777" s="80"/>
    </row>
    <row r="37778">
      <c r="AI37778" s="80"/>
    </row>
    <row r="37779">
      <c r="AI37779" s="80"/>
    </row>
    <row r="37780">
      <c r="AI37780" s="80"/>
    </row>
    <row r="37781">
      <c r="AI37781" s="80"/>
    </row>
    <row r="37782">
      <c r="AI37782" s="80"/>
    </row>
    <row r="37783">
      <c r="AI37783" s="80"/>
    </row>
    <row r="37784">
      <c r="AI37784" s="80"/>
    </row>
    <row r="37785">
      <c r="AI37785" s="80"/>
    </row>
    <row r="37786">
      <c r="AI37786" s="80"/>
    </row>
    <row r="37787">
      <c r="AI37787" s="80"/>
    </row>
    <row r="37788">
      <c r="AI37788" s="80"/>
    </row>
    <row r="37789">
      <c r="AI37789" s="80"/>
    </row>
    <row r="37790">
      <c r="AI37790" s="80"/>
    </row>
    <row r="37791">
      <c r="AI37791" s="80"/>
    </row>
    <row r="37792">
      <c r="AI37792" s="80"/>
    </row>
    <row r="37793">
      <c r="AI37793" s="80"/>
    </row>
    <row r="37794">
      <c r="AI37794" s="80"/>
    </row>
    <row r="37795">
      <c r="AI37795" s="80"/>
    </row>
    <row r="37796">
      <c r="AI37796" s="80"/>
    </row>
    <row r="37797">
      <c r="AI37797" s="80"/>
    </row>
    <row r="37798">
      <c r="AI37798" s="80"/>
    </row>
    <row r="37799">
      <c r="AI37799" s="80"/>
    </row>
    <row r="37800">
      <c r="AI37800" s="80"/>
    </row>
    <row r="37801">
      <c r="AI37801" s="80"/>
    </row>
    <row r="37802">
      <c r="AI37802" s="80"/>
    </row>
    <row r="37803">
      <c r="AI37803" s="80"/>
    </row>
    <row r="37804">
      <c r="AI37804" s="80"/>
    </row>
    <row r="37805">
      <c r="AI37805" s="80"/>
    </row>
    <row r="37806">
      <c r="AI37806" s="80"/>
    </row>
    <row r="37807">
      <c r="AI37807" s="80"/>
    </row>
    <row r="37808">
      <c r="AI37808" s="80"/>
    </row>
    <row r="37809">
      <c r="AI37809" s="80"/>
    </row>
    <row r="37810">
      <c r="AI37810" s="80"/>
    </row>
    <row r="37811">
      <c r="AI37811" s="80"/>
    </row>
    <row r="37812">
      <c r="AI37812" s="80"/>
    </row>
    <row r="37813">
      <c r="AI37813" s="80"/>
    </row>
    <row r="37814">
      <c r="AI37814" s="80"/>
    </row>
    <row r="37815">
      <c r="AI37815" s="80"/>
    </row>
    <row r="37816">
      <c r="AI37816" s="80"/>
    </row>
    <row r="37817">
      <c r="AI37817" s="80"/>
    </row>
    <row r="37818">
      <c r="AI37818" s="80"/>
    </row>
    <row r="37819">
      <c r="AI37819" s="80"/>
    </row>
    <row r="37820">
      <c r="AI37820" s="80"/>
    </row>
    <row r="37821">
      <c r="AI37821" s="80"/>
    </row>
    <row r="37822">
      <c r="AI37822" s="80"/>
    </row>
    <row r="37823">
      <c r="AI37823" s="80"/>
    </row>
    <row r="37824">
      <c r="AI37824" s="80"/>
    </row>
    <row r="37825">
      <c r="AI37825" s="80"/>
    </row>
    <row r="37826">
      <c r="AI37826" s="80"/>
    </row>
    <row r="37827">
      <c r="AI37827" s="80"/>
    </row>
    <row r="37828">
      <c r="AI37828" s="80"/>
    </row>
    <row r="37829">
      <c r="AI37829" s="80"/>
    </row>
    <row r="37830">
      <c r="AI37830" s="80"/>
    </row>
    <row r="37831">
      <c r="AI37831" s="80"/>
    </row>
    <row r="37832">
      <c r="AI37832" s="80"/>
    </row>
    <row r="37833">
      <c r="AI37833" s="80"/>
    </row>
    <row r="37834">
      <c r="AI37834" s="80"/>
    </row>
    <row r="37835">
      <c r="AI37835" s="80"/>
    </row>
    <row r="37836">
      <c r="AI37836" s="80"/>
    </row>
    <row r="37837">
      <c r="AI37837" s="80"/>
    </row>
    <row r="37838">
      <c r="AI37838" s="80"/>
    </row>
    <row r="37839">
      <c r="AI37839" s="80"/>
    </row>
    <row r="37840">
      <c r="AI37840" s="80"/>
    </row>
    <row r="37841">
      <c r="AI37841" s="80"/>
    </row>
    <row r="37842">
      <c r="AI37842" s="80"/>
    </row>
    <row r="37843">
      <c r="AI37843" s="80"/>
    </row>
    <row r="37844">
      <c r="AI37844" s="80"/>
    </row>
    <row r="37845">
      <c r="AI37845" s="80"/>
    </row>
    <row r="37846">
      <c r="AI37846" s="80"/>
    </row>
    <row r="37847">
      <c r="AI37847" s="80"/>
    </row>
    <row r="37848">
      <c r="AI37848" s="80"/>
    </row>
    <row r="37849">
      <c r="AI37849" s="80"/>
    </row>
    <row r="37850">
      <c r="AI37850" s="80"/>
    </row>
    <row r="37851">
      <c r="AI37851" s="80"/>
    </row>
    <row r="37852">
      <c r="AI37852" s="80"/>
    </row>
    <row r="37853">
      <c r="AI37853" s="80"/>
    </row>
    <row r="37854">
      <c r="AI37854" s="80"/>
    </row>
    <row r="37855">
      <c r="AI37855" s="80"/>
    </row>
    <row r="37856">
      <c r="AI37856" s="80"/>
    </row>
    <row r="37857">
      <c r="AI37857" s="80"/>
    </row>
    <row r="37858">
      <c r="AI37858" s="80"/>
    </row>
    <row r="37859">
      <c r="AI37859" s="80"/>
    </row>
    <row r="37860">
      <c r="AI37860" s="80"/>
    </row>
    <row r="37861">
      <c r="AI37861" s="80"/>
    </row>
    <row r="37862">
      <c r="AI37862" s="80"/>
    </row>
    <row r="37863">
      <c r="AI37863" s="80"/>
    </row>
    <row r="37864">
      <c r="AI37864" s="80"/>
    </row>
    <row r="37865">
      <c r="AI37865" s="80"/>
    </row>
    <row r="37866">
      <c r="AI37866" s="80"/>
    </row>
    <row r="37867">
      <c r="AI37867" s="80"/>
    </row>
    <row r="37868">
      <c r="AI37868" s="80"/>
    </row>
    <row r="37869">
      <c r="AI37869" s="80"/>
    </row>
    <row r="37870">
      <c r="AI37870" s="80"/>
    </row>
    <row r="37871">
      <c r="AI37871" s="80"/>
    </row>
    <row r="37872">
      <c r="AI37872" s="80"/>
    </row>
    <row r="37873">
      <c r="AI37873" s="80"/>
    </row>
    <row r="37874">
      <c r="AI37874" s="80"/>
    </row>
    <row r="37875">
      <c r="AI37875" s="80"/>
    </row>
    <row r="37876">
      <c r="AI37876" s="80"/>
    </row>
    <row r="37877">
      <c r="AI37877" s="80"/>
    </row>
    <row r="37878">
      <c r="AI37878" s="80"/>
    </row>
    <row r="37879">
      <c r="AI37879" s="80"/>
    </row>
    <row r="37880">
      <c r="AI37880" s="80"/>
    </row>
    <row r="37881">
      <c r="AI37881" s="80"/>
    </row>
    <row r="37882">
      <c r="AI37882" s="80"/>
    </row>
    <row r="37883">
      <c r="AI37883" s="80"/>
    </row>
    <row r="37884">
      <c r="AI37884" s="80"/>
    </row>
    <row r="37885">
      <c r="AI37885" s="80"/>
    </row>
    <row r="37886">
      <c r="AI37886" s="80"/>
    </row>
    <row r="37887">
      <c r="AI37887" s="80"/>
    </row>
    <row r="37888">
      <c r="AI37888" s="80"/>
    </row>
    <row r="37889">
      <c r="AI37889" s="80"/>
    </row>
    <row r="37890">
      <c r="AI37890" s="80"/>
    </row>
    <row r="37891">
      <c r="AI37891" s="80"/>
    </row>
    <row r="37892">
      <c r="AI37892" s="80"/>
    </row>
    <row r="37893">
      <c r="AI37893" s="80"/>
    </row>
    <row r="37894">
      <c r="AI37894" s="80"/>
    </row>
    <row r="37895">
      <c r="AI37895" s="80"/>
    </row>
    <row r="37896">
      <c r="AI37896" s="80"/>
    </row>
    <row r="37897">
      <c r="AI37897" s="80"/>
    </row>
    <row r="37898">
      <c r="AI37898" s="80"/>
    </row>
    <row r="37899">
      <c r="AI37899" s="80"/>
    </row>
    <row r="37900">
      <c r="AI37900" s="80"/>
    </row>
    <row r="37901">
      <c r="AI37901" s="80"/>
    </row>
    <row r="37902">
      <c r="AI37902" s="80"/>
    </row>
    <row r="37903">
      <c r="AI37903" s="80"/>
    </row>
    <row r="37904">
      <c r="AI37904" s="80"/>
    </row>
    <row r="37905">
      <c r="AI37905" s="80"/>
    </row>
    <row r="37906">
      <c r="AI37906" s="80"/>
    </row>
    <row r="37907">
      <c r="AI37907" s="80"/>
    </row>
    <row r="37908">
      <c r="AI37908" s="80"/>
    </row>
    <row r="37909">
      <c r="AI37909" s="80"/>
    </row>
    <row r="37910">
      <c r="AI37910" s="80"/>
    </row>
    <row r="37911">
      <c r="AI37911" s="80"/>
    </row>
    <row r="37912">
      <c r="AI37912" s="80"/>
    </row>
    <row r="37913">
      <c r="AI37913" s="80"/>
    </row>
    <row r="37914">
      <c r="AI37914" s="80"/>
    </row>
    <row r="37915">
      <c r="AI37915" s="80"/>
    </row>
    <row r="37916">
      <c r="AI37916" s="80"/>
    </row>
    <row r="37917">
      <c r="AI37917" s="80"/>
    </row>
    <row r="37918">
      <c r="AI37918" s="80"/>
    </row>
    <row r="37919">
      <c r="AI37919" s="80"/>
    </row>
    <row r="37920">
      <c r="AI37920" s="80"/>
    </row>
    <row r="37921">
      <c r="AI37921" s="80"/>
    </row>
    <row r="37922">
      <c r="AI37922" s="80"/>
    </row>
    <row r="37923">
      <c r="AI37923" s="80"/>
    </row>
    <row r="37924">
      <c r="AI37924" s="80"/>
    </row>
    <row r="37925">
      <c r="AI37925" s="80"/>
    </row>
    <row r="37926">
      <c r="AI37926" s="80"/>
    </row>
    <row r="37927">
      <c r="AI37927" s="80"/>
    </row>
    <row r="37928">
      <c r="AI37928" s="80"/>
    </row>
    <row r="37929">
      <c r="AI37929" s="80"/>
    </row>
    <row r="37930">
      <c r="AI37930" s="80"/>
    </row>
    <row r="37931">
      <c r="AI37931" s="80"/>
    </row>
    <row r="37932">
      <c r="AI37932" s="80"/>
    </row>
    <row r="37933">
      <c r="AI37933" s="80"/>
    </row>
    <row r="37934">
      <c r="AI37934" s="80"/>
    </row>
    <row r="37935">
      <c r="AI37935" s="80"/>
    </row>
    <row r="37936">
      <c r="AI37936" s="80"/>
    </row>
    <row r="37937">
      <c r="AI37937" s="80"/>
    </row>
    <row r="37938">
      <c r="AI37938" s="80"/>
    </row>
    <row r="37939">
      <c r="AI37939" s="80"/>
    </row>
    <row r="37940">
      <c r="AI37940" s="80"/>
    </row>
    <row r="37941">
      <c r="AI37941" s="80"/>
    </row>
    <row r="37942">
      <c r="AI37942" s="80"/>
    </row>
    <row r="37943">
      <c r="AI37943" s="80"/>
    </row>
    <row r="37944">
      <c r="AI37944" s="80"/>
    </row>
    <row r="37945">
      <c r="AI37945" s="80"/>
    </row>
    <row r="37946">
      <c r="AI37946" s="80"/>
    </row>
    <row r="37947">
      <c r="AI37947" s="80"/>
    </row>
    <row r="37948">
      <c r="AI37948" s="80"/>
    </row>
    <row r="37949">
      <c r="AI37949" s="80"/>
    </row>
    <row r="37950">
      <c r="AI37950" s="80"/>
    </row>
    <row r="37951">
      <c r="AI37951" s="80"/>
    </row>
    <row r="37952">
      <c r="AI37952" s="80"/>
    </row>
    <row r="37953">
      <c r="AI37953" s="80"/>
    </row>
    <row r="37954">
      <c r="AI37954" s="80"/>
    </row>
    <row r="37955">
      <c r="AI37955" s="80"/>
    </row>
    <row r="37956">
      <c r="AI37956" s="80"/>
    </row>
    <row r="37957">
      <c r="AI37957" s="80"/>
    </row>
    <row r="37958">
      <c r="AI37958" s="80"/>
    </row>
    <row r="37959">
      <c r="AI37959" s="80"/>
    </row>
    <row r="37960">
      <c r="AI37960" s="80"/>
    </row>
    <row r="37961">
      <c r="AI37961" s="80"/>
    </row>
    <row r="37962">
      <c r="AI37962" s="80"/>
    </row>
    <row r="37963">
      <c r="AI37963" s="80"/>
    </row>
    <row r="37964">
      <c r="AI37964" s="80"/>
    </row>
    <row r="37965">
      <c r="AI37965" s="80"/>
    </row>
    <row r="37966">
      <c r="AI37966" s="80"/>
    </row>
    <row r="37967">
      <c r="AI37967" s="80"/>
    </row>
    <row r="37968">
      <c r="AI37968" s="80"/>
    </row>
    <row r="37969">
      <c r="AI37969" s="80"/>
    </row>
    <row r="37970">
      <c r="AI37970" s="80"/>
    </row>
    <row r="37971">
      <c r="AI37971" s="80"/>
    </row>
    <row r="37972">
      <c r="AI37972" s="80"/>
    </row>
    <row r="37973">
      <c r="AI37973" s="80"/>
    </row>
    <row r="37974">
      <c r="AI37974" s="80"/>
    </row>
    <row r="37975">
      <c r="AI37975" s="80"/>
    </row>
    <row r="37976">
      <c r="AI37976" s="80"/>
    </row>
    <row r="37977">
      <c r="AI37977" s="80"/>
    </row>
    <row r="37978">
      <c r="AI37978" s="80"/>
    </row>
    <row r="37979">
      <c r="AI37979" s="80"/>
    </row>
    <row r="37980">
      <c r="AI37980" s="80"/>
    </row>
    <row r="37981">
      <c r="AI37981" s="80"/>
    </row>
    <row r="37982">
      <c r="AI37982" s="80"/>
    </row>
    <row r="37983">
      <c r="AI37983" s="80"/>
    </row>
    <row r="37984">
      <c r="AI37984" s="80"/>
    </row>
    <row r="37985">
      <c r="AI37985" s="80"/>
    </row>
    <row r="37986">
      <c r="AI37986" s="80"/>
    </row>
    <row r="37987">
      <c r="AI37987" s="80"/>
    </row>
    <row r="37988">
      <c r="AI37988" s="80"/>
    </row>
    <row r="37989">
      <c r="AI37989" s="80"/>
    </row>
    <row r="37990">
      <c r="AI37990" s="80"/>
    </row>
    <row r="37991">
      <c r="AI37991" s="80"/>
    </row>
    <row r="37992">
      <c r="AI37992" s="80"/>
    </row>
    <row r="37993">
      <c r="AI37993" s="80"/>
    </row>
    <row r="37994">
      <c r="AI37994" s="80"/>
    </row>
    <row r="37995">
      <c r="AI37995" s="80"/>
    </row>
    <row r="37996">
      <c r="AI37996" s="80"/>
    </row>
    <row r="37997">
      <c r="AI37997" s="80"/>
    </row>
    <row r="37998">
      <c r="AI37998" s="80"/>
    </row>
    <row r="37999">
      <c r="AI37999" s="80"/>
    </row>
    <row r="38000">
      <c r="AI38000" s="80"/>
    </row>
    <row r="38001">
      <c r="AI38001" s="80"/>
    </row>
    <row r="38002">
      <c r="AI38002" s="80"/>
    </row>
    <row r="38003">
      <c r="AI38003" s="80"/>
    </row>
    <row r="38004">
      <c r="AI38004" s="80"/>
    </row>
    <row r="38005">
      <c r="AI38005" s="80"/>
    </row>
    <row r="38006">
      <c r="AI38006" s="80"/>
    </row>
    <row r="38007">
      <c r="AI38007" s="80"/>
    </row>
    <row r="38008">
      <c r="AI38008" s="80"/>
    </row>
    <row r="38009">
      <c r="AI38009" s="80"/>
    </row>
    <row r="38010">
      <c r="AI38010" s="80"/>
    </row>
    <row r="38011">
      <c r="AI38011" s="80"/>
    </row>
    <row r="38012">
      <c r="AI38012" s="80"/>
    </row>
    <row r="38013">
      <c r="AI38013" s="80"/>
    </row>
    <row r="38014">
      <c r="AI38014" s="80"/>
    </row>
    <row r="38015">
      <c r="AI38015" s="80"/>
    </row>
    <row r="38016">
      <c r="AI38016" s="80"/>
    </row>
    <row r="38017">
      <c r="AI38017" s="80"/>
    </row>
    <row r="38018">
      <c r="AI38018" s="80"/>
    </row>
    <row r="38019">
      <c r="AI38019" s="80"/>
    </row>
    <row r="38020">
      <c r="AI38020" s="80"/>
    </row>
    <row r="38021">
      <c r="AI38021" s="80"/>
    </row>
    <row r="38022">
      <c r="AI38022" s="80"/>
    </row>
    <row r="38023">
      <c r="AI38023" s="80"/>
    </row>
    <row r="38024">
      <c r="AI38024" s="80"/>
    </row>
    <row r="38025">
      <c r="AI38025" s="80"/>
    </row>
    <row r="38026">
      <c r="AI38026" s="80"/>
    </row>
    <row r="38027">
      <c r="AI38027" s="80"/>
    </row>
    <row r="38028">
      <c r="AI38028" s="80"/>
    </row>
    <row r="38029">
      <c r="AI38029" s="80"/>
    </row>
    <row r="38030">
      <c r="AI38030" s="80"/>
    </row>
    <row r="38031">
      <c r="AI38031" s="80"/>
    </row>
    <row r="38032">
      <c r="AI38032" s="80"/>
    </row>
    <row r="38033">
      <c r="AI38033" s="80"/>
    </row>
    <row r="38034">
      <c r="AI38034" s="80"/>
    </row>
    <row r="38035">
      <c r="AI38035" s="80"/>
    </row>
    <row r="38036">
      <c r="AI38036" s="80"/>
    </row>
    <row r="38037">
      <c r="AI38037" s="80"/>
    </row>
    <row r="38038">
      <c r="AI38038" s="80"/>
    </row>
    <row r="38039">
      <c r="AI38039" s="80"/>
    </row>
    <row r="38040">
      <c r="AI38040" s="80"/>
    </row>
    <row r="38041">
      <c r="AI38041" s="80"/>
    </row>
    <row r="38042">
      <c r="AI38042" s="80"/>
    </row>
    <row r="38043">
      <c r="AI38043" s="80"/>
    </row>
    <row r="38044">
      <c r="AI38044" s="80"/>
    </row>
    <row r="38045">
      <c r="AI38045" s="80"/>
    </row>
    <row r="38046">
      <c r="AI38046" s="80"/>
    </row>
    <row r="38047">
      <c r="AI38047" s="80"/>
    </row>
    <row r="38048">
      <c r="AI38048" s="80"/>
    </row>
    <row r="38049">
      <c r="AI38049" s="80"/>
    </row>
    <row r="38050">
      <c r="AI38050" s="80"/>
    </row>
    <row r="38051">
      <c r="AI38051" s="80"/>
    </row>
    <row r="38052">
      <c r="AI38052" s="80"/>
    </row>
    <row r="38053">
      <c r="AI38053" s="80"/>
    </row>
    <row r="38054">
      <c r="AI38054" s="80"/>
    </row>
    <row r="38055">
      <c r="AI38055" s="80"/>
    </row>
    <row r="38056">
      <c r="AI38056" s="80"/>
    </row>
    <row r="38057">
      <c r="AI38057" s="80"/>
    </row>
    <row r="38058">
      <c r="AI38058" s="80"/>
    </row>
    <row r="38059">
      <c r="AI38059" s="80"/>
    </row>
    <row r="38060">
      <c r="AI38060" s="80"/>
    </row>
    <row r="38061">
      <c r="AI38061" s="80"/>
    </row>
    <row r="38062">
      <c r="AI38062" s="80"/>
    </row>
    <row r="38063">
      <c r="AI38063" s="80"/>
    </row>
    <row r="38064">
      <c r="AI38064" s="80"/>
    </row>
    <row r="38065">
      <c r="AI38065" s="80"/>
    </row>
    <row r="38066">
      <c r="AI38066" s="80"/>
    </row>
    <row r="38067">
      <c r="AI38067" s="80"/>
    </row>
    <row r="38068">
      <c r="AI38068" s="80"/>
    </row>
    <row r="38069">
      <c r="AI38069" s="80"/>
    </row>
    <row r="38070">
      <c r="AI38070" s="80"/>
    </row>
    <row r="38071">
      <c r="AI38071" s="80"/>
    </row>
    <row r="38072">
      <c r="AI38072" s="80"/>
    </row>
    <row r="38073">
      <c r="AI38073" s="80"/>
    </row>
    <row r="38074">
      <c r="AI38074" s="80"/>
    </row>
    <row r="38075">
      <c r="AI38075" s="80"/>
    </row>
    <row r="38076">
      <c r="AI38076" s="80"/>
    </row>
    <row r="38077">
      <c r="AI38077" s="80"/>
    </row>
    <row r="38078">
      <c r="AI38078" s="80"/>
    </row>
    <row r="38079">
      <c r="AI38079" s="80"/>
    </row>
    <row r="38080">
      <c r="AI38080" s="80"/>
    </row>
    <row r="38081">
      <c r="AI38081" s="80"/>
    </row>
    <row r="38082">
      <c r="AI38082" s="80"/>
    </row>
    <row r="38083">
      <c r="AI38083" s="80"/>
    </row>
    <row r="38084">
      <c r="AI38084" s="80"/>
    </row>
    <row r="38085">
      <c r="AI38085" s="80"/>
    </row>
    <row r="38086">
      <c r="AI38086" s="80"/>
    </row>
    <row r="38087">
      <c r="AI38087" s="80"/>
    </row>
    <row r="38088">
      <c r="AI38088" s="80"/>
    </row>
    <row r="38089">
      <c r="AI38089" s="80"/>
    </row>
    <row r="38090">
      <c r="AI38090" s="80"/>
    </row>
    <row r="38091">
      <c r="AI38091" s="80"/>
    </row>
    <row r="38092">
      <c r="AI38092" s="80"/>
    </row>
    <row r="38093">
      <c r="AI38093" s="80"/>
    </row>
    <row r="38094">
      <c r="AI38094" s="80"/>
    </row>
    <row r="38095">
      <c r="AI38095" s="80"/>
    </row>
    <row r="38096">
      <c r="AI38096" s="80"/>
    </row>
    <row r="38097">
      <c r="AI38097" s="80"/>
    </row>
    <row r="38098">
      <c r="AI38098" s="80"/>
    </row>
    <row r="38099">
      <c r="AI38099" s="80"/>
    </row>
    <row r="38100">
      <c r="AI38100" s="80"/>
    </row>
    <row r="38101">
      <c r="AI38101" s="80"/>
    </row>
    <row r="38102">
      <c r="AI38102" s="80"/>
    </row>
    <row r="38103">
      <c r="AI38103" s="80"/>
    </row>
    <row r="38104">
      <c r="AI38104" s="80"/>
    </row>
    <row r="38105">
      <c r="AI38105" s="80"/>
    </row>
    <row r="38106">
      <c r="AI38106" s="80"/>
    </row>
    <row r="38107">
      <c r="AI38107" s="80"/>
    </row>
    <row r="38108">
      <c r="AI38108" s="80"/>
    </row>
    <row r="38109">
      <c r="AI38109" s="80"/>
    </row>
    <row r="38110">
      <c r="AI38110" s="80"/>
    </row>
    <row r="38111">
      <c r="AI38111" s="80"/>
    </row>
    <row r="38112">
      <c r="AI38112" s="80"/>
    </row>
    <row r="38113">
      <c r="AI38113" s="80"/>
    </row>
    <row r="38114">
      <c r="AI38114" s="80"/>
    </row>
    <row r="38115">
      <c r="AI38115" s="80"/>
    </row>
    <row r="38116">
      <c r="AI38116" s="80"/>
    </row>
    <row r="38117">
      <c r="AI38117" s="80"/>
    </row>
    <row r="38118">
      <c r="AI38118" s="80"/>
    </row>
    <row r="38119">
      <c r="AI38119" s="80"/>
    </row>
    <row r="38120">
      <c r="AI38120" s="80"/>
    </row>
    <row r="38121">
      <c r="AI38121" s="80"/>
    </row>
    <row r="38122">
      <c r="AI38122" s="80"/>
    </row>
    <row r="38123">
      <c r="AI38123" s="80"/>
    </row>
    <row r="38124">
      <c r="AI38124" s="80"/>
    </row>
    <row r="38125">
      <c r="AI38125" s="80"/>
    </row>
    <row r="38126">
      <c r="AI38126" s="80"/>
    </row>
    <row r="38127">
      <c r="AI38127" s="80"/>
    </row>
    <row r="38128">
      <c r="AI38128" s="80"/>
    </row>
    <row r="38129">
      <c r="AI38129" s="80"/>
    </row>
    <row r="38130">
      <c r="AI38130" s="80"/>
    </row>
    <row r="38131">
      <c r="AI38131" s="80"/>
    </row>
    <row r="38132">
      <c r="AI38132" s="80"/>
    </row>
    <row r="38133">
      <c r="AI38133" s="80"/>
    </row>
    <row r="38134">
      <c r="AI38134" s="80"/>
    </row>
    <row r="38135">
      <c r="AI38135" s="80"/>
    </row>
    <row r="38136">
      <c r="AI38136" s="80"/>
    </row>
    <row r="38137">
      <c r="AI38137" s="80"/>
    </row>
    <row r="38138">
      <c r="AI38138" s="80"/>
    </row>
    <row r="38139">
      <c r="AI38139" s="80"/>
    </row>
    <row r="38140">
      <c r="AI38140" s="80"/>
    </row>
    <row r="38141">
      <c r="AI38141" s="80"/>
    </row>
    <row r="38142">
      <c r="AI38142" s="80"/>
    </row>
    <row r="38143">
      <c r="AI38143" s="80"/>
    </row>
    <row r="38144">
      <c r="AI38144" s="80"/>
    </row>
    <row r="38145">
      <c r="AI38145" s="80"/>
    </row>
    <row r="38146">
      <c r="AI38146" s="80"/>
    </row>
    <row r="38147">
      <c r="AI38147" s="80"/>
    </row>
    <row r="38148">
      <c r="AI38148" s="80"/>
    </row>
    <row r="38149">
      <c r="AI38149" s="80"/>
    </row>
    <row r="38150">
      <c r="AI38150" s="80"/>
    </row>
    <row r="38151">
      <c r="AI38151" s="80"/>
    </row>
    <row r="38152">
      <c r="AI38152" s="80"/>
    </row>
    <row r="38153">
      <c r="AI38153" s="80"/>
    </row>
    <row r="38154">
      <c r="AI38154" s="80"/>
    </row>
    <row r="38155">
      <c r="AI38155" s="80"/>
    </row>
    <row r="38156">
      <c r="AI38156" s="80"/>
    </row>
    <row r="38157">
      <c r="AI38157" s="80"/>
    </row>
    <row r="38158">
      <c r="AI38158" s="80"/>
    </row>
    <row r="38159">
      <c r="AI38159" s="80"/>
    </row>
    <row r="38160">
      <c r="AI38160" s="80"/>
    </row>
    <row r="38161">
      <c r="AI38161" s="80"/>
    </row>
    <row r="38162">
      <c r="AI38162" s="80"/>
    </row>
    <row r="38163">
      <c r="AI38163" s="80"/>
    </row>
    <row r="38164">
      <c r="AI38164" s="80"/>
    </row>
    <row r="38165">
      <c r="AI38165" s="80"/>
    </row>
    <row r="38166">
      <c r="AI38166" s="80"/>
    </row>
    <row r="38167">
      <c r="AI38167" s="80"/>
    </row>
    <row r="38168">
      <c r="AI38168" s="80"/>
    </row>
    <row r="38169">
      <c r="AI38169" s="80"/>
    </row>
    <row r="38170">
      <c r="AI38170" s="80"/>
    </row>
    <row r="38171">
      <c r="AI38171" s="80"/>
    </row>
    <row r="38172">
      <c r="AI38172" s="80"/>
    </row>
    <row r="38173">
      <c r="AI38173" s="80"/>
    </row>
    <row r="38174">
      <c r="AI38174" s="80"/>
    </row>
    <row r="38175">
      <c r="AI38175" s="80"/>
    </row>
    <row r="38176">
      <c r="AI38176" s="80"/>
    </row>
    <row r="38177">
      <c r="AI38177" s="80"/>
    </row>
    <row r="38178">
      <c r="AI38178" s="80"/>
    </row>
    <row r="38179">
      <c r="AI38179" s="80"/>
    </row>
    <row r="38180">
      <c r="AI38180" s="80"/>
    </row>
    <row r="38181">
      <c r="AI38181" s="80"/>
    </row>
    <row r="38182">
      <c r="AI38182" s="80"/>
    </row>
    <row r="38183">
      <c r="AI38183" s="80"/>
    </row>
    <row r="38184">
      <c r="AI38184" s="80"/>
    </row>
    <row r="38185">
      <c r="AI38185" s="80"/>
    </row>
    <row r="38186">
      <c r="AI38186" s="80"/>
    </row>
    <row r="38187">
      <c r="AI38187" s="80"/>
    </row>
    <row r="38188">
      <c r="AI38188" s="80"/>
    </row>
    <row r="38189">
      <c r="AI38189" s="80"/>
    </row>
    <row r="38190">
      <c r="AI38190" s="80"/>
    </row>
    <row r="38191">
      <c r="AI38191" s="80"/>
    </row>
    <row r="38192">
      <c r="AI38192" s="80"/>
    </row>
    <row r="38193">
      <c r="AI38193" s="80"/>
    </row>
    <row r="38194">
      <c r="AI38194" s="80"/>
    </row>
    <row r="38195">
      <c r="AI38195" s="80"/>
    </row>
    <row r="38196">
      <c r="AI38196" s="80"/>
    </row>
    <row r="38197">
      <c r="AI38197" s="80"/>
    </row>
    <row r="38198">
      <c r="AI38198" s="80"/>
    </row>
    <row r="38199">
      <c r="AI38199" s="80"/>
    </row>
    <row r="38200">
      <c r="AI38200" s="80"/>
    </row>
    <row r="38201">
      <c r="AI38201" s="80"/>
    </row>
    <row r="38202">
      <c r="AI38202" s="80"/>
    </row>
    <row r="38203">
      <c r="AI38203" s="80"/>
    </row>
    <row r="38204">
      <c r="AI38204" s="80"/>
    </row>
    <row r="38205">
      <c r="AI38205" s="80"/>
    </row>
    <row r="38206">
      <c r="AI38206" s="80"/>
    </row>
    <row r="38207">
      <c r="AI38207" s="80"/>
    </row>
    <row r="38208">
      <c r="AI38208" s="80"/>
    </row>
    <row r="38209">
      <c r="AI38209" s="80"/>
    </row>
    <row r="38210">
      <c r="AI38210" s="80"/>
    </row>
    <row r="38211">
      <c r="AI38211" s="80"/>
    </row>
    <row r="38212">
      <c r="AI38212" s="80"/>
    </row>
    <row r="38213">
      <c r="AI38213" s="80"/>
    </row>
    <row r="38214">
      <c r="AI38214" s="80"/>
    </row>
    <row r="38215">
      <c r="AI38215" s="80"/>
    </row>
    <row r="38216">
      <c r="AI38216" s="80"/>
    </row>
    <row r="38217">
      <c r="AI38217" s="80"/>
    </row>
    <row r="38218">
      <c r="AI38218" s="80"/>
    </row>
    <row r="38219">
      <c r="AI38219" s="80"/>
    </row>
    <row r="38220">
      <c r="AI38220" s="80"/>
    </row>
    <row r="38221">
      <c r="AI38221" s="80"/>
    </row>
    <row r="38222">
      <c r="AI38222" s="80"/>
    </row>
    <row r="38223">
      <c r="AI38223" s="80"/>
    </row>
    <row r="38224">
      <c r="AI38224" s="80"/>
    </row>
    <row r="38225">
      <c r="AI38225" s="80"/>
    </row>
    <row r="38226">
      <c r="AI38226" s="80"/>
    </row>
    <row r="38227">
      <c r="AI38227" s="80"/>
    </row>
    <row r="38228">
      <c r="AI38228" s="80"/>
    </row>
    <row r="38229">
      <c r="AI38229" s="80"/>
    </row>
    <row r="38230">
      <c r="AI38230" s="80"/>
    </row>
    <row r="38231">
      <c r="AI38231" s="80"/>
    </row>
    <row r="38232">
      <c r="AI38232" s="80"/>
    </row>
    <row r="38233">
      <c r="AI38233" s="80"/>
    </row>
    <row r="38234">
      <c r="AI38234" s="80"/>
    </row>
    <row r="38235">
      <c r="AI38235" s="80"/>
    </row>
    <row r="38236">
      <c r="AI38236" s="80"/>
    </row>
    <row r="38237">
      <c r="AI38237" s="80"/>
    </row>
    <row r="38238">
      <c r="AI38238" s="80"/>
    </row>
    <row r="38239">
      <c r="AI38239" s="80"/>
    </row>
    <row r="38240">
      <c r="AI38240" s="80"/>
    </row>
    <row r="38241">
      <c r="AI38241" s="80"/>
    </row>
    <row r="38242">
      <c r="AI38242" s="80"/>
    </row>
    <row r="38243">
      <c r="AI38243" s="80"/>
    </row>
    <row r="38244">
      <c r="AI38244" s="80"/>
    </row>
    <row r="38245">
      <c r="AI38245" s="80"/>
    </row>
    <row r="38246">
      <c r="AI38246" s="80"/>
    </row>
    <row r="38247">
      <c r="AI38247" s="80"/>
    </row>
    <row r="38248">
      <c r="AI38248" s="80"/>
    </row>
    <row r="38249">
      <c r="AI38249" s="80"/>
    </row>
    <row r="38250">
      <c r="AI38250" s="80"/>
    </row>
    <row r="38251">
      <c r="AI38251" s="80"/>
    </row>
    <row r="38252">
      <c r="AI38252" s="80"/>
    </row>
    <row r="38253">
      <c r="AI38253" s="80"/>
    </row>
    <row r="38254">
      <c r="AI38254" s="80"/>
    </row>
    <row r="38255">
      <c r="AI38255" s="80"/>
    </row>
    <row r="38256">
      <c r="AI38256" s="80"/>
    </row>
    <row r="38257">
      <c r="AI38257" s="80"/>
    </row>
    <row r="38258">
      <c r="AI38258" s="80"/>
    </row>
    <row r="38259">
      <c r="AI38259" s="80"/>
    </row>
    <row r="38260">
      <c r="AI38260" s="80"/>
    </row>
    <row r="38261">
      <c r="AI38261" s="80"/>
    </row>
    <row r="38262">
      <c r="AI38262" s="80"/>
    </row>
    <row r="38263">
      <c r="AI38263" s="80"/>
    </row>
    <row r="38264">
      <c r="AI38264" s="80"/>
    </row>
    <row r="38265">
      <c r="AI38265" s="80"/>
    </row>
    <row r="38266">
      <c r="AI38266" s="80"/>
    </row>
    <row r="38267">
      <c r="AI38267" s="80"/>
    </row>
    <row r="38268">
      <c r="AI38268" s="80"/>
    </row>
    <row r="38269">
      <c r="AI38269" s="80"/>
    </row>
    <row r="38270">
      <c r="AI38270" s="80"/>
    </row>
    <row r="38271">
      <c r="AI38271" s="80"/>
    </row>
    <row r="38272">
      <c r="AI38272" s="80"/>
    </row>
    <row r="38273">
      <c r="AI38273" s="80"/>
    </row>
    <row r="38274">
      <c r="AI38274" s="80"/>
    </row>
    <row r="38275">
      <c r="AI38275" s="80"/>
    </row>
    <row r="38276">
      <c r="AI38276" s="80"/>
    </row>
    <row r="38277">
      <c r="AI38277" s="80"/>
    </row>
    <row r="38278">
      <c r="AI38278" s="80"/>
    </row>
    <row r="38279">
      <c r="AI38279" s="80"/>
    </row>
    <row r="38280">
      <c r="AI38280" s="80"/>
    </row>
    <row r="38281">
      <c r="AI38281" s="80"/>
    </row>
    <row r="38282">
      <c r="AI38282" s="80"/>
    </row>
    <row r="38283">
      <c r="AI38283" s="80"/>
    </row>
    <row r="38284">
      <c r="AI38284" s="80"/>
    </row>
    <row r="38285">
      <c r="AI38285" s="80"/>
    </row>
    <row r="38286">
      <c r="AI38286" s="80"/>
    </row>
    <row r="38287">
      <c r="AI38287" s="80"/>
    </row>
    <row r="38288">
      <c r="AI38288" s="80"/>
    </row>
    <row r="38289">
      <c r="AI38289" s="80"/>
    </row>
    <row r="38290">
      <c r="AI38290" s="80"/>
    </row>
    <row r="38291">
      <c r="AI38291" s="80"/>
    </row>
    <row r="38292">
      <c r="AI38292" s="80"/>
    </row>
    <row r="38293">
      <c r="AI38293" s="80"/>
    </row>
    <row r="38294">
      <c r="AI38294" s="80"/>
    </row>
    <row r="38295">
      <c r="AI38295" s="80"/>
    </row>
    <row r="38296">
      <c r="AI38296" s="80"/>
    </row>
    <row r="38297">
      <c r="AI38297" s="80"/>
    </row>
    <row r="38298">
      <c r="AI38298" s="80"/>
    </row>
    <row r="38299">
      <c r="AI38299" s="80"/>
    </row>
    <row r="38300">
      <c r="AI38300" s="80"/>
    </row>
    <row r="38301">
      <c r="AI38301" s="80"/>
    </row>
    <row r="38302">
      <c r="AI38302" s="80"/>
    </row>
    <row r="38303">
      <c r="AI38303" s="80"/>
    </row>
    <row r="38304">
      <c r="AI38304" s="80"/>
    </row>
    <row r="38305">
      <c r="AI38305" s="80"/>
    </row>
    <row r="38306">
      <c r="AI38306" s="80"/>
    </row>
    <row r="38307">
      <c r="AI38307" s="80"/>
    </row>
    <row r="38308">
      <c r="AI38308" s="80"/>
    </row>
    <row r="38309">
      <c r="AI38309" s="80"/>
    </row>
    <row r="38310">
      <c r="AI38310" s="80"/>
    </row>
    <row r="38311">
      <c r="AI38311" s="80"/>
    </row>
    <row r="38312">
      <c r="AI38312" s="80"/>
    </row>
    <row r="38313">
      <c r="AI38313" s="80"/>
    </row>
    <row r="38314">
      <c r="AI38314" s="80"/>
    </row>
    <row r="38315">
      <c r="AI38315" s="80"/>
    </row>
    <row r="38316">
      <c r="AI38316" s="80"/>
    </row>
    <row r="38317">
      <c r="AI38317" s="80"/>
    </row>
    <row r="38318">
      <c r="AI38318" s="80"/>
    </row>
    <row r="38319">
      <c r="AI38319" s="80"/>
    </row>
    <row r="38320">
      <c r="AI38320" s="80"/>
    </row>
    <row r="38321">
      <c r="AI38321" s="80"/>
    </row>
    <row r="38322">
      <c r="AI38322" s="80"/>
    </row>
    <row r="38323">
      <c r="AI38323" s="80"/>
    </row>
    <row r="38324">
      <c r="AI38324" s="80"/>
    </row>
    <row r="38325">
      <c r="AI38325" s="80"/>
    </row>
    <row r="38326">
      <c r="AI38326" s="80"/>
    </row>
    <row r="38327">
      <c r="AI38327" s="80"/>
    </row>
    <row r="38328">
      <c r="AI38328" s="80"/>
    </row>
    <row r="38329">
      <c r="AI38329" s="80"/>
    </row>
    <row r="38330">
      <c r="AI38330" s="80"/>
    </row>
    <row r="38331">
      <c r="AI38331" s="80"/>
    </row>
    <row r="38332">
      <c r="AI38332" s="80"/>
    </row>
    <row r="38333">
      <c r="AI38333" s="80"/>
    </row>
    <row r="38334">
      <c r="AI38334" s="80"/>
    </row>
    <row r="38335">
      <c r="AI38335" s="80"/>
    </row>
    <row r="38336">
      <c r="AI38336" s="80"/>
    </row>
    <row r="38337">
      <c r="AI38337" s="80"/>
    </row>
    <row r="38338">
      <c r="AI38338" s="80"/>
    </row>
    <row r="38339">
      <c r="AI38339" s="80"/>
    </row>
    <row r="38340">
      <c r="AI38340" s="80"/>
    </row>
    <row r="38341">
      <c r="AI38341" s="80"/>
    </row>
    <row r="38342">
      <c r="AI38342" s="80"/>
    </row>
    <row r="38343">
      <c r="AI38343" s="80"/>
    </row>
    <row r="38344">
      <c r="AI38344" s="80"/>
    </row>
    <row r="38345">
      <c r="AI38345" s="80"/>
    </row>
    <row r="38346">
      <c r="AI38346" s="80"/>
    </row>
    <row r="38347">
      <c r="AI38347" s="80"/>
    </row>
    <row r="38348">
      <c r="AI38348" s="80"/>
    </row>
    <row r="38349">
      <c r="AI38349" s="80"/>
    </row>
    <row r="38350">
      <c r="AI38350" s="80"/>
    </row>
    <row r="38351">
      <c r="AI38351" s="80"/>
    </row>
    <row r="38352">
      <c r="AI38352" s="80"/>
    </row>
    <row r="38353">
      <c r="AI38353" s="80"/>
    </row>
    <row r="38354">
      <c r="AI38354" s="80"/>
    </row>
    <row r="38355">
      <c r="AI38355" s="80"/>
    </row>
    <row r="38356">
      <c r="AI38356" s="80"/>
    </row>
    <row r="38357">
      <c r="AI38357" s="80"/>
    </row>
    <row r="38358">
      <c r="AI38358" s="80"/>
    </row>
    <row r="38359">
      <c r="AI38359" s="80"/>
    </row>
    <row r="38360">
      <c r="AI38360" s="80"/>
    </row>
    <row r="38361">
      <c r="AI38361" s="80"/>
    </row>
    <row r="38362">
      <c r="AI38362" s="80"/>
    </row>
    <row r="38363">
      <c r="AI38363" s="80"/>
    </row>
    <row r="38364">
      <c r="AI38364" s="80"/>
    </row>
    <row r="38365">
      <c r="AI38365" s="80"/>
    </row>
    <row r="38366">
      <c r="AI38366" s="80"/>
    </row>
    <row r="38367">
      <c r="AI38367" s="80"/>
    </row>
    <row r="38368">
      <c r="AI38368" s="80"/>
    </row>
    <row r="38369">
      <c r="AI38369" s="80"/>
    </row>
    <row r="38370">
      <c r="AI38370" s="80"/>
    </row>
    <row r="38371">
      <c r="AI38371" s="80"/>
    </row>
    <row r="38372">
      <c r="AI38372" s="80"/>
    </row>
    <row r="38373">
      <c r="AI38373" s="80"/>
    </row>
    <row r="38374">
      <c r="AI38374" s="80"/>
    </row>
    <row r="38375">
      <c r="AI38375" s="80"/>
    </row>
    <row r="38376">
      <c r="AI38376" s="80"/>
    </row>
    <row r="38377">
      <c r="AI38377" s="80"/>
    </row>
    <row r="38378">
      <c r="AI38378" s="80"/>
    </row>
    <row r="38379">
      <c r="AI38379" s="80"/>
    </row>
    <row r="38380">
      <c r="AI38380" s="80"/>
    </row>
    <row r="38381">
      <c r="AI38381" s="80"/>
    </row>
    <row r="38382">
      <c r="AI38382" s="80"/>
    </row>
    <row r="38383">
      <c r="AI38383" s="80"/>
    </row>
    <row r="38384">
      <c r="AI38384" s="80"/>
    </row>
    <row r="38385">
      <c r="AI38385" s="80"/>
    </row>
    <row r="38386">
      <c r="AI38386" s="80"/>
    </row>
    <row r="38387">
      <c r="AI38387" s="80"/>
    </row>
    <row r="38388">
      <c r="AI38388" s="80"/>
    </row>
    <row r="38389">
      <c r="AI38389" s="80"/>
    </row>
    <row r="38390">
      <c r="AI38390" s="80"/>
    </row>
    <row r="38391">
      <c r="AI38391" s="80"/>
    </row>
    <row r="38392">
      <c r="AI38392" s="80"/>
    </row>
    <row r="38393">
      <c r="AI38393" s="80"/>
    </row>
    <row r="38394">
      <c r="AI38394" s="80"/>
    </row>
    <row r="38395">
      <c r="AI38395" s="80"/>
    </row>
    <row r="38396">
      <c r="AI38396" s="80"/>
    </row>
    <row r="38397">
      <c r="AI38397" s="80"/>
    </row>
    <row r="38398">
      <c r="AI38398" s="80"/>
    </row>
    <row r="38399">
      <c r="AI38399" s="80"/>
    </row>
    <row r="38400">
      <c r="AI38400" s="80"/>
    </row>
    <row r="38401">
      <c r="AI38401" s="80"/>
    </row>
    <row r="38402">
      <c r="AI38402" s="80"/>
    </row>
    <row r="38403">
      <c r="AI38403" s="80"/>
    </row>
    <row r="38404">
      <c r="AI38404" s="80"/>
    </row>
    <row r="38405">
      <c r="AI38405" s="80"/>
    </row>
    <row r="38406">
      <c r="AI38406" s="80"/>
    </row>
    <row r="38407">
      <c r="AI38407" s="80"/>
    </row>
    <row r="38408">
      <c r="AI38408" s="80"/>
    </row>
    <row r="38409">
      <c r="AI38409" s="80"/>
    </row>
    <row r="38410">
      <c r="AI38410" s="80"/>
    </row>
    <row r="38411">
      <c r="AI38411" s="80"/>
    </row>
    <row r="38412">
      <c r="AI38412" s="80"/>
    </row>
    <row r="38413">
      <c r="AI38413" s="80"/>
    </row>
    <row r="38414">
      <c r="AI38414" s="80"/>
    </row>
    <row r="38415">
      <c r="AI38415" s="80"/>
    </row>
    <row r="38416">
      <c r="AI38416" s="80"/>
    </row>
    <row r="38417">
      <c r="AI38417" s="80"/>
    </row>
    <row r="38418">
      <c r="AI38418" s="80"/>
    </row>
    <row r="38419">
      <c r="AI38419" s="80"/>
    </row>
    <row r="38420">
      <c r="AI38420" s="80"/>
    </row>
    <row r="38421">
      <c r="AI38421" s="80"/>
    </row>
    <row r="38422">
      <c r="AI38422" s="80"/>
    </row>
    <row r="38423">
      <c r="AI38423" s="80"/>
    </row>
    <row r="38424">
      <c r="AI38424" s="80"/>
    </row>
    <row r="38425">
      <c r="AI38425" s="80"/>
    </row>
    <row r="38426">
      <c r="AI38426" s="80"/>
    </row>
    <row r="38427">
      <c r="AI38427" s="80"/>
    </row>
    <row r="38428">
      <c r="AI38428" s="80"/>
    </row>
    <row r="38429">
      <c r="AI38429" s="80"/>
    </row>
    <row r="38430">
      <c r="AI38430" s="80"/>
    </row>
    <row r="38431">
      <c r="AI38431" s="80"/>
    </row>
    <row r="38432">
      <c r="AI38432" s="80"/>
    </row>
    <row r="38433">
      <c r="AI38433" s="80"/>
    </row>
    <row r="38434">
      <c r="AI38434" s="80"/>
    </row>
    <row r="38435">
      <c r="AI38435" s="80"/>
    </row>
    <row r="38436">
      <c r="AI38436" s="80"/>
    </row>
    <row r="38437">
      <c r="AI38437" s="80"/>
    </row>
    <row r="38438">
      <c r="AI38438" s="80"/>
    </row>
    <row r="38439">
      <c r="AI38439" s="80"/>
    </row>
    <row r="38440">
      <c r="AI38440" s="80"/>
    </row>
    <row r="38441">
      <c r="AI38441" s="80"/>
    </row>
    <row r="38442">
      <c r="AI38442" s="80"/>
    </row>
    <row r="38443">
      <c r="AI38443" s="80"/>
    </row>
    <row r="38444">
      <c r="AI38444" s="80"/>
    </row>
    <row r="38445">
      <c r="AI38445" s="80"/>
    </row>
    <row r="38446">
      <c r="AI38446" s="80"/>
    </row>
    <row r="38447">
      <c r="AI38447" s="80"/>
    </row>
    <row r="38448">
      <c r="AI38448" s="80"/>
    </row>
    <row r="38449">
      <c r="AI38449" s="80"/>
    </row>
    <row r="38450">
      <c r="AI38450" s="80"/>
    </row>
    <row r="38451">
      <c r="AI38451" s="80"/>
    </row>
    <row r="38452">
      <c r="AI38452" s="80"/>
    </row>
    <row r="38453">
      <c r="AI38453" s="80"/>
    </row>
    <row r="38454">
      <c r="AI38454" s="80"/>
    </row>
    <row r="38455">
      <c r="AI38455" s="80"/>
    </row>
    <row r="38456">
      <c r="AI38456" s="80"/>
    </row>
    <row r="38457">
      <c r="AI38457" s="80"/>
    </row>
    <row r="38458">
      <c r="AI38458" s="80"/>
    </row>
    <row r="38459">
      <c r="AI38459" s="80"/>
    </row>
    <row r="38460">
      <c r="AI38460" s="80"/>
    </row>
    <row r="38461">
      <c r="AI38461" s="80"/>
    </row>
    <row r="38462">
      <c r="AI38462" s="80"/>
    </row>
    <row r="38463">
      <c r="AI38463" s="80"/>
    </row>
    <row r="38464">
      <c r="AI38464" s="80"/>
    </row>
    <row r="38465">
      <c r="AI38465" s="80"/>
    </row>
    <row r="38466">
      <c r="AI38466" s="80"/>
    </row>
    <row r="38467">
      <c r="AI38467" s="80"/>
    </row>
    <row r="38468">
      <c r="AI38468" s="80"/>
    </row>
    <row r="38469">
      <c r="AI38469" s="80"/>
    </row>
    <row r="38470">
      <c r="AI38470" s="80"/>
    </row>
    <row r="38471">
      <c r="AI38471" s="80"/>
    </row>
    <row r="38472">
      <c r="AI38472" s="80"/>
    </row>
    <row r="38473">
      <c r="AI38473" s="80"/>
    </row>
    <row r="38474">
      <c r="AI38474" s="80"/>
    </row>
    <row r="38475">
      <c r="AI38475" s="80"/>
    </row>
    <row r="38476">
      <c r="AI38476" s="80"/>
    </row>
    <row r="38477">
      <c r="AI38477" s="80"/>
    </row>
    <row r="38478">
      <c r="AI38478" s="80"/>
    </row>
    <row r="38479">
      <c r="AI38479" s="80"/>
    </row>
    <row r="38480">
      <c r="AI38480" s="80"/>
    </row>
    <row r="38481">
      <c r="AI38481" s="80"/>
    </row>
    <row r="38482">
      <c r="AI38482" s="80"/>
    </row>
    <row r="38483">
      <c r="AI38483" s="80"/>
    </row>
    <row r="38484">
      <c r="AI38484" s="80"/>
    </row>
    <row r="38485">
      <c r="AI38485" s="80"/>
    </row>
    <row r="38486">
      <c r="AI38486" s="80"/>
    </row>
    <row r="38487">
      <c r="AI38487" s="80"/>
    </row>
    <row r="38488">
      <c r="AI38488" s="80"/>
    </row>
    <row r="38489">
      <c r="AI38489" s="80"/>
    </row>
    <row r="38490">
      <c r="AI38490" s="80"/>
    </row>
    <row r="38491">
      <c r="AI38491" s="80"/>
    </row>
    <row r="38492">
      <c r="AI38492" s="80"/>
    </row>
    <row r="38493">
      <c r="AI38493" s="80"/>
    </row>
    <row r="38494">
      <c r="AI38494" s="80"/>
    </row>
    <row r="38495">
      <c r="AI38495" s="80"/>
    </row>
    <row r="38496">
      <c r="AI38496" s="80"/>
    </row>
    <row r="38497">
      <c r="AI38497" s="80"/>
    </row>
    <row r="38498">
      <c r="AI38498" s="80"/>
    </row>
    <row r="38499">
      <c r="AI38499" s="80"/>
    </row>
    <row r="38500">
      <c r="AI38500" s="80"/>
    </row>
    <row r="38501">
      <c r="AI38501" s="80"/>
    </row>
    <row r="38502">
      <c r="AI38502" s="80"/>
    </row>
    <row r="38503">
      <c r="AI38503" s="80"/>
    </row>
    <row r="38504">
      <c r="AI38504" s="80"/>
    </row>
    <row r="38505">
      <c r="AI38505" s="80"/>
    </row>
    <row r="38506">
      <c r="AI38506" s="80"/>
    </row>
    <row r="38507">
      <c r="AI38507" s="80"/>
    </row>
    <row r="38508">
      <c r="AI38508" s="80"/>
    </row>
    <row r="38509">
      <c r="AI38509" s="80"/>
    </row>
    <row r="38510">
      <c r="AI38510" s="80"/>
    </row>
    <row r="38511">
      <c r="AI38511" s="80"/>
    </row>
    <row r="38512">
      <c r="AI38512" s="80"/>
    </row>
    <row r="38513">
      <c r="AI38513" s="80"/>
    </row>
    <row r="38514">
      <c r="AI38514" s="80"/>
    </row>
    <row r="38515">
      <c r="AI38515" s="80"/>
    </row>
    <row r="38516">
      <c r="AI38516" s="80"/>
    </row>
    <row r="38517">
      <c r="AI38517" s="80"/>
    </row>
    <row r="38518">
      <c r="AI38518" s="80"/>
    </row>
    <row r="38519">
      <c r="AI38519" s="80"/>
    </row>
    <row r="38520">
      <c r="AI38520" s="80"/>
    </row>
    <row r="38521">
      <c r="AI38521" s="80"/>
    </row>
    <row r="38522">
      <c r="AI38522" s="80"/>
    </row>
    <row r="38523">
      <c r="AI38523" s="80"/>
    </row>
    <row r="38524">
      <c r="AI38524" s="80"/>
    </row>
    <row r="38525">
      <c r="AI38525" s="80"/>
    </row>
    <row r="38526">
      <c r="AI38526" s="80"/>
    </row>
    <row r="38527">
      <c r="AI38527" s="80"/>
    </row>
    <row r="38528">
      <c r="AI38528" s="80"/>
    </row>
    <row r="38529">
      <c r="AI38529" s="80"/>
    </row>
    <row r="38530">
      <c r="AI38530" s="80"/>
    </row>
    <row r="38531">
      <c r="AI38531" s="80"/>
    </row>
    <row r="38532">
      <c r="AI38532" s="80"/>
    </row>
    <row r="38533">
      <c r="AI38533" s="80"/>
    </row>
    <row r="38534">
      <c r="AI38534" s="80"/>
    </row>
    <row r="38535">
      <c r="AI38535" s="80"/>
    </row>
    <row r="38536">
      <c r="AI38536" s="80"/>
    </row>
    <row r="38537">
      <c r="AI38537" s="80"/>
    </row>
    <row r="38538">
      <c r="AI38538" s="80"/>
    </row>
    <row r="38539">
      <c r="AI38539" s="80"/>
    </row>
    <row r="38540">
      <c r="AI38540" s="80"/>
    </row>
    <row r="38541">
      <c r="AI38541" s="80"/>
    </row>
    <row r="38542">
      <c r="AI38542" s="80"/>
    </row>
    <row r="38543">
      <c r="AI38543" s="80"/>
    </row>
    <row r="38544">
      <c r="AI38544" s="80"/>
    </row>
    <row r="38545">
      <c r="AI38545" s="80"/>
    </row>
    <row r="38546">
      <c r="AI38546" s="80"/>
    </row>
    <row r="38547">
      <c r="AI38547" s="80"/>
    </row>
    <row r="38548">
      <c r="AI38548" s="80"/>
    </row>
    <row r="38549">
      <c r="AI38549" s="80"/>
    </row>
    <row r="38550">
      <c r="AI38550" s="80"/>
    </row>
    <row r="38551">
      <c r="AI38551" s="80"/>
    </row>
    <row r="38552">
      <c r="AI38552" s="80"/>
    </row>
    <row r="38553">
      <c r="AI38553" s="80"/>
    </row>
    <row r="38554">
      <c r="AI38554" s="80"/>
    </row>
    <row r="38555">
      <c r="AI38555" s="80"/>
    </row>
    <row r="38556">
      <c r="AI38556" s="80"/>
    </row>
    <row r="38557">
      <c r="AI38557" s="80"/>
    </row>
    <row r="38558">
      <c r="AI38558" s="80"/>
    </row>
    <row r="38559">
      <c r="AI38559" s="80"/>
    </row>
    <row r="38560">
      <c r="AI38560" s="80"/>
    </row>
    <row r="38561">
      <c r="AI38561" s="80"/>
    </row>
    <row r="38562">
      <c r="AI38562" s="80"/>
    </row>
    <row r="38563">
      <c r="AI38563" s="80"/>
    </row>
    <row r="38564">
      <c r="AI38564" s="80"/>
    </row>
    <row r="38565">
      <c r="AI38565" s="80"/>
    </row>
    <row r="38566">
      <c r="AI38566" s="80"/>
    </row>
    <row r="38567">
      <c r="AI38567" s="80"/>
    </row>
    <row r="38568">
      <c r="AI38568" s="80"/>
    </row>
    <row r="38569">
      <c r="AI38569" s="80"/>
    </row>
    <row r="38570">
      <c r="AI38570" s="80"/>
    </row>
    <row r="38571">
      <c r="AI38571" s="80"/>
    </row>
    <row r="38572">
      <c r="AI38572" s="80"/>
    </row>
    <row r="38573">
      <c r="AI38573" s="80"/>
    </row>
    <row r="38574">
      <c r="AI38574" s="80"/>
    </row>
    <row r="38575">
      <c r="AI38575" s="80"/>
    </row>
    <row r="38576">
      <c r="AI38576" s="80"/>
    </row>
    <row r="38577">
      <c r="AI38577" s="80"/>
    </row>
    <row r="38578">
      <c r="AI38578" s="80"/>
    </row>
    <row r="38579">
      <c r="AI38579" s="80"/>
    </row>
    <row r="38580">
      <c r="AI38580" s="80"/>
    </row>
    <row r="38581">
      <c r="AI38581" s="80"/>
    </row>
    <row r="38582">
      <c r="AI38582" s="80"/>
    </row>
    <row r="38583">
      <c r="AI38583" s="80"/>
    </row>
    <row r="38584">
      <c r="AI38584" s="80"/>
    </row>
    <row r="38585">
      <c r="AI38585" s="80"/>
    </row>
    <row r="38586">
      <c r="AI38586" s="80"/>
    </row>
    <row r="38587">
      <c r="AI38587" s="80"/>
    </row>
    <row r="38588">
      <c r="AI38588" s="80"/>
    </row>
    <row r="38589">
      <c r="AI38589" s="80"/>
    </row>
    <row r="38590">
      <c r="AI38590" s="80"/>
    </row>
    <row r="38591">
      <c r="AI38591" s="80"/>
    </row>
    <row r="38592">
      <c r="AI38592" s="80"/>
    </row>
    <row r="38593">
      <c r="AI38593" s="80"/>
    </row>
    <row r="38594">
      <c r="AI38594" s="80"/>
    </row>
    <row r="38595">
      <c r="AI38595" s="80"/>
    </row>
    <row r="38596">
      <c r="AI38596" s="80"/>
    </row>
    <row r="38597">
      <c r="AI38597" s="80"/>
    </row>
    <row r="38598">
      <c r="AI38598" s="80"/>
    </row>
    <row r="38599">
      <c r="AI38599" s="80"/>
    </row>
    <row r="38600">
      <c r="AI38600" s="80"/>
    </row>
    <row r="38601">
      <c r="AI38601" s="80"/>
    </row>
    <row r="38602">
      <c r="AI38602" s="80"/>
    </row>
    <row r="38603">
      <c r="AI38603" s="80"/>
    </row>
    <row r="38604">
      <c r="AI38604" s="80"/>
    </row>
    <row r="38605">
      <c r="AI38605" s="80"/>
    </row>
    <row r="38606">
      <c r="AI38606" s="80"/>
    </row>
    <row r="38607">
      <c r="AI38607" s="80"/>
    </row>
    <row r="38608">
      <c r="AI38608" s="80"/>
    </row>
    <row r="38609">
      <c r="AI38609" s="80"/>
    </row>
    <row r="38610">
      <c r="AI38610" s="80"/>
    </row>
    <row r="38611">
      <c r="AI38611" s="80"/>
    </row>
    <row r="38612">
      <c r="AI38612" s="80"/>
    </row>
    <row r="38613">
      <c r="AI38613" s="80"/>
    </row>
    <row r="38614">
      <c r="AI38614" s="80"/>
    </row>
    <row r="38615">
      <c r="AI38615" s="80"/>
    </row>
    <row r="38616">
      <c r="AI38616" s="80"/>
    </row>
    <row r="38617">
      <c r="AI38617" s="80"/>
    </row>
    <row r="38618">
      <c r="AI38618" s="80"/>
    </row>
    <row r="38619">
      <c r="AI38619" s="80"/>
    </row>
    <row r="38620">
      <c r="AI38620" s="80"/>
    </row>
    <row r="38621">
      <c r="AI38621" s="80"/>
    </row>
    <row r="38622">
      <c r="AI38622" s="80"/>
    </row>
    <row r="38623">
      <c r="AI38623" s="80"/>
    </row>
    <row r="38624">
      <c r="AI38624" s="80"/>
    </row>
    <row r="38625">
      <c r="AI38625" s="80"/>
    </row>
    <row r="38626">
      <c r="AI38626" s="80"/>
    </row>
    <row r="38627">
      <c r="AI38627" s="80"/>
    </row>
    <row r="38628">
      <c r="AI38628" s="80"/>
    </row>
    <row r="38629">
      <c r="AI38629" s="80"/>
    </row>
    <row r="38630">
      <c r="AI38630" s="80"/>
    </row>
    <row r="38631">
      <c r="AI38631" s="80"/>
    </row>
    <row r="38632">
      <c r="AI38632" s="80"/>
    </row>
    <row r="38633">
      <c r="AI38633" s="80"/>
    </row>
    <row r="38634">
      <c r="AI38634" s="80"/>
    </row>
    <row r="38635">
      <c r="AI38635" s="80"/>
    </row>
    <row r="38636">
      <c r="AI38636" s="80"/>
    </row>
    <row r="38637">
      <c r="AI38637" s="80"/>
    </row>
    <row r="38638">
      <c r="AI38638" s="80"/>
    </row>
    <row r="38639">
      <c r="AI38639" s="80"/>
    </row>
    <row r="38640">
      <c r="AI38640" s="80"/>
    </row>
    <row r="38641">
      <c r="AI38641" s="80"/>
    </row>
    <row r="38642">
      <c r="AI38642" s="80"/>
    </row>
    <row r="38643">
      <c r="AI38643" s="80"/>
    </row>
    <row r="38644">
      <c r="AI38644" s="80"/>
    </row>
    <row r="38645">
      <c r="AI38645" s="80"/>
    </row>
    <row r="38646">
      <c r="AI38646" s="80"/>
    </row>
    <row r="38647">
      <c r="AI38647" s="80"/>
    </row>
    <row r="38648">
      <c r="AI38648" s="80"/>
    </row>
    <row r="38649">
      <c r="AI38649" s="80"/>
    </row>
    <row r="38650">
      <c r="AI38650" s="80"/>
    </row>
    <row r="38651">
      <c r="AI38651" s="80"/>
    </row>
    <row r="38652">
      <c r="AI38652" s="80"/>
    </row>
    <row r="38653">
      <c r="AI38653" s="80"/>
    </row>
    <row r="38654">
      <c r="AI38654" s="80"/>
    </row>
    <row r="38655">
      <c r="AI38655" s="80"/>
    </row>
    <row r="38656">
      <c r="AI38656" s="80"/>
    </row>
    <row r="38657">
      <c r="AI38657" s="80"/>
    </row>
    <row r="38658">
      <c r="AI38658" s="80"/>
    </row>
    <row r="38659">
      <c r="AI38659" s="80"/>
    </row>
    <row r="38660">
      <c r="AI38660" s="80"/>
    </row>
    <row r="38661">
      <c r="AI38661" s="80"/>
    </row>
    <row r="38662">
      <c r="AI38662" s="80"/>
    </row>
    <row r="38663">
      <c r="AI38663" s="80"/>
    </row>
    <row r="38664">
      <c r="AI38664" s="80"/>
    </row>
    <row r="38665">
      <c r="AI38665" s="80"/>
    </row>
    <row r="38666">
      <c r="AI38666" s="80"/>
    </row>
    <row r="38667">
      <c r="AI38667" s="80"/>
    </row>
    <row r="38668">
      <c r="AI38668" s="80"/>
    </row>
    <row r="38669">
      <c r="AI38669" s="80"/>
    </row>
    <row r="38670">
      <c r="AI38670" s="80"/>
    </row>
    <row r="38671">
      <c r="AI38671" s="80"/>
    </row>
    <row r="38672">
      <c r="AI38672" s="80"/>
    </row>
    <row r="38673">
      <c r="AI38673" s="80"/>
    </row>
    <row r="38674">
      <c r="AI38674" s="80"/>
    </row>
    <row r="38675">
      <c r="AI38675" s="80"/>
    </row>
    <row r="38676">
      <c r="AI38676" s="80"/>
    </row>
    <row r="38677">
      <c r="AI38677" s="80"/>
    </row>
    <row r="38678">
      <c r="AI38678" s="80"/>
    </row>
    <row r="38679">
      <c r="AI38679" s="80"/>
    </row>
    <row r="38680">
      <c r="AI38680" s="80"/>
    </row>
    <row r="38681">
      <c r="AI38681" s="80"/>
    </row>
    <row r="38682">
      <c r="AI38682" s="80"/>
    </row>
    <row r="38683">
      <c r="AI38683" s="80"/>
    </row>
    <row r="38684">
      <c r="AI38684" s="80"/>
    </row>
    <row r="38685">
      <c r="AI38685" s="80"/>
    </row>
    <row r="38686">
      <c r="AI38686" s="80"/>
    </row>
    <row r="38687">
      <c r="AI38687" s="80"/>
    </row>
    <row r="38688">
      <c r="AI38688" s="80"/>
    </row>
    <row r="38689">
      <c r="AI38689" s="80"/>
    </row>
    <row r="38690">
      <c r="AI38690" s="80"/>
    </row>
    <row r="38691">
      <c r="AI38691" s="80"/>
    </row>
    <row r="38692">
      <c r="AI38692" s="80"/>
    </row>
    <row r="38693">
      <c r="AI38693" s="80"/>
    </row>
    <row r="38694">
      <c r="AI38694" s="80"/>
    </row>
    <row r="38695">
      <c r="AI38695" s="80"/>
    </row>
    <row r="38696">
      <c r="AI38696" s="80"/>
    </row>
    <row r="38697">
      <c r="AI38697" s="80"/>
    </row>
    <row r="38698">
      <c r="AI38698" s="80"/>
    </row>
    <row r="38699">
      <c r="AI38699" s="80"/>
    </row>
    <row r="38700">
      <c r="AI38700" s="80"/>
    </row>
    <row r="38701">
      <c r="AI38701" s="80"/>
    </row>
    <row r="38702">
      <c r="AI38702" s="80"/>
    </row>
    <row r="38703">
      <c r="AI38703" s="80"/>
    </row>
    <row r="38704">
      <c r="AI38704" s="80"/>
    </row>
    <row r="38705">
      <c r="AI38705" s="80"/>
    </row>
    <row r="38706">
      <c r="AI38706" s="80"/>
    </row>
    <row r="38707">
      <c r="AI38707" s="80"/>
    </row>
    <row r="38708">
      <c r="AI38708" s="80"/>
    </row>
    <row r="38709">
      <c r="AI38709" s="80"/>
    </row>
    <row r="38710">
      <c r="AI38710" s="80"/>
    </row>
    <row r="38711">
      <c r="AI38711" s="80"/>
    </row>
    <row r="38712">
      <c r="AI38712" s="80"/>
    </row>
    <row r="38713">
      <c r="AI38713" s="80"/>
    </row>
    <row r="38714">
      <c r="AI38714" s="80"/>
    </row>
    <row r="38715">
      <c r="AI38715" s="80"/>
    </row>
    <row r="38716">
      <c r="AI38716" s="80"/>
    </row>
    <row r="38717">
      <c r="AI38717" s="80"/>
    </row>
    <row r="38718">
      <c r="AI38718" s="80"/>
    </row>
    <row r="38719">
      <c r="AI38719" s="80"/>
    </row>
    <row r="38720">
      <c r="AI38720" s="80"/>
    </row>
    <row r="38721">
      <c r="AI38721" s="80"/>
    </row>
    <row r="38722">
      <c r="AI38722" s="80"/>
    </row>
    <row r="38723">
      <c r="AI38723" s="80"/>
    </row>
    <row r="38724">
      <c r="AI38724" s="80"/>
    </row>
    <row r="38725">
      <c r="AI38725" s="80"/>
    </row>
    <row r="38726">
      <c r="AI38726" s="80"/>
    </row>
    <row r="38727">
      <c r="AI38727" s="80"/>
    </row>
    <row r="38728">
      <c r="AI38728" s="80"/>
    </row>
    <row r="38729">
      <c r="AI38729" s="80"/>
    </row>
    <row r="38730">
      <c r="AI38730" s="80"/>
    </row>
    <row r="38731">
      <c r="AI38731" s="80"/>
    </row>
    <row r="38732">
      <c r="AI38732" s="80"/>
    </row>
    <row r="38733">
      <c r="AI38733" s="80"/>
    </row>
    <row r="38734">
      <c r="AI38734" s="80"/>
    </row>
    <row r="38735">
      <c r="AI38735" s="80"/>
    </row>
    <row r="38736">
      <c r="AI38736" s="80"/>
    </row>
    <row r="38737">
      <c r="AI38737" s="80"/>
    </row>
    <row r="38738">
      <c r="AI38738" s="80"/>
    </row>
    <row r="38739">
      <c r="AI38739" s="80"/>
    </row>
    <row r="38740">
      <c r="AI38740" s="80"/>
    </row>
    <row r="38741">
      <c r="AI38741" s="80"/>
    </row>
    <row r="38742">
      <c r="AI38742" s="80"/>
    </row>
    <row r="38743">
      <c r="AI38743" s="80"/>
    </row>
    <row r="38744">
      <c r="AI38744" s="80"/>
    </row>
    <row r="38745">
      <c r="AI38745" s="80"/>
    </row>
    <row r="38746">
      <c r="AI38746" s="80"/>
    </row>
    <row r="38747">
      <c r="AI38747" s="80"/>
    </row>
    <row r="38748">
      <c r="AI38748" s="80"/>
    </row>
    <row r="38749">
      <c r="AI38749" s="80"/>
    </row>
    <row r="38750">
      <c r="AI38750" s="80"/>
    </row>
    <row r="38751">
      <c r="AI38751" s="80"/>
    </row>
    <row r="38752">
      <c r="AI38752" s="80"/>
    </row>
    <row r="38753">
      <c r="AI38753" s="80"/>
    </row>
    <row r="38754">
      <c r="AI38754" s="80"/>
    </row>
    <row r="38755">
      <c r="AI38755" s="80"/>
    </row>
    <row r="38756">
      <c r="AI38756" s="80"/>
    </row>
    <row r="38757">
      <c r="AI38757" s="80"/>
    </row>
    <row r="38758">
      <c r="AI38758" s="80"/>
    </row>
    <row r="38759">
      <c r="AI38759" s="80"/>
    </row>
    <row r="38760">
      <c r="AI38760" s="80"/>
    </row>
    <row r="38761">
      <c r="AI38761" s="80"/>
    </row>
    <row r="38762">
      <c r="AI38762" s="80"/>
    </row>
    <row r="38763">
      <c r="AI38763" s="80"/>
    </row>
    <row r="38764">
      <c r="AI38764" s="80"/>
    </row>
    <row r="38765">
      <c r="AI38765" s="80"/>
    </row>
    <row r="38766">
      <c r="AI38766" s="80"/>
    </row>
    <row r="38767">
      <c r="AI38767" s="80"/>
    </row>
    <row r="38768">
      <c r="AI38768" s="80"/>
    </row>
    <row r="38769">
      <c r="AI38769" s="80"/>
    </row>
    <row r="38770">
      <c r="AI38770" s="80"/>
    </row>
    <row r="38771">
      <c r="AI38771" s="80"/>
    </row>
    <row r="38772">
      <c r="AI38772" s="80"/>
    </row>
    <row r="38773">
      <c r="AI38773" s="80"/>
    </row>
    <row r="38774">
      <c r="AI38774" s="80"/>
    </row>
    <row r="38775">
      <c r="AI38775" s="80"/>
    </row>
    <row r="38776">
      <c r="AI38776" s="80"/>
    </row>
    <row r="38777">
      <c r="AI38777" s="80"/>
    </row>
    <row r="38778">
      <c r="AI38778" s="80"/>
    </row>
    <row r="38779">
      <c r="AI38779" s="80"/>
    </row>
    <row r="38780">
      <c r="AI38780" s="80"/>
    </row>
    <row r="38781">
      <c r="AI38781" s="80"/>
    </row>
    <row r="38782">
      <c r="AI38782" s="80"/>
    </row>
    <row r="38783">
      <c r="AI38783" s="80"/>
    </row>
    <row r="38784">
      <c r="AI38784" s="80"/>
    </row>
    <row r="38785">
      <c r="AI38785" s="80"/>
    </row>
    <row r="38786">
      <c r="AI38786" s="80"/>
    </row>
    <row r="38787">
      <c r="AI38787" s="80"/>
    </row>
    <row r="38788">
      <c r="AI38788" s="80"/>
    </row>
    <row r="38789">
      <c r="AI38789" s="80"/>
    </row>
    <row r="38790">
      <c r="AI38790" s="80"/>
    </row>
    <row r="38791">
      <c r="AI38791" s="80"/>
    </row>
    <row r="38792">
      <c r="AI38792" s="80"/>
    </row>
    <row r="38793">
      <c r="AI38793" s="80"/>
    </row>
    <row r="38794">
      <c r="AI38794" s="80"/>
    </row>
    <row r="38795">
      <c r="AI38795" s="80"/>
    </row>
    <row r="38796">
      <c r="AI38796" s="80"/>
    </row>
    <row r="38797">
      <c r="AI38797" s="80"/>
    </row>
    <row r="38798">
      <c r="AI38798" s="80"/>
    </row>
    <row r="38799">
      <c r="AI38799" s="80"/>
    </row>
    <row r="38800">
      <c r="AI38800" s="80"/>
    </row>
    <row r="38801">
      <c r="AI38801" s="80"/>
    </row>
    <row r="38802">
      <c r="AI38802" s="80"/>
    </row>
    <row r="38803">
      <c r="AI38803" s="80"/>
    </row>
    <row r="38804">
      <c r="AI38804" s="80"/>
    </row>
    <row r="38805">
      <c r="AI38805" s="80"/>
    </row>
    <row r="38806">
      <c r="AI38806" s="80"/>
    </row>
    <row r="38807">
      <c r="AI38807" s="80"/>
    </row>
    <row r="38808">
      <c r="AI38808" s="80"/>
    </row>
    <row r="38809">
      <c r="AI38809" s="80"/>
    </row>
    <row r="38810">
      <c r="AI38810" s="80"/>
    </row>
    <row r="38811">
      <c r="AI38811" s="80"/>
    </row>
    <row r="38812">
      <c r="AI38812" s="80"/>
    </row>
    <row r="38813">
      <c r="AI38813" s="80"/>
    </row>
    <row r="38814">
      <c r="AI38814" s="80"/>
    </row>
    <row r="38815">
      <c r="AI38815" s="80"/>
    </row>
    <row r="38816">
      <c r="AI38816" s="80"/>
    </row>
    <row r="38817">
      <c r="AI38817" s="80"/>
    </row>
    <row r="38818">
      <c r="AI38818" s="80"/>
    </row>
    <row r="38819">
      <c r="AI38819" s="80"/>
    </row>
    <row r="38820">
      <c r="AI38820" s="80"/>
    </row>
    <row r="38821">
      <c r="AI38821" s="80"/>
    </row>
    <row r="38822">
      <c r="AI38822" s="80"/>
    </row>
    <row r="38823">
      <c r="AI38823" s="80"/>
    </row>
    <row r="38824">
      <c r="AI38824" s="80"/>
    </row>
    <row r="38825">
      <c r="AI38825" s="80"/>
    </row>
    <row r="38826">
      <c r="AI38826" s="80"/>
    </row>
    <row r="38827">
      <c r="AI38827" s="80"/>
    </row>
    <row r="38828">
      <c r="AI38828" s="80"/>
    </row>
    <row r="38829">
      <c r="AI38829" s="80"/>
    </row>
    <row r="38830">
      <c r="AI38830" s="80"/>
    </row>
    <row r="38831">
      <c r="AI38831" s="80"/>
    </row>
    <row r="38832">
      <c r="AI38832" s="80"/>
    </row>
    <row r="38833">
      <c r="AI38833" s="80"/>
    </row>
    <row r="38834">
      <c r="AI38834" s="80"/>
    </row>
    <row r="38835">
      <c r="AI38835" s="80"/>
    </row>
    <row r="38836">
      <c r="AI38836" s="80"/>
    </row>
    <row r="38837">
      <c r="AI38837" s="80"/>
    </row>
    <row r="38838">
      <c r="AI38838" s="80"/>
    </row>
    <row r="38839">
      <c r="AI38839" s="80"/>
    </row>
    <row r="38840">
      <c r="AI38840" s="80"/>
    </row>
    <row r="38841">
      <c r="AI38841" s="80"/>
    </row>
    <row r="38842">
      <c r="AI38842" s="80"/>
    </row>
    <row r="38843">
      <c r="AI38843" s="80"/>
    </row>
    <row r="38844">
      <c r="AI38844" s="80"/>
    </row>
    <row r="38845">
      <c r="AI38845" s="80"/>
    </row>
    <row r="38846">
      <c r="AI38846" s="80"/>
    </row>
    <row r="38847">
      <c r="AI38847" s="80"/>
    </row>
    <row r="38848">
      <c r="AI38848" s="80"/>
    </row>
    <row r="38849">
      <c r="AI38849" s="80"/>
    </row>
    <row r="38850">
      <c r="AI38850" s="80"/>
    </row>
    <row r="38851">
      <c r="AI38851" s="80"/>
    </row>
    <row r="38852">
      <c r="AI38852" s="80"/>
    </row>
    <row r="38853">
      <c r="AI38853" s="80"/>
    </row>
    <row r="38854">
      <c r="AI38854" s="80"/>
    </row>
    <row r="38855">
      <c r="AI38855" s="80"/>
    </row>
    <row r="38856">
      <c r="AI38856" s="80"/>
    </row>
    <row r="38857">
      <c r="AI38857" s="80"/>
    </row>
    <row r="38858">
      <c r="AI38858" s="80"/>
    </row>
    <row r="38859">
      <c r="AI38859" s="80"/>
    </row>
    <row r="38860">
      <c r="AI38860" s="80"/>
    </row>
    <row r="38861">
      <c r="AI38861" s="80"/>
    </row>
    <row r="38862">
      <c r="AI38862" s="80"/>
    </row>
    <row r="38863">
      <c r="AI38863" s="80"/>
    </row>
    <row r="38864">
      <c r="AI38864" s="80"/>
    </row>
    <row r="38865">
      <c r="AI38865" s="80"/>
    </row>
    <row r="38866">
      <c r="AI38866" s="80"/>
    </row>
    <row r="38867">
      <c r="AI38867" s="80"/>
    </row>
    <row r="38868">
      <c r="AI38868" s="80"/>
    </row>
    <row r="38869">
      <c r="AI38869" s="80"/>
    </row>
    <row r="38870">
      <c r="AI38870" s="80"/>
    </row>
    <row r="38871">
      <c r="AI38871" s="80"/>
    </row>
    <row r="38872">
      <c r="AI38872" s="80"/>
    </row>
    <row r="38873">
      <c r="AI38873" s="80"/>
    </row>
    <row r="38874">
      <c r="AI38874" s="80"/>
    </row>
    <row r="38875">
      <c r="AI38875" s="80"/>
    </row>
    <row r="38876">
      <c r="AI38876" s="80"/>
    </row>
    <row r="38877">
      <c r="AI38877" s="80"/>
    </row>
    <row r="38878">
      <c r="AI38878" s="80"/>
    </row>
    <row r="38879">
      <c r="AI38879" s="80"/>
    </row>
    <row r="38880">
      <c r="AI38880" s="80"/>
    </row>
    <row r="38881">
      <c r="AI38881" s="80"/>
    </row>
    <row r="38882">
      <c r="AI38882" s="80"/>
    </row>
    <row r="38883">
      <c r="AI38883" s="80"/>
    </row>
    <row r="38884">
      <c r="AI38884" s="80"/>
    </row>
    <row r="38885">
      <c r="AI38885" s="80"/>
    </row>
    <row r="38886">
      <c r="AI38886" s="80"/>
    </row>
    <row r="38887">
      <c r="AI38887" s="80"/>
    </row>
    <row r="38888">
      <c r="AI38888" s="80"/>
    </row>
    <row r="38889">
      <c r="AI38889" s="80"/>
    </row>
    <row r="38890">
      <c r="AI38890" s="80"/>
    </row>
    <row r="38891">
      <c r="AI38891" s="80"/>
    </row>
    <row r="38892">
      <c r="AI38892" s="80"/>
    </row>
    <row r="38893">
      <c r="AI38893" s="80"/>
    </row>
    <row r="38894">
      <c r="AI38894" s="80"/>
    </row>
    <row r="38895">
      <c r="AI38895" s="80"/>
    </row>
    <row r="38896">
      <c r="AI38896" s="80"/>
    </row>
    <row r="38897">
      <c r="AI38897" s="80"/>
    </row>
    <row r="38898">
      <c r="AI38898" s="80"/>
    </row>
    <row r="38899">
      <c r="AI38899" s="80"/>
    </row>
    <row r="38900">
      <c r="AI38900" s="80"/>
    </row>
    <row r="38901">
      <c r="AI38901" s="80"/>
    </row>
    <row r="38902">
      <c r="AI38902" s="80"/>
    </row>
    <row r="38903">
      <c r="AI38903" s="80"/>
    </row>
    <row r="38904">
      <c r="AI38904" s="80"/>
    </row>
    <row r="38905">
      <c r="AI38905" s="80"/>
    </row>
    <row r="38906">
      <c r="AI38906" s="80"/>
    </row>
    <row r="38907">
      <c r="AI38907" s="80"/>
    </row>
    <row r="38908">
      <c r="AI38908" s="80"/>
    </row>
    <row r="38909">
      <c r="AI38909" s="80"/>
    </row>
    <row r="38910">
      <c r="AI38910" s="80"/>
    </row>
    <row r="38911">
      <c r="AI38911" s="80"/>
    </row>
    <row r="38912">
      <c r="AI38912" s="80"/>
    </row>
    <row r="38913">
      <c r="AI38913" s="80"/>
    </row>
    <row r="38914">
      <c r="AI38914" s="80"/>
    </row>
    <row r="38915">
      <c r="AI38915" s="80"/>
    </row>
    <row r="38916">
      <c r="AI38916" s="80"/>
    </row>
    <row r="38917">
      <c r="AI38917" s="80"/>
    </row>
    <row r="38918">
      <c r="AI38918" s="80"/>
    </row>
    <row r="38919">
      <c r="AI38919" s="80"/>
    </row>
    <row r="38920">
      <c r="AI38920" s="80"/>
    </row>
    <row r="38921">
      <c r="AI38921" s="80"/>
    </row>
    <row r="38922">
      <c r="AI38922" s="80"/>
    </row>
    <row r="38923">
      <c r="AI38923" s="80"/>
    </row>
    <row r="38924">
      <c r="AI38924" s="80"/>
    </row>
    <row r="38925">
      <c r="AI38925" s="80"/>
    </row>
    <row r="38926">
      <c r="AI38926" s="80"/>
    </row>
    <row r="38927">
      <c r="AI38927" s="80"/>
    </row>
    <row r="38928">
      <c r="AI38928" s="80"/>
    </row>
    <row r="38929">
      <c r="AI38929" s="80"/>
    </row>
    <row r="38930">
      <c r="AI38930" s="80"/>
    </row>
    <row r="38931">
      <c r="AI38931" s="80"/>
    </row>
    <row r="38932">
      <c r="AI38932" s="80"/>
    </row>
    <row r="38933">
      <c r="AI38933" s="80"/>
    </row>
    <row r="38934">
      <c r="AI38934" s="80"/>
    </row>
    <row r="38935">
      <c r="AI38935" s="80"/>
    </row>
    <row r="38936">
      <c r="AI38936" s="80"/>
    </row>
    <row r="38937">
      <c r="AI38937" s="80"/>
    </row>
    <row r="38938">
      <c r="AI38938" s="80"/>
    </row>
    <row r="38939">
      <c r="AI38939" s="80"/>
    </row>
    <row r="38940">
      <c r="AI38940" s="80"/>
    </row>
    <row r="38941">
      <c r="AI38941" s="80"/>
    </row>
    <row r="38942">
      <c r="AI38942" s="80"/>
    </row>
    <row r="38943">
      <c r="AI38943" s="80"/>
    </row>
    <row r="38944">
      <c r="AI38944" s="80"/>
    </row>
    <row r="38945">
      <c r="AI38945" s="80"/>
    </row>
    <row r="38946">
      <c r="AI38946" s="80"/>
    </row>
    <row r="38947">
      <c r="AI38947" s="80"/>
    </row>
    <row r="38948">
      <c r="AI38948" s="80"/>
    </row>
    <row r="38949">
      <c r="AI38949" s="80"/>
    </row>
    <row r="38950">
      <c r="AI38950" s="80"/>
    </row>
    <row r="38951">
      <c r="AI38951" s="80"/>
    </row>
    <row r="38952">
      <c r="AI38952" s="80"/>
    </row>
    <row r="38953">
      <c r="AI38953" s="80"/>
    </row>
    <row r="38954">
      <c r="AI38954" s="80"/>
    </row>
    <row r="38955">
      <c r="AI38955" s="80"/>
    </row>
    <row r="38956">
      <c r="AI38956" s="80"/>
    </row>
    <row r="38957">
      <c r="AI38957" s="80"/>
    </row>
    <row r="38958">
      <c r="AI38958" s="80"/>
    </row>
    <row r="38959">
      <c r="AI38959" s="80"/>
    </row>
    <row r="38960">
      <c r="AI38960" s="80"/>
    </row>
    <row r="38961">
      <c r="AI38961" s="80"/>
    </row>
    <row r="38962">
      <c r="AI38962" s="80"/>
    </row>
    <row r="38963">
      <c r="AI38963" s="80"/>
    </row>
    <row r="38964">
      <c r="AI38964" s="80"/>
    </row>
    <row r="38965">
      <c r="AI38965" s="80"/>
    </row>
    <row r="38966">
      <c r="AI38966" s="80"/>
    </row>
    <row r="38967">
      <c r="AI38967" s="80"/>
    </row>
    <row r="38968">
      <c r="AI38968" s="80"/>
    </row>
    <row r="38969">
      <c r="AI38969" s="80"/>
    </row>
    <row r="38970">
      <c r="AI38970" s="80"/>
    </row>
    <row r="38971">
      <c r="AI38971" s="80"/>
    </row>
    <row r="38972">
      <c r="AI38972" s="80"/>
    </row>
    <row r="38973">
      <c r="AI38973" s="80"/>
    </row>
    <row r="38974">
      <c r="AI38974" s="80"/>
    </row>
    <row r="38975">
      <c r="AI38975" s="80"/>
    </row>
    <row r="38976">
      <c r="AI38976" s="80"/>
    </row>
    <row r="38977">
      <c r="AI38977" s="80"/>
    </row>
    <row r="38978">
      <c r="AI38978" s="80"/>
    </row>
    <row r="38979">
      <c r="AI38979" s="80"/>
    </row>
    <row r="38980">
      <c r="AI38980" s="80"/>
    </row>
    <row r="38981">
      <c r="AI38981" s="80"/>
    </row>
    <row r="38982">
      <c r="AI38982" s="80"/>
    </row>
    <row r="38983">
      <c r="AI38983" s="80"/>
    </row>
    <row r="38984">
      <c r="AI38984" s="80"/>
    </row>
    <row r="38985">
      <c r="AI38985" s="80"/>
    </row>
    <row r="38986">
      <c r="AI38986" s="80"/>
    </row>
    <row r="38987">
      <c r="AI38987" s="80"/>
    </row>
    <row r="38988">
      <c r="AI38988" s="80"/>
    </row>
    <row r="38989">
      <c r="AI38989" s="80"/>
    </row>
    <row r="38990">
      <c r="AI38990" s="80"/>
    </row>
    <row r="38991">
      <c r="AI38991" s="80"/>
    </row>
    <row r="38992">
      <c r="AI38992" s="80"/>
    </row>
    <row r="38993">
      <c r="AI38993" s="80"/>
    </row>
    <row r="38994">
      <c r="AI38994" s="80"/>
    </row>
    <row r="38995">
      <c r="AI38995" s="80"/>
    </row>
    <row r="38996">
      <c r="AI38996" s="80"/>
    </row>
    <row r="38997">
      <c r="AI38997" s="80"/>
    </row>
    <row r="38998">
      <c r="AI38998" s="80"/>
    </row>
    <row r="38999">
      <c r="AI38999" s="80"/>
    </row>
    <row r="39000">
      <c r="AI39000" s="80"/>
    </row>
    <row r="39001">
      <c r="AI39001" s="80"/>
    </row>
    <row r="39002">
      <c r="AI39002" s="80"/>
    </row>
    <row r="39003">
      <c r="AI39003" s="80"/>
    </row>
    <row r="39004">
      <c r="AI39004" s="80"/>
    </row>
    <row r="39005">
      <c r="AI39005" s="80"/>
    </row>
    <row r="39006">
      <c r="AI39006" s="80"/>
    </row>
    <row r="39007">
      <c r="AI39007" s="80"/>
    </row>
    <row r="39008">
      <c r="AI39008" s="80"/>
    </row>
    <row r="39009">
      <c r="AI39009" s="80"/>
    </row>
    <row r="39010">
      <c r="AI39010" s="80"/>
    </row>
    <row r="39011">
      <c r="AI39011" s="80"/>
    </row>
    <row r="39012">
      <c r="AI39012" s="80"/>
    </row>
    <row r="39013">
      <c r="AI39013" s="80"/>
    </row>
    <row r="39014">
      <c r="AI39014" s="80"/>
    </row>
    <row r="39015">
      <c r="AI39015" s="80"/>
    </row>
    <row r="39016">
      <c r="AI39016" s="80"/>
    </row>
    <row r="39017">
      <c r="AI39017" s="80"/>
    </row>
    <row r="39018">
      <c r="AI39018" s="80"/>
    </row>
    <row r="39019">
      <c r="AI39019" s="80"/>
    </row>
    <row r="39020">
      <c r="AI39020" s="80"/>
    </row>
    <row r="39021">
      <c r="AI39021" s="80"/>
    </row>
    <row r="39022">
      <c r="AI39022" s="80"/>
    </row>
    <row r="39023">
      <c r="AI39023" s="80"/>
    </row>
    <row r="39024">
      <c r="AI39024" s="80"/>
    </row>
    <row r="39025">
      <c r="AI39025" s="80"/>
    </row>
    <row r="39026">
      <c r="AI39026" s="80"/>
    </row>
    <row r="39027">
      <c r="AI39027" s="80"/>
    </row>
    <row r="39028">
      <c r="AI39028" s="80"/>
    </row>
    <row r="39029">
      <c r="AI39029" s="80"/>
    </row>
    <row r="39030">
      <c r="AI39030" s="80"/>
    </row>
    <row r="39031">
      <c r="AI39031" s="80"/>
    </row>
    <row r="39032">
      <c r="AI39032" s="80"/>
    </row>
    <row r="39033">
      <c r="AI39033" s="80"/>
    </row>
    <row r="39034">
      <c r="AI39034" s="80"/>
    </row>
    <row r="39035">
      <c r="AI39035" s="80"/>
    </row>
    <row r="39036">
      <c r="AI39036" s="80"/>
    </row>
    <row r="39037">
      <c r="AI39037" s="80"/>
    </row>
    <row r="39038">
      <c r="AI39038" s="80"/>
    </row>
    <row r="39039">
      <c r="AI39039" s="80"/>
    </row>
    <row r="39040">
      <c r="AI39040" s="80"/>
    </row>
    <row r="39041">
      <c r="AI39041" s="80"/>
    </row>
    <row r="39042">
      <c r="AI39042" s="80"/>
    </row>
    <row r="39043">
      <c r="AI39043" s="80"/>
    </row>
    <row r="39044">
      <c r="AI39044" s="80"/>
    </row>
    <row r="39045">
      <c r="AI39045" s="80"/>
    </row>
    <row r="39046">
      <c r="AI39046" s="80"/>
    </row>
    <row r="39047">
      <c r="AI39047" s="80"/>
    </row>
    <row r="39048">
      <c r="AI39048" s="80"/>
    </row>
    <row r="39049">
      <c r="AI39049" s="80"/>
    </row>
    <row r="39050">
      <c r="AI39050" s="80"/>
    </row>
    <row r="39051">
      <c r="AI39051" s="80"/>
    </row>
    <row r="39052">
      <c r="AI39052" s="80"/>
    </row>
    <row r="39053">
      <c r="AI39053" s="80"/>
    </row>
    <row r="39054">
      <c r="AI39054" s="80"/>
    </row>
    <row r="39055">
      <c r="AI39055" s="80"/>
    </row>
    <row r="39056">
      <c r="AI39056" s="80"/>
    </row>
    <row r="39057">
      <c r="AI39057" s="80"/>
    </row>
    <row r="39058">
      <c r="AI39058" s="80"/>
    </row>
    <row r="39059">
      <c r="AI39059" s="80"/>
    </row>
    <row r="39060">
      <c r="AI39060" s="80"/>
    </row>
    <row r="39061">
      <c r="AI39061" s="80"/>
    </row>
    <row r="39062">
      <c r="AI39062" s="80"/>
    </row>
    <row r="39063">
      <c r="AI39063" s="80"/>
    </row>
    <row r="39064">
      <c r="AI39064" s="80"/>
    </row>
    <row r="39065">
      <c r="AI39065" s="80"/>
    </row>
    <row r="39066">
      <c r="AI39066" s="80"/>
    </row>
    <row r="39067">
      <c r="AI39067" s="80"/>
    </row>
    <row r="39068">
      <c r="AI39068" s="80"/>
    </row>
    <row r="39069">
      <c r="AI39069" s="80"/>
    </row>
    <row r="39070">
      <c r="AI39070" s="80"/>
    </row>
    <row r="39071">
      <c r="AI39071" s="80"/>
    </row>
    <row r="39072">
      <c r="AI39072" s="80"/>
    </row>
    <row r="39073">
      <c r="AI39073" s="80"/>
    </row>
    <row r="39074">
      <c r="AI39074" s="80"/>
    </row>
    <row r="39075">
      <c r="AI39075" s="80"/>
    </row>
    <row r="39076">
      <c r="AI39076" s="80"/>
    </row>
    <row r="39077">
      <c r="AI39077" s="80"/>
    </row>
    <row r="39078">
      <c r="AI39078" s="80"/>
    </row>
    <row r="39079">
      <c r="AI39079" s="80"/>
    </row>
    <row r="39080">
      <c r="AI39080" s="80"/>
    </row>
    <row r="39081">
      <c r="AI39081" s="80"/>
    </row>
    <row r="39082">
      <c r="AI39082" s="80"/>
    </row>
    <row r="39083">
      <c r="AI39083" s="80"/>
    </row>
    <row r="39084">
      <c r="AI39084" s="80"/>
    </row>
    <row r="39085">
      <c r="AI39085" s="80"/>
    </row>
    <row r="39086">
      <c r="AI39086" s="80"/>
    </row>
    <row r="39087">
      <c r="AI39087" s="80"/>
    </row>
    <row r="39088">
      <c r="AI39088" s="80"/>
    </row>
    <row r="39089">
      <c r="AI39089" s="80"/>
    </row>
    <row r="39090">
      <c r="AI39090" s="80"/>
    </row>
    <row r="39091">
      <c r="AI39091" s="80"/>
    </row>
    <row r="39092">
      <c r="AI39092" s="80"/>
    </row>
    <row r="39093">
      <c r="AI39093" s="80"/>
    </row>
    <row r="39094">
      <c r="AI39094" s="80"/>
    </row>
    <row r="39095">
      <c r="AI39095" s="80"/>
    </row>
    <row r="39096">
      <c r="AI39096" s="80"/>
    </row>
    <row r="39097">
      <c r="AI39097" s="80"/>
    </row>
    <row r="39098">
      <c r="AI39098" s="80"/>
    </row>
    <row r="39099">
      <c r="AI39099" s="80"/>
    </row>
    <row r="39100">
      <c r="AI39100" s="80"/>
    </row>
    <row r="39101">
      <c r="AI39101" s="80"/>
    </row>
    <row r="39102">
      <c r="AI39102" s="80"/>
    </row>
    <row r="39103">
      <c r="AI39103" s="80"/>
    </row>
    <row r="39104">
      <c r="AI39104" s="80"/>
    </row>
    <row r="39105">
      <c r="AI39105" s="80"/>
    </row>
    <row r="39106">
      <c r="AI39106" s="80"/>
    </row>
    <row r="39107">
      <c r="AI39107" s="80"/>
    </row>
    <row r="39108">
      <c r="AI39108" s="80"/>
    </row>
    <row r="39109">
      <c r="AI39109" s="80"/>
    </row>
    <row r="39110">
      <c r="AI39110" s="80"/>
    </row>
    <row r="39111">
      <c r="AI39111" s="80"/>
    </row>
    <row r="39112">
      <c r="AI39112" s="80"/>
    </row>
    <row r="39113">
      <c r="AI39113" s="80"/>
    </row>
    <row r="39114">
      <c r="AI39114" s="80"/>
    </row>
    <row r="39115">
      <c r="AI39115" s="80"/>
    </row>
    <row r="39116">
      <c r="AI39116" s="80"/>
    </row>
    <row r="39117">
      <c r="AI39117" s="80"/>
    </row>
    <row r="39118">
      <c r="AI39118" s="80"/>
    </row>
    <row r="39119">
      <c r="AI39119" s="80"/>
    </row>
    <row r="39120">
      <c r="AI39120" s="80"/>
    </row>
    <row r="39121">
      <c r="AI39121" s="80"/>
    </row>
    <row r="39122">
      <c r="AI39122" s="80"/>
    </row>
    <row r="39123">
      <c r="AI39123" s="80"/>
    </row>
    <row r="39124">
      <c r="AI39124" s="80"/>
    </row>
    <row r="39125">
      <c r="AI39125" s="80"/>
    </row>
    <row r="39126">
      <c r="AI39126" s="80"/>
    </row>
    <row r="39127">
      <c r="AI39127" s="80"/>
    </row>
    <row r="39128">
      <c r="AI39128" s="80"/>
    </row>
    <row r="39129">
      <c r="AI39129" s="80"/>
    </row>
    <row r="39130">
      <c r="AI39130" s="80"/>
    </row>
    <row r="39131">
      <c r="AI39131" s="80"/>
    </row>
    <row r="39132">
      <c r="AI39132" s="80"/>
    </row>
    <row r="39133">
      <c r="AI39133" s="80"/>
    </row>
    <row r="39134">
      <c r="AI39134" s="80"/>
    </row>
    <row r="39135">
      <c r="AI39135" s="80"/>
    </row>
    <row r="39136">
      <c r="AI39136" s="80"/>
    </row>
    <row r="39137">
      <c r="AI39137" s="80"/>
    </row>
    <row r="39138">
      <c r="AI39138" s="80"/>
    </row>
    <row r="39139">
      <c r="AI39139" s="80"/>
    </row>
    <row r="39140">
      <c r="AI39140" s="80"/>
    </row>
    <row r="39141">
      <c r="AI39141" s="80"/>
    </row>
    <row r="39142">
      <c r="AI39142" s="80"/>
    </row>
    <row r="39143">
      <c r="AI39143" s="80"/>
    </row>
    <row r="39144">
      <c r="AI39144" s="80"/>
    </row>
    <row r="39145">
      <c r="AI39145" s="80"/>
    </row>
    <row r="39146">
      <c r="AI39146" s="80"/>
    </row>
    <row r="39147">
      <c r="AI39147" s="80"/>
    </row>
    <row r="39148">
      <c r="AI39148" s="80"/>
    </row>
    <row r="39149">
      <c r="AI39149" s="80"/>
    </row>
    <row r="39150">
      <c r="AI39150" s="80"/>
    </row>
    <row r="39151">
      <c r="AI39151" s="80"/>
    </row>
    <row r="39152">
      <c r="AI39152" s="80"/>
    </row>
    <row r="39153">
      <c r="AI39153" s="80"/>
    </row>
    <row r="39154">
      <c r="AI39154" s="80"/>
    </row>
    <row r="39155">
      <c r="AI39155" s="80"/>
    </row>
    <row r="39156">
      <c r="AI39156" s="80"/>
    </row>
    <row r="39157">
      <c r="AI39157" s="80"/>
    </row>
    <row r="39158">
      <c r="AI39158" s="80"/>
    </row>
    <row r="39159">
      <c r="AI39159" s="80"/>
    </row>
    <row r="39160">
      <c r="AI39160" s="80"/>
    </row>
    <row r="39161">
      <c r="AI39161" s="80"/>
    </row>
    <row r="39162">
      <c r="AI39162" s="80"/>
    </row>
    <row r="39163">
      <c r="AI39163" s="80"/>
    </row>
    <row r="39164">
      <c r="AI39164" s="80"/>
    </row>
    <row r="39165">
      <c r="AI39165" s="80"/>
    </row>
    <row r="39166">
      <c r="AI39166" s="80"/>
    </row>
    <row r="39167">
      <c r="AI39167" s="80"/>
    </row>
    <row r="39168">
      <c r="AI39168" s="80"/>
    </row>
    <row r="39169">
      <c r="AI39169" s="80"/>
    </row>
    <row r="39170">
      <c r="AI39170" s="80"/>
    </row>
    <row r="39171">
      <c r="AI39171" s="80"/>
    </row>
    <row r="39172">
      <c r="AI39172" s="80"/>
    </row>
    <row r="39173">
      <c r="AI39173" s="80"/>
    </row>
    <row r="39174">
      <c r="AI39174" s="80"/>
    </row>
    <row r="39175">
      <c r="AI39175" s="80"/>
    </row>
    <row r="39176">
      <c r="AI39176" s="80"/>
    </row>
    <row r="39177">
      <c r="AI39177" s="80"/>
    </row>
    <row r="39178">
      <c r="AI39178" s="80"/>
    </row>
    <row r="39179">
      <c r="AI39179" s="80"/>
    </row>
    <row r="39180">
      <c r="AI39180" s="80"/>
    </row>
    <row r="39181">
      <c r="AI39181" s="80"/>
    </row>
    <row r="39182">
      <c r="AI39182" s="80"/>
    </row>
    <row r="39183">
      <c r="AI39183" s="80"/>
    </row>
    <row r="39184">
      <c r="AI39184" s="80"/>
    </row>
    <row r="39185">
      <c r="AI39185" s="80"/>
    </row>
    <row r="39186">
      <c r="AI39186" s="80"/>
    </row>
    <row r="39187">
      <c r="AI39187" s="80"/>
    </row>
    <row r="39188">
      <c r="AI39188" s="80"/>
    </row>
    <row r="39189">
      <c r="AI39189" s="80"/>
    </row>
    <row r="39190">
      <c r="AI39190" s="80"/>
    </row>
    <row r="39191">
      <c r="AI39191" s="80"/>
    </row>
    <row r="39192">
      <c r="AI39192" s="80"/>
    </row>
    <row r="39193">
      <c r="AI39193" s="80"/>
    </row>
    <row r="39194">
      <c r="AI39194" s="80"/>
    </row>
    <row r="39195">
      <c r="AI39195" s="80"/>
    </row>
    <row r="39196">
      <c r="AI39196" s="80"/>
    </row>
    <row r="39197">
      <c r="AI39197" s="80"/>
    </row>
    <row r="39198">
      <c r="AI39198" s="80"/>
    </row>
    <row r="39199">
      <c r="AI39199" s="80"/>
    </row>
    <row r="39200">
      <c r="AI39200" s="80"/>
    </row>
    <row r="39201">
      <c r="AI39201" s="80"/>
    </row>
    <row r="39202">
      <c r="AI39202" s="80"/>
    </row>
    <row r="39203">
      <c r="AI39203" s="80"/>
    </row>
    <row r="39204">
      <c r="AI39204" s="80"/>
    </row>
    <row r="39205">
      <c r="AI39205" s="80"/>
    </row>
    <row r="39206">
      <c r="AI39206" s="80"/>
    </row>
    <row r="39207">
      <c r="AI39207" s="80"/>
    </row>
    <row r="39208">
      <c r="AI39208" s="80"/>
    </row>
    <row r="39209">
      <c r="AI39209" s="80"/>
    </row>
    <row r="39210">
      <c r="AI39210" s="80"/>
    </row>
    <row r="39211">
      <c r="AI39211" s="80"/>
    </row>
    <row r="39212">
      <c r="AI39212" s="80"/>
    </row>
    <row r="39213">
      <c r="AI39213" s="80"/>
    </row>
    <row r="39214">
      <c r="AI39214" s="80"/>
    </row>
    <row r="39215">
      <c r="AI39215" s="80"/>
    </row>
    <row r="39216">
      <c r="AI39216" s="80"/>
    </row>
    <row r="39217">
      <c r="AI39217" s="80"/>
    </row>
    <row r="39218">
      <c r="AI39218" s="80"/>
    </row>
    <row r="39219">
      <c r="AI39219" s="80"/>
    </row>
    <row r="39220">
      <c r="AI39220" s="80"/>
    </row>
    <row r="39221">
      <c r="AI39221" s="80"/>
    </row>
    <row r="39222">
      <c r="AI39222" s="80"/>
    </row>
    <row r="39223">
      <c r="AI39223" s="80"/>
    </row>
    <row r="39224">
      <c r="AI39224" s="80"/>
    </row>
    <row r="39225">
      <c r="AI39225" s="80"/>
    </row>
    <row r="39226">
      <c r="AI39226" s="80"/>
    </row>
    <row r="39227">
      <c r="AI39227" s="80"/>
    </row>
    <row r="39228">
      <c r="AI39228" s="80"/>
    </row>
    <row r="39229">
      <c r="AI39229" s="80"/>
    </row>
    <row r="39230">
      <c r="AI39230" s="80"/>
    </row>
    <row r="39231">
      <c r="AI39231" s="80"/>
    </row>
    <row r="39232">
      <c r="AI39232" s="80"/>
    </row>
    <row r="39233">
      <c r="AI39233" s="80"/>
    </row>
    <row r="39234">
      <c r="AI39234" s="80"/>
    </row>
    <row r="39235">
      <c r="AI39235" s="80"/>
    </row>
    <row r="39236">
      <c r="AI39236" s="80"/>
    </row>
    <row r="39237">
      <c r="AI39237" s="80"/>
    </row>
    <row r="39238">
      <c r="AI39238" s="80"/>
    </row>
    <row r="39239">
      <c r="AI39239" s="80"/>
    </row>
    <row r="39240">
      <c r="AI39240" s="80"/>
    </row>
    <row r="39241">
      <c r="AI39241" s="80"/>
    </row>
    <row r="39242">
      <c r="AI39242" s="80"/>
    </row>
    <row r="39243">
      <c r="AI39243" s="80"/>
    </row>
    <row r="39244">
      <c r="AI39244" s="80"/>
    </row>
    <row r="39245">
      <c r="AI39245" s="80"/>
    </row>
    <row r="39246">
      <c r="AI39246" s="80"/>
    </row>
    <row r="39247">
      <c r="AI39247" s="80"/>
    </row>
    <row r="39248">
      <c r="AI39248" s="80"/>
    </row>
    <row r="39249">
      <c r="AI39249" s="80"/>
    </row>
    <row r="39250">
      <c r="AI39250" s="80"/>
    </row>
    <row r="39251">
      <c r="AI39251" s="80"/>
    </row>
    <row r="39252">
      <c r="AI39252" s="80"/>
    </row>
    <row r="39253">
      <c r="AI39253" s="80"/>
    </row>
    <row r="39254">
      <c r="AI39254" s="80"/>
    </row>
    <row r="39255">
      <c r="AI39255" s="80"/>
    </row>
    <row r="39256">
      <c r="AI39256" s="80"/>
    </row>
    <row r="39257">
      <c r="AI39257" s="80"/>
    </row>
    <row r="39258">
      <c r="AI39258" s="80"/>
    </row>
    <row r="39259">
      <c r="AI39259" s="80"/>
    </row>
    <row r="39260">
      <c r="AI39260" s="80"/>
    </row>
    <row r="39261">
      <c r="AI39261" s="80"/>
    </row>
    <row r="39262">
      <c r="AI39262" s="80"/>
    </row>
    <row r="39263">
      <c r="AI39263" s="80"/>
    </row>
    <row r="39264">
      <c r="AI39264" s="80"/>
    </row>
    <row r="39265">
      <c r="AI39265" s="80"/>
    </row>
    <row r="39266">
      <c r="AI39266" s="80"/>
    </row>
    <row r="39267">
      <c r="AI39267" s="80"/>
    </row>
    <row r="39268">
      <c r="AI39268" s="80"/>
    </row>
    <row r="39269">
      <c r="AI39269" s="80"/>
    </row>
    <row r="39270">
      <c r="AI39270" s="80"/>
    </row>
    <row r="39271">
      <c r="AI39271" s="80"/>
    </row>
    <row r="39272">
      <c r="AI39272" s="80"/>
    </row>
    <row r="39273">
      <c r="AI39273" s="80"/>
    </row>
    <row r="39274">
      <c r="AI39274" s="80"/>
    </row>
    <row r="39275">
      <c r="AI39275" s="80"/>
    </row>
    <row r="39276">
      <c r="AI39276" s="80"/>
    </row>
    <row r="39277">
      <c r="AI39277" s="80"/>
    </row>
    <row r="39278">
      <c r="AI39278" s="80"/>
    </row>
    <row r="39279">
      <c r="AI39279" s="80"/>
    </row>
    <row r="39280">
      <c r="AI39280" s="80"/>
    </row>
    <row r="39281">
      <c r="AI39281" s="80"/>
    </row>
    <row r="39282">
      <c r="AI39282" s="80"/>
    </row>
    <row r="39283">
      <c r="AI39283" s="80"/>
    </row>
    <row r="39284">
      <c r="AI39284" s="80"/>
    </row>
    <row r="39285">
      <c r="AI39285" s="80"/>
    </row>
    <row r="39286">
      <c r="AI39286" s="80"/>
    </row>
    <row r="39287">
      <c r="AI39287" s="80"/>
    </row>
    <row r="39288">
      <c r="AI39288" s="80"/>
    </row>
    <row r="39289">
      <c r="AI39289" s="80"/>
    </row>
    <row r="39290">
      <c r="AI39290" s="80"/>
    </row>
    <row r="39291">
      <c r="AI39291" s="80"/>
    </row>
    <row r="39292">
      <c r="AI39292" s="80"/>
    </row>
    <row r="39293">
      <c r="AI39293" s="80"/>
    </row>
    <row r="39294">
      <c r="AI39294" s="80"/>
    </row>
    <row r="39295">
      <c r="AI39295" s="80"/>
    </row>
    <row r="39296">
      <c r="AI39296" s="80"/>
    </row>
    <row r="39297">
      <c r="AI39297" s="80"/>
    </row>
    <row r="39298">
      <c r="AI39298" s="80"/>
    </row>
    <row r="39299">
      <c r="AI39299" s="80"/>
    </row>
    <row r="39300">
      <c r="AI39300" s="80"/>
    </row>
    <row r="39301">
      <c r="AI39301" s="80"/>
    </row>
    <row r="39302">
      <c r="AI39302" s="80"/>
    </row>
    <row r="39303">
      <c r="AI39303" s="80"/>
    </row>
    <row r="39304">
      <c r="AI39304" s="80"/>
    </row>
    <row r="39305">
      <c r="AI39305" s="80"/>
    </row>
    <row r="39306">
      <c r="AI39306" s="80"/>
    </row>
    <row r="39307">
      <c r="AI39307" s="80"/>
    </row>
    <row r="39308">
      <c r="AI39308" s="80"/>
    </row>
    <row r="39309">
      <c r="AI39309" s="80"/>
    </row>
    <row r="39310">
      <c r="AI39310" s="80"/>
    </row>
    <row r="39311">
      <c r="AI39311" s="80"/>
    </row>
    <row r="39312">
      <c r="AI39312" s="80"/>
    </row>
    <row r="39313">
      <c r="AI39313" s="80"/>
    </row>
    <row r="39314">
      <c r="AI39314" s="80"/>
    </row>
    <row r="39315">
      <c r="AI39315" s="80"/>
    </row>
    <row r="39316">
      <c r="AI39316" s="80"/>
    </row>
    <row r="39317">
      <c r="AI39317" s="80"/>
    </row>
    <row r="39318">
      <c r="AI39318" s="80"/>
    </row>
    <row r="39319">
      <c r="AI39319" s="80"/>
    </row>
    <row r="39320">
      <c r="AI39320" s="80"/>
    </row>
    <row r="39321">
      <c r="AI39321" s="80"/>
    </row>
    <row r="39322">
      <c r="AI39322" s="80"/>
    </row>
    <row r="39323">
      <c r="AI39323" s="80"/>
    </row>
    <row r="39324">
      <c r="AI39324" s="80"/>
    </row>
    <row r="39325">
      <c r="AI39325" s="80"/>
    </row>
    <row r="39326">
      <c r="AI39326" s="80"/>
    </row>
    <row r="39327">
      <c r="AI39327" s="80"/>
    </row>
    <row r="39328">
      <c r="AI39328" s="80"/>
    </row>
    <row r="39329">
      <c r="AI39329" s="80"/>
    </row>
    <row r="39330">
      <c r="AI39330" s="80"/>
    </row>
    <row r="39331">
      <c r="AI39331" s="80"/>
    </row>
    <row r="39332">
      <c r="AI39332" s="80"/>
    </row>
    <row r="39333">
      <c r="AI39333" s="80"/>
    </row>
    <row r="39334">
      <c r="AI39334" s="80"/>
    </row>
    <row r="39335">
      <c r="AI39335" s="80"/>
    </row>
    <row r="39336">
      <c r="AI39336" s="80"/>
    </row>
    <row r="39337">
      <c r="AI39337" s="80"/>
    </row>
    <row r="39338">
      <c r="AI39338" s="80"/>
    </row>
    <row r="39339">
      <c r="AI39339" s="80"/>
    </row>
    <row r="39340">
      <c r="AI39340" s="80"/>
    </row>
    <row r="39341">
      <c r="AI39341" s="80"/>
    </row>
    <row r="39342">
      <c r="AI39342" s="80"/>
    </row>
    <row r="39343">
      <c r="AI39343" s="80"/>
    </row>
    <row r="39344">
      <c r="AI39344" s="80"/>
    </row>
    <row r="39345">
      <c r="AI39345" s="80"/>
    </row>
    <row r="39346">
      <c r="AI39346" s="80"/>
    </row>
    <row r="39347">
      <c r="AI39347" s="80"/>
    </row>
    <row r="39348">
      <c r="AI39348" s="80"/>
    </row>
    <row r="39349">
      <c r="AI39349" s="80"/>
    </row>
    <row r="39350">
      <c r="AI39350" s="80"/>
    </row>
    <row r="39351">
      <c r="AI39351" s="80"/>
    </row>
    <row r="39352">
      <c r="AI39352" s="80"/>
    </row>
    <row r="39353">
      <c r="AI39353" s="80"/>
    </row>
    <row r="39354">
      <c r="AI39354" s="80"/>
    </row>
    <row r="39355">
      <c r="AI39355" s="80"/>
    </row>
    <row r="39356">
      <c r="AI39356" s="80"/>
    </row>
    <row r="39357">
      <c r="AI39357" s="80"/>
    </row>
    <row r="39358">
      <c r="AI39358" s="80"/>
    </row>
    <row r="39359">
      <c r="AI39359" s="80"/>
    </row>
    <row r="39360">
      <c r="AI39360" s="80"/>
    </row>
    <row r="39361">
      <c r="AI39361" s="80"/>
    </row>
    <row r="39362">
      <c r="AI39362" s="80"/>
    </row>
    <row r="39363">
      <c r="AI39363" s="80"/>
    </row>
    <row r="39364">
      <c r="AI39364" s="80"/>
    </row>
    <row r="39365">
      <c r="AI39365" s="80"/>
    </row>
    <row r="39366">
      <c r="AI39366" s="80"/>
    </row>
    <row r="39367">
      <c r="AI39367" s="80"/>
    </row>
    <row r="39368">
      <c r="AI39368" s="80"/>
    </row>
    <row r="39369">
      <c r="AI39369" s="80"/>
    </row>
    <row r="39370">
      <c r="AI39370" s="80"/>
    </row>
    <row r="39371">
      <c r="AI39371" s="80"/>
    </row>
    <row r="39372">
      <c r="AI39372" s="80"/>
    </row>
    <row r="39373">
      <c r="AI39373" s="80"/>
    </row>
    <row r="39374">
      <c r="AI39374" s="80"/>
    </row>
    <row r="39375">
      <c r="AI39375" s="80"/>
    </row>
    <row r="39376">
      <c r="AI39376" s="80"/>
    </row>
    <row r="39377">
      <c r="AI39377" s="80"/>
    </row>
    <row r="39378">
      <c r="AI39378" s="80"/>
    </row>
    <row r="39379">
      <c r="AI39379" s="80"/>
    </row>
    <row r="39380">
      <c r="AI39380" s="80"/>
    </row>
    <row r="39381">
      <c r="AI39381" s="80"/>
    </row>
    <row r="39382">
      <c r="AI39382" s="80"/>
    </row>
    <row r="39383">
      <c r="AI39383" s="80"/>
    </row>
    <row r="39384">
      <c r="AI39384" s="80"/>
    </row>
    <row r="39385">
      <c r="AI39385" s="80"/>
    </row>
    <row r="39386">
      <c r="AI39386" s="80"/>
    </row>
    <row r="39387">
      <c r="AI39387" s="80"/>
    </row>
    <row r="39388">
      <c r="AI39388" s="80"/>
    </row>
    <row r="39389">
      <c r="AI39389" s="80"/>
    </row>
    <row r="39390">
      <c r="AI39390" s="80"/>
    </row>
    <row r="39391">
      <c r="AI39391" s="80"/>
    </row>
    <row r="39392">
      <c r="AI39392" s="80"/>
    </row>
    <row r="39393">
      <c r="AI39393" s="80"/>
    </row>
    <row r="39394">
      <c r="AI39394" s="80"/>
    </row>
    <row r="39395">
      <c r="AI39395" s="80"/>
    </row>
    <row r="39396">
      <c r="AI39396" s="80"/>
    </row>
    <row r="39397">
      <c r="AI39397" s="80"/>
    </row>
    <row r="39398">
      <c r="AI39398" s="80"/>
    </row>
    <row r="39399">
      <c r="AI39399" s="80"/>
    </row>
    <row r="39400">
      <c r="AI39400" s="80"/>
    </row>
    <row r="39401">
      <c r="AI39401" s="80"/>
    </row>
    <row r="39402">
      <c r="AI39402" s="80"/>
    </row>
    <row r="39403">
      <c r="AI39403" s="80"/>
    </row>
    <row r="39404">
      <c r="AI39404" s="80"/>
    </row>
    <row r="39405">
      <c r="AI39405" s="80"/>
    </row>
    <row r="39406">
      <c r="AI39406" s="80"/>
    </row>
    <row r="39407">
      <c r="AI39407" s="80"/>
    </row>
    <row r="39408">
      <c r="AI39408" s="80"/>
    </row>
    <row r="39409">
      <c r="AI39409" s="80"/>
    </row>
    <row r="39410">
      <c r="AI39410" s="80"/>
    </row>
    <row r="39411">
      <c r="AI39411" s="80"/>
    </row>
    <row r="39412">
      <c r="AI39412" s="80"/>
    </row>
    <row r="39413">
      <c r="AI39413" s="80"/>
    </row>
    <row r="39414">
      <c r="AI39414" s="80"/>
    </row>
    <row r="39415">
      <c r="AI39415" s="80"/>
    </row>
    <row r="39416">
      <c r="AI39416" s="80"/>
    </row>
    <row r="39417">
      <c r="AI39417" s="80"/>
    </row>
    <row r="39418">
      <c r="AI39418" s="80"/>
    </row>
    <row r="39419">
      <c r="AI39419" s="80"/>
    </row>
    <row r="39420">
      <c r="AI39420" s="80"/>
    </row>
    <row r="39421">
      <c r="AI39421" s="80"/>
    </row>
    <row r="39422">
      <c r="AI39422" s="80"/>
    </row>
    <row r="39423">
      <c r="AI39423" s="80"/>
    </row>
    <row r="39424">
      <c r="AI39424" s="80"/>
    </row>
    <row r="39425">
      <c r="AI39425" s="80"/>
    </row>
    <row r="39426">
      <c r="AI39426" s="80"/>
    </row>
    <row r="39427">
      <c r="AI39427" s="80"/>
    </row>
    <row r="39428">
      <c r="AI39428" s="80"/>
    </row>
    <row r="39429">
      <c r="AI39429" s="80"/>
    </row>
    <row r="39430">
      <c r="AI39430" s="80"/>
    </row>
    <row r="39431">
      <c r="AI39431" s="80"/>
    </row>
    <row r="39432">
      <c r="AI39432" s="80"/>
    </row>
    <row r="39433">
      <c r="AI39433" s="80"/>
    </row>
    <row r="39434">
      <c r="AI39434" s="80"/>
    </row>
    <row r="39435">
      <c r="AI39435" s="80"/>
    </row>
    <row r="39436">
      <c r="AI39436" s="80"/>
    </row>
    <row r="39437">
      <c r="AI39437" s="80"/>
    </row>
    <row r="39438">
      <c r="AI39438" s="80"/>
    </row>
    <row r="39439">
      <c r="AI39439" s="80"/>
    </row>
    <row r="39440">
      <c r="AI39440" s="80"/>
    </row>
    <row r="39441">
      <c r="AI39441" s="80"/>
    </row>
    <row r="39442">
      <c r="AI39442" s="80"/>
    </row>
    <row r="39443">
      <c r="AI39443" s="80"/>
    </row>
    <row r="39444">
      <c r="AI39444" s="80"/>
    </row>
    <row r="39445">
      <c r="AI39445" s="80"/>
    </row>
    <row r="39446">
      <c r="AI39446" s="80"/>
    </row>
    <row r="39447">
      <c r="AI39447" s="80"/>
    </row>
    <row r="39448">
      <c r="AI39448" s="80"/>
    </row>
    <row r="39449">
      <c r="AI39449" s="80"/>
    </row>
    <row r="39450">
      <c r="AI39450" s="80"/>
    </row>
    <row r="39451">
      <c r="AI39451" s="80"/>
    </row>
    <row r="39452">
      <c r="AI39452" s="80"/>
    </row>
    <row r="39453">
      <c r="AI39453" s="80"/>
    </row>
    <row r="39454">
      <c r="AI39454" s="80"/>
    </row>
    <row r="39455">
      <c r="AI39455" s="80"/>
    </row>
    <row r="39456">
      <c r="AI39456" s="80"/>
    </row>
    <row r="39457">
      <c r="AI39457" s="80"/>
    </row>
    <row r="39458">
      <c r="AI39458" s="80"/>
    </row>
    <row r="39459">
      <c r="AI39459" s="80"/>
    </row>
    <row r="39460">
      <c r="AI39460" s="80"/>
    </row>
    <row r="39461">
      <c r="AI39461" s="80"/>
    </row>
    <row r="39462">
      <c r="AI39462" s="80"/>
    </row>
    <row r="39463">
      <c r="AI39463" s="80"/>
    </row>
    <row r="39464">
      <c r="AI39464" s="80"/>
    </row>
    <row r="39465">
      <c r="AI39465" s="80"/>
    </row>
    <row r="39466">
      <c r="AI39466" s="80"/>
    </row>
    <row r="39467">
      <c r="AI39467" s="80"/>
    </row>
    <row r="39468">
      <c r="AI39468" s="80"/>
    </row>
    <row r="39469">
      <c r="AI39469" s="80"/>
    </row>
    <row r="39470">
      <c r="AI39470" s="80"/>
    </row>
    <row r="39471">
      <c r="AI39471" s="80"/>
    </row>
    <row r="39472">
      <c r="AI39472" s="80"/>
    </row>
    <row r="39473">
      <c r="AI39473" s="80"/>
    </row>
    <row r="39474">
      <c r="AI39474" s="80"/>
    </row>
    <row r="39475">
      <c r="AI39475" s="80"/>
    </row>
    <row r="39476">
      <c r="AI39476" s="80"/>
    </row>
    <row r="39477">
      <c r="AI39477" s="80"/>
    </row>
    <row r="39478">
      <c r="AI39478" s="80"/>
    </row>
    <row r="39479">
      <c r="AI39479" s="80"/>
    </row>
    <row r="39480">
      <c r="AI39480" s="80"/>
    </row>
    <row r="39481">
      <c r="AI39481" s="80"/>
    </row>
    <row r="39482">
      <c r="AI39482" s="80"/>
    </row>
    <row r="39483">
      <c r="AI39483" s="80"/>
    </row>
    <row r="39484">
      <c r="AI39484" s="80"/>
    </row>
    <row r="39485">
      <c r="AI39485" s="80"/>
    </row>
    <row r="39486">
      <c r="AI39486" s="80"/>
    </row>
    <row r="39487">
      <c r="AI39487" s="80"/>
    </row>
    <row r="39488">
      <c r="AI39488" s="80"/>
    </row>
    <row r="39489">
      <c r="AI39489" s="80"/>
    </row>
    <row r="39490">
      <c r="AI39490" s="80"/>
    </row>
    <row r="39491">
      <c r="AI39491" s="80"/>
    </row>
    <row r="39492">
      <c r="AI39492" s="80"/>
    </row>
    <row r="39493">
      <c r="AI39493" s="80"/>
    </row>
    <row r="39494">
      <c r="AI39494" s="80"/>
    </row>
    <row r="39495">
      <c r="AI39495" s="80"/>
    </row>
    <row r="39496">
      <c r="AI39496" s="80"/>
    </row>
    <row r="39497">
      <c r="AI39497" s="80"/>
    </row>
    <row r="39498">
      <c r="AI39498" s="80"/>
    </row>
    <row r="39499">
      <c r="AI39499" s="80"/>
    </row>
    <row r="39500">
      <c r="AI39500" s="80"/>
    </row>
    <row r="39501">
      <c r="AI39501" s="80"/>
    </row>
    <row r="39502">
      <c r="AI39502" s="80"/>
    </row>
    <row r="39503">
      <c r="AI39503" s="80"/>
    </row>
    <row r="39504">
      <c r="AI39504" s="80"/>
    </row>
    <row r="39505">
      <c r="AI39505" s="80"/>
    </row>
    <row r="39506">
      <c r="AI39506" s="80"/>
    </row>
    <row r="39507">
      <c r="AI39507" s="80"/>
    </row>
    <row r="39508">
      <c r="AI39508" s="80"/>
    </row>
    <row r="39509">
      <c r="AI39509" s="80"/>
    </row>
    <row r="39510">
      <c r="AI39510" s="80"/>
    </row>
    <row r="39511">
      <c r="AI39511" s="80"/>
    </row>
    <row r="39512">
      <c r="AI39512" s="80"/>
    </row>
    <row r="39513">
      <c r="AI39513" s="80"/>
    </row>
    <row r="39514">
      <c r="AI39514" s="80"/>
    </row>
    <row r="39515">
      <c r="AI39515" s="80"/>
    </row>
    <row r="39516">
      <c r="AI39516" s="80"/>
    </row>
    <row r="39517">
      <c r="AI39517" s="80"/>
    </row>
    <row r="39518">
      <c r="AI39518" s="80"/>
    </row>
    <row r="39519">
      <c r="AI39519" s="80"/>
    </row>
    <row r="39520">
      <c r="AI39520" s="80"/>
    </row>
    <row r="39521">
      <c r="AI39521" s="80"/>
    </row>
    <row r="39522">
      <c r="AI39522" s="80"/>
    </row>
    <row r="39523">
      <c r="AI39523" s="80"/>
    </row>
    <row r="39524">
      <c r="AI39524" s="80"/>
    </row>
    <row r="39525">
      <c r="AI39525" s="80"/>
    </row>
    <row r="39526">
      <c r="AI39526" s="80"/>
    </row>
    <row r="39527">
      <c r="AI39527" s="80"/>
    </row>
    <row r="39528">
      <c r="AI39528" s="80"/>
    </row>
    <row r="39529">
      <c r="AI39529" s="80"/>
    </row>
    <row r="39530">
      <c r="AI39530" s="80"/>
    </row>
    <row r="39531">
      <c r="AI39531" s="80"/>
    </row>
    <row r="39532">
      <c r="AI39532" s="80"/>
    </row>
    <row r="39533">
      <c r="AI39533" s="80"/>
    </row>
    <row r="39534">
      <c r="AI39534" s="80"/>
    </row>
    <row r="39535">
      <c r="AI39535" s="80"/>
    </row>
    <row r="39536">
      <c r="AI39536" s="80"/>
    </row>
    <row r="39537">
      <c r="AI39537" s="80"/>
    </row>
    <row r="39538">
      <c r="AI39538" s="80"/>
    </row>
    <row r="39539">
      <c r="AI39539" s="80"/>
    </row>
    <row r="39540">
      <c r="AI39540" s="80"/>
    </row>
    <row r="39541">
      <c r="AI39541" s="80"/>
    </row>
    <row r="39542">
      <c r="AI39542" s="80"/>
    </row>
    <row r="39543">
      <c r="AI39543" s="80"/>
    </row>
    <row r="39544">
      <c r="AI39544" s="80"/>
    </row>
    <row r="39545">
      <c r="AI39545" s="80"/>
    </row>
    <row r="39546">
      <c r="AI39546" s="80"/>
    </row>
    <row r="39547">
      <c r="AI39547" s="80"/>
    </row>
    <row r="39548">
      <c r="AI39548" s="80"/>
    </row>
    <row r="39549">
      <c r="AI39549" s="80"/>
    </row>
    <row r="39550">
      <c r="AI39550" s="80"/>
    </row>
    <row r="39551">
      <c r="AI39551" s="80"/>
    </row>
    <row r="39552">
      <c r="AI39552" s="80"/>
    </row>
    <row r="39553">
      <c r="AI39553" s="80"/>
    </row>
    <row r="39554">
      <c r="AI39554" s="80"/>
    </row>
    <row r="39555">
      <c r="AI39555" s="80"/>
    </row>
    <row r="39556">
      <c r="AI39556" s="80"/>
    </row>
    <row r="39557">
      <c r="AI39557" s="80"/>
    </row>
    <row r="39558">
      <c r="AI39558" s="80"/>
    </row>
    <row r="39559">
      <c r="AI39559" s="80"/>
    </row>
    <row r="39560">
      <c r="AI39560" s="80"/>
    </row>
    <row r="39561">
      <c r="AI39561" s="80"/>
    </row>
    <row r="39562">
      <c r="AI39562" s="80"/>
    </row>
    <row r="39563">
      <c r="AI39563" s="80"/>
    </row>
    <row r="39564">
      <c r="AI39564" s="80"/>
    </row>
    <row r="39565">
      <c r="AI39565" s="80"/>
    </row>
    <row r="39566">
      <c r="AI39566" s="80"/>
    </row>
    <row r="39567">
      <c r="AI39567" s="80"/>
    </row>
    <row r="39568">
      <c r="AI39568" s="80"/>
    </row>
    <row r="39569">
      <c r="AI39569" s="80"/>
    </row>
    <row r="39570">
      <c r="AI39570" s="80"/>
    </row>
    <row r="39571">
      <c r="AI39571" s="80"/>
    </row>
    <row r="39572">
      <c r="AI39572" s="80"/>
    </row>
    <row r="39573">
      <c r="AI39573" s="80"/>
    </row>
    <row r="39574">
      <c r="AI39574" s="80"/>
    </row>
    <row r="39575">
      <c r="AI39575" s="80"/>
    </row>
    <row r="39576">
      <c r="AI39576" s="80"/>
    </row>
    <row r="39577">
      <c r="AI39577" s="80"/>
    </row>
    <row r="39578">
      <c r="AI39578" s="80"/>
    </row>
    <row r="39579">
      <c r="AI39579" s="80"/>
    </row>
    <row r="39580">
      <c r="AI39580" s="80"/>
    </row>
    <row r="39581">
      <c r="AI39581" s="80"/>
    </row>
    <row r="39582">
      <c r="AI39582" s="80"/>
    </row>
    <row r="39583">
      <c r="AI39583" s="80"/>
    </row>
    <row r="39584">
      <c r="AI39584" s="80"/>
    </row>
    <row r="39585">
      <c r="AI39585" s="80"/>
    </row>
    <row r="39586">
      <c r="AI39586" s="80"/>
    </row>
    <row r="39587">
      <c r="AI39587" s="80"/>
    </row>
    <row r="39588">
      <c r="AI39588" s="80"/>
    </row>
    <row r="39589">
      <c r="AI39589" s="80"/>
    </row>
    <row r="39590">
      <c r="AI39590" s="80"/>
    </row>
    <row r="39591">
      <c r="AI39591" s="80"/>
    </row>
    <row r="39592">
      <c r="AI39592" s="80"/>
    </row>
    <row r="39593">
      <c r="AI39593" s="80"/>
    </row>
    <row r="39594">
      <c r="AI39594" s="80"/>
    </row>
    <row r="39595">
      <c r="AI39595" s="80"/>
    </row>
    <row r="39596">
      <c r="AI39596" s="80"/>
    </row>
    <row r="39597">
      <c r="AI39597" s="80"/>
    </row>
    <row r="39598">
      <c r="AI39598" s="80"/>
    </row>
    <row r="39599">
      <c r="AI39599" s="80"/>
    </row>
    <row r="39600">
      <c r="AI39600" s="80"/>
    </row>
    <row r="39601">
      <c r="AI39601" s="80"/>
    </row>
    <row r="39602">
      <c r="AI39602" s="80"/>
    </row>
    <row r="39603">
      <c r="AI39603" s="80"/>
    </row>
    <row r="39604">
      <c r="AI39604" s="80"/>
    </row>
    <row r="39605">
      <c r="AI39605" s="80"/>
    </row>
    <row r="39606">
      <c r="AI39606" s="80"/>
    </row>
    <row r="39607">
      <c r="AI39607" s="80"/>
    </row>
    <row r="39608">
      <c r="AI39608" s="80"/>
    </row>
    <row r="39609">
      <c r="AI39609" s="80"/>
    </row>
    <row r="39610">
      <c r="AI39610" s="80"/>
    </row>
    <row r="39611">
      <c r="AI39611" s="80"/>
    </row>
    <row r="39612">
      <c r="AI39612" s="80"/>
    </row>
    <row r="39613">
      <c r="AI39613" s="80"/>
    </row>
    <row r="39614">
      <c r="AI39614" s="80"/>
    </row>
    <row r="39615">
      <c r="AI39615" s="80"/>
    </row>
    <row r="39616">
      <c r="AI39616" s="80"/>
    </row>
    <row r="39617">
      <c r="AI39617" s="80"/>
    </row>
    <row r="39618">
      <c r="AI39618" s="80"/>
    </row>
    <row r="39619">
      <c r="AI39619" s="80"/>
    </row>
    <row r="39620">
      <c r="AI39620" s="80"/>
    </row>
    <row r="39621">
      <c r="AI39621" s="80"/>
    </row>
    <row r="39622">
      <c r="AI39622" s="80"/>
    </row>
    <row r="39623">
      <c r="AI39623" s="80"/>
    </row>
    <row r="39624">
      <c r="AI39624" s="80"/>
    </row>
    <row r="39625">
      <c r="AI39625" s="80"/>
    </row>
    <row r="39626">
      <c r="AI39626" s="80"/>
    </row>
    <row r="39627">
      <c r="AI39627" s="80"/>
    </row>
    <row r="39628">
      <c r="AI39628" s="80"/>
    </row>
    <row r="39629">
      <c r="AI39629" s="80"/>
    </row>
    <row r="39630">
      <c r="AI39630" s="80"/>
    </row>
    <row r="39631">
      <c r="AI39631" s="80"/>
    </row>
    <row r="39632">
      <c r="AI39632" s="80"/>
    </row>
    <row r="39633">
      <c r="AI39633" s="80"/>
    </row>
    <row r="39634">
      <c r="AI39634" s="80"/>
    </row>
    <row r="39635">
      <c r="AI39635" s="80"/>
    </row>
    <row r="39636">
      <c r="AI39636" s="80"/>
    </row>
    <row r="39637">
      <c r="AI39637" s="80"/>
    </row>
    <row r="39638">
      <c r="AI39638" s="80"/>
    </row>
    <row r="39639">
      <c r="AI39639" s="80"/>
    </row>
    <row r="39640">
      <c r="AI39640" s="80"/>
    </row>
    <row r="39641">
      <c r="AI39641" s="80"/>
    </row>
    <row r="39642">
      <c r="AI39642" s="80"/>
    </row>
    <row r="39643">
      <c r="AI39643" s="80"/>
    </row>
    <row r="39644">
      <c r="AI39644" s="80"/>
    </row>
    <row r="39645">
      <c r="AI39645" s="80"/>
    </row>
    <row r="39646">
      <c r="AI39646" s="80"/>
    </row>
    <row r="39647">
      <c r="AI39647" s="80"/>
    </row>
    <row r="39648">
      <c r="AI39648" s="80"/>
    </row>
    <row r="39649">
      <c r="AI39649" s="80"/>
    </row>
    <row r="39650">
      <c r="AI39650" s="80"/>
    </row>
    <row r="39651">
      <c r="AI39651" s="80"/>
    </row>
    <row r="39652">
      <c r="AI39652" s="80"/>
    </row>
    <row r="39653">
      <c r="AI39653" s="80"/>
    </row>
    <row r="39654">
      <c r="AI39654" s="80"/>
    </row>
    <row r="39655">
      <c r="AI39655" s="80"/>
    </row>
    <row r="39656">
      <c r="AI39656" s="80"/>
    </row>
    <row r="39657">
      <c r="AI39657" s="80"/>
    </row>
    <row r="39658">
      <c r="AI39658" s="80"/>
    </row>
    <row r="39659">
      <c r="AI39659" s="80"/>
    </row>
    <row r="39660">
      <c r="AI39660" s="80"/>
    </row>
    <row r="39661">
      <c r="AI39661" s="80"/>
    </row>
    <row r="39662">
      <c r="AI39662" s="80"/>
    </row>
    <row r="39663">
      <c r="AI39663" s="80"/>
    </row>
    <row r="39664">
      <c r="AI39664" s="80"/>
    </row>
    <row r="39665">
      <c r="AI39665" s="80"/>
    </row>
    <row r="39666">
      <c r="AI39666" s="80"/>
    </row>
    <row r="39667">
      <c r="AI39667" s="80"/>
    </row>
    <row r="39668">
      <c r="AI39668" s="80"/>
    </row>
    <row r="39669">
      <c r="AI39669" s="80"/>
    </row>
    <row r="39670">
      <c r="AI39670" s="80"/>
    </row>
    <row r="39671">
      <c r="AI39671" s="80"/>
    </row>
    <row r="39672">
      <c r="AI39672" s="80"/>
    </row>
    <row r="39673">
      <c r="AI39673" s="80"/>
    </row>
    <row r="39674">
      <c r="AI39674" s="80"/>
    </row>
    <row r="39675">
      <c r="AI39675" s="80"/>
    </row>
    <row r="39676">
      <c r="AI39676" s="80"/>
    </row>
    <row r="39677">
      <c r="AI39677" s="80"/>
    </row>
    <row r="39678">
      <c r="AI39678" s="80"/>
    </row>
    <row r="39679">
      <c r="AI39679" s="80"/>
    </row>
    <row r="39680">
      <c r="AI39680" s="80"/>
    </row>
    <row r="39681">
      <c r="AI39681" s="80"/>
    </row>
    <row r="39682">
      <c r="AI39682" s="80"/>
    </row>
    <row r="39683">
      <c r="AI39683" s="80"/>
    </row>
    <row r="39684">
      <c r="AI39684" s="80"/>
    </row>
    <row r="39685">
      <c r="AI39685" s="80"/>
    </row>
    <row r="39686">
      <c r="AI39686" s="80"/>
    </row>
    <row r="39687">
      <c r="AI39687" s="80"/>
    </row>
    <row r="39688">
      <c r="AI39688" s="80"/>
    </row>
    <row r="39689">
      <c r="AI39689" s="80"/>
    </row>
    <row r="39690">
      <c r="AI39690" s="80"/>
    </row>
    <row r="39691">
      <c r="AI39691" s="80"/>
    </row>
    <row r="39692">
      <c r="AI39692" s="80"/>
    </row>
    <row r="39693">
      <c r="AI39693" s="80"/>
    </row>
    <row r="39694">
      <c r="AI39694" s="80"/>
    </row>
    <row r="39695">
      <c r="AI39695" s="80"/>
    </row>
    <row r="39696">
      <c r="AI39696" s="80"/>
    </row>
    <row r="39697">
      <c r="AI39697" s="80"/>
    </row>
    <row r="39698">
      <c r="AI39698" s="80"/>
    </row>
    <row r="39699">
      <c r="AI39699" s="80"/>
    </row>
    <row r="39700">
      <c r="AI39700" s="80"/>
    </row>
    <row r="39701">
      <c r="AI39701" s="80"/>
    </row>
    <row r="39702">
      <c r="AI39702" s="80"/>
    </row>
    <row r="39703">
      <c r="AI39703" s="80"/>
    </row>
    <row r="39704">
      <c r="AI39704" s="80"/>
    </row>
    <row r="39705">
      <c r="AI39705" s="80"/>
    </row>
    <row r="39706">
      <c r="AI39706" s="80"/>
    </row>
    <row r="39707">
      <c r="AI39707" s="80"/>
    </row>
    <row r="39708">
      <c r="AI39708" s="80"/>
    </row>
    <row r="39709">
      <c r="AI39709" s="80"/>
    </row>
    <row r="39710">
      <c r="AI39710" s="80"/>
    </row>
    <row r="39711">
      <c r="AI39711" s="80"/>
    </row>
    <row r="39712">
      <c r="AI39712" s="80"/>
    </row>
    <row r="39713">
      <c r="AI39713" s="80"/>
    </row>
    <row r="39714">
      <c r="AI39714" s="80"/>
    </row>
    <row r="39715">
      <c r="AI39715" s="80"/>
    </row>
    <row r="39716">
      <c r="AI39716" s="80"/>
    </row>
    <row r="39717">
      <c r="AI39717" s="80"/>
    </row>
    <row r="39718">
      <c r="AI39718" s="80"/>
    </row>
    <row r="39719">
      <c r="AI39719" s="80"/>
    </row>
    <row r="39720">
      <c r="AI39720" s="80"/>
    </row>
    <row r="39721">
      <c r="AI39721" s="80"/>
    </row>
    <row r="39722">
      <c r="AI39722" s="80"/>
    </row>
    <row r="39723">
      <c r="AI39723" s="80"/>
    </row>
    <row r="39724">
      <c r="AI39724" s="80"/>
    </row>
    <row r="39725">
      <c r="AI39725" s="80"/>
    </row>
    <row r="39726">
      <c r="AI39726" s="80"/>
    </row>
    <row r="39727">
      <c r="AI39727" s="80"/>
    </row>
    <row r="39728">
      <c r="AI39728" s="80"/>
    </row>
    <row r="39729">
      <c r="AI39729" s="80"/>
    </row>
    <row r="39730">
      <c r="AI39730" s="80"/>
    </row>
    <row r="39731">
      <c r="AI39731" s="80"/>
    </row>
    <row r="39732">
      <c r="AI39732" s="80"/>
    </row>
    <row r="39733">
      <c r="AI39733" s="80"/>
    </row>
    <row r="39734">
      <c r="AI39734" s="80"/>
    </row>
    <row r="39735">
      <c r="AI39735" s="80"/>
    </row>
    <row r="39736">
      <c r="AI39736" s="80"/>
    </row>
    <row r="39737">
      <c r="AI39737" s="80"/>
    </row>
    <row r="39738">
      <c r="AI39738" s="80"/>
    </row>
    <row r="39739">
      <c r="AI39739" s="80"/>
    </row>
    <row r="39740">
      <c r="AI39740" s="80"/>
    </row>
    <row r="39741">
      <c r="AI39741" s="80"/>
    </row>
    <row r="39742">
      <c r="AI39742" s="80"/>
    </row>
    <row r="39743">
      <c r="AI39743" s="80"/>
    </row>
    <row r="39744">
      <c r="AI39744" s="80"/>
    </row>
    <row r="39745">
      <c r="AI39745" s="80"/>
    </row>
    <row r="39746">
      <c r="AI39746" s="80"/>
    </row>
    <row r="39747">
      <c r="AI39747" s="80"/>
    </row>
    <row r="39748">
      <c r="AI39748" s="80"/>
    </row>
    <row r="39749">
      <c r="AI39749" s="80"/>
    </row>
    <row r="39750">
      <c r="AI39750" s="80"/>
    </row>
    <row r="39751">
      <c r="AI39751" s="80"/>
    </row>
    <row r="39752">
      <c r="AI39752" s="80"/>
    </row>
    <row r="39753">
      <c r="AI39753" s="80"/>
    </row>
    <row r="39754">
      <c r="AI39754" s="80"/>
    </row>
    <row r="39755">
      <c r="AI39755" s="80"/>
    </row>
    <row r="39756">
      <c r="AI39756" s="80"/>
    </row>
    <row r="39757">
      <c r="AI39757" s="80"/>
    </row>
    <row r="39758">
      <c r="AI39758" s="80"/>
    </row>
    <row r="39759">
      <c r="AI39759" s="80"/>
    </row>
    <row r="39760">
      <c r="AI39760" s="80"/>
    </row>
    <row r="39761">
      <c r="AI39761" s="80"/>
    </row>
    <row r="39762">
      <c r="AI39762" s="80"/>
    </row>
    <row r="39763">
      <c r="AI39763" s="80"/>
    </row>
    <row r="39764">
      <c r="AI39764" s="80"/>
    </row>
    <row r="39765">
      <c r="AI39765" s="80"/>
    </row>
    <row r="39766">
      <c r="AI39766" s="80"/>
    </row>
    <row r="39767">
      <c r="AI39767" s="80"/>
    </row>
    <row r="39768">
      <c r="AI39768" s="80"/>
    </row>
    <row r="39769">
      <c r="AI39769" s="80"/>
    </row>
    <row r="39770">
      <c r="AI39770" s="80"/>
    </row>
    <row r="39771">
      <c r="AI39771" s="80"/>
    </row>
    <row r="39772">
      <c r="AI39772" s="80"/>
    </row>
    <row r="39773">
      <c r="AI39773" s="80"/>
    </row>
    <row r="39774">
      <c r="AI39774" s="80"/>
    </row>
    <row r="39775">
      <c r="AI39775" s="80"/>
    </row>
    <row r="39776">
      <c r="AI39776" s="80"/>
    </row>
    <row r="39777">
      <c r="AI39777" s="80"/>
    </row>
    <row r="39778">
      <c r="AI39778" s="80"/>
    </row>
    <row r="39779">
      <c r="AI39779" s="80"/>
    </row>
    <row r="39780">
      <c r="AI39780" s="80"/>
    </row>
    <row r="39781">
      <c r="AI39781" s="80"/>
    </row>
    <row r="39782">
      <c r="AI39782" s="80"/>
    </row>
    <row r="39783">
      <c r="AI39783" s="80"/>
    </row>
    <row r="39784">
      <c r="AI39784" s="80"/>
    </row>
    <row r="39785">
      <c r="AI39785" s="80"/>
    </row>
    <row r="39786">
      <c r="AI39786" s="80"/>
    </row>
    <row r="39787">
      <c r="AI39787" s="80"/>
    </row>
    <row r="39788">
      <c r="AI39788" s="80"/>
    </row>
    <row r="39789">
      <c r="AI39789" s="80"/>
    </row>
    <row r="39790">
      <c r="AI39790" s="80"/>
    </row>
    <row r="39791">
      <c r="AI39791" s="80"/>
    </row>
    <row r="39792">
      <c r="AI39792" s="80"/>
    </row>
    <row r="39793">
      <c r="AI39793" s="80"/>
    </row>
    <row r="39794">
      <c r="AI39794" s="80"/>
    </row>
    <row r="39795">
      <c r="AI39795" s="80"/>
    </row>
    <row r="39796">
      <c r="AI39796" s="80"/>
    </row>
    <row r="39797">
      <c r="AI39797" s="80"/>
    </row>
    <row r="39798">
      <c r="AI39798" s="80"/>
    </row>
    <row r="39799">
      <c r="AI39799" s="80"/>
    </row>
    <row r="39800">
      <c r="AI39800" s="80"/>
    </row>
    <row r="39801">
      <c r="AI39801" s="80"/>
    </row>
    <row r="39802">
      <c r="AI39802" s="80"/>
    </row>
    <row r="39803">
      <c r="AI39803" s="80"/>
    </row>
    <row r="39804">
      <c r="AI39804" s="80"/>
    </row>
    <row r="39805">
      <c r="AI39805" s="80"/>
    </row>
    <row r="39806">
      <c r="AI39806" s="80"/>
    </row>
    <row r="39807">
      <c r="AI39807" s="80"/>
    </row>
    <row r="39808">
      <c r="AI39808" s="80"/>
    </row>
    <row r="39809">
      <c r="AI39809" s="80"/>
    </row>
    <row r="39810">
      <c r="AI39810" s="80"/>
    </row>
    <row r="39811">
      <c r="AI39811" s="80"/>
    </row>
    <row r="39812">
      <c r="AI39812" s="80"/>
    </row>
    <row r="39813">
      <c r="AI39813" s="80"/>
    </row>
    <row r="39814">
      <c r="AI39814" s="80"/>
    </row>
    <row r="39815">
      <c r="AI39815" s="80"/>
    </row>
    <row r="39816">
      <c r="AI39816" s="80"/>
    </row>
    <row r="39817">
      <c r="AI39817" s="80"/>
    </row>
    <row r="39818">
      <c r="AI39818" s="80"/>
    </row>
    <row r="39819">
      <c r="AI39819" s="80"/>
    </row>
    <row r="39820">
      <c r="AI39820" s="80"/>
    </row>
    <row r="39821">
      <c r="AI39821" s="80"/>
    </row>
    <row r="39822">
      <c r="AI39822" s="80"/>
    </row>
    <row r="39823">
      <c r="AI39823" s="80"/>
    </row>
    <row r="39824">
      <c r="AI39824" s="80"/>
    </row>
    <row r="39825">
      <c r="AI39825" s="80"/>
    </row>
    <row r="39826">
      <c r="AI39826" s="80"/>
    </row>
    <row r="39827">
      <c r="AI39827" s="80"/>
    </row>
    <row r="39828">
      <c r="AI39828" s="80"/>
    </row>
    <row r="39829">
      <c r="AI39829" s="80"/>
    </row>
    <row r="39830">
      <c r="AI39830" s="80"/>
    </row>
    <row r="39831">
      <c r="AI39831" s="80"/>
    </row>
    <row r="39832">
      <c r="AI39832" s="80"/>
    </row>
    <row r="39833">
      <c r="AI39833" s="80"/>
    </row>
    <row r="39834">
      <c r="AI39834" s="80"/>
    </row>
    <row r="39835">
      <c r="AI39835" s="80"/>
    </row>
    <row r="39836">
      <c r="AI39836" s="80"/>
    </row>
    <row r="39837">
      <c r="AI39837" s="80"/>
    </row>
    <row r="39838">
      <c r="AI39838" s="80"/>
    </row>
    <row r="39839">
      <c r="AI39839" s="80"/>
    </row>
    <row r="39840">
      <c r="AI39840" s="80"/>
    </row>
    <row r="39841">
      <c r="AI39841" s="80"/>
    </row>
    <row r="39842">
      <c r="AI39842" s="80"/>
    </row>
    <row r="39843">
      <c r="AI39843" s="80"/>
    </row>
    <row r="39844">
      <c r="AI39844" s="80"/>
    </row>
    <row r="39845">
      <c r="AI39845" s="80"/>
    </row>
    <row r="39846">
      <c r="AI39846" s="80"/>
    </row>
    <row r="39847">
      <c r="AI39847" s="80"/>
    </row>
    <row r="39848">
      <c r="AI39848" s="80"/>
    </row>
    <row r="39849">
      <c r="AI39849" s="80"/>
    </row>
    <row r="39850">
      <c r="AI39850" s="80"/>
    </row>
    <row r="39851">
      <c r="AI39851" s="80"/>
    </row>
    <row r="39852">
      <c r="AI39852" s="80"/>
    </row>
    <row r="39853">
      <c r="AI39853" s="80"/>
    </row>
    <row r="39854">
      <c r="AI39854" s="80"/>
    </row>
    <row r="39855">
      <c r="AI39855" s="80"/>
    </row>
    <row r="39856">
      <c r="AI39856" s="80"/>
    </row>
    <row r="39857">
      <c r="AI39857" s="80"/>
    </row>
    <row r="39858">
      <c r="AI39858" s="80"/>
    </row>
    <row r="39859">
      <c r="AI39859" s="80"/>
    </row>
    <row r="39860">
      <c r="AI39860" s="80"/>
    </row>
    <row r="39861">
      <c r="AI39861" s="80"/>
    </row>
    <row r="39862">
      <c r="AI39862" s="80"/>
    </row>
    <row r="39863">
      <c r="AI39863" s="80"/>
    </row>
    <row r="39864">
      <c r="AI39864" s="80"/>
    </row>
    <row r="39865">
      <c r="AI39865" s="80"/>
    </row>
    <row r="39866">
      <c r="AI39866" s="80"/>
    </row>
    <row r="39867">
      <c r="AI39867" s="80"/>
    </row>
    <row r="39868">
      <c r="AI39868" s="80"/>
    </row>
    <row r="39869">
      <c r="AI39869" s="80"/>
    </row>
    <row r="39870">
      <c r="AI39870" s="80"/>
    </row>
    <row r="39871">
      <c r="AI39871" s="80"/>
    </row>
    <row r="39872">
      <c r="AI39872" s="80"/>
    </row>
    <row r="39873">
      <c r="AI39873" s="80"/>
    </row>
    <row r="39874">
      <c r="AI39874" s="80"/>
    </row>
    <row r="39875">
      <c r="AI39875" s="80"/>
    </row>
    <row r="39876">
      <c r="AI39876" s="80"/>
    </row>
    <row r="39877">
      <c r="AI39877" s="80"/>
    </row>
    <row r="39878">
      <c r="AI39878" s="80"/>
    </row>
    <row r="39879">
      <c r="AI39879" s="80"/>
    </row>
    <row r="39880">
      <c r="AI39880" s="80"/>
    </row>
    <row r="39881">
      <c r="AI39881" s="80"/>
    </row>
    <row r="39882">
      <c r="AI39882" s="80"/>
    </row>
    <row r="39883">
      <c r="AI39883" s="80"/>
    </row>
    <row r="39884">
      <c r="AI39884" s="80"/>
    </row>
    <row r="39885">
      <c r="AI39885" s="80"/>
    </row>
    <row r="39886">
      <c r="AI39886" s="80"/>
    </row>
    <row r="39887">
      <c r="AI39887" s="80"/>
    </row>
    <row r="39888">
      <c r="AI39888" s="80"/>
    </row>
    <row r="39889">
      <c r="AI39889" s="80"/>
    </row>
    <row r="39890">
      <c r="AI39890" s="80"/>
    </row>
    <row r="39891">
      <c r="AI39891" s="80"/>
    </row>
    <row r="39892">
      <c r="AI39892" s="80"/>
    </row>
    <row r="39893">
      <c r="AI39893" s="80"/>
    </row>
    <row r="39894">
      <c r="AI39894" s="80"/>
    </row>
    <row r="39895">
      <c r="AI39895" s="80"/>
    </row>
    <row r="39896">
      <c r="AI39896" s="80"/>
    </row>
    <row r="39897">
      <c r="AI39897" s="80"/>
    </row>
    <row r="39898">
      <c r="AI39898" s="80"/>
    </row>
    <row r="39899">
      <c r="AI39899" s="80"/>
    </row>
    <row r="39900">
      <c r="AI39900" s="80"/>
    </row>
    <row r="39901">
      <c r="AI39901" s="80"/>
    </row>
    <row r="39902">
      <c r="AI39902" s="80"/>
    </row>
    <row r="39903">
      <c r="AI39903" s="80"/>
    </row>
    <row r="39904">
      <c r="AI39904" s="80"/>
    </row>
    <row r="39905">
      <c r="AI39905" s="80"/>
    </row>
    <row r="39906">
      <c r="AI39906" s="80"/>
    </row>
    <row r="39907">
      <c r="AI39907" s="80"/>
    </row>
    <row r="39908">
      <c r="AI39908" s="80"/>
    </row>
    <row r="39909">
      <c r="AI39909" s="80"/>
    </row>
    <row r="39910">
      <c r="AI39910" s="80"/>
    </row>
    <row r="39911">
      <c r="AI39911" s="80"/>
    </row>
    <row r="39912">
      <c r="AI39912" s="80"/>
    </row>
    <row r="39913">
      <c r="AI39913" s="80"/>
    </row>
    <row r="39914">
      <c r="AI39914" s="80"/>
    </row>
    <row r="39915">
      <c r="AI39915" s="80"/>
    </row>
    <row r="39916">
      <c r="AI39916" s="80"/>
    </row>
    <row r="39917">
      <c r="AI39917" s="80"/>
    </row>
    <row r="39918">
      <c r="AI39918" s="80"/>
    </row>
    <row r="39919">
      <c r="AI39919" s="80"/>
    </row>
    <row r="39920">
      <c r="AI39920" s="80"/>
    </row>
    <row r="39921">
      <c r="AI39921" s="80"/>
    </row>
    <row r="39922">
      <c r="AI39922" s="80"/>
    </row>
    <row r="39923">
      <c r="AI39923" s="80"/>
    </row>
    <row r="39924">
      <c r="AI39924" s="80"/>
    </row>
    <row r="39925">
      <c r="AI39925" s="80"/>
    </row>
    <row r="39926">
      <c r="AI39926" s="80"/>
    </row>
    <row r="39927">
      <c r="AI39927" s="80"/>
    </row>
    <row r="39928">
      <c r="AI39928" s="80"/>
    </row>
    <row r="39929">
      <c r="AI39929" s="80"/>
    </row>
    <row r="39930">
      <c r="AI39930" s="80"/>
    </row>
    <row r="39931">
      <c r="AI39931" s="80"/>
    </row>
    <row r="39932">
      <c r="AI39932" s="80"/>
    </row>
    <row r="39933">
      <c r="AI39933" s="80"/>
    </row>
    <row r="39934">
      <c r="AI39934" s="80"/>
    </row>
    <row r="39935">
      <c r="AI39935" s="80"/>
    </row>
    <row r="39936">
      <c r="AI39936" s="80"/>
    </row>
    <row r="39937">
      <c r="AI39937" s="80"/>
    </row>
    <row r="39938">
      <c r="AI39938" s="80"/>
    </row>
    <row r="39939">
      <c r="AI39939" s="80"/>
    </row>
    <row r="39940">
      <c r="AI39940" s="80"/>
    </row>
    <row r="39941">
      <c r="AI39941" s="80"/>
    </row>
    <row r="39942">
      <c r="AI39942" s="80"/>
    </row>
    <row r="39943">
      <c r="AI39943" s="80"/>
    </row>
    <row r="39944">
      <c r="AI39944" s="80"/>
    </row>
    <row r="39945">
      <c r="AI39945" s="80"/>
    </row>
    <row r="39946">
      <c r="AI39946" s="80"/>
    </row>
    <row r="39947">
      <c r="AI39947" s="80"/>
    </row>
    <row r="39948">
      <c r="AI39948" s="80"/>
    </row>
    <row r="39949">
      <c r="AI39949" s="80"/>
    </row>
    <row r="39950">
      <c r="AI39950" s="80"/>
    </row>
    <row r="39951">
      <c r="AI39951" s="80"/>
    </row>
    <row r="39952">
      <c r="AI39952" s="80"/>
    </row>
    <row r="39953">
      <c r="AI39953" s="80"/>
    </row>
    <row r="39954">
      <c r="AI39954" s="80"/>
    </row>
    <row r="39955">
      <c r="AI39955" s="80"/>
    </row>
    <row r="39956">
      <c r="AI39956" s="80"/>
    </row>
    <row r="39957">
      <c r="AI39957" s="80"/>
    </row>
    <row r="39958">
      <c r="AI39958" s="80"/>
    </row>
    <row r="39959">
      <c r="AI39959" s="80"/>
    </row>
    <row r="39960">
      <c r="AI39960" s="80"/>
    </row>
    <row r="39961">
      <c r="AI39961" s="80"/>
    </row>
    <row r="39962">
      <c r="AI39962" s="80"/>
    </row>
    <row r="39963">
      <c r="AI39963" s="80"/>
    </row>
    <row r="39964">
      <c r="AI39964" s="80"/>
    </row>
    <row r="39965">
      <c r="AI39965" s="80"/>
    </row>
    <row r="39966">
      <c r="AI39966" s="80"/>
    </row>
    <row r="39967">
      <c r="AI39967" s="80"/>
    </row>
    <row r="39968">
      <c r="AI39968" s="80"/>
    </row>
    <row r="39969">
      <c r="AI39969" s="80"/>
    </row>
    <row r="39970">
      <c r="AI39970" s="80"/>
    </row>
    <row r="39971">
      <c r="AI39971" s="80"/>
    </row>
    <row r="39972">
      <c r="AI39972" s="80"/>
    </row>
    <row r="39973">
      <c r="AI39973" s="80"/>
    </row>
    <row r="39974">
      <c r="AI39974" s="80"/>
    </row>
    <row r="39975">
      <c r="AI39975" s="80"/>
    </row>
    <row r="39976">
      <c r="AI39976" s="80"/>
    </row>
    <row r="39977">
      <c r="AI39977" s="80"/>
    </row>
    <row r="39978">
      <c r="AI39978" s="80"/>
    </row>
    <row r="39979">
      <c r="AI39979" s="80"/>
    </row>
    <row r="39980">
      <c r="AI39980" s="80"/>
    </row>
    <row r="39981">
      <c r="AI39981" s="80"/>
    </row>
    <row r="39982">
      <c r="AI39982" s="80"/>
    </row>
    <row r="39983">
      <c r="AI39983" s="80"/>
    </row>
    <row r="39984">
      <c r="AI39984" s="80"/>
    </row>
    <row r="39985">
      <c r="AI39985" s="80"/>
    </row>
    <row r="39986">
      <c r="AI39986" s="80"/>
    </row>
    <row r="39987">
      <c r="AI39987" s="80"/>
    </row>
    <row r="39988">
      <c r="AI39988" s="80"/>
    </row>
    <row r="39989">
      <c r="AI39989" s="80"/>
    </row>
    <row r="39990">
      <c r="AI39990" s="80"/>
    </row>
    <row r="39991">
      <c r="AI39991" s="80"/>
    </row>
    <row r="39992">
      <c r="AI39992" s="80"/>
    </row>
    <row r="39993">
      <c r="AI39993" s="80"/>
    </row>
    <row r="39994">
      <c r="AI39994" s="80"/>
    </row>
    <row r="39995">
      <c r="AI39995" s="80"/>
    </row>
    <row r="39996">
      <c r="AI39996" s="80"/>
    </row>
    <row r="39997">
      <c r="AI39997" s="80"/>
    </row>
    <row r="39998">
      <c r="AI39998" s="80"/>
    </row>
    <row r="39999">
      <c r="AI39999" s="80"/>
    </row>
    <row r="40000">
      <c r="AI40000" s="80"/>
    </row>
    <row r="40001">
      <c r="AI40001" s="80"/>
    </row>
    <row r="40002">
      <c r="AI40002" s="80"/>
    </row>
    <row r="40003">
      <c r="AI40003" s="80"/>
    </row>
    <row r="40004">
      <c r="AI40004" s="80"/>
    </row>
    <row r="40005">
      <c r="AI40005" s="80"/>
    </row>
    <row r="40006">
      <c r="AI40006" s="80"/>
    </row>
    <row r="40007">
      <c r="AI40007" s="80"/>
    </row>
    <row r="40008">
      <c r="AI40008" s="80"/>
    </row>
    <row r="40009">
      <c r="AI40009" s="80"/>
    </row>
    <row r="40010">
      <c r="AI40010" s="80"/>
    </row>
    <row r="40011">
      <c r="AI40011" s="80"/>
    </row>
    <row r="40012">
      <c r="AI40012" s="80"/>
    </row>
    <row r="40013">
      <c r="AI40013" s="80"/>
    </row>
    <row r="40014">
      <c r="AI40014" s="80"/>
    </row>
    <row r="40015">
      <c r="AI40015" s="80"/>
    </row>
    <row r="40016">
      <c r="AI40016" s="80"/>
    </row>
    <row r="40017">
      <c r="AI40017" s="80"/>
    </row>
    <row r="40018">
      <c r="AI40018" s="80"/>
    </row>
    <row r="40019">
      <c r="AI40019" s="80"/>
    </row>
    <row r="40020">
      <c r="AI40020" s="80"/>
    </row>
    <row r="40021">
      <c r="AI40021" s="80"/>
    </row>
    <row r="40022">
      <c r="AI40022" s="80"/>
    </row>
    <row r="40023">
      <c r="AI40023" s="80"/>
    </row>
    <row r="40024">
      <c r="AI40024" s="80"/>
    </row>
    <row r="40025">
      <c r="AI40025" s="80"/>
    </row>
    <row r="40026">
      <c r="AI40026" s="80"/>
    </row>
    <row r="40027">
      <c r="AI40027" s="80"/>
    </row>
    <row r="40028">
      <c r="AI40028" s="80"/>
    </row>
    <row r="40029">
      <c r="AI40029" s="80"/>
    </row>
    <row r="40030">
      <c r="AI40030" s="80"/>
    </row>
    <row r="40031">
      <c r="AI40031" s="80"/>
    </row>
    <row r="40032">
      <c r="AI40032" s="80"/>
    </row>
    <row r="40033">
      <c r="AI40033" s="80"/>
    </row>
    <row r="40034">
      <c r="AI40034" s="80"/>
    </row>
    <row r="40035">
      <c r="AI40035" s="80"/>
    </row>
    <row r="40036">
      <c r="AI40036" s="80"/>
    </row>
    <row r="40037">
      <c r="AI40037" s="80"/>
    </row>
    <row r="40038">
      <c r="AI40038" s="80"/>
    </row>
    <row r="40039">
      <c r="AI40039" s="80"/>
    </row>
    <row r="40040">
      <c r="AI40040" s="80"/>
    </row>
    <row r="40041">
      <c r="AI40041" s="80"/>
    </row>
    <row r="40042">
      <c r="AI40042" s="80"/>
    </row>
    <row r="40043">
      <c r="AI40043" s="80"/>
    </row>
    <row r="40044">
      <c r="AI40044" s="80"/>
    </row>
    <row r="40045">
      <c r="AI40045" s="80"/>
    </row>
    <row r="40046">
      <c r="AI40046" s="80"/>
    </row>
    <row r="40047">
      <c r="AI40047" s="80"/>
    </row>
    <row r="40048">
      <c r="AI40048" s="80"/>
    </row>
    <row r="40049">
      <c r="AI40049" s="80"/>
    </row>
    <row r="40050">
      <c r="AI40050" s="80"/>
    </row>
    <row r="40051">
      <c r="AI40051" s="80"/>
    </row>
    <row r="40052">
      <c r="AI40052" s="80"/>
    </row>
    <row r="40053">
      <c r="AI40053" s="80"/>
    </row>
    <row r="40054">
      <c r="AI40054" s="80"/>
    </row>
    <row r="40055">
      <c r="AI40055" s="80"/>
    </row>
    <row r="40056">
      <c r="AI40056" s="80"/>
    </row>
    <row r="40057">
      <c r="AI40057" s="80"/>
    </row>
    <row r="40058">
      <c r="AI40058" s="80"/>
    </row>
    <row r="40059">
      <c r="AI40059" s="80"/>
    </row>
    <row r="40060">
      <c r="AI40060" s="80"/>
    </row>
    <row r="40061">
      <c r="AI40061" s="80"/>
    </row>
    <row r="40062">
      <c r="AI40062" s="80"/>
    </row>
    <row r="40063">
      <c r="AI40063" s="80"/>
    </row>
    <row r="40064">
      <c r="AI40064" s="80"/>
    </row>
    <row r="40065">
      <c r="AI40065" s="80"/>
    </row>
    <row r="40066">
      <c r="AI40066" s="80"/>
    </row>
    <row r="40067">
      <c r="AI40067" s="80"/>
    </row>
    <row r="40068">
      <c r="AI40068" s="80"/>
    </row>
    <row r="40069">
      <c r="AI40069" s="80"/>
    </row>
    <row r="40070">
      <c r="AI40070" s="80"/>
    </row>
    <row r="40071">
      <c r="AI40071" s="80"/>
    </row>
    <row r="40072">
      <c r="AI40072" s="80"/>
    </row>
    <row r="40073">
      <c r="AI40073" s="80"/>
    </row>
    <row r="40074">
      <c r="AI40074" s="80"/>
    </row>
    <row r="40075">
      <c r="AI40075" s="80"/>
    </row>
    <row r="40076">
      <c r="AI40076" s="80"/>
    </row>
    <row r="40077">
      <c r="AI40077" s="80"/>
    </row>
    <row r="40078">
      <c r="AI40078" s="80"/>
    </row>
    <row r="40079">
      <c r="AI40079" s="80"/>
    </row>
    <row r="40080">
      <c r="AI40080" s="80"/>
    </row>
    <row r="40081">
      <c r="AI40081" s="80"/>
    </row>
    <row r="40082">
      <c r="AI40082" s="80"/>
    </row>
    <row r="40083">
      <c r="AI40083" s="80"/>
    </row>
    <row r="40084">
      <c r="AI40084" s="80"/>
    </row>
    <row r="40085">
      <c r="AI40085" s="80"/>
    </row>
    <row r="40086">
      <c r="AI40086" s="80"/>
    </row>
    <row r="40087">
      <c r="AI40087" s="80"/>
    </row>
    <row r="40088">
      <c r="AI40088" s="80"/>
    </row>
    <row r="40089">
      <c r="AI40089" s="80"/>
    </row>
    <row r="40090">
      <c r="AI40090" s="80"/>
    </row>
    <row r="40091">
      <c r="AI40091" s="80"/>
    </row>
    <row r="40092">
      <c r="AI40092" s="80"/>
    </row>
    <row r="40093">
      <c r="AI40093" s="80"/>
    </row>
    <row r="40094">
      <c r="AI40094" s="80"/>
    </row>
    <row r="40095">
      <c r="AI40095" s="80"/>
    </row>
    <row r="40096">
      <c r="AI40096" s="80"/>
    </row>
    <row r="40097">
      <c r="AI40097" s="80"/>
    </row>
    <row r="40098">
      <c r="AI40098" s="80"/>
    </row>
    <row r="40099">
      <c r="AI40099" s="80"/>
    </row>
    <row r="40100">
      <c r="AI40100" s="80"/>
    </row>
    <row r="40101">
      <c r="AI40101" s="80"/>
    </row>
    <row r="40102">
      <c r="AI40102" s="80"/>
    </row>
    <row r="40103">
      <c r="AI40103" s="80"/>
    </row>
    <row r="40104">
      <c r="AI40104" s="80"/>
    </row>
    <row r="40105">
      <c r="AI40105" s="80"/>
    </row>
    <row r="40106">
      <c r="AI40106" s="80"/>
    </row>
    <row r="40107">
      <c r="AI40107" s="80"/>
    </row>
    <row r="40108">
      <c r="AI40108" s="80"/>
    </row>
    <row r="40109">
      <c r="AI40109" s="80"/>
    </row>
    <row r="40110">
      <c r="AI40110" s="80"/>
    </row>
    <row r="40111">
      <c r="AI40111" s="80"/>
    </row>
    <row r="40112">
      <c r="AI40112" s="80"/>
    </row>
    <row r="40113">
      <c r="AI40113" s="80"/>
    </row>
    <row r="40114">
      <c r="AI40114" s="80"/>
    </row>
    <row r="40115">
      <c r="AI40115" s="80"/>
    </row>
    <row r="40116">
      <c r="AI40116" s="80"/>
    </row>
    <row r="40117">
      <c r="AI40117" s="80"/>
    </row>
    <row r="40118">
      <c r="AI40118" s="80"/>
    </row>
    <row r="40119">
      <c r="AI40119" s="80"/>
    </row>
    <row r="40120">
      <c r="AI40120" s="80"/>
    </row>
    <row r="40121">
      <c r="AI40121" s="80"/>
    </row>
    <row r="40122">
      <c r="AI40122" s="80"/>
    </row>
    <row r="40123">
      <c r="AI40123" s="80"/>
    </row>
    <row r="40124">
      <c r="AI40124" s="80"/>
    </row>
    <row r="40125">
      <c r="AI40125" s="80"/>
    </row>
    <row r="40126">
      <c r="AI40126" s="80"/>
    </row>
    <row r="40127">
      <c r="AI40127" s="80"/>
    </row>
    <row r="40128">
      <c r="AI40128" s="80"/>
    </row>
    <row r="40129">
      <c r="AI40129" s="80"/>
    </row>
    <row r="40130">
      <c r="AI40130" s="80"/>
    </row>
    <row r="40131">
      <c r="AI40131" s="80"/>
    </row>
    <row r="40132">
      <c r="AI40132" s="80"/>
    </row>
    <row r="40133">
      <c r="AI40133" s="80"/>
    </row>
    <row r="40134">
      <c r="AI40134" s="80"/>
    </row>
    <row r="40135">
      <c r="AI40135" s="80"/>
    </row>
    <row r="40136">
      <c r="AI40136" s="80"/>
    </row>
    <row r="40137">
      <c r="AI40137" s="80"/>
    </row>
    <row r="40138">
      <c r="AI40138" s="80"/>
    </row>
    <row r="40139">
      <c r="AI40139" s="80"/>
    </row>
    <row r="40140">
      <c r="AI40140" s="80"/>
    </row>
    <row r="40141">
      <c r="AI40141" s="80"/>
    </row>
    <row r="40142">
      <c r="AI40142" s="80"/>
    </row>
    <row r="40143">
      <c r="AI40143" s="80"/>
    </row>
    <row r="40144">
      <c r="AI40144" s="80"/>
    </row>
    <row r="40145">
      <c r="AI40145" s="80"/>
    </row>
    <row r="40146">
      <c r="AI40146" s="80"/>
    </row>
    <row r="40147">
      <c r="AI40147" s="80"/>
    </row>
    <row r="40148">
      <c r="AI40148" s="80"/>
    </row>
    <row r="40149">
      <c r="AI40149" s="80"/>
    </row>
    <row r="40150">
      <c r="AI40150" s="80"/>
    </row>
    <row r="40151">
      <c r="AI40151" s="80"/>
    </row>
    <row r="40152">
      <c r="AI40152" s="80"/>
    </row>
    <row r="40153">
      <c r="AI40153" s="80"/>
    </row>
    <row r="40154">
      <c r="AI40154" s="80"/>
    </row>
    <row r="40155">
      <c r="AI40155" s="80"/>
    </row>
    <row r="40156">
      <c r="AI40156" s="80"/>
    </row>
    <row r="40157">
      <c r="AI40157" s="80"/>
    </row>
    <row r="40158">
      <c r="AI40158" s="80"/>
    </row>
    <row r="40159">
      <c r="AI40159" s="80"/>
    </row>
    <row r="40160">
      <c r="AI40160" s="80"/>
    </row>
    <row r="40161">
      <c r="AI40161" s="80"/>
    </row>
    <row r="40162">
      <c r="AI40162" s="80"/>
    </row>
    <row r="40163">
      <c r="AI40163" s="80"/>
    </row>
    <row r="40164">
      <c r="AI40164" s="80"/>
    </row>
    <row r="40165">
      <c r="AI40165" s="80"/>
    </row>
    <row r="40166">
      <c r="AI40166" s="80"/>
    </row>
    <row r="40167">
      <c r="AI40167" s="80"/>
    </row>
    <row r="40168">
      <c r="AI40168" s="80"/>
    </row>
    <row r="40169">
      <c r="AI40169" s="80"/>
    </row>
    <row r="40170">
      <c r="AI40170" s="80"/>
    </row>
    <row r="40171">
      <c r="AI40171" s="80"/>
    </row>
    <row r="40172">
      <c r="AI40172" s="80"/>
    </row>
    <row r="40173">
      <c r="AI40173" s="80"/>
    </row>
    <row r="40174">
      <c r="AI40174" s="80"/>
    </row>
    <row r="40175">
      <c r="AI40175" s="80"/>
    </row>
    <row r="40176">
      <c r="AI40176" s="80"/>
    </row>
    <row r="40177">
      <c r="AI40177" s="80"/>
    </row>
    <row r="40178">
      <c r="AI40178" s="80"/>
    </row>
    <row r="40179">
      <c r="AI40179" s="80"/>
    </row>
    <row r="40180">
      <c r="AI40180" s="80"/>
    </row>
    <row r="40181">
      <c r="AI40181" s="80"/>
    </row>
    <row r="40182">
      <c r="AI40182" s="80"/>
    </row>
    <row r="40183">
      <c r="AI40183" s="80"/>
    </row>
    <row r="40184">
      <c r="AI40184" s="80"/>
    </row>
    <row r="40185">
      <c r="AI40185" s="80"/>
    </row>
    <row r="40186">
      <c r="AI40186" s="80"/>
    </row>
    <row r="40187">
      <c r="AI40187" s="80"/>
    </row>
    <row r="40188">
      <c r="AI40188" s="80"/>
    </row>
    <row r="40189">
      <c r="AI40189" s="80"/>
    </row>
    <row r="40190">
      <c r="AI40190" s="80"/>
    </row>
    <row r="40191">
      <c r="AI40191" s="80"/>
    </row>
    <row r="40192">
      <c r="AI40192" s="80"/>
    </row>
    <row r="40193">
      <c r="AI40193" s="80"/>
    </row>
    <row r="40194">
      <c r="AI40194" s="80"/>
    </row>
    <row r="40195">
      <c r="AI40195" s="80"/>
    </row>
    <row r="40196">
      <c r="AI40196" s="80"/>
    </row>
    <row r="40197">
      <c r="AI40197" s="80"/>
    </row>
    <row r="40198">
      <c r="AI40198" s="80"/>
    </row>
    <row r="40199">
      <c r="AI40199" s="80"/>
    </row>
    <row r="40200">
      <c r="AI40200" s="80"/>
    </row>
    <row r="40201">
      <c r="AI40201" s="80"/>
    </row>
    <row r="40202">
      <c r="AI40202" s="80"/>
    </row>
    <row r="40203">
      <c r="AI40203" s="80"/>
    </row>
    <row r="40204">
      <c r="AI40204" s="80"/>
    </row>
    <row r="40205">
      <c r="AI40205" s="80"/>
    </row>
    <row r="40206">
      <c r="AI40206" s="80"/>
    </row>
    <row r="40207">
      <c r="AI40207" s="80"/>
    </row>
    <row r="40208">
      <c r="AI40208" s="80"/>
    </row>
    <row r="40209">
      <c r="AI40209" s="80"/>
    </row>
    <row r="40210">
      <c r="AI40210" s="80"/>
    </row>
    <row r="40211">
      <c r="AI40211" s="80"/>
    </row>
    <row r="40212">
      <c r="AI40212" s="80"/>
    </row>
    <row r="40213">
      <c r="AI40213" s="80"/>
    </row>
    <row r="40214">
      <c r="AI40214" s="80"/>
    </row>
    <row r="40215">
      <c r="AI40215" s="80"/>
    </row>
    <row r="40216">
      <c r="AI40216" s="80"/>
    </row>
    <row r="40217">
      <c r="AI40217" s="80"/>
    </row>
    <row r="40218">
      <c r="AI40218" s="80"/>
    </row>
    <row r="40219">
      <c r="AI40219" s="80"/>
    </row>
    <row r="40220">
      <c r="AI40220" s="80"/>
    </row>
    <row r="40221">
      <c r="AI40221" s="80"/>
    </row>
    <row r="40222">
      <c r="AI40222" s="80"/>
    </row>
    <row r="40223">
      <c r="AI40223" s="80"/>
    </row>
    <row r="40224">
      <c r="AI40224" s="80"/>
    </row>
    <row r="40225">
      <c r="AI40225" s="80"/>
    </row>
    <row r="40226">
      <c r="AI40226" s="80"/>
    </row>
    <row r="40227">
      <c r="AI40227" s="80"/>
    </row>
    <row r="40228">
      <c r="AI40228" s="80"/>
    </row>
    <row r="40229">
      <c r="AI40229" s="80"/>
    </row>
    <row r="40230">
      <c r="AI40230" s="80"/>
    </row>
    <row r="40231">
      <c r="AI40231" s="80"/>
    </row>
    <row r="40232">
      <c r="AI40232" s="80"/>
    </row>
    <row r="40233">
      <c r="AI40233" s="80"/>
    </row>
    <row r="40234">
      <c r="AI40234" s="80"/>
    </row>
    <row r="40235">
      <c r="AI40235" s="80"/>
    </row>
    <row r="40236">
      <c r="AI40236" s="80"/>
    </row>
    <row r="40237">
      <c r="AI40237" s="80"/>
    </row>
    <row r="40238">
      <c r="AI40238" s="80"/>
    </row>
    <row r="40239">
      <c r="AI40239" s="80"/>
    </row>
    <row r="40240">
      <c r="AI40240" s="80"/>
    </row>
    <row r="40241">
      <c r="AI40241" s="80"/>
    </row>
    <row r="40242">
      <c r="AI40242" s="80"/>
    </row>
    <row r="40243">
      <c r="AI40243" s="80"/>
    </row>
    <row r="40244">
      <c r="AI40244" s="80"/>
    </row>
    <row r="40245">
      <c r="AI40245" s="80"/>
    </row>
    <row r="40246">
      <c r="AI40246" s="80"/>
    </row>
    <row r="40247">
      <c r="AI40247" s="80"/>
    </row>
    <row r="40248">
      <c r="AI40248" s="80"/>
    </row>
    <row r="40249">
      <c r="AI40249" s="80"/>
    </row>
    <row r="40250">
      <c r="AI40250" s="80"/>
    </row>
    <row r="40251">
      <c r="AI40251" s="80"/>
    </row>
    <row r="40252">
      <c r="AI40252" s="80"/>
    </row>
    <row r="40253">
      <c r="AI40253" s="80"/>
    </row>
    <row r="40254">
      <c r="AI40254" s="80"/>
    </row>
    <row r="40255">
      <c r="AI40255" s="80"/>
    </row>
    <row r="40256">
      <c r="AI40256" s="80"/>
    </row>
    <row r="40257">
      <c r="AI40257" s="80"/>
    </row>
    <row r="40258">
      <c r="AI40258" s="80"/>
    </row>
    <row r="40259">
      <c r="AI40259" s="80"/>
    </row>
    <row r="40260">
      <c r="AI40260" s="80"/>
    </row>
    <row r="40261">
      <c r="AI40261" s="80"/>
    </row>
    <row r="40262">
      <c r="AI40262" s="80"/>
    </row>
    <row r="40263">
      <c r="AI40263" s="80"/>
    </row>
    <row r="40264">
      <c r="AI40264" s="80"/>
    </row>
    <row r="40265">
      <c r="AI40265" s="80"/>
    </row>
    <row r="40266">
      <c r="AI40266" s="80"/>
    </row>
    <row r="40267">
      <c r="AI40267" s="80"/>
    </row>
    <row r="40268">
      <c r="AI40268" s="80"/>
    </row>
    <row r="40269">
      <c r="AI40269" s="80"/>
    </row>
    <row r="40270">
      <c r="AI40270" s="80"/>
    </row>
    <row r="40271">
      <c r="AI40271" s="80"/>
    </row>
    <row r="40272">
      <c r="AI40272" s="80"/>
    </row>
    <row r="40273">
      <c r="AI40273" s="80"/>
    </row>
    <row r="40274">
      <c r="AI40274" s="80"/>
    </row>
    <row r="40275">
      <c r="AI40275" s="80"/>
    </row>
    <row r="40276">
      <c r="AI40276" s="80"/>
    </row>
    <row r="40277">
      <c r="AI40277" s="80"/>
    </row>
    <row r="40278">
      <c r="AI40278" s="80"/>
    </row>
    <row r="40279">
      <c r="AI40279" s="80"/>
    </row>
    <row r="40280">
      <c r="AI40280" s="80"/>
    </row>
    <row r="40281">
      <c r="AI40281" s="80"/>
    </row>
    <row r="40282">
      <c r="AI40282" s="80"/>
    </row>
    <row r="40283">
      <c r="AI40283" s="80"/>
    </row>
    <row r="40284">
      <c r="AI40284" s="80"/>
    </row>
    <row r="40285">
      <c r="AI40285" s="80"/>
    </row>
    <row r="40286">
      <c r="AI40286" s="80"/>
    </row>
    <row r="40287">
      <c r="AI40287" s="80"/>
    </row>
    <row r="40288">
      <c r="AI40288" s="80"/>
    </row>
    <row r="40289">
      <c r="AI40289" s="80"/>
    </row>
    <row r="40290">
      <c r="AI40290" s="80"/>
    </row>
    <row r="40291">
      <c r="AI40291" s="80"/>
    </row>
    <row r="40292">
      <c r="AI40292" s="80"/>
    </row>
    <row r="40293">
      <c r="AI40293" s="80"/>
    </row>
    <row r="40294">
      <c r="AI40294" s="80"/>
    </row>
    <row r="40295">
      <c r="AI40295" s="80"/>
    </row>
    <row r="40296">
      <c r="AI40296" s="80"/>
    </row>
    <row r="40297">
      <c r="AI40297" s="80"/>
    </row>
    <row r="40298">
      <c r="AI40298" s="80"/>
    </row>
    <row r="40299">
      <c r="AI40299" s="80"/>
    </row>
    <row r="40300">
      <c r="AI40300" s="80"/>
    </row>
    <row r="40301">
      <c r="AI40301" s="80"/>
    </row>
    <row r="40302">
      <c r="AI40302" s="80"/>
    </row>
    <row r="40303">
      <c r="AI40303" s="80"/>
    </row>
    <row r="40304">
      <c r="AI40304" s="80"/>
    </row>
    <row r="40305">
      <c r="AI40305" s="80"/>
    </row>
    <row r="40306">
      <c r="AI40306" s="80"/>
    </row>
    <row r="40307">
      <c r="AI40307" s="80"/>
    </row>
    <row r="40308">
      <c r="AI40308" s="80"/>
    </row>
    <row r="40309">
      <c r="AI40309" s="80"/>
    </row>
    <row r="40310">
      <c r="AI40310" s="80"/>
    </row>
    <row r="40311">
      <c r="AI40311" s="80"/>
    </row>
    <row r="40312">
      <c r="AI40312" s="80"/>
    </row>
    <row r="40313">
      <c r="AI40313" s="80"/>
    </row>
    <row r="40314">
      <c r="AI40314" s="80"/>
    </row>
    <row r="40315">
      <c r="AI40315" s="80"/>
    </row>
    <row r="40316">
      <c r="AI40316" s="80"/>
    </row>
    <row r="40317">
      <c r="AI40317" s="80"/>
    </row>
    <row r="40318">
      <c r="AI40318" s="80"/>
    </row>
    <row r="40319">
      <c r="AI40319" s="80"/>
    </row>
    <row r="40320">
      <c r="AI40320" s="80"/>
    </row>
    <row r="40321">
      <c r="AI40321" s="80"/>
    </row>
    <row r="40322">
      <c r="AI40322" s="80"/>
    </row>
    <row r="40323">
      <c r="AI40323" s="80"/>
    </row>
    <row r="40324">
      <c r="AI40324" s="80"/>
    </row>
    <row r="40325">
      <c r="AI40325" s="80"/>
    </row>
    <row r="40326">
      <c r="AI40326" s="80"/>
    </row>
    <row r="40327">
      <c r="AI40327" s="80"/>
    </row>
    <row r="40328">
      <c r="AI40328" s="80"/>
    </row>
    <row r="40329">
      <c r="AI40329" s="80"/>
    </row>
    <row r="40330">
      <c r="AI40330" s="80"/>
    </row>
    <row r="40331">
      <c r="AI40331" s="80"/>
    </row>
    <row r="40332">
      <c r="AI40332" s="80"/>
    </row>
    <row r="40333">
      <c r="AI40333" s="80"/>
    </row>
    <row r="40334">
      <c r="AI40334" s="80"/>
    </row>
    <row r="40335">
      <c r="AI40335" s="80"/>
    </row>
    <row r="40336">
      <c r="AI40336" s="80"/>
    </row>
    <row r="40337">
      <c r="AI40337" s="80"/>
    </row>
    <row r="40338">
      <c r="AI40338" s="80"/>
    </row>
    <row r="40339">
      <c r="AI40339" s="80"/>
    </row>
    <row r="40340">
      <c r="AI40340" s="80"/>
    </row>
    <row r="40341">
      <c r="AI40341" s="80"/>
    </row>
    <row r="40342">
      <c r="AI40342" s="80"/>
    </row>
    <row r="40343">
      <c r="AI40343" s="80"/>
    </row>
    <row r="40344">
      <c r="AI40344" s="80"/>
    </row>
    <row r="40345">
      <c r="AI40345" s="80"/>
    </row>
    <row r="40346">
      <c r="AI40346" s="80"/>
    </row>
    <row r="40347">
      <c r="AI40347" s="80"/>
    </row>
    <row r="40348">
      <c r="AI40348" s="80"/>
    </row>
    <row r="40349">
      <c r="AI40349" s="80"/>
    </row>
    <row r="40350">
      <c r="AI40350" s="80"/>
    </row>
    <row r="40351">
      <c r="AI40351" s="80"/>
    </row>
    <row r="40352">
      <c r="AI40352" s="80"/>
    </row>
    <row r="40353">
      <c r="AI40353" s="80"/>
    </row>
    <row r="40354">
      <c r="AI40354" s="80"/>
    </row>
    <row r="40355">
      <c r="AI40355" s="80"/>
    </row>
    <row r="40356">
      <c r="AI40356" s="80"/>
    </row>
    <row r="40357">
      <c r="AI40357" s="80"/>
    </row>
    <row r="40358">
      <c r="AI40358" s="80"/>
    </row>
    <row r="40359">
      <c r="AI40359" s="80"/>
    </row>
    <row r="40360">
      <c r="AI40360" s="80"/>
    </row>
    <row r="40361">
      <c r="AI40361" s="80"/>
    </row>
    <row r="40362">
      <c r="AI40362" s="80"/>
    </row>
    <row r="40363">
      <c r="AI40363" s="80"/>
    </row>
    <row r="40364">
      <c r="AI40364" s="80"/>
    </row>
    <row r="40365">
      <c r="AI40365" s="80"/>
    </row>
    <row r="40366">
      <c r="AI40366" s="80"/>
    </row>
    <row r="40367">
      <c r="AI40367" s="80"/>
    </row>
    <row r="40368">
      <c r="AI40368" s="80"/>
    </row>
    <row r="40369">
      <c r="AI40369" s="80"/>
    </row>
    <row r="40370">
      <c r="AI40370" s="80"/>
    </row>
    <row r="40371">
      <c r="AI40371" s="80"/>
    </row>
    <row r="40372">
      <c r="AI40372" s="80"/>
    </row>
    <row r="40373">
      <c r="AI40373" s="80"/>
    </row>
    <row r="40374">
      <c r="AI40374" s="80"/>
    </row>
    <row r="40375">
      <c r="AI40375" s="80"/>
    </row>
    <row r="40376">
      <c r="AI40376" s="80"/>
    </row>
    <row r="40377">
      <c r="AI40377" s="80"/>
    </row>
    <row r="40378">
      <c r="AI40378" s="80"/>
    </row>
    <row r="40379">
      <c r="AI40379" s="80"/>
    </row>
    <row r="40380">
      <c r="AI40380" s="80"/>
    </row>
    <row r="40381">
      <c r="AI40381" s="80"/>
    </row>
    <row r="40382">
      <c r="AI40382" s="80"/>
    </row>
    <row r="40383">
      <c r="AI40383" s="80"/>
    </row>
    <row r="40384">
      <c r="AI40384" s="80"/>
    </row>
    <row r="40385">
      <c r="AI40385" s="80"/>
    </row>
    <row r="40386">
      <c r="AI40386" s="80"/>
    </row>
    <row r="40387">
      <c r="AI40387" s="80"/>
    </row>
    <row r="40388">
      <c r="AI40388" s="80"/>
    </row>
    <row r="40389">
      <c r="AI40389" s="80"/>
    </row>
    <row r="40390">
      <c r="AI40390" s="80"/>
    </row>
    <row r="40391">
      <c r="AI40391" s="80"/>
    </row>
    <row r="40392">
      <c r="AI40392" s="80"/>
    </row>
    <row r="40393">
      <c r="AI40393" s="80"/>
    </row>
    <row r="40394">
      <c r="AI40394" s="80"/>
    </row>
    <row r="40395">
      <c r="AI40395" s="80"/>
    </row>
    <row r="40396">
      <c r="AI40396" s="80"/>
    </row>
    <row r="40397">
      <c r="AI40397" s="80"/>
    </row>
    <row r="40398">
      <c r="AI40398" s="80"/>
    </row>
    <row r="40399">
      <c r="AI40399" s="80"/>
    </row>
    <row r="40400">
      <c r="AI40400" s="80"/>
    </row>
    <row r="40401">
      <c r="AI40401" s="80"/>
    </row>
    <row r="40402">
      <c r="AI40402" s="80"/>
    </row>
    <row r="40403">
      <c r="AI40403" s="80"/>
    </row>
    <row r="40404">
      <c r="AI40404" s="80"/>
    </row>
    <row r="40405">
      <c r="AI40405" s="80"/>
    </row>
    <row r="40406">
      <c r="AI40406" s="80"/>
    </row>
    <row r="40407">
      <c r="AI40407" s="80"/>
    </row>
    <row r="40408">
      <c r="AI40408" s="80"/>
    </row>
    <row r="40409">
      <c r="AI40409" s="80"/>
    </row>
    <row r="40410">
      <c r="AI40410" s="80"/>
    </row>
    <row r="40411">
      <c r="AI40411" s="80"/>
    </row>
    <row r="40412">
      <c r="AI40412" s="80"/>
    </row>
    <row r="40413">
      <c r="AI40413" s="80"/>
    </row>
    <row r="40414">
      <c r="AI40414" s="80"/>
    </row>
    <row r="40415">
      <c r="AI40415" s="80"/>
    </row>
    <row r="40416">
      <c r="AI40416" s="80"/>
    </row>
    <row r="40417">
      <c r="AI40417" s="80"/>
    </row>
    <row r="40418">
      <c r="AI40418" s="80"/>
    </row>
    <row r="40419">
      <c r="AI40419" s="80"/>
    </row>
    <row r="40420">
      <c r="AI40420" s="80"/>
    </row>
    <row r="40421">
      <c r="AI40421" s="80"/>
    </row>
    <row r="40422">
      <c r="AI40422" s="80"/>
    </row>
    <row r="40423">
      <c r="AI40423" s="80"/>
    </row>
    <row r="40424">
      <c r="AI40424" s="80"/>
    </row>
    <row r="40425">
      <c r="AI40425" s="80"/>
    </row>
    <row r="40426">
      <c r="AI40426" s="80"/>
    </row>
    <row r="40427">
      <c r="AI40427" s="80"/>
    </row>
    <row r="40428">
      <c r="AI40428" s="80"/>
    </row>
    <row r="40429">
      <c r="AI40429" s="80"/>
    </row>
    <row r="40430">
      <c r="AI40430" s="80"/>
    </row>
    <row r="40431">
      <c r="AI40431" s="80"/>
    </row>
    <row r="40432">
      <c r="AI40432" s="80"/>
    </row>
    <row r="40433">
      <c r="AI40433" s="80"/>
    </row>
    <row r="40434">
      <c r="AI40434" s="80"/>
    </row>
    <row r="40435">
      <c r="AI40435" s="80"/>
    </row>
    <row r="40436">
      <c r="AI40436" s="80"/>
    </row>
    <row r="40437">
      <c r="AI40437" s="80"/>
    </row>
    <row r="40438">
      <c r="AI40438" s="80"/>
    </row>
    <row r="40439">
      <c r="AI40439" s="80"/>
    </row>
    <row r="40440">
      <c r="AI40440" s="80"/>
    </row>
    <row r="40441">
      <c r="AI40441" s="80"/>
    </row>
    <row r="40442">
      <c r="AI40442" s="80"/>
    </row>
    <row r="40443">
      <c r="AI40443" s="80"/>
    </row>
    <row r="40444">
      <c r="AI40444" s="80"/>
    </row>
    <row r="40445">
      <c r="AI40445" s="80"/>
    </row>
    <row r="40446">
      <c r="AI40446" s="80"/>
    </row>
    <row r="40447">
      <c r="AI40447" s="80"/>
    </row>
    <row r="40448">
      <c r="AI40448" s="80"/>
    </row>
    <row r="40449">
      <c r="AI40449" s="80"/>
    </row>
    <row r="40450">
      <c r="AI40450" s="80"/>
    </row>
    <row r="40451">
      <c r="AI40451" s="80"/>
    </row>
    <row r="40452">
      <c r="AI40452" s="80"/>
    </row>
    <row r="40453">
      <c r="AI40453" s="80"/>
    </row>
    <row r="40454">
      <c r="AI40454" s="80"/>
    </row>
    <row r="40455">
      <c r="AI40455" s="80"/>
    </row>
    <row r="40456">
      <c r="AI40456" s="80"/>
    </row>
    <row r="40457">
      <c r="AI40457" s="80"/>
    </row>
    <row r="40458">
      <c r="AI40458" s="80"/>
    </row>
    <row r="40459">
      <c r="AI40459" s="80"/>
    </row>
    <row r="40460">
      <c r="AI40460" s="80"/>
    </row>
    <row r="40461">
      <c r="AI40461" s="80"/>
    </row>
    <row r="40462">
      <c r="AI40462" s="80"/>
    </row>
    <row r="40463">
      <c r="AI40463" s="80"/>
    </row>
    <row r="40464">
      <c r="AI40464" s="80"/>
    </row>
    <row r="40465">
      <c r="AI40465" s="80"/>
    </row>
    <row r="40466">
      <c r="AI40466" s="80"/>
    </row>
    <row r="40467">
      <c r="AI40467" s="80"/>
    </row>
    <row r="40468">
      <c r="AI40468" s="80"/>
    </row>
    <row r="40469">
      <c r="AI40469" s="80"/>
    </row>
    <row r="40470">
      <c r="AI40470" s="80"/>
    </row>
    <row r="40471">
      <c r="AI40471" s="80"/>
    </row>
    <row r="40472">
      <c r="AI40472" s="80"/>
    </row>
    <row r="40473">
      <c r="AI40473" s="80"/>
    </row>
    <row r="40474">
      <c r="AI40474" s="80"/>
    </row>
    <row r="40475">
      <c r="AI40475" s="80"/>
    </row>
    <row r="40476">
      <c r="AI40476" s="80"/>
    </row>
    <row r="40477">
      <c r="AI40477" s="80"/>
    </row>
    <row r="40478">
      <c r="AI40478" s="80"/>
    </row>
    <row r="40479">
      <c r="AI40479" s="80"/>
    </row>
    <row r="40480">
      <c r="AI40480" s="80"/>
    </row>
    <row r="40481">
      <c r="AI40481" s="80"/>
    </row>
    <row r="40482">
      <c r="AI40482" s="80"/>
    </row>
    <row r="40483">
      <c r="AI40483" s="80"/>
    </row>
    <row r="40484">
      <c r="AI40484" s="80"/>
    </row>
    <row r="40485">
      <c r="AI40485" s="80"/>
    </row>
    <row r="40486">
      <c r="AI40486" s="80"/>
    </row>
    <row r="40487">
      <c r="AI40487" s="80"/>
    </row>
    <row r="40488">
      <c r="AI40488" s="80"/>
    </row>
    <row r="40489">
      <c r="AI40489" s="80"/>
    </row>
    <row r="40490">
      <c r="AI40490" s="80"/>
    </row>
    <row r="40491">
      <c r="AI40491" s="80"/>
    </row>
    <row r="40492">
      <c r="AI40492" s="80"/>
    </row>
    <row r="40493">
      <c r="AI40493" s="80"/>
    </row>
    <row r="40494">
      <c r="AI40494" s="80"/>
    </row>
    <row r="40495">
      <c r="AI40495" s="80"/>
    </row>
    <row r="40496">
      <c r="AI40496" s="80"/>
    </row>
    <row r="40497">
      <c r="AI40497" s="80"/>
    </row>
    <row r="40498">
      <c r="AI40498" s="80"/>
    </row>
    <row r="40499">
      <c r="AI40499" s="80"/>
    </row>
    <row r="40500">
      <c r="AI40500" s="80"/>
    </row>
    <row r="40501">
      <c r="AI40501" s="80"/>
    </row>
    <row r="40502">
      <c r="AI40502" s="80"/>
    </row>
    <row r="40503">
      <c r="AI40503" s="80"/>
    </row>
    <row r="40504">
      <c r="AI40504" s="80"/>
    </row>
    <row r="40505">
      <c r="AI40505" s="80"/>
    </row>
    <row r="40506">
      <c r="AI40506" s="80"/>
    </row>
    <row r="40507">
      <c r="AI40507" s="80"/>
    </row>
    <row r="40508">
      <c r="AI40508" s="80"/>
    </row>
    <row r="40509">
      <c r="AI40509" s="80"/>
    </row>
    <row r="40510">
      <c r="AI40510" s="80"/>
    </row>
    <row r="40511">
      <c r="AI40511" s="80"/>
    </row>
    <row r="40512">
      <c r="AI40512" s="80"/>
    </row>
    <row r="40513">
      <c r="AI40513" s="80"/>
    </row>
    <row r="40514">
      <c r="AI40514" s="80"/>
    </row>
    <row r="40515">
      <c r="AI40515" s="80"/>
    </row>
    <row r="40516">
      <c r="AI40516" s="80"/>
    </row>
    <row r="40517">
      <c r="AI40517" s="80"/>
    </row>
    <row r="40518">
      <c r="AI40518" s="80"/>
    </row>
    <row r="40519">
      <c r="AI40519" s="80"/>
    </row>
    <row r="40520">
      <c r="AI40520" s="80"/>
    </row>
    <row r="40521">
      <c r="AI40521" s="80"/>
    </row>
    <row r="40522">
      <c r="AI40522" s="80"/>
    </row>
    <row r="40523">
      <c r="AI40523" s="80"/>
    </row>
    <row r="40524">
      <c r="AI40524" s="80"/>
    </row>
    <row r="40525">
      <c r="AI40525" s="80"/>
    </row>
    <row r="40526">
      <c r="AI40526" s="80"/>
    </row>
    <row r="40527">
      <c r="AI40527" s="80"/>
    </row>
    <row r="40528">
      <c r="AI40528" s="80"/>
    </row>
    <row r="40529">
      <c r="AI40529" s="80"/>
    </row>
    <row r="40530">
      <c r="AI40530" s="80"/>
    </row>
    <row r="40531">
      <c r="AI40531" s="80"/>
    </row>
    <row r="40532">
      <c r="AI40532" s="80"/>
    </row>
    <row r="40533">
      <c r="AI40533" s="80"/>
    </row>
    <row r="40534">
      <c r="AI40534" s="80"/>
    </row>
    <row r="40535">
      <c r="AI40535" s="80"/>
    </row>
    <row r="40536">
      <c r="AI40536" s="80"/>
    </row>
    <row r="40537">
      <c r="AI40537" s="80"/>
    </row>
    <row r="40538">
      <c r="AI40538" s="80"/>
    </row>
    <row r="40539">
      <c r="AI40539" s="80"/>
    </row>
    <row r="40540">
      <c r="AI40540" s="80"/>
    </row>
    <row r="40541">
      <c r="AI40541" s="80"/>
    </row>
    <row r="40542">
      <c r="AI40542" s="80"/>
    </row>
    <row r="40543">
      <c r="AI40543" s="80"/>
    </row>
    <row r="40544">
      <c r="AI40544" s="80"/>
    </row>
    <row r="40545">
      <c r="AI40545" s="80"/>
    </row>
    <row r="40546">
      <c r="AI40546" s="80"/>
    </row>
    <row r="40547">
      <c r="AI40547" s="80"/>
    </row>
    <row r="40548">
      <c r="AI40548" s="80"/>
    </row>
    <row r="40549">
      <c r="AI40549" s="80"/>
    </row>
    <row r="40550">
      <c r="AI40550" s="80"/>
    </row>
    <row r="40551">
      <c r="AI40551" s="80"/>
    </row>
    <row r="40552">
      <c r="AI40552" s="80"/>
    </row>
    <row r="40553">
      <c r="AI40553" s="80"/>
    </row>
    <row r="40554">
      <c r="AI40554" s="80"/>
    </row>
    <row r="40555">
      <c r="AI40555" s="80"/>
    </row>
    <row r="40556">
      <c r="AI40556" s="80"/>
    </row>
    <row r="40557">
      <c r="AI40557" s="80"/>
    </row>
    <row r="40558">
      <c r="AI40558" s="80"/>
    </row>
    <row r="40559">
      <c r="AI40559" s="80"/>
    </row>
    <row r="40560">
      <c r="AI40560" s="80"/>
    </row>
    <row r="40561">
      <c r="AI40561" s="80"/>
    </row>
    <row r="40562">
      <c r="AI40562" s="80"/>
    </row>
    <row r="40563">
      <c r="AI40563" s="80"/>
    </row>
    <row r="40564">
      <c r="AI40564" s="80"/>
    </row>
    <row r="40565">
      <c r="AI40565" s="80"/>
    </row>
    <row r="40566">
      <c r="AI40566" s="80"/>
    </row>
    <row r="40567">
      <c r="AI40567" s="80"/>
    </row>
    <row r="40568">
      <c r="AI40568" s="80"/>
    </row>
    <row r="40569">
      <c r="AI40569" s="80"/>
    </row>
    <row r="40570">
      <c r="AI40570" s="80"/>
    </row>
    <row r="40571">
      <c r="AI40571" s="80"/>
    </row>
    <row r="40572">
      <c r="AI40572" s="80"/>
    </row>
    <row r="40573">
      <c r="AI40573" s="80"/>
    </row>
    <row r="40574">
      <c r="AI40574" s="80"/>
    </row>
    <row r="40575">
      <c r="AI40575" s="80"/>
    </row>
    <row r="40576">
      <c r="AI40576" s="80"/>
    </row>
    <row r="40577">
      <c r="AI40577" s="80"/>
    </row>
    <row r="40578">
      <c r="AI40578" s="80"/>
    </row>
    <row r="40579">
      <c r="AI40579" s="80"/>
    </row>
    <row r="40580">
      <c r="AI40580" s="80"/>
    </row>
    <row r="40581">
      <c r="AI40581" s="80"/>
    </row>
    <row r="40582">
      <c r="AI40582" s="80"/>
    </row>
    <row r="40583">
      <c r="AI40583" s="80"/>
    </row>
    <row r="40584">
      <c r="AI40584" s="80"/>
    </row>
    <row r="40585">
      <c r="AI40585" s="80"/>
    </row>
    <row r="40586">
      <c r="AI40586" s="80"/>
    </row>
    <row r="40587">
      <c r="AI40587" s="80"/>
    </row>
    <row r="40588">
      <c r="AI40588" s="80"/>
    </row>
    <row r="40589">
      <c r="AI40589" s="80"/>
    </row>
    <row r="40590">
      <c r="AI40590" s="80"/>
    </row>
    <row r="40591">
      <c r="AI40591" s="80"/>
    </row>
    <row r="40592">
      <c r="AI40592" s="80"/>
    </row>
    <row r="40593">
      <c r="AI40593" s="80"/>
    </row>
    <row r="40594">
      <c r="AI40594" s="80"/>
    </row>
    <row r="40595">
      <c r="AI40595" s="80"/>
    </row>
    <row r="40596">
      <c r="AI40596" s="80"/>
    </row>
    <row r="40597">
      <c r="AI40597" s="80"/>
    </row>
    <row r="40598">
      <c r="AI40598" s="80"/>
    </row>
    <row r="40599">
      <c r="AI40599" s="80"/>
    </row>
    <row r="40600">
      <c r="AI40600" s="80"/>
    </row>
    <row r="40601">
      <c r="AI40601" s="80"/>
    </row>
    <row r="40602">
      <c r="AI40602" s="80"/>
    </row>
    <row r="40603">
      <c r="AI40603" s="80"/>
    </row>
    <row r="40604">
      <c r="AI40604" s="80"/>
    </row>
    <row r="40605">
      <c r="AI40605" s="80"/>
    </row>
    <row r="40606">
      <c r="AI40606" s="80"/>
    </row>
    <row r="40607">
      <c r="AI40607" s="80"/>
    </row>
    <row r="40608">
      <c r="AI40608" s="80"/>
    </row>
    <row r="40609">
      <c r="AI40609" s="80"/>
    </row>
    <row r="40610">
      <c r="AI40610" s="80"/>
    </row>
    <row r="40611">
      <c r="AI40611" s="80"/>
    </row>
    <row r="40612">
      <c r="AI40612" s="80"/>
    </row>
    <row r="40613">
      <c r="AI40613" s="80"/>
    </row>
    <row r="40614">
      <c r="AI40614" s="80"/>
    </row>
    <row r="40615">
      <c r="AI40615" s="80"/>
    </row>
    <row r="40616">
      <c r="AI40616" s="80"/>
    </row>
    <row r="40617">
      <c r="AI40617" s="80"/>
    </row>
    <row r="40618">
      <c r="AI40618" s="80"/>
    </row>
    <row r="40619">
      <c r="AI40619" s="80"/>
    </row>
    <row r="40620">
      <c r="AI40620" s="80"/>
    </row>
    <row r="40621">
      <c r="AI40621" s="80"/>
    </row>
    <row r="40622">
      <c r="AI40622" s="80"/>
    </row>
    <row r="40623">
      <c r="AI40623" s="80"/>
    </row>
    <row r="40624">
      <c r="AI40624" s="80"/>
    </row>
    <row r="40625">
      <c r="AI40625" s="80"/>
    </row>
    <row r="40626">
      <c r="AI40626" s="80"/>
    </row>
    <row r="40627">
      <c r="AI40627" s="80"/>
    </row>
    <row r="40628">
      <c r="AI40628" s="80"/>
    </row>
    <row r="40629">
      <c r="AI40629" s="80"/>
    </row>
    <row r="40630">
      <c r="AI40630" s="80"/>
    </row>
    <row r="40631">
      <c r="AI40631" s="80"/>
    </row>
    <row r="40632">
      <c r="AI40632" s="80"/>
    </row>
    <row r="40633">
      <c r="AI40633" s="80"/>
    </row>
    <row r="40634">
      <c r="AI40634" s="80"/>
    </row>
    <row r="40635">
      <c r="AI40635" s="80"/>
    </row>
    <row r="40636">
      <c r="AI40636" s="80"/>
    </row>
    <row r="40637">
      <c r="AI40637" s="80"/>
    </row>
    <row r="40638">
      <c r="AI40638" s="80"/>
    </row>
    <row r="40639">
      <c r="AI40639" s="80"/>
    </row>
    <row r="40640">
      <c r="AI40640" s="80"/>
    </row>
    <row r="40641">
      <c r="AI40641" s="80"/>
    </row>
    <row r="40642">
      <c r="AI40642" s="80"/>
    </row>
    <row r="40643">
      <c r="AI40643" s="80"/>
    </row>
    <row r="40644">
      <c r="AI40644" s="80"/>
    </row>
    <row r="40645">
      <c r="AI40645" s="80"/>
    </row>
    <row r="40646">
      <c r="AI40646" s="80"/>
    </row>
    <row r="40647">
      <c r="AI40647" s="80"/>
    </row>
    <row r="40648">
      <c r="AI40648" s="80"/>
    </row>
    <row r="40649">
      <c r="AI40649" s="80"/>
    </row>
    <row r="40650">
      <c r="AI40650" s="80"/>
    </row>
    <row r="40651">
      <c r="AI40651" s="80"/>
    </row>
    <row r="40652">
      <c r="AI40652" s="80"/>
    </row>
    <row r="40653">
      <c r="AI40653" s="80"/>
    </row>
    <row r="40654">
      <c r="AI40654" s="80"/>
    </row>
    <row r="40655">
      <c r="AI40655" s="80"/>
    </row>
    <row r="40656">
      <c r="AI40656" s="80"/>
    </row>
    <row r="40657">
      <c r="AI40657" s="80"/>
    </row>
    <row r="40658">
      <c r="AI40658" s="80"/>
    </row>
    <row r="40659">
      <c r="AI40659" s="80"/>
    </row>
    <row r="40660">
      <c r="AI40660" s="80"/>
    </row>
    <row r="40661">
      <c r="AI40661" s="80"/>
    </row>
    <row r="40662">
      <c r="AI40662" s="80"/>
    </row>
    <row r="40663">
      <c r="AI40663" s="80"/>
    </row>
    <row r="40664">
      <c r="AI40664" s="80"/>
    </row>
    <row r="40665">
      <c r="AI40665" s="80"/>
    </row>
    <row r="40666">
      <c r="AI40666" s="80"/>
    </row>
    <row r="40667">
      <c r="AI40667" s="80"/>
    </row>
    <row r="40668">
      <c r="AI40668" s="80"/>
    </row>
    <row r="40669">
      <c r="AI40669" s="80"/>
    </row>
    <row r="40670">
      <c r="AI40670" s="80"/>
    </row>
    <row r="40671">
      <c r="AI40671" s="80"/>
    </row>
    <row r="40672">
      <c r="AI40672" s="80"/>
    </row>
    <row r="40673">
      <c r="AI40673" s="80"/>
    </row>
    <row r="40674">
      <c r="AI40674" s="80"/>
    </row>
    <row r="40675">
      <c r="AI40675" s="80"/>
    </row>
    <row r="40676">
      <c r="AI40676" s="80"/>
    </row>
    <row r="40677">
      <c r="AI40677" s="80"/>
    </row>
    <row r="40678">
      <c r="AI40678" s="80"/>
    </row>
    <row r="40679">
      <c r="AI40679" s="80"/>
    </row>
    <row r="40680">
      <c r="AI40680" s="80"/>
    </row>
    <row r="40681">
      <c r="AI40681" s="80"/>
    </row>
    <row r="40682">
      <c r="AI40682" s="80"/>
    </row>
    <row r="40683">
      <c r="AI40683" s="80"/>
    </row>
    <row r="40684">
      <c r="AI40684" s="80"/>
    </row>
    <row r="40685">
      <c r="AI40685" s="80"/>
    </row>
    <row r="40686">
      <c r="AI40686" s="80"/>
    </row>
    <row r="40687">
      <c r="AI40687" s="80"/>
    </row>
    <row r="40688">
      <c r="AI40688" s="80"/>
    </row>
    <row r="40689">
      <c r="AI40689" s="80"/>
    </row>
    <row r="40690">
      <c r="AI40690" s="80"/>
    </row>
    <row r="40691">
      <c r="AI40691" s="80"/>
    </row>
    <row r="40692">
      <c r="AI40692" s="80"/>
    </row>
    <row r="40693">
      <c r="AI40693" s="80"/>
    </row>
    <row r="40694">
      <c r="AI40694" s="80"/>
    </row>
    <row r="40695">
      <c r="AI40695" s="80"/>
    </row>
    <row r="40696">
      <c r="AI40696" s="80"/>
    </row>
    <row r="40697">
      <c r="AI40697" s="80"/>
    </row>
    <row r="40698">
      <c r="AI40698" s="80"/>
    </row>
    <row r="40699">
      <c r="AI40699" s="80"/>
    </row>
    <row r="40700">
      <c r="AI40700" s="80"/>
    </row>
    <row r="40701">
      <c r="AI40701" s="80"/>
    </row>
    <row r="40702">
      <c r="AI40702" s="80"/>
    </row>
    <row r="40703">
      <c r="AI40703" s="80"/>
    </row>
    <row r="40704">
      <c r="AI40704" s="80"/>
    </row>
    <row r="40705">
      <c r="AI40705" s="80"/>
    </row>
    <row r="40706">
      <c r="AI40706" s="80"/>
    </row>
    <row r="40707">
      <c r="AI40707" s="80"/>
    </row>
    <row r="40708">
      <c r="AI40708" s="80"/>
    </row>
    <row r="40709">
      <c r="AI40709" s="80"/>
    </row>
    <row r="40710">
      <c r="AI40710" s="80"/>
    </row>
    <row r="40711">
      <c r="AI40711" s="80"/>
    </row>
    <row r="40712">
      <c r="AI40712" s="80"/>
    </row>
    <row r="40713">
      <c r="AI40713" s="80"/>
    </row>
    <row r="40714">
      <c r="AI40714" s="80"/>
    </row>
    <row r="40715">
      <c r="AI40715" s="80"/>
    </row>
    <row r="40716">
      <c r="AI40716" s="80"/>
    </row>
    <row r="40717">
      <c r="AI40717" s="80"/>
    </row>
    <row r="40718">
      <c r="AI40718" s="80"/>
    </row>
    <row r="40719">
      <c r="AI40719" s="80"/>
    </row>
    <row r="40720">
      <c r="AI40720" s="80"/>
    </row>
    <row r="40721">
      <c r="AI40721" s="80"/>
    </row>
    <row r="40722">
      <c r="AI40722" s="80"/>
    </row>
    <row r="40723">
      <c r="AI40723" s="80"/>
    </row>
    <row r="40724">
      <c r="AI40724" s="80"/>
    </row>
    <row r="40725">
      <c r="AI40725" s="80"/>
    </row>
    <row r="40726">
      <c r="AI40726" s="80"/>
    </row>
    <row r="40727">
      <c r="AI40727" s="80"/>
    </row>
    <row r="40728">
      <c r="AI40728" s="80"/>
    </row>
    <row r="40729">
      <c r="AI40729" s="80"/>
    </row>
    <row r="40730">
      <c r="AI40730" s="80"/>
    </row>
    <row r="40731">
      <c r="AI40731" s="80"/>
    </row>
    <row r="40732">
      <c r="AI40732" s="80"/>
    </row>
    <row r="40733">
      <c r="AI40733" s="80"/>
    </row>
    <row r="40734">
      <c r="AI40734" s="80"/>
    </row>
    <row r="40735">
      <c r="AI40735" s="80"/>
    </row>
    <row r="40736">
      <c r="AI40736" s="80"/>
    </row>
    <row r="40737">
      <c r="AI40737" s="80"/>
    </row>
    <row r="40738">
      <c r="AI40738" s="80"/>
    </row>
    <row r="40739">
      <c r="AI40739" s="80"/>
    </row>
    <row r="40740">
      <c r="AI40740" s="80"/>
    </row>
    <row r="40741">
      <c r="AI40741" s="80"/>
    </row>
    <row r="40742">
      <c r="AI40742" s="80"/>
    </row>
    <row r="40743">
      <c r="AI40743" s="80"/>
    </row>
    <row r="40744">
      <c r="AI40744" s="80"/>
    </row>
    <row r="40745">
      <c r="AI40745" s="80"/>
    </row>
    <row r="40746">
      <c r="AI40746" s="80"/>
    </row>
    <row r="40747">
      <c r="AI40747" s="80"/>
    </row>
    <row r="40748">
      <c r="AI40748" s="80"/>
    </row>
    <row r="40749">
      <c r="AI40749" s="80"/>
    </row>
    <row r="40750">
      <c r="AI40750" s="80"/>
    </row>
    <row r="40751">
      <c r="AI40751" s="80"/>
    </row>
    <row r="40752">
      <c r="AI40752" s="80"/>
    </row>
    <row r="40753">
      <c r="AI40753" s="80"/>
    </row>
    <row r="40754">
      <c r="AI40754" s="80"/>
    </row>
    <row r="40755">
      <c r="AI40755" s="80"/>
    </row>
    <row r="40756">
      <c r="AI40756" s="80"/>
    </row>
    <row r="40757">
      <c r="AI40757" s="80"/>
    </row>
    <row r="40758">
      <c r="AI40758" s="80"/>
    </row>
    <row r="40759">
      <c r="AI40759" s="80"/>
    </row>
    <row r="40760">
      <c r="AI40760" s="80"/>
    </row>
    <row r="40761">
      <c r="AI40761" s="80"/>
    </row>
    <row r="40762">
      <c r="AI40762" s="80"/>
    </row>
    <row r="40763">
      <c r="AI40763" s="80"/>
    </row>
    <row r="40764">
      <c r="AI40764" s="80"/>
    </row>
    <row r="40765">
      <c r="AI40765" s="80"/>
    </row>
    <row r="40766">
      <c r="AI40766" s="80"/>
    </row>
    <row r="40767">
      <c r="AI40767" s="80"/>
    </row>
    <row r="40768">
      <c r="AI40768" s="80"/>
    </row>
    <row r="40769">
      <c r="AI40769" s="80"/>
    </row>
    <row r="40770">
      <c r="AI40770" s="80"/>
    </row>
    <row r="40771">
      <c r="AI40771" s="80"/>
    </row>
    <row r="40772">
      <c r="AI40772" s="80"/>
    </row>
    <row r="40773">
      <c r="AI40773" s="80"/>
    </row>
    <row r="40774">
      <c r="AI40774" s="80"/>
    </row>
    <row r="40775">
      <c r="AI40775" s="80"/>
    </row>
    <row r="40776">
      <c r="AI40776" s="80"/>
    </row>
    <row r="40777">
      <c r="AI40777" s="80"/>
    </row>
    <row r="40778">
      <c r="AI40778" s="80"/>
    </row>
    <row r="40779">
      <c r="AI40779" s="80"/>
    </row>
    <row r="40780">
      <c r="AI40780" s="80"/>
    </row>
    <row r="40781">
      <c r="AI40781" s="80"/>
    </row>
    <row r="40782">
      <c r="AI40782" s="80"/>
    </row>
    <row r="40783">
      <c r="AI40783" s="80"/>
    </row>
    <row r="40784">
      <c r="AI40784" s="80"/>
    </row>
    <row r="40785">
      <c r="AI40785" s="80"/>
    </row>
    <row r="40786">
      <c r="AI40786" s="80"/>
    </row>
    <row r="40787">
      <c r="AI40787" s="80"/>
    </row>
    <row r="40788">
      <c r="AI40788" s="80"/>
    </row>
    <row r="40789">
      <c r="AI40789" s="80"/>
    </row>
    <row r="40790">
      <c r="AI40790" s="80"/>
    </row>
    <row r="40791">
      <c r="AI40791" s="80"/>
    </row>
    <row r="40792">
      <c r="AI40792" s="80"/>
    </row>
    <row r="40793">
      <c r="AI40793" s="80"/>
    </row>
    <row r="40794">
      <c r="AI40794" s="80"/>
    </row>
    <row r="40795">
      <c r="AI40795" s="80"/>
    </row>
    <row r="40796">
      <c r="AI40796" s="80"/>
    </row>
    <row r="40797">
      <c r="AI40797" s="80"/>
    </row>
    <row r="40798">
      <c r="AI40798" s="80"/>
    </row>
    <row r="40799">
      <c r="AI40799" s="80"/>
    </row>
    <row r="40800">
      <c r="AI40800" s="80"/>
    </row>
    <row r="40801">
      <c r="AI40801" s="80"/>
    </row>
    <row r="40802">
      <c r="AI40802" s="80"/>
    </row>
    <row r="40803">
      <c r="AI40803" s="80"/>
    </row>
    <row r="40804">
      <c r="AI40804" s="80"/>
    </row>
    <row r="40805">
      <c r="AI40805" s="80"/>
    </row>
    <row r="40806">
      <c r="AI40806" s="80"/>
    </row>
    <row r="40807">
      <c r="AI40807" s="80"/>
    </row>
    <row r="40808">
      <c r="AI40808" s="80"/>
    </row>
    <row r="40809">
      <c r="AI40809" s="80"/>
    </row>
    <row r="40810">
      <c r="AI40810" s="80"/>
    </row>
    <row r="40811">
      <c r="AI40811" s="80"/>
    </row>
    <row r="40812">
      <c r="AI40812" s="80"/>
    </row>
    <row r="40813">
      <c r="AI40813" s="80"/>
    </row>
    <row r="40814">
      <c r="AI40814" s="80"/>
    </row>
    <row r="40815">
      <c r="AI40815" s="80"/>
    </row>
    <row r="40816">
      <c r="AI40816" s="80"/>
    </row>
    <row r="40817">
      <c r="AI40817" s="80"/>
    </row>
    <row r="40818">
      <c r="AI40818" s="80"/>
    </row>
    <row r="40819">
      <c r="AI40819" s="80"/>
    </row>
    <row r="40820">
      <c r="AI40820" s="80"/>
    </row>
    <row r="40821">
      <c r="AI40821" s="80"/>
    </row>
    <row r="40822">
      <c r="AI40822" s="80"/>
    </row>
    <row r="40823">
      <c r="AI40823" s="80"/>
    </row>
    <row r="40824">
      <c r="AI40824" s="80"/>
    </row>
    <row r="40825">
      <c r="AI40825" s="80"/>
    </row>
    <row r="40826">
      <c r="AI40826" s="80"/>
    </row>
    <row r="40827">
      <c r="AI40827" s="80"/>
    </row>
    <row r="40828">
      <c r="AI40828" s="80"/>
    </row>
    <row r="40829">
      <c r="AI40829" s="80"/>
    </row>
    <row r="40830">
      <c r="AI40830" s="80"/>
    </row>
    <row r="40831">
      <c r="AI40831" s="80"/>
    </row>
    <row r="40832">
      <c r="AI40832" s="80"/>
    </row>
    <row r="40833">
      <c r="AI40833" s="80"/>
    </row>
    <row r="40834">
      <c r="AI40834" s="80"/>
    </row>
    <row r="40835">
      <c r="AI40835" s="80"/>
    </row>
    <row r="40836">
      <c r="AI40836" s="80"/>
    </row>
    <row r="40837">
      <c r="AI40837" s="80"/>
    </row>
    <row r="40838">
      <c r="AI40838" s="80"/>
    </row>
    <row r="40839">
      <c r="AI40839" s="80"/>
    </row>
    <row r="40840">
      <c r="AI40840" s="80"/>
    </row>
    <row r="40841">
      <c r="AI40841" s="80"/>
    </row>
    <row r="40842">
      <c r="AI40842" s="80"/>
    </row>
    <row r="40843">
      <c r="AI40843" s="80"/>
    </row>
    <row r="40844">
      <c r="AI40844" s="80"/>
    </row>
    <row r="40845">
      <c r="AI40845" s="80"/>
    </row>
    <row r="40846">
      <c r="AI40846" s="80"/>
    </row>
    <row r="40847">
      <c r="AI40847" s="80"/>
    </row>
    <row r="40848">
      <c r="AI40848" s="80"/>
    </row>
    <row r="40849">
      <c r="AI40849" s="80"/>
    </row>
    <row r="40850">
      <c r="AI40850" s="80"/>
    </row>
    <row r="40851">
      <c r="AI40851" s="80"/>
    </row>
    <row r="40852">
      <c r="AI40852" s="80"/>
    </row>
    <row r="40853">
      <c r="AI40853" s="80"/>
    </row>
    <row r="40854">
      <c r="AI40854" s="80"/>
    </row>
    <row r="40855">
      <c r="AI40855" s="80"/>
    </row>
    <row r="40856">
      <c r="AI40856" s="80"/>
    </row>
    <row r="40857">
      <c r="AI40857" s="80"/>
    </row>
    <row r="40858">
      <c r="AI40858" s="80"/>
    </row>
    <row r="40859">
      <c r="AI40859" s="80"/>
    </row>
    <row r="40860">
      <c r="AI40860" s="80"/>
    </row>
    <row r="40861">
      <c r="AI40861" s="80"/>
    </row>
    <row r="40862">
      <c r="AI40862" s="80"/>
    </row>
    <row r="40863">
      <c r="AI40863" s="80"/>
    </row>
    <row r="40864">
      <c r="AI40864" s="80"/>
    </row>
    <row r="40865">
      <c r="AI40865" s="80"/>
    </row>
    <row r="40866">
      <c r="AI40866" s="80"/>
    </row>
    <row r="40867">
      <c r="AI40867" s="80"/>
    </row>
    <row r="40868">
      <c r="AI40868" s="80"/>
    </row>
    <row r="40869">
      <c r="AI40869" s="80"/>
    </row>
    <row r="40870">
      <c r="AI40870" s="80"/>
    </row>
    <row r="40871">
      <c r="AI40871" s="80"/>
    </row>
    <row r="40872">
      <c r="AI40872" s="80"/>
    </row>
    <row r="40873">
      <c r="AI40873" s="80"/>
    </row>
    <row r="40874">
      <c r="AI40874" s="80"/>
    </row>
    <row r="40875">
      <c r="AI40875" s="80"/>
    </row>
    <row r="40876">
      <c r="AI40876" s="80"/>
    </row>
    <row r="40877">
      <c r="AI40877" s="80"/>
    </row>
    <row r="40878">
      <c r="AI40878" s="80"/>
    </row>
    <row r="40879">
      <c r="AI40879" s="80"/>
    </row>
    <row r="40880">
      <c r="AI40880" s="80"/>
    </row>
    <row r="40881">
      <c r="AI40881" s="80"/>
    </row>
    <row r="40882">
      <c r="AI40882" s="80"/>
    </row>
    <row r="40883">
      <c r="AI40883" s="80"/>
    </row>
    <row r="40884">
      <c r="AI40884" s="80"/>
    </row>
    <row r="40885">
      <c r="AI40885" s="80"/>
    </row>
    <row r="40886">
      <c r="AI40886" s="80"/>
    </row>
    <row r="40887">
      <c r="AI40887" s="80"/>
    </row>
    <row r="40888">
      <c r="AI40888" s="80"/>
    </row>
    <row r="40889">
      <c r="AI40889" s="80"/>
    </row>
    <row r="40890">
      <c r="AI40890" s="80"/>
    </row>
    <row r="40891">
      <c r="AI40891" s="80"/>
    </row>
    <row r="40892">
      <c r="AI40892" s="80"/>
    </row>
    <row r="40893">
      <c r="AI40893" s="80"/>
    </row>
    <row r="40894">
      <c r="AI40894" s="80"/>
    </row>
    <row r="40895">
      <c r="AI40895" s="80"/>
    </row>
    <row r="40896">
      <c r="AI40896" s="80"/>
    </row>
    <row r="40897">
      <c r="AI40897" s="80"/>
    </row>
    <row r="40898">
      <c r="AI40898" s="80"/>
    </row>
    <row r="40899">
      <c r="AI40899" s="80"/>
    </row>
    <row r="40900">
      <c r="AI40900" s="80"/>
    </row>
    <row r="40901">
      <c r="AI40901" s="80"/>
    </row>
    <row r="40902">
      <c r="AI40902" s="80"/>
    </row>
    <row r="40903">
      <c r="AI40903" s="80"/>
    </row>
    <row r="40904">
      <c r="AI40904" s="80"/>
    </row>
    <row r="40905">
      <c r="AI40905" s="80"/>
    </row>
    <row r="40906">
      <c r="AI40906" s="80"/>
    </row>
    <row r="40907">
      <c r="AI40907" s="80"/>
    </row>
    <row r="40908">
      <c r="AI40908" s="80"/>
    </row>
    <row r="40909">
      <c r="AI40909" s="80"/>
    </row>
    <row r="40910">
      <c r="AI40910" s="80"/>
    </row>
    <row r="40911">
      <c r="AI40911" s="80"/>
    </row>
    <row r="40912">
      <c r="AI40912" s="80"/>
    </row>
    <row r="40913">
      <c r="AI40913" s="80"/>
    </row>
    <row r="40914">
      <c r="AI40914" s="80"/>
    </row>
    <row r="40915">
      <c r="AI40915" s="80"/>
    </row>
    <row r="40916">
      <c r="AI40916" s="80"/>
    </row>
    <row r="40917">
      <c r="AI40917" s="80"/>
    </row>
    <row r="40918">
      <c r="AI40918" s="80"/>
    </row>
    <row r="40919">
      <c r="AI40919" s="80"/>
    </row>
    <row r="40920">
      <c r="AI40920" s="80"/>
    </row>
    <row r="40921">
      <c r="AI40921" s="80"/>
    </row>
    <row r="40922">
      <c r="AI40922" s="80"/>
    </row>
    <row r="40923">
      <c r="AI40923" s="80"/>
    </row>
    <row r="40924">
      <c r="AI40924" s="80"/>
    </row>
    <row r="40925">
      <c r="AI40925" s="80"/>
    </row>
    <row r="40926">
      <c r="AI40926" s="80"/>
    </row>
    <row r="40927">
      <c r="AI40927" s="80"/>
    </row>
    <row r="40928">
      <c r="AI40928" s="80"/>
    </row>
    <row r="40929">
      <c r="AI40929" s="80"/>
    </row>
    <row r="40930">
      <c r="AI40930" s="80"/>
    </row>
    <row r="40931">
      <c r="AI40931" s="80"/>
    </row>
    <row r="40932">
      <c r="AI40932" s="80"/>
    </row>
    <row r="40933">
      <c r="AI40933" s="80"/>
    </row>
    <row r="40934">
      <c r="AI40934" s="80"/>
    </row>
    <row r="40935">
      <c r="AI40935" s="80"/>
    </row>
    <row r="40936">
      <c r="AI40936" s="80"/>
    </row>
    <row r="40937">
      <c r="AI40937" s="80"/>
    </row>
    <row r="40938">
      <c r="AI40938" s="80"/>
    </row>
    <row r="40939">
      <c r="AI40939" s="80"/>
    </row>
    <row r="40940">
      <c r="AI40940" s="80"/>
    </row>
    <row r="40941">
      <c r="AI40941" s="80"/>
    </row>
    <row r="40942">
      <c r="AI40942" s="80"/>
    </row>
    <row r="40943">
      <c r="AI40943" s="80"/>
    </row>
    <row r="40944">
      <c r="AI40944" s="80"/>
    </row>
    <row r="40945">
      <c r="AI40945" s="80"/>
    </row>
    <row r="40946">
      <c r="AI40946" s="80"/>
    </row>
    <row r="40947">
      <c r="AI40947" s="80"/>
    </row>
    <row r="40948">
      <c r="AI40948" s="80"/>
    </row>
    <row r="40949">
      <c r="AI40949" s="80"/>
    </row>
    <row r="40950">
      <c r="AI40950" s="80"/>
    </row>
    <row r="40951">
      <c r="AI40951" s="80"/>
    </row>
    <row r="40952">
      <c r="AI40952" s="80"/>
    </row>
    <row r="40953">
      <c r="AI40953" s="80"/>
    </row>
    <row r="40954">
      <c r="AI40954" s="80"/>
    </row>
    <row r="40955">
      <c r="AI40955" s="80"/>
    </row>
    <row r="40956">
      <c r="AI40956" s="80"/>
    </row>
    <row r="40957">
      <c r="AI40957" s="80"/>
    </row>
    <row r="40958">
      <c r="AI40958" s="80"/>
    </row>
    <row r="40959">
      <c r="AI40959" s="80"/>
    </row>
    <row r="40960">
      <c r="AI40960" s="80"/>
    </row>
    <row r="40961">
      <c r="AI40961" s="80"/>
    </row>
    <row r="40962">
      <c r="AI40962" s="80"/>
    </row>
    <row r="40963">
      <c r="AI40963" s="80"/>
    </row>
    <row r="40964">
      <c r="AI40964" s="80"/>
    </row>
    <row r="40965">
      <c r="AI40965" s="80"/>
    </row>
    <row r="40966">
      <c r="AI40966" s="80"/>
    </row>
    <row r="40967">
      <c r="AI40967" s="80"/>
    </row>
    <row r="40968">
      <c r="AI40968" s="80"/>
    </row>
    <row r="40969">
      <c r="AI40969" s="80"/>
    </row>
    <row r="40970">
      <c r="AI40970" s="80"/>
    </row>
    <row r="40971">
      <c r="AI40971" s="80"/>
    </row>
    <row r="40972">
      <c r="AI40972" s="80"/>
    </row>
    <row r="40973">
      <c r="AI40973" s="80"/>
    </row>
    <row r="40974">
      <c r="AI40974" s="80"/>
    </row>
    <row r="40975">
      <c r="AI40975" s="80"/>
    </row>
    <row r="40976">
      <c r="AI40976" s="80"/>
    </row>
    <row r="40977">
      <c r="AI40977" s="80"/>
    </row>
    <row r="40978">
      <c r="AI40978" s="80"/>
    </row>
    <row r="40979">
      <c r="AI40979" s="80"/>
    </row>
    <row r="40980">
      <c r="AI40980" s="80"/>
    </row>
    <row r="40981">
      <c r="AI40981" s="80"/>
    </row>
    <row r="40982">
      <c r="AI40982" s="80"/>
    </row>
    <row r="40983">
      <c r="AI40983" s="80"/>
    </row>
    <row r="40984">
      <c r="AI40984" s="80"/>
    </row>
    <row r="40985">
      <c r="AI40985" s="80"/>
    </row>
    <row r="40986">
      <c r="AI40986" s="80"/>
    </row>
    <row r="40987">
      <c r="AI40987" s="80"/>
    </row>
    <row r="40988">
      <c r="AI40988" s="80"/>
    </row>
    <row r="40989">
      <c r="AI40989" s="80"/>
    </row>
    <row r="40990">
      <c r="AI40990" s="80"/>
    </row>
    <row r="40991">
      <c r="AI40991" s="80"/>
    </row>
    <row r="40992">
      <c r="AI40992" s="80"/>
    </row>
    <row r="40993">
      <c r="AI40993" s="80"/>
    </row>
    <row r="40994">
      <c r="AI40994" s="80"/>
    </row>
    <row r="40995">
      <c r="AI40995" s="80"/>
    </row>
    <row r="40996">
      <c r="AI40996" s="80"/>
    </row>
    <row r="40997">
      <c r="AI40997" s="80"/>
    </row>
    <row r="40998">
      <c r="AI40998" s="80"/>
    </row>
    <row r="40999">
      <c r="AI40999" s="80"/>
    </row>
    <row r="41000">
      <c r="AI41000" s="80"/>
    </row>
    <row r="41001">
      <c r="AI41001" s="80"/>
    </row>
    <row r="41002">
      <c r="AI41002" s="80"/>
    </row>
    <row r="41003">
      <c r="AI41003" s="80"/>
    </row>
    <row r="41004">
      <c r="AI41004" s="80"/>
    </row>
    <row r="41005">
      <c r="AI41005" s="80"/>
    </row>
    <row r="41006">
      <c r="AI41006" s="80"/>
    </row>
    <row r="41007">
      <c r="AI41007" s="80"/>
    </row>
    <row r="41008">
      <c r="AI41008" s="80"/>
    </row>
    <row r="41009">
      <c r="AI41009" s="80"/>
    </row>
    <row r="41010">
      <c r="AI41010" s="80"/>
    </row>
    <row r="41011">
      <c r="AI41011" s="80"/>
    </row>
    <row r="41012">
      <c r="AI41012" s="80"/>
    </row>
    <row r="41013">
      <c r="AI41013" s="80"/>
    </row>
    <row r="41014">
      <c r="AI41014" s="80"/>
    </row>
    <row r="41015">
      <c r="AI41015" s="80"/>
    </row>
    <row r="41016">
      <c r="AI41016" s="80"/>
    </row>
    <row r="41017">
      <c r="AI41017" s="80"/>
    </row>
    <row r="41018">
      <c r="AI41018" s="80"/>
    </row>
    <row r="41019">
      <c r="AI41019" s="80"/>
    </row>
    <row r="41020">
      <c r="AI41020" s="80"/>
    </row>
    <row r="41021">
      <c r="AI41021" s="80"/>
    </row>
    <row r="41022">
      <c r="AI41022" s="80"/>
    </row>
    <row r="41023">
      <c r="AI41023" s="80"/>
    </row>
    <row r="41024">
      <c r="AI41024" s="80"/>
    </row>
    <row r="41025">
      <c r="AI41025" s="80"/>
    </row>
    <row r="41026">
      <c r="AI41026" s="80"/>
    </row>
    <row r="41027">
      <c r="AI41027" s="80"/>
    </row>
    <row r="41028">
      <c r="AI41028" s="80"/>
    </row>
    <row r="41029">
      <c r="AI41029" s="80"/>
    </row>
    <row r="41030">
      <c r="AI41030" s="80"/>
    </row>
    <row r="41031">
      <c r="AI41031" s="80"/>
    </row>
    <row r="41032">
      <c r="AI41032" s="80"/>
    </row>
    <row r="41033">
      <c r="AI41033" s="80"/>
    </row>
    <row r="41034">
      <c r="AI41034" s="80"/>
    </row>
    <row r="41035">
      <c r="AI41035" s="80"/>
    </row>
    <row r="41036">
      <c r="AI41036" s="80"/>
    </row>
    <row r="41037">
      <c r="AI41037" s="80"/>
    </row>
    <row r="41038">
      <c r="AI41038" s="80"/>
    </row>
    <row r="41039">
      <c r="AI41039" s="80"/>
    </row>
    <row r="41040">
      <c r="AI41040" s="80"/>
    </row>
    <row r="41041">
      <c r="AI41041" s="80"/>
    </row>
    <row r="41042">
      <c r="AI41042" s="80"/>
    </row>
    <row r="41043">
      <c r="AI41043" s="80"/>
    </row>
    <row r="41044">
      <c r="AI41044" s="80"/>
    </row>
    <row r="41045">
      <c r="AI41045" s="80"/>
    </row>
    <row r="41046">
      <c r="AI41046" s="80"/>
    </row>
    <row r="41047">
      <c r="AI41047" s="80"/>
    </row>
    <row r="41048">
      <c r="AI41048" s="80"/>
    </row>
    <row r="41049">
      <c r="AI41049" s="80"/>
    </row>
    <row r="41050">
      <c r="AI41050" s="80"/>
    </row>
    <row r="41051">
      <c r="AI41051" s="80"/>
    </row>
    <row r="41052">
      <c r="AI41052" s="80"/>
    </row>
    <row r="41053">
      <c r="AI41053" s="80"/>
    </row>
    <row r="41054">
      <c r="AI41054" s="80"/>
    </row>
    <row r="41055">
      <c r="AI41055" s="80"/>
    </row>
    <row r="41056">
      <c r="AI41056" s="80"/>
    </row>
    <row r="41057">
      <c r="AI41057" s="80"/>
    </row>
    <row r="41058">
      <c r="AI41058" s="80"/>
    </row>
    <row r="41059">
      <c r="AI41059" s="80"/>
    </row>
    <row r="41060">
      <c r="AI41060" s="80"/>
    </row>
    <row r="41061">
      <c r="AI41061" s="80"/>
    </row>
    <row r="41062">
      <c r="AI41062" s="80"/>
    </row>
    <row r="41063">
      <c r="AI41063" s="80"/>
    </row>
    <row r="41064">
      <c r="AI41064" s="80"/>
    </row>
    <row r="41065">
      <c r="AI41065" s="80"/>
    </row>
    <row r="41066">
      <c r="AI41066" s="80"/>
    </row>
    <row r="41067">
      <c r="AI41067" s="80"/>
    </row>
    <row r="41068">
      <c r="AI41068" s="80"/>
    </row>
    <row r="41069">
      <c r="AI41069" s="80"/>
    </row>
    <row r="41070">
      <c r="AI41070" s="80"/>
    </row>
    <row r="41071">
      <c r="AI41071" s="80"/>
    </row>
    <row r="41072">
      <c r="AI41072" s="80"/>
    </row>
    <row r="41073">
      <c r="AI41073" s="80"/>
    </row>
    <row r="41074">
      <c r="AI41074" s="80"/>
    </row>
    <row r="41075">
      <c r="AI41075" s="80"/>
    </row>
    <row r="41076">
      <c r="AI41076" s="80"/>
    </row>
    <row r="41077">
      <c r="AI41077" s="80"/>
    </row>
    <row r="41078">
      <c r="AI41078" s="80"/>
    </row>
    <row r="41079">
      <c r="AI41079" s="80"/>
    </row>
    <row r="41080">
      <c r="AI41080" s="80"/>
    </row>
    <row r="41081">
      <c r="AI41081" s="80"/>
    </row>
    <row r="41082">
      <c r="AI41082" s="80"/>
    </row>
    <row r="41083">
      <c r="AI41083" s="80"/>
    </row>
    <row r="41084">
      <c r="AI41084" s="80"/>
    </row>
    <row r="41085">
      <c r="AI41085" s="80"/>
    </row>
    <row r="41086">
      <c r="AI41086" s="80"/>
    </row>
    <row r="41087">
      <c r="AI41087" s="80"/>
    </row>
    <row r="41088">
      <c r="AI41088" s="80"/>
    </row>
    <row r="41089">
      <c r="AI41089" s="80"/>
    </row>
    <row r="41090">
      <c r="AI41090" s="80"/>
    </row>
    <row r="41091">
      <c r="AI41091" s="80"/>
    </row>
    <row r="41092">
      <c r="AI41092" s="80"/>
    </row>
    <row r="41093">
      <c r="AI41093" s="80"/>
    </row>
    <row r="41094">
      <c r="AI41094" s="80"/>
    </row>
    <row r="41095">
      <c r="AI41095" s="80"/>
    </row>
    <row r="41096">
      <c r="AI41096" s="80"/>
    </row>
    <row r="41097">
      <c r="AI41097" s="80"/>
    </row>
    <row r="41098">
      <c r="AI41098" s="80"/>
    </row>
    <row r="41099">
      <c r="AI41099" s="80"/>
    </row>
    <row r="41100">
      <c r="AI41100" s="80"/>
    </row>
    <row r="41101">
      <c r="AI41101" s="80"/>
    </row>
    <row r="41102">
      <c r="AI41102" s="80"/>
    </row>
    <row r="41103">
      <c r="AI41103" s="80"/>
    </row>
    <row r="41104">
      <c r="AI41104" s="80"/>
    </row>
    <row r="41105">
      <c r="AI41105" s="80"/>
    </row>
    <row r="41106">
      <c r="AI41106" s="80"/>
    </row>
    <row r="41107">
      <c r="AI41107" s="80"/>
    </row>
    <row r="41108">
      <c r="AI41108" s="80"/>
    </row>
    <row r="41109">
      <c r="AI41109" s="80"/>
    </row>
    <row r="41110">
      <c r="AI41110" s="80"/>
    </row>
    <row r="41111">
      <c r="AI41111" s="80"/>
    </row>
    <row r="41112">
      <c r="AI41112" s="80"/>
    </row>
    <row r="41113">
      <c r="AI41113" s="80"/>
    </row>
    <row r="41114">
      <c r="AI41114" s="80"/>
    </row>
    <row r="41115">
      <c r="AI41115" s="80"/>
    </row>
    <row r="41116">
      <c r="AI41116" s="80"/>
    </row>
    <row r="41117">
      <c r="AI41117" s="80"/>
    </row>
    <row r="41118">
      <c r="AI41118" s="80"/>
    </row>
    <row r="41119">
      <c r="AI41119" s="80"/>
    </row>
    <row r="41120">
      <c r="AI41120" s="80"/>
    </row>
    <row r="41121">
      <c r="AI41121" s="80"/>
    </row>
    <row r="41122">
      <c r="AI41122" s="80"/>
    </row>
    <row r="41123">
      <c r="AI41123" s="80"/>
    </row>
    <row r="41124">
      <c r="AI41124" s="80"/>
    </row>
    <row r="41125">
      <c r="AI41125" s="80"/>
    </row>
    <row r="41126">
      <c r="AI41126" s="80"/>
    </row>
    <row r="41127">
      <c r="AI41127" s="80"/>
    </row>
    <row r="41128">
      <c r="AI41128" s="80"/>
    </row>
    <row r="41129">
      <c r="AI41129" s="80"/>
    </row>
    <row r="41130">
      <c r="AI41130" s="80"/>
    </row>
    <row r="41131">
      <c r="AI41131" s="80"/>
    </row>
    <row r="41132">
      <c r="AI41132" s="80"/>
    </row>
    <row r="41133">
      <c r="AI41133" s="80"/>
    </row>
    <row r="41134">
      <c r="AI41134" s="80"/>
    </row>
    <row r="41135">
      <c r="AI41135" s="80"/>
    </row>
    <row r="41136">
      <c r="AI41136" s="80"/>
    </row>
    <row r="41137">
      <c r="AI41137" s="80"/>
    </row>
    <row r="41138">
      <c r="AI41138" s="80"/>
    </row>
    <row r="41139">
      <c r="AI41139" s="80"/>
    </row>
    <row r="41140">
      <c r="AI41140" s="80"/>
    </row>
    <row r="41141">
      <c r="AI41141" s="80"/>
    </row>
    <row r="41142">
      <c r="AI41142" s="80"/>
    </row>
    <row r="41143">
      <c r="AI41143" s="80"/>
    </row>
    <row r="41144">
      <c r="AI41144" s="80"/>
    </row>
    <row r="41145">
      <c r="AI41145" s="80"/>
    </row>
    <row r="41146">
      <c r="AI41146" s="80"/>
    </row>
    <row r="41147">
      <c r="AI41147" s="80"/>
    </row>
    <row r="41148">
      <c r="AI41148" s="80"/>
    </row>
    <row r="41149">
      <c r="AI41149" s="80"/>
    </row>
    <row r="41150">
      <c r="AI41150" s="80"/>
    </row>
    <row r="41151">
      <c r="AI41151" s="80"/>
    </row>
    <row r="41152">
      <c r="AI41152" s="80"/>
    </row>
    <row r="41153">
      <c r="AI41153" s="80"/>
    </row>
    <row r="41154">
      <c r="AI41154" s="80"/>
    </row>
    <row r="41155">
      <c r="AI41155" s="80"/>
    </row>
    <row r="41156">
      <c r="AI41156" s="80"/>
    </row>
    <row r="41157">
      <c r="AI41157" s="80"/>
    </row>
    <row r="41158">
      <c r="AI41158" s="80"/>
    </row>
    <row r="41159">
      <c r="AI41159" s="80"/>
    </row>
    <row r="41160">
      <c r="AI41160" s="80"/>
    </row>
    <row r="41161">
      <c r="AI41161" s="80"/>
    </row>
    <row r="41162">
      <c r="AI41162" s="80"/>
    </row>
    <row r="41163">
      <c r="AI41163" s="80"/>
    </row>
    <row r="41164">
      <c r="AI41164" s="80"/>
    </row>
    <row r="41165">
      <c r="AI41165" s="80"/>
    </row>
    <row r="41166">
      <c r="AI41166" s="80"/>
    </row>
    <row r="41167">
      <c r="AI41167" s="80"/>
    </row>
    <row r="41168">
      <c r="AI41168" s="80"/>
    </row>
    <row r="41169">
      <c r="AI41169" s="80"/>
    </row>
    <row r="41170">
      <c r="AI41170" s="80"/>
    </row>
    <row r="41171">
      <c r="AI41171" s="80"/>
    </row>
    <row r="41172">
      <c r="AI41172" s="80"/>
    </row>
    <row r="41173">
      <c r="AI41173" s="80"/>
    </row>
    <row r="41174">
      <c r="AI41174" s="80"/>
    </row>
    <row r="41175">
      <c r="AI41175" s="80"/>
    </row>
    <row r="41176">
      <c r="AI41176" s="80"/>
    </row>
    <row r="41177">
      <c r="AI41177" s="80"/>
    </row>
    <row r="41178">
      <c r="AI41178" s="80"/>
    </row>
    <row r="41179">
      <c r="AI41179" s="80"/>
    </row>
    <row r="41180">
      <c r="AI41180" s="80"/>
    </row>
    <row r="41181">
      <c r="AI41181" s="80"/>
    </row>
    <row r="41182">
      <c r="AI41182" s="80"/>
    </row>
    <row r="41183">
      <c r="AI41183" s="80"/>
    </row>
    <row r="41184">
      <c r="AI41184" s="80"/>
    </row>
    <row r="41185">
      <c r="AI41185" s="80"/>
    </row>
    <row r="41186">
      <c r="AI41186" s="80"/>
    </row>
    <row r="41187">
      <c r="AI41187" s="80"/>
    </row>
    <row r="41188">
      <c r="AI41188" s="80"/>
    </row>
    <row r="41189">
      <c r="AI41189" s="80"/>
    </row>
    <row r="41190">
      <c r="AI41190" s="80"/>
    </row>
    <row r="41191">
      <c r="AI41191" s="80"/>
    </row>
    <row r="41192">
      <c r="AI41192" s="80"/>
    </row>
    <row r="41193">
      <c r="AI41193" s="80"/>
    </row>
    <row r="41194">
      <c r="AI41194" s="80"/>
    </row>
    <row r="41195">
      <c r="AI41195" s="80"/>
    </row>
    <row r="41196">
      <c r="AI41196" s="80"/>
    </row>
    <row r="41197">
      <c r="AI41197" s="80"/>
    </row>
    <row r="41198">
      <c r="AI41198" s="80"/>
    </row>
    <row r="41199">
      <c r="AI41199" s="80"/>
    </row>
    <row r="41200">
      <c r="AI41200" s="80"/>
    </row>
    <row r="41201">
      <c r="AI41201" s="80"/>
    </row>
    <row r="41202">
      <c r="AI41202" s="80"/>
    </row>
    <row r="41203">
      <c r="AI41203" s="80"/>
    </row>
    <row r="41204">
      <c r="AI41204" s="80"/>
    </row>
    <row r="41205">
      <c r="AI41205" s="80"/>
    </row>
    <row r="41206">
      <c r="AI41206" s="80"/>
    </row>
    <row r="41207">
      <c r="AI41207" s="80"/>
    </row>
    <row r="41208">
      <c r="AI41208" s="80"/>
    </row>
    <row r="41209">
      <c r="AI41209" s="80"/>
    </row>
    <row r="41210">
      <c r="AI41210" s="80"/>
    </row>
    <row r="41211">
      <c r="AI41211" s="80"/>
    </row>
    <row r="41212">
      <c r="AI41212" s="80"/>
    </row>
    <row r="41213">
      <c r="AI41213" s="80"/>
    </row>
    <row r="41214">
      <c r="AI41214" s="80"/>
    </row>
    <row r="41215">
      <c r="AI41215" s="80"/>
    </row>
    <row r="41216">
      <c r="AI41216" s="80"/>
    </row>
    <row r="41217">
      <c r="AI41217" s="80"/>
    </row>
    <row r="41218">
      <c r="AI41218" s="80"/>
    </row>
    <row r="41219">
      <c r="AI41219" s="80"/>
    </row>
    <row r="41220">
      <c r="AI41220" s="80"/>
    </row>
    <row r="41221">
      <c r="AI41221" s="80"/>
    </row>
    <row r="41222">
      <c r="AI41222" s="80"/>
    </row>
    <row r="41223">
      <c r="AI41223" s="80"/>
    </row>
    <row r="41224">
      <c r="AI41224" s="80"/>
    </row>
    <row r="41225">
      <c r="AI41225" s="80"/>
    </row>
    <row r="41226">
      <c r="AI41226" s="80"/>
    </row>
    <row r="41227">
      <c r="AI41227" s="80"/>
    </row>
    <row r="41228">
      <c r="AI41228" s="80"/>
    </row>
    <row r="41229">
      <c r="AI41229" s="80"/>
    </row>
    <row r="41230">
      <c r="AI41230" s="80"/>
    </row>
    <row r="41231">
      <c r="AI41231" s="80"/>
    </row>
    <row r="41232">
      <c r="AI41232" s="80"/>
    </row>
    <row r="41233">
      <c r="AI41233" s="80"/>
    </row>
    <row r="41234">
      <c r="AI41234" s="80"/>
    </row>
    <row r="41235">
      <c r="AI41235" s="80"/>
    </row>
    <row r="41236">
      <c r="AI41236" s="80"/>
    </row>
    <row r="41237">
      <c r="AI41237" s="80"/>
    </row>
    <row r="41238">
      <c r="AI41238" s="80"/>
    </row>
    <row r="41239">
      <c r="AI41239" s="80"/>
    </row>
    <row r="41240">
      <c r="AI41240" s="80"/>
    </row>
    <row r="41241">
      <c r="AI41241" s="80"/>
    </row>
    <row r="41242">
      <c r="AI41242" s="80"/>
    </row>
    <row r="41243">
      <c r="AI41243" s="80"/>
    </row>
    <row r="41244">
      <c r="AI41244" s="80"/>
    </row>
    <row r="41245">
      <c r="AI41245" s="80"/>
    </row>
    <row r="41246">
      <c r="AI41246" s="80"/>
    </row>
    <row r="41247">
      <c r="AI41247" s="80"/>
    </row>
    <row r="41248">
      <c r="AI41248" s="80"/>
    </row>
    <row r="41249">
      <c r="AI41249" s="80"/>
    </row>
    <row r="41250">
      <c r="AI41250" s="80"/>
    </row>
    <row r="41251">
      <c r="AI41251" s="80"/>
    </row>
    <row r="41252">
      <c r="AI41252" s="80"/>
    </row>
    <row r="41253">
      <c r="AI41253" s="80"/>
    </row>
    <row r="41254">
      <c r="AI41254" s="80"/>
    </row>
    <row r="41255">
      <c r="AI41255" s="80"/>
    </row>
    <row r="41256">
      <c r="AI41256" s="80"/>
    </row>
    <row r="41257">
      <c r="AI41257" s="80"/>
    </row>
    <row r="41258">
      <c r="AI41258" s="80"/>
    </row>
    <row r="41259">
      <c r="AI41259" s="80"/>
    </row>
    <row r="41260">
      <c r="AI41260" s="80"/>
    </row>
    <row r="41261">
      <c r="AI41261" s="80"/>
    </row>
    <row r="41262">
      <c r="AI41262" s="80"/>
    </row>
    <row r="41263">
      <c r="AI41263" s="80"/>
    </row>
    <row r="41264">
      <c r="AI41264" s="80"/>
    </row>
    <row r="41265">
      <c r="AI41265" s="80"/>
    </row>
    <row r="41266">
      <c r="AI41266" s="80"/>
    </row>
    <row r="41267">
      <c r="AI41267" s="80"/>
    </row>
    <row r="41268">
      <c r="AI41268" s="80"/>
    </row>
    <row r="41269">
      <c r="AI41269" s="80"/>
    </row>
    <row r="41270">
      <c r="AI41270" s="80"/>
    </row>
    <row r="41271">
      <c r="AI41271" s="80"/>
    </row>
    <row r="41272">
      <c r="AI41272" s="80"/>
    </row>
    <row r="41273">
      <c r="AI41273" s="80"/>
    </row>
    <row r="41274">
      <c r="AI41274" s="80"/>
    </row>
    <row r="41275">
      <c r="AI41275" s="80"/>
    </row>
    <row r="41276">
      <c r="AI41276" s="80"/>
    </row>
    <row r="41277">
      <c r="AI41277" s="80"/>
    </row>
    <row r="41278">
      <c r="AI41278" s="80"/>
    </row>
    <row r="41279">
      <c r="AI41279" s="80"/>
    </row>
    <row r="41280">
      <c r="AI41280" s="80"/>
    </row>
    <row r="41281">
      <c r="AI41281" s="80"/>
    </row>
    <row r="41282">
      <c r="AI41282" s="80"/>
    </row>
    <row r="41283">
      <c r="AI41283" s="80"/>
    </row>
    <row r="41284">
      <c r="AI41284" s="80"/>
    </row>
    <row r="41285">
      <c r="AI41285" s="80"/>
    </row>
    <row r="41286">
      <c r="AI41286" s="80"/>
    </row>
    <row r="41287">
      <c r="AI41287" s="80"/>
    </row>
    <row r="41288">
      <c r="AI41288" s="80"/>
    </row>
    <row r="41289">
      <c r="AI41289" s="80"/>
    </row>
    <row r="41290">
      <c r="AI41290" s="80"/>
    </row>
    <row r="41291">
      <c r="AI41291" s="80"/>
    </row>
    <row r="41292">
      <c r="AI41292" s="80"/>
    </row>
    <row r="41293">
      <c r="AI41293" s="80"/>
    </row>
    <row r="41294">
      <c r="AI41294" s="80"/>
    </row>
    <row r="41295">
      <c r="AI41295" s="80"/>
    </row>
    <row r="41296">
      <c r="AI41296" s="80"/>
    </row>
    <row r="41297">
      <c r="AI41297" s="80"/>
    </row>
    <row r="41298">
      <c r="AI41298" s="80"/>
    </row>
    <row r="41299">
      <c r="AI41299" s="80"/>
    </row>
    <row r="41300">
      <c r="AI41300" s="80"/>
    </row>
    <row r="41301">
      <c r="AI41301" s="80"/>
    </row>
    <row r="41302">
      <c r="AI41302" s="80"/>
    </row>
    <row r="41303">
      <c r="AI41303" s="80"/>
    </row>
    <row r="41304">
      <c r="AI41304" s="80"/>
    </row>
    <row r="41305">
      <c r="AI41305" s="80"/>
    </row>
    <row r="41306">
      <c r="AI41306" s="80"/>
    </row>
    <row r="41307">
      <c r="AI41307" s="80"/>
    </row>
    <row r="41308">
      <c r="AI41308" s="80"/>
    </row>
    <row r="41309">
      <c r="AI41309" s="80"/>
    </row>
    <row r="41310">
      <c r="AI41310" s="80"/>
    </row>
    <row r="41311">
      <c r="AI41311" s="80"/>
    </row>
    <row r="41312">
      <c r="AI41312" s="80"/>
    </row>
    <row r="41313">
      <c r="AI41313" s="80"/>
    </row>
    <row r="41314">
      <c r="AI41314" s="80"/>
    </row>
    <row r="41315">
      <c r="AI41315" s="80"/>
    </row>
    <row r="41316">
      <c r="AI41316" s="80"/>
    </row>
    <row r="41317">
      <c r="AI41317" s="80"/>
    </row>
    <row r="41318">
      <c r="AI41318" s="80"/>
    </row>
    <row r="41319">
      <c r="AI41319" s="80"/>
    </row>
    <row r="41320">
      <c r="AI41320" s="80"/>
    </row>
    <row r="41321">
      <c r="AI41321" s="80"/>
    </row>
    <row r="41322">
      <c r="AI41322" s="80"/>
    </row>
    <row r="41323">
      <c r="AI41323" s="80"/>
    </row>
    <row r="41324">
      <c r="AI41324" s="80"/>
    </row>
    <row r="41325">
      <c r="AI41325" s="80"/>
    </row>
    <row r="41326">
      <c r="AI41326" s="80"/>
    </row>
    <row r="41327">
      <c r="AI41327" s="80"/>
    </row>
    <row r="41328">
      <c r="AI41328" s="80"/>
    </row>
    <row r="41329">
      <c r="AI41329" s="80"/>
    </row>
    <row r="41330">
      <c r="AI41330" s="80"/>
    </row>
    <row r="41331">
      <c r="AI41331" s="80"/>
    </row>
    <row r="41332">
      <c r="AI41332" s="80"/>
    </row>
    <row r="41333">
      <c r="AI41333" s="80"/>
    </row>
    <row r="41334">
      <c r="AI41334" s="80"/>
    </row>
    <row r="41335">
      <c r="AI41335" s="80"/>
    </row>
    <row r="41336">
      <c r="AI41336" s="80"/>
    </row>
    <row r="41337">
      <c r="AI41337" s="80"/>
    </row>
    <row r="41338">
      <c r="AI41338" s="80"/>
    </row>
    <row r="41339">
      <c r="AI41339" s="80"/>
    </row>
    <row r="41340">
      <c r="AI41340" s="80"/>
    </row>
    <row r="41341">
      <c r="AI41341" s="80"/>
    </row>
    <row r="41342">
      <c r="AI41342" s="80"/>
    </row>
    <row r="41343">
      <c r="AI41343" s="80"/>
    </row>
    <row r="41344">
      <c r="AI41344" s="80"/>
    </row>
    <row r="41345">
      <c r="AI41345" s="80"/>
    </row>
    <row r="41346">
      <c r="AI41346" s="80"/>
    </row>
    <row r="41347">
      <c r="AI41347" s="80"/>
    </row>
    <row r="41348">
      <c r="AI41348" s="80"/>
    </row>
    <row r="41349">
      <c r="AI41349" s="80"/>
    </row>
    <row r="41350">
      <c r="AI41350" s="80"/>
    </row>
    <row r="41351">
      <c r="AI41351" s="80"/>
    </row>
    <row r="41352">
      <c r="AI41352" s="80"/>
    </row>
    <row r="41353">
      <c r="AI41353" s="80"/>
    </row>
    <row r="41354">
      <c r="AI41354" s="80"/>
    </row>
    <row r="41355">
      <c r="AI41355" s="80"/>
    </row>
    <row r="41356">
      <c r="AI41356" s="80"/>
    </row>
    <row r="41357">
      <c r="AI41357" s="80"/>
    </row>
    <row r="41358">
      <c r="AI41358" s="80"/>
    </row>
    <row r="41359">
      <c r="AI41359" s="80"/>
    </row>
    <row r="41360">
      <c r="AI41360" s="80"/>
    </row>
    <row r="41361">
      <c r="AI41361" s="80"/>
    </row>
    <row r="41362">
      <c r="AI41362" s="80"/>
    </row>
    <row r="41363">
      <c r="AI41363" s="80"/>
    </row>
    <row r="41364">
      <c r="AI41364" s="80"/>
    </row>
    <row r="41365">
      <c r="AI41365" s="80"/>
    </row>
    <row r="41366">
      <c r="AI41366" s="80"/>
    </row>
    <row r="41367">
      <c r="AI41367" s="80"/>
    </row>
    <row r="41368">
      <c r="AI41368" s="80"/>
    </row>
    <row r="41369">
      <c r="AI41369" s="80"/>
    </row>
    <row r="41370">
      <c r="AI41370" s="80"/>
    </row>
    <row r="41371">
      <c r="AI41371" s="80"/>
    </row>
    <row r="41372">
      <c r="AI41372" s="80"/>
    </row>
    <row r="41373">
      <c r="AI41373" s="80"/>
    </row>
    <row r="41374">
      <c r="AI41374" s="80"/>
    </row>
    <row r="41375">
      <c r="AI41375" s="80"/>
    </row>
    <row r="41376">
      <c r="AI41376" s="80"/>
    </row>
    <row r="41377">
      <c r="AI41377" s="80"/>
    </row>
    <row r="41378">
      <c r="AI41378" s="80"/>
    </row>
    <row r="41379">
      <c r="AI41379" s="80"/>
    </row>
    <row r="41380">
      <c r="AI41380" s="80"/>
    </row>
    <row r="41381">
      <c r="AI41381" s="80"/>
    </row>
    <row r="41382">
      <c r="AI41382" s="80"/>
    </row>
    <row r="41383">
      <c r="AI41383" s="80"/>
    </row>
    <row r="41384">
      <c r="AI41384" s="80"/>
    </row>
    <row r="41385">
      <c r="AI41385" s="80"/>
    </row>
    <row r="41386">
      <c r="AI41386" s="80"/>
    </row>
    <row r="41387">
      <c r="AI41387" s="80"/>
    </row>
    <row r="41388">
      <c r="AI41388" s="80"/>
    </row>
    <row r="41389">
      <c r="AI41389" s="80"/>
    </row>
    <row r="41390">
      <c r="AI41390" s="80"/>
    </row>
    <row r="41391">
      <c r="AI41391" s="80"/>
    </row>
    <row r="41392">
      <c r="AI41392" s="80"/>
    </row>
    <row r="41393">
      <c r="AI41393" s="80"/>
    </row>
    <row r="41394">
      <c r="AI41394" s="80"/>
    </row>
    <row r="41395">
      <c r="AI41395" s="80"/>
    </row>
    <row r="41396">
      <c r="AI41396" s="80"/>
    </row>
    <row r="41397">
      <c r="AI41397" s="80"/>
    </row>
    <row r="41398">
      <c r="AI41398" s="80"/>
    </row>
    <row r="41399">
      <c r="AI41399" s="80"/>
    </row>
    <row r="41400">
      <c r="AI41400" s="80"/>
    </row>
    <row r="41401">
      <c r="AI41401" s="80"/>
    </row>
    <row r="41402">
      <c r="AI41402" s="80"/>
    </row>
    <row r="41403">
      <c r="AI41403" s="80"/>
    </row>
    <row r="41404">
      <c r="AI41404" s="80"/>
    </row>
    <row r="41405">
      <c r="AI41405" s="80"/>
    </row>
    <row r="41406">
      <c r="AI41406" s="80"/>
    </row>
    <row r="41407">
      <c r="AI41407" s="80"/>
    </row>
    <row r="41408">
      <c r="AI41408" s="80"/>
    </row>
    <row r="41409">
      <c r="AI41409" s="80"/>
    </row>
    <row r="41410">
      <c r="AI41410" s="80"/>
    </row>
    <row r="41411">
      <c r="AI41411" s="80"/>
    </row>
    <row r="41412">
      <c r="AI41412" s="80"/>
    </row>
    <row r="41413">
      <c r="AI41413" s="80"/>
    </row>
    <row r="41414">
      <c r="AI41414" s="80"/>
    </row>
    <row r="41415">
      <c r="AI41415" s="80"/>
    </row>
    <row r="41416">
      <c r="AI41416" s="80"/>
    </row>
    <row r="41417">
      <c r="AI41417" s="80"/>
    </row>
    <row r="41418">
      <c r="AI41418" s="80"/>
    </row>
    <row r="41419">
      <c r="AI41419" s="80"/>
    </row>
    <row r="41420">
      <c r="AI41420" s="80"/>
    </row>
    <row r="41421">
      <c r="AI41421" s="80"/>
    </row>
    <row r="41422">
      <c r="AI41422" s="80"/>
    </row>
    <row r="41423">
      <c r="AI41423" s="80"/>
    </row>
    <row r="41424">
      <c r="AI41424" s="80"/>
    </row>
    <row r="41425">
      <c r="AI41425" s="80"/>
    </row>
    <row r="41426">
      <c r="AI41426" s="80"/>
    </row>
    <row r="41427">
      <c r="AI41427" s="80"/>
    </row>
    <row r="41428">
      <c r="AI41428" s="80"/>
    </row>
    <row r="41429">
      <c r="AI41429" s="80"/>
    </row>
    <row r="41430">
      <c r="AI41430" s="80"/>
    </row>
    <row r="41431">
      <c r="AI41431" s="80"/>
    </row>
    <row r="41432">
      <c r="AI41432" s="80"/>
    </row>
    <row r="41433">
      <c r="AI41433" s="80"/>
    </row>
    <row r="41434">
      <c r="AI41434" s="80"/>
    </row>
    <row r="41435">
      <c r="AI41435" s="80"/>
    </row>
    <row r="41436">
      <c r="AI41436" s="80"/>
    </row>
    <row r="41437">
      <c r="AI41437" s="80"/>
    </row>
    <row r="41438">
      <c r="AI41438" s="80"/>
    </row>
    <row r="41439">
      <c r="AI41439" s="80"/>
    </row>
    <row r="41440">
      <c r="AI41440" s="80"/>
    </row>
    <row r="41441">
      <c r="AI41441" s="80"/>
    </row>
    <row r="41442">
      <c r="AI41442" s="80"/>
    </row>
    <row r="41443">
      <c r="AI41443" s="80"/>
    </row>
    <row r="41444">
      <c r="AI41444" s="80"/>
    </row>
    <row r="41445">
      <c r="AI41445" s="80"/>
    </row>
    <row r="41446">
      <c r="AI41446" s="80"/>
    </row>
    <row r="41447">
      <c r="AI41447" s="80"/>
    </row>
    <row r="41448">
      <c r="AI41448" s="80"/>
    </row>
    <row r="41449">
      <c r="AI41449" s="80"/>
    </row>
    <row r="41450">
      <c r="AI41450" s="80"/>
    </row>
    <row r="41451">
      <c r="AI41451" s="80"/>
    </row>
    <row r="41452">
      <c r="AI41452" s="80"/>
    </row>
    <row r="41453">
      <c r="AI41453" s="80"/>
    </row>
    <row r="41454">
      <c r="AI41454" s="80"/>
    </row>
    <row r="41455">
      <c r="AI41455" s="80"/>
    </row>
    <row r="41456">
      <c r="AI41456" s="80"/>
    </row>
    <row r="41457">
      <c r="AI41457" s="80"/>
    </row>
    <row r="41458">
      <c r="AI41458" s="80"/>
    </row>
    <row r="41459">
      <c r="AI41459" s="80"/>
    </row>
    <row r="41460">
      <c r="AI41460" s="80"/>
    </row>
    <row r="41461">
      <c r="AI41461" s="80"/>
    </row>
    <row r="41462">
      <c r="AI41462" s="80"/>
    </row>
    <row r="41463">
      <c r="AI41463" s="80"/>
    </row>
    <row r="41464">
      <c r="AI41464" s="80"/>
    </row>
    <row r="41465">
      <c r="AI41465" s="80"/>
    </row>
    <row r="41466">
      <c r="AI41466" s="80"/>
    </row>
    <row r="41467">
      <c r="AI41467" s="80"/>
    </row>
    <row r="41468">
      <c r="AI41468" s="80"/>
    </row>
    <row r="41469">
      <c r="AI41469" s="80"/>
    </row>
    <row r="41470">
      <c r="AI41470" s="80"/>
    </row>
    <row r="41471">
      <c r="AI41471" s="80"/>
    </row>
    <row r="41472">
      <c r="AI41472" s="80"/>
    </row>
    <row r="41473">
      <c r="AI41473" s="80"/>
    </row>
    <row r="41474">
      <c r="AI41474" s="80"/>
    </row>
    <row r="41475">
      <c r="AI41475" s="80"/>
    </row>
    <row r="41476">
      <c r="AI41476" s="80"/>
    </row>
    <row r="41477">
      <c r="AI41477" s="80"/>
    </row>
    <row r="41478">
      <c r="AI41478" s="80"/>
    </row>
    <row r="41479">
      <c r="AI41479" s="80"/>
    </row>
    <row r="41480">
      <c r="AI41480" s="80"/>
    </row>
    <row r="41481">
      <c r="AI41481" s="80"/>
    </row>
    <row r="41482">
      <c r="AI41482" s="80"/>
    </row>
    <row r="41483">
      <c r="AI41483" s="80"/>
    </row>
    <row r="41484">
      <c r="AI41484" s="80"/>
    </row>
    <row r="41485">
      <c r="AI41485" s="80"/>
    </row>
    <row r="41486">
      <c r="AI41486" s="80"/>
    </row>
    <row r="41487">
      <c r="AI41487" s="80"/>
    </row>
    <row r="41488">
      <c r="AI41488" s="80"/>
    </row>
    <row r="41489">
      <c r="AI41489" s="80"/>
    </row>
    <row r="41490">
      <c r="AI41490" s="80"/>
    </row>
    <row r="41491">
      <c r="AI41491" s="80"/>
    </row>
    <row r="41492">
      <c r="AI41492" s="80"/>
    </row>
    <row r="41493">
      <c r="AI41493" s="80"/>
    </row>
    <row r="41494">
      <c r="AI41494" s="80"/>
    </row>
    <row r="41495">
      <c r="AI41495" s="80"/>
    </row>
    <row r="41496">
      <c r="AI41496" s="80"/>
    </row>
    <row r="41497">
      <c r="AI41497" s="80"/>
    </row>
    <row r="41498">
      <c r="AI41498" s="80"/>
    </row>
    <row r="41499">
      <c r="AI41499" s="80"/>
    </row>
    <row r="41500">
      <c r="AI41500" s="80"/>
    </row>
    <row r="41501">
      <c r="AI41501" s="80"/>
    </row>
    <row r="41502">
      <c r="AI41502" s="80"/>
    </row>
    <row r="41503">
      <c r="AI41503" s="80"/>
    </row>
    <row r="41504">
      <c r="AI41504" s="80"/>
    </row>
    <row r="41505">
      <c r="AI41505" s="80"/>
    </row>
    <row r="41506">
      <c r="AI41506" s="80"/>
    </row>
    <row r="41507">
      <c r="AI41507" s="80"/>
    </row>
    <row r="41508">
      <c r="AI41508" s="80"/>
    </row>
    <row r="41509">
      <c r="AI41509" s="80"/>
    </row>
    <row r="41510">
      <c r="AI41510" s="80"/>
    </row>
    <row r="41511">
      <c r="AI41511" s="80"/>
    </row>
    <row r="41512">
      <c r="AI41512" s="80"/>
    </row>
    <row r="41513">
      <c r="AI41513" s="80"/>
    </row>
    <row r="41514">
      <c r="AI41514" s="80"/>
    </row>
    <row r="41515">
      <c r="AI41515" s="80"/>
    </row>
    <row r="41516">
      <c r="AI41516" s="80"/>
    </row>
    <row r="41517">
      <c r="AI41517" s="80"/>
    </row>
    <row r="41518">
      <c r="AI41518" s="80"/>
    </row>
    <row r="41519">
      <c r="AI41519" s="80"/>
    </row>
    <row r="41520">
      <c r="AI41520" s="80"/>
    </row>
    <row r="41521">
      <c r="AI41521" s="80"/>
    </row>
    <row r="41522">
      <c r="AI41522" s="80"/>
    </row>
    <row r="41523">
      <c r="AI41523" s="80"/>
    </row>
    <row r="41524">
      <c r="AI41524" s="80"/>
    </row>
    <row r="41525">
      <c r="AI41525" s="80"/>
    </row>
    <row r="41526">
      <c r="AI41526" s="80"/>
    </row>
    <row r="41527">
      <c r="AI41527" s="80"/>
    </row>
    <row r="41528">
      <c r="AI41528" s="80"/>
    </row>
    <row r="41529">
      <c r="AI41529" s="80"/>
    </row>
    <row r="41530">
      <c r="AI41530" s="80"/>
    </row>
    <row r="41531">
      <c r="AI41531" s="80"/>
    </row>
    <row r="41532">
      <c r="AI41532" s="80"/>
    </row>
    <row r="41533">
      <c r="AI41533" s="80"/>
    </row>
    <row r="41534">
      <c r="AI41534" s="80"/>
    </row>
    <row r="41535">
      <c r="AI41535" s="80"/>
    </row>
    <row r="41536">
      <c r="AI41536" s="80"/>
    </row>
    <row r="41537">
      <c r="AI41537" s="80"/>
    </row>
    <row r="41538">
      <c r="AI41538" s="80"/>
    </row>
    <row r="41539">
      <c r="AI41539" s="80"/>
    </row>
    <row r="41540">
      <c r="AI41540" s="80"/>
    </row>
    <row r="41541">
      <c r="AI41541" s="80"/>
    </row>
    <row r="41542">
      <c r="AI41542" s="80"/>
    </row>
    <row r="41543">
      <c r="AI41543" s="80"/>
    </row>
    <row r="41544">
      <c r="AI41544" s="80"/>
    </row>
    <row r="41545">
      <c r="AI41545" s="80"/>
    </row>
    <row r="41546">
      <c r="AI41546" s="80"/>
    </row>
    <row r="41547">
      <c r="AI41547" s="80"/>
    </row>
    <row r="41548">
      <c r="AI41548" s="80"/>
    </row>
    <row r="41549">
      <c r="AI41549" s="80"/>
    </row>
    <row r="41550">
      <c r="AI41550" s="80"/>
    </row>
    <row r="41551">
      <c r="AI41551" s="80"/>
    </row>
    <row r="41552">
      <c r="AI41552" s="80"/>
    </row>
    <row r="41553">
      <c r="AI41553" s="80"/>
    </row>
    <row r="41554">
      <c r="AI41554" s="80"/>
    </row>
    <row r="41555">
      <c r="AI41555" s="80"/>
    </row>
    <row r="41556">
      <c r="AI41556" s="80"/>
    </row>
    <row r="41557">
      <c r="AI41557" s="80"/>
    </row>
    <row r="41558">
      <c r="AI41558" s="80"/>
    </row>
    <row r="41559">
      <c r="AI41559" s="80"/>
    </row>
    <row r="41560">
      <c r="AI41560" s="80"/>
    </row>
    <row r="41561">
      <c r="AI41561" s="80"/>
    </row>
    <row r="41562">
      <c r="AI41562" s="80"/>
    </row>
    <row r="41563">
      <c r="AI41563" s="80"/>
    </row>
    <row r="41564">
      <c r="AI41564" s="80"/>
    </row>
    <row r="41565">
      <c r="AI41565" s="80"/>
    </row>
    <row r="41566">
      <c r="AI41566" s="80"/>
    </row>
    <row r="41567">
      <c r="AI41567" s="80"/>
    </row>
    <row r="41568">
      <c r="AI41568" s="80"/>
    </row>
    <row r="41569">
      <c r="AI41569" s="80"/>
    </row>
    <row r="41570">
      <c r="AI41570" s="80"/>
    </row>
    <row r="41571">
      <c r="AI41571" s="80"/>
    </row>
    <row r="41572">
      <c r="AI41572" s="80"/>
    </row>
    <row r="41573">
      <c r="AI41573" s="80"/>
    </row>
    <row r="41574">
      <c r="AI41574" s="80"/>
    </row>
    <row r="41575">
      <c r="AI41575" s="80"/>
    </row>
    <row r="41576">
      <c r="AI41576" s="80"/>
    </row>
    <row r="41577">
      <c r="AI41577" s="80"/>
    </row>
    <row r="41578">
      <c r="AI41578" s="80"/>
    </row>
    <row r="41579">
      <c r="AI41579" s="80"/>
    </row>
    <row r="41580">
      <c r="AI41580" s="80"/>
    </row>
    <row r="41581">
      <c r="AI41581" s="80"/>
    </row>
    <row r="41582">
      <c r="AI41582" s="80"/>
    </row>
    <row r="41583">
      <c r="AI41583" s="80"/>
    </row>
    <row r="41584">
      <c r="AI41584" s="80"/>
    </row>
    <row r="41585">
      <c r="AI41585" s="80"/>
    </row>
    <row r="41586">
      <c r="AI41586" s="80"/>
    </row>
    <row r="41587">
      <c r="AI41587" s="80"/>
    </row>
    <row r="41588">
      <c r="AI41588" s="80"/>
    </row>
    <row r="41589">
      <c r="AI41589" s="80"/>
    </row>
    <row r="41590">
      <c r="AI41590" s="80"/>
    </row>
    <row r="41591">
      <c r="AI41591" s="80"/>
    </row>
    <row r="41592">
      <c r="AI41592" s="80"/>
    </row>
    <row r="41593">
      <c r="AI41593" s="80"/>
    </row>
    <row r="41594">
      <c r="AI41594" s="80"/>
    </row>
    <row r="41595">
      <c r="AI41595" s="80"/>
    </row>
    <row r="41596">
      <c r="AI41596" s="80"/>
    </row>
    <row r="41597">
      <c r="AI41597" s="80"/>
    </row>
    <row r="41598">
      <c r="AI41598" s="80"/>
    </row>
    <row r="41599">
      <c r="AI41599" s="80"/>
    </row>
    <row r="41600">
      <c r="AI41600" s="80"/>
    </row>
    <row r="41601">
      <c r="AI41601" s="80"/>
    </row>
    <row r="41602">
      <c r="AI41602" s="80"/>
    </row>
    <row r="41603">
      <c r="AI41603" s="80"/>
    </row>
    <row r="41604">
      <c r="AI41604" s="80"/>
    </row>
    <row r="41605">
      <c r="AI41605" s="80"/>
    </row>
    <row r="41606">
      <c r="AI41606" s="80"/>
    </row>
    <row r="41607">
      <c r="AI41607" s="80"/>
    </row>
    <row r="41608">
      <c r="AI41608" s="80"/>
    </row>
    <row r="41609">
      <c r="AI41609" s="80"/>
    </row>
    <row r="41610">
      <c r="AI41610" s="80"/>
    </row>
    <row r="41611">
      <c r="AI41611" s="80"/>
    </row>
    <row r="41612">
      <c r="AI41612" s="80"/>
    </row>
    <row r="41613">
      <c r="AI41613" s="80"/>
    </row>
    <row r="41614">
      <c r="AI41614" s="80"/>
    </row>
    <row r="41615">
      <c r="AI41615" s="80"/>
    </row>
    <row r="41616">
      <c r="AI41616" s="80"/>
    </row>
    <row r="41617">
      <c r="AI41617" s="80"/>
    </row>
    <row r="41618">
      <c r="AI41618" s="80"/>
    </row>
    <row r="41619">
      <c r="AI41619" s="80"/>
    </row>
    <row r="41620">
      <c r="AI41620" s="80"/>
    </row>
    <row r="41621">
      <c r="AI41621" s="80"/>
    </row>
    <row r="41622">
      <c r="AI41622" s="80"/>
    </row>
    <row r="41623">
      <c r="AI41623" s="80"/>
    </row>
    <row r="41624">
      <c r="AI41624" s="80"/>
    </row>
    <row r="41625">
      <c r="AI41625" s="80"/>
    </row>
    <row r="41626">
      <c r="AI41626" s="80"/>
    </row>
    <row r="41627">
      <c r="AI41627" s="80"/>
    </row>
    <row r="41628">
      <c r="AI41628" s="80"/>
    </row>
    <row r="41629">
      <c r="AI41629" s="80"/>
    </row>
    <row r="41630">
      <c r="AI41630" s="80"/>
    </row>
    <row r="41631">
      <c r="AI41631" s="80"/>
    </row>
    <row r="41632">
      <c r="AI41632" s="80"/>
    </row>
    <row r="41633">
      <c r="AI41633" s="80"/>
    </row>
    <row r="41634">
      <c r="AI41634" s="80"/>
    </row>
    <row r="41635">
      <c r="AI41635" s="80"/>
    </row>
    <row r="41636">
      <c r="AI41636" s="80"/>
    </row>
    <row r="41637">
      <c r="AI41637" s="80"/>
    </row>
    <row r="41638">
      <c r="AI41638" s="80"/>
    </row>
    <row r="41639">
      <c r="AI41639" s="80"/>
    </row>
    <row r="41640">
      <c r="AI41640" s="80"/>
    </row>
    <row r="41641">
      <c r="AI41641" s="80"/>
    </row>
    <row r="41642">
      <c r="AI41642" s="80"/>
    </row>
    <row r="41643">
      <c r="AI41643" s="80"/>
    </row>
    <row r="41644">
      <c r="AI41644" s="80"/>
    </row>
    <row r="41645">
      <c r="AI41645" s="80"/>
    </row>
    <row r="41646">
      <c r="AI41646" s="80"/>
    </row>
    <row r="41647">
      <c r="AI41647" s="80"/>
    </row>
    <row r="41648">
      <c r="AI41648" s="80"/>
    </row>
    <row r="41649">
      <c r="AI41649" s="80"/>
    </row>
    <row r="41650">
      <c r="AI41650" s="80"/>
    </row>
    <row r="41651">
      <c r="AI41651" s="80"/>
    </row>
    <row r="41652">
      <c r="AI41652" s="80"/>
    </row>
    <row r="41653">
      <c r="AI41653" s="80"/>
    </row>
    <row r="41654">
      <c r="AI41654" s="80"/>
    </row>
    <row r="41655">
      <c r="AI41655" s="80"/>
    </row>
    <row r="41656">
      <c r="AI41656" s="80"/>
    </row>
    <row r="41657">
      <c r="AI41657" s="80"/>
    </row>
    <row r="41658">
      <c r="AI41658" s="80"/>
    </row>
    <row r="41659">
      <c r="AI41659" s="80"/>
    </row>
    <row r="41660">
      <c r="AI41660" s="80"/>
    </row>
    <row r="41661">
      <c r="AI41661" s="80"/>
    </row>
    <row r="41662">
      <c r="AI41662" s="80"/>
    </row>
    <row r="41663">
      <c r="AI41663" s="80"/>
    </row>
    <row r="41664">
      <c r="AI41664" s="80"/>
    </row>
    <row r="41665">
      <c r="AI41665" s="80"/>
    </row>
    <row r="41666">
      <c r="AI41666" s="80"/>
    </row>
    <row r="41667">
      <c r="AI41667" s="80"/>
    </row>
    <row r="41668">
      <c r="AI41668" s="80"/>
    </row>
    <row r="41669">
      <c r="AI41669" s="80"/>
    </row>
    <row r="41670">
      <c r="AI41670" s="80"/>
    </row>
    <row r="41671">
      <c r="AI41671" s="80"/>
    </row>
    <row r="41672">
      <c r="AI41672" s="80"/>
    </row>
    <row r="41673">
      <c r="AI41673" s="80"/>
    </row>
    <row r="41674">
      <c r="AI41674" s="80"/>
    </row>
    <row r="41675">
      <c r="AI41675" s="80"/>
    </row>
    <row r="41676">
      <c r="AI41676" s="80"/>
    </row>
    <row r="41677">
      <c r="AI41677" s="80"/>
    </row>
    <row r="41678">
      <c r="AI41678" s="80"/>
    </row>
    <row r="41679">
      <c r="AI41679" s="80"/>
    </row>
    <row r="41680">
      <c r="AI41680" s="80"/>
    </row>
    <row r="41681">
      <c r="AI41681" s="80"/>
    </row>
    <row r="41682">
      <c r="AI41682" s="80"/>
    </row>
    <row r="41683">
      <c r="AI41683" s="80"/>
    </row>
    <row r="41684">
      <c r="AI41684" s="80"/>
    </row>
    <row r="41685">
      <c r="AI41685" s="80"/>
    </row>
    <row r="41686">
      <c r="AI41686" s="80"/>
    </row>
    <row r="41687">
      <c r="AI41687" s="80"/>
    </row>
    <row r="41688">
      <c r="AI41688" s="80"/>
    </row>
    <row r="41689">
      <c r="AI41689" s="80"/>
    </row>
    <row r="41690">
      <c r="AI41690" s="80"/>
    </row>
    <row r="41691">
      <c r="AI41691" s="80"/>
    </row>
    <row r="41692">
      <c r="AI41692" s="80"/>
    </row>
    <row r="41693">
      <c r="AI41693" s="80"/>
    </row>
    <row r="41694">
      <c r="AI41694" s="80"/>
    </row>
    <row r="41695">
      <c r="AI41695" s="80"/>
    </row>
    <row r="41696">
      <c r="AI41696" s="80"/>
    </row>
    <row r="41697">
      <c r="AI41697" s="80"/>
    </row>
    <row r="41698">
      <c r="AI41698" s="80"/>
    </row>
    <row r="41699">
      <c r="AI41699" s="80"/>
    </row>
    <row r="41700">
      <c r="AI41700" s="80"/>
    </row>
    <row r="41701">
      <c r="AI41701" s="80"/>
    </row>
    <row r="41702">
      <c r="AI41702" s="80"/>
    </row>
    <row r="41703">
      <c r="AI41703" s="80"/>
    </row>
    <row r="41704">
      <c r="AI41704" s="80"/>
    </row>
    <row r="41705">
      <c r="AI41705" s="80"/>
    </row>
    <row r="41706">
      <c r="AI41706" s="80"/>
    </row>
    <row r="41707">
      <c r="AI41707" s="80"/>
    </row>
    <row r="41708">
      <c r="AI41708" s="80"/>
    </row>
    <row r="41709">
      <c r="AI41709" s="80"/>
    </row>
    <row r="41710">
      <c r="AI41710" s="80"/>
    </row>
    <row r="41711">
      <c r="AI41711" s="80"/>
    </row>
    <row r="41712">
      <c r="AI41712" s="80"/>
    </row>
    <row r="41713">
      <c r="AI41713" s="80"/>
    </row>
    <row r="41714">
      <c r="AI41714" s="80"/>
    </row>
    <row r="41715">
      <c r="AI41715" s="80"/>
    </row>
    <row r="41716">
      <c r="AI41716" s="80"/>
    </row>
    <row r="41717">
      <c r="AI41717" s="80"/>
    </row>
    <row r="41718">
      <c r="AI41718" s="80"/>
    </row>
    <row r="41719">
      <c r="AI41719" s="80"/>
    </row>
    <row r="41720">
      <c r="AI41720" s="80"/>
    </row>
    <row r="41721">
      <c r="AI41721" s="80"/>
    </row>
    <row r="41722">
      <c r="AI41722" s="80"/>
    </row>
    <row r="41723">
      <c r="AI41723" s="80"/>
    </row>
    <row r="41724">
      <c r="AI41724" s="80"/>
    </row>
    <row r="41725">
      <c r="AI41725" s="80"/>
    </row>
    <row r="41726">
      <c r="AI41726" s="80"/>
    </row>
    <row r="41727">
      <c r="AI41727" s="80"/>
    </row>
    <row r="41728">
      <c r="AI41728" s="80"/>
    </row>
    <row r="41729">
      <c r="AI41729" s="80"/>
    </row>
    <row r="41730">
      <c r="AI41730" s="80"/>
    </row>
    <row r="41731">
      <c r="AI41731" s="80"/>
    </row>
    <row r="41732">
      <c r="AI41732" s="80"/>
    </row>
    <row r="41733">
      <c r="AI41733" s="80"/>
    </row>
    <row r="41734">
      <c r="AI41734" s="80"/>
    </row>
    <row r="41735">
      <c r="AI41735" s="80"/>
    </row>
    <row r="41736">
      <c r="AI41736" s="80"/>
    </row>
    <row r="41737">
      <c r="AI41737" s="80"/>
    </row>
    <row r="41738">
      <c r="AI41738" s="80"/>
    </row>
    <row r="41739">
      <c r="AI41739" s="80"/>
    </row>
    <row r="41740">
      <c r="AI41740" s="80"/>
    </row>
    <row r="41741">
      <c r="AI41741" s="80"/>
    </row>
    <row r="41742">
      <c r="AI41742" s="80"/>
    </row>
    <row r="41743">
      <c r="AI41743" s="80"/>
    </row>
    <row r="41744">
      <c r="AI41744" s="80"/>
    </row>
    <row r="41745">
      <c r="AI41745" s="80"/>
    </row>
    <row r="41746">
      <c r="AI41746" s="80"/>
    </row>
    <row r="41747">
      <c r="AI41747" s="80"/>
    </row>
    <row r="41748">
      <c r="AI41748" s="80"/>
    </row>
    <row r="41749">
      <c r="AI41749" s="80"/>
    </row>
    <row r="41750">
      <c r="AI41750" s="80"/>
    </row>
    <row r="41751">
      <c r="AI41751" s="80"/>
    </row>
    <row r="41752">
      <c r="AI41752" s="80"/>
    </row>
    <row r="41753">
      <c r="AI41753" s="80"/>
    </row>
    <row r="41754">
      <c r="AI41754" s="80"/>
    </row>
    <row r="41755">
      <c r="AI41755" s="80"/>
    </row>
    <row r="41756">
      <c r="AI41756" s="80"/>
    </row>
    <row r="41757">
      <c r="AI41757" s="80"/>
    </row>
    <row r="41758">
      <c r="AI41758" s="80"/>
    </row>
    <row r="41759">
      <c r="AI41759" s="80"/>
    </row>
    <row r="41760">
      <c r="AI41760" s="80"/>
    </row>
    <row r="41761">
      <c r="AI41761" s="80"/>
    </row>
    <row r="41762">
      <c r="AI41762" s="80"/>
    </row>
    <row r="41763">
      <c r="AI41763" s="80"/>
    </row>
    <row r="41764">
      <c r="AI41764" s="80"/>
    </row>
    <row r="41765">
      <c r="AI41765" s="80"/>
    </row>
    <row r="41766">
      <c r="AI41766" s="80"/>
    </row>
    <row r="41767">
      <c r="AI41767" s="80"/>
    </row>
    <row r="41768">
      <c r="AI41768" s="80"/>
    </row>
    <row r="41769">
      <c r="AI41769" s="80"/>
    </row>
    <row r="41770">
      <c r="AI41770" s="80"/>
    </row>
    <row r="41771">
      <c r="AI41771" s="80"/>
    </row>
    <row r="41772">
      <c r="AI41772" s="80"/>
    </row>
    <row r="41773">
      <c r="AI41773" s="80"/>
    </row>
    <row r="41774">
      <c r="AI41774" s="80"/>
    </row>
    <row r="41775">
      <c r="AI41775" s="80"/>
    </row>
    <row r="41776">
      <c r="AI41776" s="80"/>
    </row>
    <row r="41777">
      <c r="AI41777" s="80"/>
    </row>
    <row r="41778">
      <c r="AI41778" s="80"/>
    </row>
    <row r="41779">
      <c r="AI41779" s="80"/>
    </row>
    <row r="41780">
      <c r="AI41780" s="80"/>
    </row>
    <row r="41781">
      <c r="AI41781" s="80"/>
    </row>
    <row r="41782">
      <c r="AI41782" s="80"/>
    </row>
    <row r="41783">
      <c r="AI41783" s="80"/>
    </row>
    <row r="41784">
      <c r="AI41784" s="80"/>
    </row>
    <row r="41785">
      <c r="AI41785" s="80"/>
    </row>
    <row r="41786">
      <c r="AI41786" s="80"/>
    </row>
    <row r="41787">
      <c r="AI41787" s="80"/>
    </row>
    <row r="41788">
      <c r="AI41788" s="80"/>
    </row>
    <row r="41789">
      <c r="AI41789" s="80"/>
    </row>
    <row r="41790">
      <c r="AI41790" s="80"/>
    </row>
    <row r="41791">
      <c r="AI41791" s="80"/>
    </row>
    <row r="41792">
      <c r="AI41792" s="80"/>
    </row>
    <row r="41793">
      <c r="AI41793" s="80"/>
    </row>
    <row r="41794">
      <c r="AI41794" s="80"/>
    </row>
    <row r="41795">
      <c r="AI41795" s="80"/>
    </row>
    <row r="41796">
      <c r="AI41796" s="80"/>
    </row>
    <row r="41797">
      <c r="AI41797" s="80"/>
    </row>
    <row r="41798">
      <c r="AI41798" s="80"/>
    </row>
    <row r="41799">
      <c r="AI41799" s="80"/>
    </row>
    <row r="41800">
      <c r="AI41800" s="80"/>
    </row>
    <row r="41801">
      <c r="AI41801" s="80"/>
    </row>
    <row r="41802">
      <c r="AI41802" s="80"/>
    </row>
    <row r="41803">
      <c r="AI41803" s="80"/>
    </row>
    <row r="41804">
      <c r="AI41804" s="80"/>
    </row>
    <row r="41805">
      <c r="AI41805" s="80"/>
    </row>
    <row r="41806">
      <c r="AI41806" s="80"/>
    </row>
    <row r="41807">
      <c r="AI41807" s="80"/>
    </row>
    <row r="41808">
      <c r="AI41808" s="80"/>
    </row>
    <row r="41809">
      <c r="AI41809" s="80"/>
    </row>
    <row r="41810">
      <c r="AI41810" s="80"/>
    </row>
    <row r="41811">
      <c r="AI41811" s="80"/>
    </row>
    <row r="41812">
      <c r="AI41812" s="80"/>
    </row>
    <row r="41813">
      <c r="AI41813" s="80"/>
    </row>
    <row r="41814">
      <c r="AI41814" s="80"/>
    </row>
    <row r="41815">
      <c r="AI41815" s="80"/>
    </row>
    <row r="41816">
      <c r="AI41816" s="80"/>
    </row>
    <row r="41817">
      <c r="AI41817" s="80"/>
    </row>
    <row r="41818">
      <c r="AI41818" s="80"/>
    </row>
    <row r="41819">
      <c r="AI41819" s="80"/>
    </row>
    <row r="41820">
      <c r="AI41820" s="80"/>
    </row>
    <row r="41821">
      <c r="AI41821" s="80"/>
    </row>
    <row r="41822">
      <c r="AI41822" s="80"/>
    </row>
    <row r="41823">
      <c r="AI41823" s="80"/>
    </row>
    <row r="41824">
      <c r="AI41824" s="80"/>
    </row>
    <row r="41825">
      <c r="AI41825" s="80"/>
    </row>
    <row r="41826">
      <c r="AI41826" s="80"/>
    </row>
    <row r="41827">
      <c r="AI41827" s="80"/>
    </row>
    <row r="41828">
      <c r="AI41828" s="80"/>
    </row>
    <row r="41829">
      <c r="AI41829" s="80"/>
    </row>
    <row r="41830">
      <c r="AI41830" s="80"/>
    </row>
    <row r="41831">
      <c r="AI41831" s="80"/>
    </row>
    <row r="41832">
      <c r="AI41832" s="80"/>
    </row>
    <row r="41833">
      <c r="AI41833" s="80"/>
    </row>
    <row r="41834">
      <c r="AI41834" s="80"/>
    </row>
    <row r="41835">
      <c r="AI41835" s="80"/>
    </row>
    <row r="41836">
      <c r="AI41836" s="80"/>
    </row>
    <row r="41837">
      <c r="AI41837" s="80"/>
    </row>
    <row r="41838">
      <c r="AI41838" s="80"/>
    </row>
    <row r="41839">
      <c r="AI41839" s="80"/>
    </row>
    <row r="41840">
      <c r="AI41840" s="80"/>
    </row>
    <row r="41841">
      <c r="AI41841" s="80"/>
    </row>
    <row r="41842">
      <c r="AI41842" s="80"/>
    </row>
    <row r="41843">
      <c r="AI41843" s="80"/>
    </row>
    <row r="41844">
      <c r="AI41844" s="80"/>
    </row>
    <row r="41845">
      <c r="AI41845" s="80"/>
    </row>
    <row r="41846">
      <c r="AI41846" s="80"/>
    </row>
    <row r="41847">
      <c r="AI41847" s="80"/>
    </row>
    <row r="41848">
      <c r="AI41848" s="80"/>
    </row>
    <row r="41849">
      <c r="AI41849" s="80"/>
    </row>
    <row r="41850">
      <c r="AI41850" s="80"/>
    </row>
    <row r="41851">
      <c r="AI41851" s="80"/>
    </row>
    <row r="41852">
      <c r="AI41852" s="80"/>
    </row>
    <row r="41853">
      <c r="AI41853" s="80"/>
    </row>
    <row r="41854">
      <c r="AI41854" s="80"/>
    </row>
    <row r="41855">
      <c r="AI41855" s="80"/>
    </row>
    <row r="41856">
      <c r="AI41856" s="80"/>
    </row>
    <row r="41857">
      <c r="AI41857" s="80"/>
    </row>
    <row r="41858">
      <c r="AI41858" s="80"/>
    </row>
    <row r="41859">
      <c r="AI41859" s="80"/>
    </row>
    <row r="41860">
      <c r="AI41860" s="80"/>
    </row>
    <row r="41861">
      <c r="AI41861" s="80"/>
    </row>
    <row r="41862">
      <c r="AI41862" s="80"/>
    </row>
    <row r="41863">
      <c r="AI41863" s="80"/>
    </row>
    <row r="41864">
      <c r="AI41864" s="80"/>
    </row>
    <row r="41865">
      <c r="AI41865" s="80"/>
    </row>
    <row r="41866">
      <c r="AI41866" s="80"/>
    </row>
    <row r="41867">
      <c r="AI41867" s="80"/>
    </row>
    <row r="41868">
      <c r="AI41868" s="80"/>
    </row>
    <row r="41869">
      <c r="AI41869" s="80"/>
    </row>
    <row r="41870">
      <c r="AI41870" s="80"/>
    </row>
    <row r="41871">
      <c r="AI41871" s="80"/>
    </row>
    <row r="41872">
      <c r="AI41872" s="80"/>
    </row>
    <row r="41873">
      <c r="AI41873" s="80"/>
    </row>
    <row r="41874">
      <c r="AI41874" s="80"/>
    </row>
    <row r="41875">
      <c r="AI41875" s="80"/>
    </row>
    <row r="41876">
      <c r="AI41876" s="80"/>
    </row>
    <row r="41877">
      <c r="AI41877" s="80"/>
    </row>
    <row r="41878">
      <c r="AI41878" s="80"/>
    </row>
    <row r="41879">
      <c r="AI41879" s="80"/>
    </row>
    <row r="41880">
      <c r="AI41880" s="80"/>
    </row>
    <row r="41881">
      <c r="AI41881" s="80"/>
    </row>
    <row r="41882">
      <c r="AI41882" s="80"/>
    </row>
    <row r="41883">
      <c r="AI41883" s="80"/>
    </row>
    <row r="41884">
      <c r="AI41884" s="80"/>
    </row>
    <row r="41885">
      <c r="AI41885" s="80"/>
    </row>
    <row r="41886">
      <c r="AI41886" s="80"/>
    </row>
    <row r="41887">
      <c r="AI41887" s="80"/>
    </row>
    <row r="41888">
      <c r="AI41888" s="80"/>
    </row>
    <row r="41889">
      <c r="AI41889" s="80"/>
    </row>
    <row r="41890">
      <c r="AI41890" s="80"/>
    </row>
    <row r="41891">
      <c r="AI41891" s="80"/>
    </row>
    <row r="41892">
      <c r="AI41892" s="80"/>
    </row>
    <row r="41893">
      <c r="AI41893" s="80"/>
    </row>
    <row r="41894">
      <c r="AI41894" s="80"/>
    </row>
    <row r="41895">
      <c r="AI41895" s="80"/>
    </row>
    <row r="41896">
      <c r="AI41896" s="80"/>
    </row>
    <row r="41897">
      <c r="AI41897" s="80"/>
    </row>
    <row r="41898">
      <c r="AI41898" s="80"/>
    </row>
    <row r="41899">
      <c r="AI41899" s="80"/>
    </row>
    <row r="41900">
      <c r="AI41900" s="80"/>
    </row>
    <row r="41901">
      <c r="AI41901" s="80"/>
    </row>
    <row r="41902">
      <c r="AI41902" s="80"/>
    </row>
    <row r="41903">
      <c r="AI41903" s="80"/>
    </row>
    <row r="41904">
      <c r="AI41904" s="80"/>
    </row>
    <row r="41905">
      <c r="AI41905" s="80"/>
    </row>
    <row r="41906">
      <c r="AI41906" s="80"/>
    </row>
    <row r="41907">
      <c r="AI41907" s="80"/>
    </row>
    <row r="41908">
      <c r="AI41908" s="80"/>
    </row>
    <row r="41909">
      <c r="AI41909" s="80"/>
    </row>
    <row r="41910">
      <c r="AI41910" s="80"/>
    </row>
    <row r="41911">
      <c r="AI41911" s="80"/>
    </row>
    <row r="41912">
      <c r="AI41912" s="80"/>
    </row>
    <row r="41913">
      <c r="AI41913" s="80"/>
    </row>
    <row r="41914">
      <c r="AI41914" s="80"/>
    </row>
    <row r="41915">
      <c r="AI41915" s="80"/>
    </row>
    <row r="41916">
      <c r="AI41916" s="80"/>
    </row>
    <row r="41917">
      <c r="AI41917" s="80"/>
    </row>
    <row r="41918">
      <c r="AI41918" s="80"/>
    </row>
    <row r="41919">
      <c r="AI41919" s="80"/>
    </row>
    <row r="41920">
      <c r="AI41920" s="80"/>
    </row>
    <row r="41921">
      <c r="AI41921" s="80"/>
    </row>
    <row r="41922">
      <c r="AI41922" s="80"/>
    </row>
    <row r="41923">
      <c r="AI41923" s="80"/>
    </row>
    <row r="41924">
      <c r="AI41924" s="80"/>
    </row>
    <row r="41925">
      <c r="AI41925" s="80"/>
    </row>
    <row r="41926">
      <c r="AI41926" s="80"/>
    </row>
    <row r="41927">
      <c r="AI41927" s="80"/>
    </row>
    <row r="41928">
      <c r="AI41928" s="80"/>
    </row>
    <row r="41929">
      <c r="AI41929" s="80"/>
    </row>
    <row r="41930">
      <c r="AI41930" s="80"/>
    </row>
    <row r="41931">
      <c r="AI41931" s="80"/>
    </row>
    <row r="41932">
      <c r="AI41932" s="80"/>
    </row>
    <row r="41933">
      <c r="AI41933" s="80"/>
    </row>
    <row r="41934">
      <c r="AI41934" s="80"/>
    </row>
    <row r="41935">
      <c r="AI41935" s="80"/>
    </row>
    <row r="41936">
      <c r="AI41936" s="80"/>
    </row>
    <row r="41937">
      <c r="AI41937" s="80"/>
    </row>
    <row r="41938">
      <c r="AI41938" s="80"/>
    </row>
    <row r="41939">
      <c r="AI41939" s="80"/>
    </row>
    <row r="41940">
      <c r="AI41940" s="80"/>
    </row>
    <row r="41941">
      <c r="AI41941" s="80"/>
    </row>
    <row r="41942">
      <c r="AI41942" s="80"/>
    </row>
    <row r="41943">
      <c r="AI41943" s="80"/>
    </row>
    <row r="41944">
      <c r="AI41944" s="80"/>
    </row>
    <row r="41945">
      <c r="AI41945" s="80"/>
    </row>
    <row r="41946">
      <c r="AI41946" s="80"/>
    </row>
    <row r="41947">
      <c r="AI41947" s="80"/>
    </row>
    <row r="41948">
      <c r="AI41948" s="80"/>
    </row>
    <row r="41949">
      <c r="AI41949" s="80"/>
    </row>
    <row r="41950">
      <c r="AI41950" s="80"/>
    </row>
    <row r="41951">
      <c r="AI41951" s="80"/>
    </row>
    <row r="41952">
      <c r="AI41952" s="80"/>
    </row>
    <row r="41953">
      <c r="AI41953" s="80"/>
    </row>
    <row r="41954">
      <c r="AI41954" s="80"/>
    </row>
    <row r="41955">
      <c r="AI41955" s="80"/>
    </row>
    <row r="41956">
      <c r="AI41956" s="80"/>
    </row>
    <row r="41957">
      <c r="AI41957" s="80"/>
    </row>
    <row r="41958">
      <c r="AI41958" s="80"/>
    </row>
    <row r="41959">
      <c r="AI41959" s="80"/>
    </row>
    <row r="41960">
      <c r="AI41960" s="80"/>
    </row>
    <row r="41961">
      <c r="AI41961" s="80"/>
    </row>
    <row r="41962">
      <c r="AI41962" s="80"/>
    </row>
    <row r="41963">
      <c r="AI41963" s="80"/>
    </row>
    <row r="41964">
      <c r="AI41964" s="80"/>
    </row>
    <row r="41965">
      <c r="AI41965" s="80"/>
    </row>
    <row r="41966">
      <c r="AI41966" s="80"/>
    </row>
    <row r="41967">
      <c r="AI41967" s="80"/>
    </row>
    <row r="41968">
      <c r="AI41968" s="80"/>
    </row>
    <row r="41969">
      <c r="AI41969" s="80"/>
    </row>
    <row r="41970">
      <c r="AI41970" s="80"/>
    </row>
    <row r="41971">
      <c r="AI41971" s="80"/>
    </row>
    <row r="41972">
      <c r="AI41972" s="80"/>
    </row>
    <row r="41973">
      <c r="AI41973" s="80"/>
    </row>
    <row r="41974">
      <c r="AI41974" s="80"/>
    </row>
    <row r="41975">
      <c r="AI41975" s="80"/>
    </row>
    <row r="41976">
      <c r="AI41976" s="80"/>
    </row>
    <row r="41977">
      <c r="AI41977" s="80"/>
    </row>
    <row r="41978">
      <c r="AI41978" s="80"/>
    </row>
    <row r="41979">
      <c r="AI41979" s="80"/>
    </row>
    <row r="41980">
      <c r="AI41980" s="80"/>
    </row>
    <row r="41981">
      <c r="AI41981" s="80"/>
    </row>
    <row r="41982">
      <c r="AI41982" s="80"/>
    </row>
    <row r="41983">
      <c r="AI41983" s="80"/>
    </row>
    <row r="41984">
      <c r="AI41984" s="80"/>
    </row>
    <row r="41985">
      <c r="AI41985" s="80"/>
    </row>
    <row r="41986">
      <c r="AI41986" s="80"/>
    </row>
    <row r="41987">
      <c r="AI41987" s="80"/>
    </row>
    <row r="41988">
      <c r="AI41988" s="80"/>
    </row>
    <row r="41989">
      <c r="AI41989" s="80"/>
    </row>
    <row r="41990">
      <c r="AI41990" s="80"/>
    </row>
    <row r="41991">
      <c r="AI41991" s="80"/>
    </row>
    <row r="41992">
      <c r="AI41992" s="80"/>
    </row>
    <row r="41993">
      <c r="AI41993" s="80"/>
    </row>
    <row r="41994">
      <c r="AI41994" s="80"/>
    </row>
    <row r="41995">
      <c r="AI41995" s="80"/>
    </row>
    <row r="41996">
      <c r="AI41996" s="80"/>
    </row>
    <row r="41997">
      <c r="AI41997" s="80"/>
    </row>
    <row r="41998">
      <c r="AI41998" s="80"/>
    </row>
    <row r="41999">
      <c r="AI41999" s="80"/>
    </row>
    <row r="42000">
      <c r="AI42000" s="80"/>
    </row>
    <row r="42001">
      <c r="AI42001" s="80"/>
    </row>
    <row r="42002">
      <c r="AI42002" s="80"/>
    </row>
    <row r="42003">
      <c r="AI42003" s="80"/>
    </row>
    <row r="42004">
      <c r="AI42004" s="80"/>
    </row>
    <row r="42005">
      <c r="AI42005" s="80"/>
    </row>
    <row r="42006">
      <c r="AI42006" s="80"/>
    </row>
    <row r="42007">
      <c r="AI42007" s="80"/>
    </row>
    <row r="42008">
      <c r="AI42008" s="80"/>
    </row>
    <row r="42009">
      <c r="AI42009" s="80"/>
    </row>
    <row r="42010">
      <c r="AI42010" s="80"/>
    </row>
    <row r="42011">
      <c r="AI42011" s="80"/>
    </row>
    <row r="42012">
      <c r="AI42012" s="80"/>
    </row>
    <row r="42013">
      <c r="AI42013" s="80"/>
    </row>
    <row r="42014">
      <c r="AI42014" s="80"/>
    </row>
    <row r="42015">
      <c r="AI42015" s="80"/>
    </row>
    <row r="42016">
      <c r="AI42016" s="80"/>
    </row>
    <row r="42017">
      <c r="AI42017" s="80"/>
    </row>
    <row r="42018">
      <c r="AI42018" s="80"/>
    </row>
    <row r="42019">
      <c r="AI42019" s="80"/>
    </row>
    <row r="42020">
      <c r="AI42020" s="80"/>
    </row>
    <row r="42021">
      <c r="AI42021" s="80"/>
    </row>
    <row r="42022">
      <c r="AI42022" s="80"/>
    </row>
    <row r="42023">
      <c r="AI42023" s="80"/>
    </row>
    <row r="42024">
      <c r="AI42024" s="80"/>
    </row>
    <row r="42025">
      <c r="AI42025" s="80"/>
    </row>
    <row r="42026">
      <c r="AI42026" s="80"/>
    </row>
    <row r="42027">
      <c r="AI42027" s="80"/>
    </row>
    <row r="42028">
      <c r="AI42028" s="80"/>
    </row>
    <row r="42029">
      <c r="AI42029" s="80"/>
    </row>
    <row r="42030">
      <c r="AI42030" s="80"/>
    </row>
    <row r="42031">
      <c r="AI42031" s="80"/>
    </row>
    <row r="42032">
      <c r="AI42032" s="80"/>
    </row>
    <row r="42033">
      <c r="AI42033" s="80"/>
    </row>
    <row r="42034">
      <c r="AI42034" s="80"/>
    </row>
    <row r="42035">
      <c r="AI42035" s="80"/>
    </row>
    <row r="42036">
      <c r="AI42036" s="80"/>
    </row>
    <row r="42037">
      <c r="AI42037" s="80"/>
    </row>
    <row r="42038">
      <c r="AI42038" s="80"/>
    </row>
    <row r="42039">
      <c r="AI42039" s="80"/>
    </row>
    <row r="42040">
      <c r="AI42040" s="80"/>
    </row>
    <row r="42041">
      <c r="AI42041" s="80"/>
    </row>
    <row r="42042">
      <c r="AI42042" s="80"/>
    </row>
    <row r="42043">
      <c r="AI42043" s="80"/>
    </row>
    <row r="42044">
      <c r="AI42044" s="80"/>
    </row>
    <row r="42045">
      <c r="AI42045" s="80"/>
    </row>
    <row r="42046">
      <c r="AI42046" s="80"/>
    </row>
    <row r="42047">
      <c r="AI42047" s="80"/>
    </row>
    <row r="42048">
      <c r="AI42048" s="80"/>
    </row>
    <row r="42049">
      <c r="AI42049" s="80"/>
    </row>
    <row r="42050">
      <c r="AI42050" s="80"/>
    </row>
    <row r="42051">
      <c r="AI42051" s="80"/>
    </row>
    <row r="42052">
      <c r="AI42052" s="80"/>
    </row>
    <row r="42053">
      <c r="AI42053" s="80"/>
    </row>
    <row r="42054">
      <c r="AI42054" s="80"/>
    </row>
    <row r="42055">
      <c r="AI42055" s="80"/>
    </row>
    <row r="42056">
      <c r="AI42056" s="80"/>
    </row>
    <row r="42057">
      <c r="AI42057" s="80"/>
    </row>
    <row r="42058">
      <c r="AI42058" s="80"/>
    </row>
    <row r="42059">
      <c r="AI42059" s="80"/>
    </row>
    <row r="42060">
      <c r="AI42060" s="80"/>
    </row>
    <row r="42061">
      <c r="AI42061" s="80"/>
    </row>
    <row r="42062">
      <c r="AI42062" s="80"/>
    </row>
    <row r="42063">
      <c r="AI42063" s="80"/>
    </row>
    <row r="42064">
      <c r="AI42064" s="80"/>
    </row>
    <row r="42065">
      <c r="AI42065" s="80"/>
    </row>
    <row r="42066">
      <c r="AI42066" s="80"/>
    </row>
    <row r="42067">
      <c r="AI42067" s="80"/>
    </row>
    <row r="42068">
      <c r="AI42068" s="80"/>
    </row>
    <row r="42069">
      <c r="AI42069" s="80"/>
    </row>
    <row r="42070">
      <c r="AI42070" s="80"/>
    </row>
    <row r="42071">
      <c r="AI42071" s="80"/>
    </row>
    <row r="42072">
      <c r="AI42072" s="80"/>
    </row>
    <row r="42073">
      <c r="AI42073" s="80"/>
    </row>
    <row r="42074">
      <c r="AI42074" s="80"/>
    </row>
    <row r="42075">
      <c r="AI42075" s="80"/>
    </row>
    <row r="42076">
      <c r="AI42076" s="80"/>
    </row>
    <row r="42077">
      <c r="AI42077" s="80"/>
    </row>
    <row r="42078">
      <c r="AI42078" s="80"/>
    </row>
    <row r="42079">
      <c r="AI42079" s="80"/>
    </row>
    <row r="42080">
      <c r="AI42080" s="80"/>
    </row>
    <row r="42081">
      <c r="AI42081" s="80"/>
    </row>
    <row r="42082">
      <c r="AI42082" s="80"/>
    </row>
    <row r="42083">
      <c r="AI42083" s="80"/>
    </row>
    <row r="42084">
      <c r="AI42084" s="80"/>
    </row>
    <row r="42085">
      <c r="AI42085" s="80"/>
    </row>
    <row r="42086">
      <c r="AI42086" s="80"/>
    </row>
    <row r="42087">
      <c r="AI42087" s="80"/>
    </row>
    <row r="42088">
      <c r="AI42088" s="80"/>
    </row>
    <row r="42089">
      <c r="AI42089" s="80"/>
    </row>
    <row r="42090">
      <c r="AI42090" s="80"/>
    </row>
    <row r="42091">
      <c r="AI42091" s="80"/>
    </row>
    <row r="42092">
      <c r="AI42092" s="80"/>
    </row>
    <row r="42093">
      <c r="AI42093" s="80"/>
    </row>
    <row r="42094">
      <c r="AI42094" s="80"/>
    </row>
    <row r="42095">
      <c r="AI42095" s="80"/>
    </row>
    <row r="42096">
      <c r="AI42096" s="80"/>
    </row>
    <row r="42097">
      <c r="AI42097" s="80"/>
    </row>
    <row r="42098">
      <c r="AI42098" s="80"/>
    </row>
    <row r="42099">
      <c r="AI42099" s="80"/>
    </row>
    <row r="42100">
      <c r="AI42100" s="80"/>
    </row>
    <row r="42101">
      <c r="AI42101" s="80"/>
    </row>
    <row r="42102">
      <c r="AI42102" s="80"/>
    </row>
    <row r="42103">
      <c r="AI42103" s="80"/>
    </row>
    <row r="42104">
      <c r="AI42104" s="80"/>
    </row>
    <row r="42105">
      <c r="AI42105" s="80"/>
    </row>
    <row r="42106">
      <c r="AI42106" s="80"/>
    </row>
    <row r="42107">
      <c r="AI42107" s="80"/>
    </row>
    <row r="42108">
      <c r="AI42108" s="80"/>
    </row>
    <row r="42109">
      <c r="AI42109" s="80"/>
    </row>
    <row r="42110">
      <c r="AI42110" s="80"/>
    </row>
    <row r="42111">
      <c r="AI42111" s="80"/>
    </row>
    <row r="42112">
      <c r="AI42112" s="80"/>
    </row>
    <row r="42113">
      <c r="AI42113" s="80"/>
    </row>
    <row r="42114">
      <c r="AI42114" s="80"/>
    </row>
    <row r="42115">
      <c r="AI42115" s="80"/>
    </row>
    <row r="42116">
      <c r="AI42116" s="80"/>
    </row>
    <row r="42117">
      <c r="AI42117" s="80"/>
    </row>
    <row r="42118">
      <c r="AI42118" s="80"/>
    </row>
    <row r="42119">
      <c r="AI42119" s="80"/>
    </row>
    <row r="42120">
      <c r="AI42120" s="80"/>
    </row>
    <row r="42121">
      <c r="AI42121" s="80"/>
    </row>
    <row r="42122">
      <c r="AI42122" s="80"/>
    </row>
    <row r="42123">
      <c r="AI42123" s="80"/>
    </row>
    <row r="42124">
      <c r="AI42124" s="80"/>
    </row>
    <row r="42125">
      <c r="AI42125" s="80"/>
    </row>
    <row r="42126">
      <c r="AI42126" s="80"/>
    </row>
    <row r="42127">
      <c r="AI42127" s="80"/>
    </row>
    <row r="42128">
      <c r="AI42128" s="80"/>
    </row>
    <row r="42129">
      <c r="AI42129" s="80"/>
    </row>
    <row r="42130">
      <c r="AI42130" s="80"/>
    </row>
    <row r="42131">
      <c r="AI42131" s="80"/>
    </row>
    <row r="42132">
      <c r="AI42132" s="80"/>
    </row>
    <row r="42133">
      <c r="AI42133" s="80"/>
    </row>
    <row r="42134">
      <c r="AI42134" s="80"/>
    </row>
    <row r="42135">
      <c r="AI42135" s="80"/>
    </row>
    <row r="42136">
      <c r="AI42136" s="80"/>
    </row>
    <row r="42137">
      <c r="AI42137" s="80"/>
    </row>
    <row r="42138">
      <c r="AI42138" s="80"/>
    </row>
    <row r="42139">
      <c r="AI42139" s="80"/>
    </row>
    <row r="42140">
      <c r="AI42140" s="80"/>
    </row>
    <row r="42141">
      <c r="AI42141" s="80"/>
    </row>
    <row r="42142">
      <c r="AI42142" s="80"/>
    </row>
    <row r="42143">
      <c r="AI42143" s="80"/>
    </row>
    <row r="42144">
      <c r="AI42144" s="80"/>
    </row>
    <row r="42145">
      <c r="AI42145" s="80"/>
    </row>
    <row r="42146">
      <c r="AI42146" s="80"/>
    </row>
    <row r="42147">
      <c r="AI42147" s="80"/>
    </row>
    <row r="42148">
      <c r="AI42148" s="80"/>
    </row>
    <row r="42149">
      <c r="AI42149" s="80"/>
    </row>
    <row r="42150">
      <c r="AI42150" s="80"/>
    </row>
    <row r="42151">
      <c r="AI42151" s="80"/>
    </row>
    <row r="42152">
      <c r="AI42152" s="80"/>
    </row>
    <row r="42153">
      <c r="AI42153" s="80"/>
    </row>
    <row r="42154">
      <c r="AI42154" s="80"/>
    </row>
    <row r="42155">
      <c r="AI42155" s="80"/>
    </row>
    <row r="42156">
      <c r="AI42156" s="80"/>
    </row>
    <row r="42157">
      <c r="AI42157" s="80"/>
    </row>
    <row r="42158">
      <c r="AI42158" s="80"/>
    </row>
    <row r="42159">
      <c r="AI42159" s="80"/>
    </row>
    <row r="42160">
      <c r="AI42160" s="80"/>
    </row>
    <row r="42161">
      <c r="AI42161" s="80"/>
    </row>
    <row r="42162">
      <c r="AI42162" s="80"/>
    </row>
    <row r="42163">
      <c r="AI42163" s="80"/>
    </row>
    <row r="42164">
      <c r="AI42164" s="80"/>
    </row>
    <row r="42165">
      <c r="AI42165" s="80"/>
    </row>
    <row r="42166">
      <c r="AI42166" s="80"/>
    </row>
    <row r="42167">
      <c r="AI42167" s="80"/>
    </row>
    <row r="42168">
      <c r="AI42168" s="80"/>
    </row>
    <row r="42169">
      <c r="AI42169" s="80"/>
    </row>
    <row r="42170">
      <c r="AI42170" s="80"/>
    </row>
    <row r="42171">
      <c r="AI42171" s="80"/>
    </row>
    <row r="42172">
      <c r="AI42172" s="80"/>
    </row>
    <row r="42173">
      <c r="AI42173" s="80"/>
    </row>
    <row r="42174">
      <c r="AI42174" s="80"/>
    </row>
    <row r="42175">
      <c r="AI42175" s="80"/>
    </row>
    <row r="42176">
      <c r="AI42176" s="80"/>
    </row>
    <row r="42177">
      <c r="AI42177" s="80"/>
    </row>
    <row r="42178">
      <c r="AI42178" s="80"/>
    </row>
    <row r="42179">
      <c r="AI42179" s="80"/>
    </row>
    <row r="42180">
      <c r="AI42180" s="80"/>
    </row>
    <row r="42181">
      <c r="AI42181" s="80"/>
    </row>
    <row r="42182">
      <c r="AI42182" s="80"/>
    </row>
    <row r="42183">
      <c r="AI42183" s="80"/>
    </row>
    <row r="42184">
      <c r="AI42184" s="80"/>
    </row>
    <row r="42185">
      <c r="AI42185" s="80"/>
    </row>
    <row r="42186">
      <c r="AI42186" s="80"/>
    </row>
    <row r="42187">
      <c r="AI42187" s="80"/>
    </row>
    <row r="42188">
      <c r="AI42188" s="80"/>
    </row>
    <row r="42189">
      <c r="AI42189" s="80"/>
    </row>
    <row r="42190">
      <c r="AI42190" s="80"/>
    </row>
    <row r="42191">
      <c r="AI42191" s="80"/>
    </row>
    <row r="42192">
      <c r="AI42192" s="80"/>
    </row>
    <row r="42193">
      <c r="AI42193" s="80"/>
    </row>
    <row r="42194">
      <c r="AI42194" s="80"/>
    </row>
    <row r="42195">
      <c r="AI42195" s="80"/>
    </row>
    <row r="42196">
      <c r="AI42196" s="80"/>
    </row>
    <row r="42197">
      <c r="AI42197" s="80"/>
    </row>
    <row r="42198">
      <c r="AI42198" s="80"/>
    </row>
    <row r="42199">
      <c r="AI42199" s="80"/>
    </row>
    <row r="42200">
      <c r="AI42200" s="80"/>
    </row>
    <row r="42201">
      <c r="AI42201" s="80"/>
    </row>
    <row r="42202">
      <c r="AI42202" s="80"/>
    </row>
    <row r="42203">
      <c r="AI42203" s="80"/>
    </row>
    <row r="42204">
      <c r="AI42204" s="80"/>
    </row>
    <row r="42205">
      <c r="AI42205" s="80"/>
    </row>
    <row r="42206">
      <c r="AI42206" s="80"/>
    </row>
    <row r="42207">
      <c r="AI42207" s="80"/>
    </row>
    <row r="42208">
      <c r="AI42208" s="80"/>
    </row>
    <row r="42209">
      <c r="AI42209" s="80"/>
    </row>
    <row r="42210">
      <c r="AI42210" s="80"/>
    </row>
    <row r="42211">
      <c r="AI42211" s="80"/>
    </row>
    <row r="42212">
      <c r="AI42212" s="80"/>
    </row>
    <row r="42213">
      <c r="AI42213" s="80"/>
    </row>
    <row r="42214">
      <c r="AI42214" s="80"/>
    </row>
    <row r="42215">
      <c r="AI42215" s="80"/>
    </row>
    <row r="42216">
      <c r="AI42216" s="80"/>
    </row>
    <row r="42217">
      <c r="AI42217" s="80"/>
    </row>
    <row r="42218">
      <c r="AI42218" s="80"/>
    </row>
    <row r="42219">
      <c r="AI42219" s="80"/>
    </row>
    <row r="42220">
      <c r="AI42220" s="80"/>
    </row>
    <row r="42221">
      <c r="AI42221" s="80"/>
    </row>
    <row r="42222">
      <c r="AI42222" s="80"/>
    </row>
    <row r="42223">
      <c r="AI42223" s="80"/>
    </row>
    <row r="42224">
      <c r="AI42224" s="80"/>
    </row>
    <row r="42225">
      <c r="AI42225" s="80"/>
    </row>
    <row r="42226">
      <c r="AI42226" s="80"/>
    </row>
    <row r="42227">
      <c r="AI42227" s="80"/>
    </row>
    <row r="42228">
      <c r="AI42228" s="80"/>
    </row>
    <row r="42229">
      <c r="AI42229" s="80"/>
    </row>
    <row r="42230">
      <c r="AI42230" s="80"/>
    </row>
    <row r="42231">
      <c r="AI42231" s="80"/>
    </row>
    <row r="42232">
      <c r="AI42232" s="80"/>
    </row>
    <row r="42233">
      <c r="AI42233" s="80"/>
    </row>
    <row r="42234">
      <c r="AI42234" s="80"/>
    </row>
    <row r="42235">
      <c r="AI42235" s="80"/>
    </row>
    <row r="42236">
      <c r="AI42236" s="80"/>
    </row>
    <row r="42237">
      <c r="AI42237" s="80"/>
    </row>
    <row r="42238">
      <c r="AI42238" s="80"/>
    </row>
    <row r="42239">
      <c r="AI42239" s="80"/>
    </row>
    <row r="42240">
      <c r="AI42240" s="80"/>
    </row>
    <row r="42241">
      <c r="AI42241" s="80"/>
    </row>
    <row r="42242">
      <c r="AI42242" s="80"/>
    </row>
    <row r="42243">
      <c r="AI42243" s="80"/>
    </row>
    <row r="42244">
      <c r="AI42244" s="80"/>
    </row>
    <row r="42245">
      <c r="AI42245" s="80"/>
    </row>
    <row r="42246">
      <c r="AI42246" s="80"/>
    </row>
    <row r="42247">
      <c r="AI42247" s="80"/>
    </row>
    <row r="42248">
      <c r="AI42248" s="80"/>
    </row>
    <row r="42249">
      <c r="AI42249" s="80"/>
    </row>
    <row r="42250">
      <c r="AI42250" s="80"/>
    </row>
    <row r="42251">
      <c r="AI42251" s="80"/>
    </row>
    <row r="42252">
      <c r="AI42252" s="80"/>
    </row>
    <row r="42253">
      <c r="AI42253" s="80"/>
    </row>
    <row r="42254">
      <c r="AI42254" s="80"/>
    </row>
    <row r="42255">
      <c r="AI42255" s="80"/>
    </row>
    <row r="42256">
      <c r="AI42256" s="80"/>
    </row>
    <row r="42257">
      <c r="AI42257" s="80"/>
    </row>
    <row r="42258">
      <c r="AI42258" s="80"/>
    </row>
    <row r="42259">
      <c r="AI42259" s="80"/>
    </row>
    <row r="42260">
      <c r="AI42260" s="80"/>
    </row>
    <row r="42261">
      <c r="AI42261" s="80"/>
    </row>
    <row r="42262">
      <c r="AI42262" s="80"/>
    </row>
    <row r="42263">
      <c r="AI42263" s="80"/>
    </row>
    <row r="42264">
      <c r="AI42264" s="80"/>
    </row>
    <row r="42265">
      <c r="AI42265" s="80"/>
    </row>
    <row r="42266">
      <c r="AI42266" s="80"/>
    </row>
    <row r="42267">
      <c r="AI42267" s="80"/>
    </row>
    <row r="42268">
      <c r="AI42268" s="80"/>
    </row>
    <row r="42269">
      <c r="AI42269" s="80"/>
    </row>
    <row r="42270">
      <c r="AI42270" s="80"/>
    </row>
    <row r="42271">
      <c r="AI42271" s="80"/>
    </row>
    <row r="42272">
      <c r="AI42272" s="80"/>
    </row>
    <row r="42273">
      <c r="AI42273" s="80"/>
    </row>
    <row r="42274">
      <c r="AI42274" s="80"/>
    </row>
    <row r="42275">
      <c r="AI42275" s="80"/>
    </row>
    <row r="42276">
      <c r="AI42276" s="80"/>
    </row>
    <row r="42277">
      <c r="AI42277" s="80"/>
    </row>
    <row r="42278">
      <c r="AI42278" s="80"/>
    </row>
    <row r="42279">
      <c r="AI42279" s="80"/>
    </row>
    <row r="42280">
      <c r="AI42280" s="80"/>
    </row>
    <row r="42281">
      <c r="AI42281" s="80"/>
    </row>
    <row r="42282">
      <c r="AI42282" s="80"/>
    </row>
    <row r="42283">
      <c r="AI42283" s="80"/>
    </row>
    <row r="42284">
      <c r="AI42284" s="80"/>
    </row>
    <row r="42285">
      <c r="AI42285" s="80"/>
    </row>
    <row r="42286">
      <c r="AI42286" s="80"/>
    </row>
    <row r="42287">
      <c r="AI42287" s="80"/>
    </row>
    <row r="42288">
      <c r="AI42288" s="80"/>
    </row>
    <row r="42289">
      <c r="AI42289" s="80"/>
    </row>
    <row r="42290">
      <c r="AI42290" s="80"/>
    </row>
    <row r="42291">
      <c r="AI42291" s="80"/>
    </row>
    <row r="42292">
      <c r="AI42292" s="80"/>
    </row>
    <row r="42293">
      <c r="AI42293" s="80"/>
    </row>
    <row r="42294">
      <c r="AI42294" s="80"/>
    </row>
    <row r="42295">
      <c r="AI42295" s="80"/>
    </row>
    <row r="42296">
      <c r="AI42296" s="80"/>
    </row>
    <row r="42297">
      <c r="AI42297" s="80"/>
    </row>
    <row r="42298">
      <c r="AI42298" s="80"/>
    </row>
    <row r="42299">
      <c r="AI42299" s="80"/>
    </row>
    <row r="42300">
      <c r="AI42300" s="80"/>
    </row>
    <row r="42301">
      <c r="AI42301" s="80"/>
    </row>
    <row r="42302">
      <c r="AI42302" s="80"/>
    </row>
    <row r="42303">
      <c r="AI42303" s="80"/>
    </row>
    <row r="42304">
      <c r="AI42304" s="80"/>
    </row>
    <row r="42305">
      <c r="AI42305" s="80"/>
    </row>
    <row r="42306">
      <c r="AI42306" s="80"/>
    </row>
    <row r="42307">
      <c r="AI42307" s="80"/>
    </row>
    <row r="42308">
      <c r="AI42308" s="80"/>
    </row>
    <row r="42309">
      <c r="AI42309" s="80"/>
    </row>
    <row r="42310">
      <c r="AI42310" s="80"/>
    </row>
    <row r="42311">
      <c r="AI42311" s="80"/>
    </row>
    <row r="42312">
      <c r="AI42312" s="80"/>
    </row>
    <row r="42313">
      <c r="AI42313" s="80"/>
    </row>
    <row r="42314">
      <c r="AI42314" s="80"/>
    </row>
    <row r="42315">
      <c r="AI42315" s="80"/>
    </row>
    <row r="42316">
      <c r="AI42316" s="80"/>
    </row>
    <row r="42317">
      <c r="AI42317" s="80"/>
    </row>
    <row r="42318">
      <c r="AI42318" s="80"/>
    </row>
    <row r="42319">
      <c r="AI42319" s="80"/>
    </row>
    <row r="42320">
      <c r="AI42320" s="80"/>
    </row>
    <row r="42321">
      <c r="AI42321" s="80"/>
    </row>
    <row r="42322">
      <c r="AI42322" s="80"/>
    </row>
    <row r="42323">
      <c r="AI42323" s="80"/>
    </row>
    <row r="42324">
      <c r="AI42324" s="80"/>
    </row>
    <row r="42325">
      <c r="AI42325" s="80"/>
    </row>
    <row r="42326">
      <c r="AI42326" s="80"/>
    </row>
    <row r="42327">
      <c r="AI42327" s="80"/>
    </row>
    <row r="42328">
      <c r="AI42328" s="80"/>
    </row>
    <row r="42329">
      <c r="AI42329" s="80"/>
    </row>
    <row r="42330">
      <c r="AI42330" s="80"/>
    </row>
    <row r="42331">
      <c r="AI42331" s="80"/>
    </row>
    <row r="42332">
      <c r="AI42332" s="80"/>
    </row>
    <row r="42333">
      <c r="AI42333" s="80"/>
    </row>
    <row r="42334">
      <c r="AI42334" s="80"/>
    </row>
    <row r="42335">
      <c r="AI42335" s="80"/>
    </row>
    <row r="42336">
      <c r="AI42336" s="80"/>
    </row>
    <row r="42337">
      <c r="AI42337" s="80"/>
    </row>
    <row r="42338">
      <c r="AI42338" s="80"/>
    </row>
    <row r="42339">
      <c r="AI42339" s="80"/>
    </row>
    <row r="42340">
      <c r="AI42340" s="80"/>
    </row>
    <row r="42341">
      <c r="AI42341" s="80"/>
    </row>
    <row r="42342">
      <c r="AI42342" s="80"/>
    </row>
    <row r="42343">
      <c r="AI42343" s="80"/>
    </row>
    <row r="42344">
      <c r="AI42344" s="80"/>
    </row>
    <row r="42345">
      <c r="AI42345" s="80"/>
    </row>
    <row r="42346">
      <c r="AI42346" s="80"/>
    </row>
    <row r="42347">
      <c r="AI42347" s="80"/>
    </row>
    <row r="42348">
      <c r="AI42348" s="80"/>
    </row>
    <row r="42349">
      <c r="AI42349" s="80"/>
    </row>
    <row r="42350">
      <c r="AI42350" s="80"/>
    </row>
    <row r="42351">
      <c r="AI42351" s="80"/>
    </row>
    <row r="42352">
      <c r="AI42352" s="80"/>
    </row>
    <row r="42353">
      <c r="AI42353" s="80"/>
    </row>
    <row r="42354">
      <c r="AI42354" s="80"/>
    </row>
    <row r="42355">
      <c r="AI42355" s="80"/>
    </row>
    <row r="42356">
      <c r="AI42356" s="80"/>
    </row>
    <row r="42357">
      <c r="AI42357" s="80"/>
    </row>
    <row r="42358">
      <c r="AI42358" s="80"/>
    </row>
    <row r="42359">
      <c r="AI42359" s="80"/>
    </row>
    <row r="42360">
      <c r="AI42360" s="80"/>
    </row>
    <row r="42361">
      <c r="AI42361" s="80"/>
    </row>
    <row r="42362">
      <c r="AI42362" s="80"/>
    </row>
    <row r="42363">
      <c r="AI42363" s="80"/>
    </row>
    <row r="42364">
      <c r="AI42364" s="80"/>
    </row>
    <row r="42365">
      <c r="AI42365" s="80"/>
    </row>
    <row r="42366">
      <c r="AI42366" s="80"/>
    </row>
    <row r="42367">
      <c r="AI42367" s="80"/>
    </row>
    <row r="42368">
      <c r="AI42368" s="80"/>
    </row>
    <row r="42369">
      <c r="AI42369" s="80"/>
    </row>
    <row r="42370">
      <c r="AI42370" s="80"/>
    </row>
    <row r="42371">
      <c r="AI42371" s="80"/>
    </row>
    <row r="42372">
      <c r="AI42372" s="80"/>
    </row>
    <row r="42373">
      <c r="AI42373" s="80"/>
    </row>
    <row r="42374">
      <c r="AI42374" s="80"/>
    </row>
    <row r="42375">
      <c r="AI42375" s="80"/>
    </row>
    <row r="42376">
      <c r="AI42376" s="80"/>
    </row>
    <row r="42377">
      <c r="AI42377" s="80"/>
    </row>
    <row r="42378">
      <c r="AI42378" s="80"/>
    </row>
    <row r="42379">
      <c r="AI42379" s="80"/>
    </row>
    <row r="42380">
      <c r="AI42380" s="80"/>
    </row>
    <row r="42381">
      <c r="AI42381" s="80"/>
    </row>
    <row r="42382">
      <c r="AI42382" s="80"/>
    </row>
    <row r="42383">
      <c r="AI42383" s="80"/>
    </row>
    <row r="42384">
      <c r="AI42384" s="80"/>
    </row>
    <row r="42385">
      <c r="AI42385" s="80"/>
    </row>
    <row r="42386">
      <c r="AI42386" s="80"/>
    </row>
    <row r="42387">
      <c r="AI42387" s="80"/>
    </row>
    <row r="42388">
      <c r="AI42388" s="80"/>
    </row>
    <row r="42389">
      <c r="AI42389" s="80"/>
    </row>
    <row r="42390">
      <c r="AI42390" s="80"/>
    </row>
    <row r="42391">
      <c r="AI42391" s="80"/>
    </row>
    <row r="42392">
      <c r="AI42392" s="80"/>
    </row>
    <row r="42393">
      <c r="AI42393" s="80"/>
    </row>
    <row r="42394">
      <c r="AI42394" s="80"/>
    </row>
    <row r="42395">
      <c r="AI42395" s="80"/>
    </row>
    <row r="42396">
      <c r="AI42396" s="80"/>
    </row>
    <row r="42397">
      <c r="AI42397" s="80"/>
    </row>
    <row r="42398">
      <c r="AI42398" s="80"/>
    </row>
    <row r="42399">
      <c r="AI42399" s="80"/>
    </row>
    <row r="42400">
      <c r="AI42400" s="80"/>
    </row>
    <row r="42401">
      <c r="AI42401" s="80"/>
    </row>
    <row r="42402">
      <c r="AI42402" s="80"/>
    </row>
    <row r="42403">
      <c r="AI42403" s="80"/>
    </row>
    <row r="42404">
      <c r="AI42404" s="80"/>
    </row>
    <row r="42405">
      <c r="AI42405" s="80"/>
    </row>
    <row r="42406">
      <c r="AI42406" s="80"/>
    </row>
    <row r="42407">
      <c r="AI42407" s="80"/>
    </row>
    <row r="42408">
      <c r="AI42408" s="80"/>
    </row>
    <row r="42409">
      <c r="AI42409" s="80"/>
    </row>
    <row r="42410">
      <c r="AI42410" s="80"/>
    </row>
    <row r="42411">
      <c r="AI42411" s="80"/>
    </row>
    <row r="42412">
      <c r="AI42412" s="80"/>
    </row>
    <row r="42413">
      <c r="AI42413" s="80"/>
    </row>
    <row r="42414">
      <c r="AI42414" s="80"/>
    </row>
    <row r="42415">
      <c r="AI42415" s="80"/>
    </row>
    <row r="42416">
      <c r="AI42416" s="80"/>
    </row>
    <row r="42417">
      <c r="AI42417" s="80"/>
    </row>
    <row r="42418">
      <c r="AI42418" s="80"/>
    </row>
    <row r="42419">
      <c r="AI42419" s="80"/>
    </row>
    <row r="42420">
      <c r="AI42420" s="80"/>
    </row>
    <row r="42421">
      <c r="AI42421" s="80"/>
    </row>
    <row r="42422">
      <c r="AI42422" s="80"/>
    </row>
    <row r="42423">
      <c r="AI42423" s="80"/>
    </row>
    <row r="42424">
      <c r="AI42424" s="80"/>
    </row>
    <row r="42425">
      <c r="AI42425" s="80"/>
    </row>
    <row r="42426">
      <c r="AI42426" s="80"/>
    </row>
    <row r="42427">
      <c r="AI42427" s="80"/>
    </row>
    <row r="42428">
      <c r="AI42428" s="80"/>
    </row>
    <row r="42429">
      <c r="AI42429" s="80"/>
    </row>
    <row r="42430">
      <c r="AI42430" s="80"/>
    </row>
    <row r="42431">
      <c r="AI42431" s="80"/>
    </row>
    <row r="42432">
      <c r="AI42432" s="80"/>
    </row>
    <row r="42433">
      <c r="AI42433" s="80"/>
    </row>
    <row r="42434">
      <c r="AI42434" s="80"/>
    </row>
    <row r="42435">
      <c r="AI42435" s="80"/>
    </row>
    <row r="42436">
      <c r="AI42436" s="80"/>
    </row>
    <row r="42437">
      <c r="AI42437" s="80"/>
    </row>
    <row r="42438">
      <c r="AI42438" s="80"/>
    </row>
    <row r="42439">
      <c r="AI42439" s="80"/>
    </row>
    <row r="42440">
      <c r="AI42440" s="80"/>
    </row>
    <row r="42441">
      <c r="AI42441" s="80"/>
    </row>
    <row r="42442">
      <c r="AI42442" s="80"/>
    </row>
    <row r="42443">
      <c r="AI42443" s="80"/>
    </row>
    <row r="42444">
      <c r="AI42444" s="80"/>
    </row>
    <row r="42445">
      <c r="AI42445" s="80"/>
    </row>
    <row r="42446">
      <c r="AI42446" s="80"/>
    </row>
    <row r="42447">
      <c r="AI42447" s="80"/>
    </row>
    <row r="42448">
      <c r="AI42448" s="80"/>
    </row>
    <row r="42449">
      <c r="AI42449" s="80"/>
    </row>
    <row r="42450">
      <c r="AI42450" s="80"/>
    </row>
    <row r="42451">
      <c r="AI42451" s="80"/>
    </row>
    <row r="42452">
      <c r="AI42452" s="80"/>
    </row>
    <row r="42453">
      <c r="AI42453" s="80"/>
    </row>
    <row r="42454">
      <c r="AI42454" s="80"/>
    </row>
    <row r="42455">
      <c r="AI42455" s="80"/>
    </row>
    <row r="42456">
      <c r="AI42456" s="80"/>
    </row>
    <row r="42457">
      <c r="AI42457" s="80"/>
    </row>
    <row r="42458">
      <c r="AI42458" s="80"/>
    </row>
    <row r="42459">
      <c r="AI42459" s="80"/>
    </row>
    <row r="42460">
      <c r="AI42460" s="80"/>
    </row>
    <row r="42461">
      <c r="AI42461" s="80"/>
    </row>
    <row r="42462">
      <c r="AI42462" s="80"/>
    </row>
    <row r="42463">
      <c r="AI42463" s="80"/>
    </row>
    <row r="42464">
      <c r="AI42464" s="80"/>
    </row>
    <row r="42465">
      <c r="AI42465" s="80"/>
    </row>
    <row r="42466">
      <c r="AI42466" s="80"/>
    </row>
    <row r="42467">
      <c r="AI42467" s="80"/>
    </row>
    <row r="42468">
      <c r="AI42468" s="80"/>
    </row>
    <row r="42469">
      <c r="AI42469" s="80"/>
    </row>
    <row r="42470">
      <c r="AI42470" s="80"/>
    </row>
    <row r="42471">
      <c r="AI42471" s="80"/>
    </row>
    <row r="42472">
      <c r="AI42472" s="80"/>
    </row>
    <row r="42473">
      <c r="AI42473" s="80"/>
    </row>
    <row r="42474">
      <c r="AI42474" s="80"/>
    </row>
    <row r="42475">
      <c r="AI42475" s="80"/>
    </row>
    <row r="42476">
      <c r="AI42476" s="80"/>
    </row>
    <row r="42477">
      <c r="AI42477" s="80"/>
    </row>
    <row r="42478">
      <c r="AI42478" s="80"/>
    </row>
    <row r="42479">
      <c r="AI42479" s="80"/>
    </row>
    <row r="42480">
      <c r="AI42480" s="80"/>
    </row>
    <row r="42481">
      <c r="AI42481" s="80"/>
    </row>
    <row r="42482">
      <c r="AI42482" s="80"/>
    </row>
    <row r="42483">
      <c r="AI42483" s="80"/>
    </row>
    <row r="42484">
      <c r="AI42484" s="80"/>
    </row>
    <row r="42485">
      <c r="AI42485" s="80"/>
    </row>
    <row r="42486">
      <c r="AI42486" s="80"/>
    </row>
    <row r="42487">
      <c r="AI42487" s="80"/>
    </row>
    <row r="42488">
      <c r="AI42488" s="80"/>
    </row>
    <row r="42489">
      <c r="AI42489" s="80"/>
    </row>
    <row r="42490">
      <c r="AI42490" s="80"/>
    </row>
    <row r="42491">
      <c r="AI42491" s="80"/>
    </row>
    <row r="42492">
      <c r="AI42492" s="80"/>
    </row>
    <row r="42493">
      <c r="AI42493" s="80"/>
    </row>
    <row r="42494">
      <c r="AI42494" s="80"/>
    </row>
    <row r="42495">
      <c r="AI42495" s="80"/>
    </row>
    <row r="42496">
      <c r="AI42496" s="80"/>
    </row>
    <row r="42497">
      <c r="AI42497" s="80"/>
    </row>
    <row r="42498">
      <c r="AI42498" s="80"/>
    </row>
    <row r="42499">
      <c r="AI42499" s="80"/>
    </row>
    <row r="42500">
      <c r="AI42500" s="80"/>
    </row>
    <row r="42501">
      <c r="AI42501" s="80"/>
    </row>
    <row r="42502">
      <c r="AI42502" s="80"/>
    </row>
    <row r="42503">
      <c r="AI42503" s="80"/>
    </row>
    <row r="42504">
      <c r="AI42504" s="80"/>
    </row>
    <row r="42505">
      <c r="AI42505" s="80"/>
    </row>
    <row r="42506">
      <c r="AI42506" s="80"/>
    </row>
    <row r="42507">
      <c r="AI42507" s="80"/>
    </row>
    <row r="42508">
      <c r="AI42508" s="80"/>
    </row>
    <row r="42509">
      <c r="AI42509" s="80"/>
    </row>
    <row r="42510">
      <c r="AI42510" s="80"/>
    </row>
    <row r="42511">
      <c r="AI42511" s="80"/>
    </row>
    <row r="42512">
      <c r="AI42512" s="80"/>
    </row>
    <row r="42513">
      <c r="AI42513" s="80"/>
    </row>
    <row r="42514">
      <c r="AI42514" s="80"/>
    </row>
    <row r="42515">
      <c r="AI42515" s="80"/>
    </row>
    <row r="42516">
      <c r="AI42516" s="80"/>
    </row>
    <row r="42517">
      <c r="AI42517" s="80"/>
    </row>
    <row r="42518">
      <c r="AI42518" s="80"/>
    </row>
    <row r="42519">
      <c r="AI42519" s="80"/>
    </row>
    <row r="42520">
      <c r="AI42520" s="80"/>
    </row>
    <row r="42521">
      <c r="AI42521" s="80"/>
    </row>
    <row r="42522">
      <c r="AI42522" s="80"/>
    </row>
    <row r="42523">
      <c r="AI42523" s="80"/>
    </row>
    <row r="42524">
      <c r="AI42524" s="80"/>
    </row>
    <row r="42525">
      <c r="AI42525" s="80"/>
    </row>
    <row r="42526">
      <c r="AI42526" s="80"/>
    </row>
    <row r="42527">
      <c r="AI42527" s="80"/>
    </row>
    <row r="42528">
      <c r="AI42528" s="80"/>
    </row>
    <row r="42529">
      <c r="AI42529" s="80"/>
    </row>
    <row r="42530">
      <c r="AI42530" s="80"/>
    </row>
    <row r="42531">
      <c r="AI42531" s="80"/>
    </row>
    <row r="42532">
      <c r="AI42532" s="80"/>
    </row>
    <row r="42533">
      <c r="AI42533" s="80"/>
    </row>
    <row r="42534">
      <c r="AI42534" s="80"/>
    </row>
    <row r="42535">
      <c r="AI42535" s="80"/>
    </row>
    <row r="42536">
      <c r="AI42536" s="80"/>
    </row>
    <row r="42537">
      <c r="AI42537" s="80"/>
    </row>
    <row r="42538">
      <c r="AI42538" s="80"/>
    </row>
    <row r="42539">
      <c r="AI42539" s="80"/>
    </row>
    <row r="42540">
      <c r="AI42540" s="80"/>
    </row>
    <row r="42541">
      <c r="AI42541" s="80"/>
    </row>
    <row r="42542">
      <c r="AI42542" s="80"/>
    </row>
    <row r="42543">
      <c r="AI42543" s="80"/>
    </row>
    <row r="42544">
      <c r="AI42544" s="80"/>
    </row>
    <row r="42545">
      <c r="AI42545" s="80"/>
    </row>
    <row r="42546">
      <c r="AI42546" s="80"/>
    </row>
    <row r="42547">
      <c r="AI42547" s="80"/>
    </row>
    <row r="42548">
      <c r="AI42548" s="80"/>
    </row>
    <row r="42549">
      <c r="AI42549" s="80"/>
    </row>
    <row r="42550">
      <c r="AI42550" s="80"/>
    </row>
    <row r="42551">
      <c r="AI42551" s="80"/>
    </row>
    <row r="42552">
      <c r="AI42552" s="80"/>
    </row>
    <row r="42553">
      <c r="AI42553" s="80"/>
    </row>
    <row r="42554">
      <c r="AI42554" s="80"/>
    </row>
    <row r="42555">
      <c r="AI42555" s="80"/>
    </row>
    <row r="42556">
      <c r="AI42556" s="80"/>
    </row>
    <row r="42557">
      <c r="AI42557" s="80"/>
    </row>
    <row r="42558">
      <c r="AI42558" s="80"/>
    </row>
    <row r="42559">
      <c r="AI42559" s="80"/>
    </row>
    <row r="42560">
      <c r="AI42560" s="80"/>
    </row>
    <row r="42561">
      <c r="AI42561" s="80"/>
    </row>
    <row r="42562">
      <c r="AI42562" s="80"/>
    </row>
    <row r="42563">
      <c r="AI42563" s="80"/>
    </row>
    <row r="42564">
      <c r="AI42564" s="80"/>
    </row>
    <row r="42565">
      <c r="AI42565" s="80"/>
    </row>
    <row r="42566">
      <c r="AI42566" s="80"/>
    </row>
    <row r="42567">
      <c r="AI42567" s="80"/>
    </row>
    <row r="42568">
      <c r="AI42568" s="80"/>
    </row>
    <row r="42569">
      <c r="AI42569" s="80"/>
    </row>
    <row r="42570">
      <c r="AI42570" s="80"/>
    </row>
    <row r="42571">
      <c r="AI42571" s="80"/>
    </row>
    <row r="42572">
      <c r="AI42572" s="80"/>
    </row>
    <row r="42573">
      <c r="AI42573" s="80"/>
    </row>
    <row r="42574">
      <c r="AI42574" s="80"/>
    </row>
    <row r="42575">
      <c r="AI42575" s="80"/>
    </row>
    <row r="42576">
      <c r="AI42576" s="80"/>
    </row>
    <row r="42577">
      <c r="AI42577" s="80"/>
    </row>
    <row r="42578">
      <c r="AI42578" s="80"/>
    </row>
    <row r="42579">
      <c r="AI42579" s="80"/>
    </row>
    <row r="42580">
      <c r="AI42580" s="80"/>
    </row>
    <row r="42581">
      <c r="AI42581" s="80"/>
    </row>
    <row r="42582">
      <c r="AI42582" s="80"/>
    </row>
    <row r="42583">
      <c r="AI42583" s="80"/>
    </row>
    <row r="42584">
      <c r="AI42584" s="80"/>
    </row>
    <row r="42585">
      <c r="AI42585" s="80"/>
    </row>
    <row r="42586">
      <c r="AI42586" s="80"/>
    </row>
    <row r="42587">
      <c r="AI42587" s="80"/>
    </row>
    <row r="42588">
      <c r="AI42588" s="80"/>
    </row>
    <row r="42589">
      <c r="AI42589" s="80"/>
    </row>
    <row r="42590">
      <c r="AI42590" s="80"/>
    </row>
    <row r="42591">
      <c r="AI42591" s="80"/>
    </row>
    <row r="42592">
      <c r="AI42592" s="80"/>
    </row>
    <row r="42593">
      <c r="AI42593" s="80"/>
    </row>
    <row r="42594">
      <c r="AI42594" s="80"/>
    </row>
    <row r="42595">
      <c r="AI42595" s="80"/>
    </row>
    <row r="42596">
      <c r="AI42596" s="80"/>
    </row>
    <row r="42597">
      <c r="AI42597" s="80"/>
    </row>
    <row r="42598">
      <c r="AI42598" s="80"/>
    </row>
    <row r="42599">
      <c r="AI42599" s="80"/>
    </row>
    <row r="42600">
      <c r="AI42600" s="80"/>
    </row>
    <row r="42601">
      <c r="AI42601" s="80"/>
    </row>
    <row r="42602">
      <c r="AI42602" s="80"/>
    </row>
    <row r="42603">
      <c r="AI42603" s="80"/>
    </row>
    <row r="42604">
      <c r="AI42604" s="80"/>
    </row>
    <row r="42605">
      <c r="AI42605" s="80"/>
    </row>
    <row r="42606">
      <c r="AI42606" s="80"/>
    </row>
    <row r="42607">
      <c r="AI42607" s="80"/>
    </row>
    <row r="42608">
      <c r="AI42608" s="80"/>
    </row>
    <row r="42609">
      <c r="AI42609" s="80"/>
    </row>
    <row r="42610">
      <c r="AI42610" s="80"/>
    </row>
    <row r="42611">
      <c r="AI42611" s="80"/>
    </row>
    <row r="42612">
      <c r="AI42612" s="80"/>
    </row>
    <row r="42613">
      <c r="AI42613" s="80"/>
    </row>
    <row r="42614">
      <c r="AI42614" s="80"/>
    </row>
    <row r="42615">
      <c r="AI42615" s="80"/>
    </row>
    <row r="42616">
      <c r="AI42616" s="80"/>
    </row>
    <row r="42617">
      <c r="AI42617" s="80"/>
    </row>
    <row r="42618">
      <c r="AI42618" s="80"/>
    </row>
    <row r="42619">
      <c r="AI42619" s="80"/>
    </row>
    <row r="42620">
      <c r="AI42620" s="80"/>
    </row>
    <row r="42621">
      <c r="AI42621" s="80"/>
    </row>
    <row r="42622">
      <c r="AI42622" s="80"/>
    </row>
    <row r="42623">
      <c r="AI42623" s="80"/>
    </row>
    <row r="42624">
      <c r="AI42624" s="80"/>
    </row>
    <row r="42625">
      <c r="AI42625" s="80"/>
    </row>
    <row r="42626">
      <c r="AI42626" s="80"/>
    </row>
    <row r="42627">
      <c r="AI42627" s="80"/>
    </row>
    <row r="42628">
      <c r="AI42628" s="80"/>
    </row>
    <row r="42629">
      <c r="AI42629" s="80"/>
    </row>
    <row r="42630">
      <c r="AI42630" s="80"/>
    </row>
    <row r="42631">
      <c r="AI42631" s="80"/>
    </row>
    <row r="42632">
      <c r="AI42632" s="80"/>
    </row>
    <row r="42633">
      <c r="AI42633" s="80"/>
    </row>
    <row r="42634">
      <c r="AI42634" s="80"/>
    </row>
    <row r="42635">
      <c r="AI42635" s="80"/>
    </row>
    <row r="42636">
      <c r="AI42636" s="80"/>
    </row>
    <row r="42637">
      <c r="AI42637" s="80"/>
    </row>
    <row r="42638">
      <c r="AI42638" s="80"/>
    </row>
    <row r="42639">
      <c r="AI42639" s="80"/>
    </row>
    <row r="42640">
      <c r="AI42640" s="80"/>
    </row>
    <row r="42641">
      <c r="AI42641" s="80"/>
    </row>
    <row r="42642">
      <c r="AI42642" s="80"/>
    </row>
    <row r="42643">
      <c r="AI42643" s="80"/>
    </row>
    <row r="42644">
      <c r="AI42644" s="80"/>
    </row>
    <row r="42645">
      <c r="AI42645" s="80"/>
    </row>
    <row r="42646">
      <c r="AI42646" s="80"/>
    </row>
    <row r="42647">
      <c r="AI42647" s="80"/>
    </row>
    <row r="42648">
      <c r="AI42648" s="80"/>
    </row>
    <row r="42649">
      <c r="AI42649" s="80"/>
    </row>
    <row r="42650">
      <c r="AI42650" s="80"/>
    </row>
    <row r="42651">
      <c r="AI42651" s="80"/>
    </row>
    <row r="42652">
      <c r="AI42652" s="80"/>
    </row>
    <row r="42653">
      <c r="AI42653" s="80"/>
    </row>
    <row r="42654">
      <c r="AI42654" s="80"/>
    </row>
    <row r="42655">
      <c r="AI42655" s="80"/>
    </row>
    <row r="42656">
      <c r="AI42656" s="80"/>
    </row>
    <row r="42657">
      <c r="AI42657" s="80"/>
    </row>
    <row r="42658">
      <c r="AI42658" s="80"/>
    </row>
    <row r="42659">
      <c r="AI42659" s="80"/>
    </row>
    <row r="42660">
      <c r="AI42660" s="80"/>
    </row>
    <row r="42661">
      <c r="AI42661" s="80"/>
    </row>
    <row r="42662">
      <c r="AI42662" s="80"/>
    </row>
    <row r="42663">
      <c r="AI42663" s="80"/>
    </row>
    <row r="42664">
      <c r="AI42664" s="80"/>
    </row>
    <row r="42665">
      <c r="AI42665" s="80"/>
    </row>
    <row r="42666">
      <c r="AI42666" s="80"/>
    </row>
    <row r="42667">
      <c r="AI42667" s="80"/>
    </row>
    <row r="42668">
      <c r="AI42668" s="80"/>
    </row>
    <row r="42669">
      <c r="AI42669" s="80"/>
    </row>
    <row r="42670">
      <c r="AI42670" s="80"/>
    </row>
    <row r="42671">
      <c r="AI42671" s="80"/>
    </row>
    <row r="42672">
      <c r="AI42672" s="80"/>
    </row>
    <row r="42673">
      <c r="AI42673" s="80"/>
    </row>
    <row r="42674">
      <c r="AI42674" s="80"/>
    </row>
    <row r="42675">
      <c r="AI42675" s="80"/>
    </row>
    <row r="42676">
      <c r="AI42676" s="80"/>
    </row>
    <row r="42677">
      <c r="AI42677" s="80"/>
    </row>
    <row r="42678">
      <c r="AI42678" s="80"/>
    </row>
    <row r="42679">
      <c r="AI42679" s="80"/>
    </row>
    <row r="42680">
      <c r="AI42680" s="80"/>
    </row>
    <row r="42681">
      <c r="AI42681" s="80"/>
    </row>
    <row r="42682">
      <c r="AI42682" s="80"/>
    </row>
    <row r="42683">
      <c r="AI42683" s="80"/>
    </row>
    <row r="42684">
      <c r="AI42684" s="80"/>
    </row>
    <row r="42685">
      <c r="AI42685" s="80"/>
    </row>
    <row r="42686">
      <c r="AI42686" s="80"/>
    </row>
    <row r="42687">
      <c r="AI42687" s="80"/>
    </row>
    <row r="42688">
      <c r="AI42688" s="80"/>
    </row>
    <row r="42689">
      <c r="AI42689" s="80"/>
    </row>
    <row r="42690">
      <c r="AI42690" s="80"/>
    </row>
    <row r="42691">
      <c r="AI42691" s="80"/>
    </row>
    <row r="42692">
      <c r="AI42692" s="80"/>
    </row>
    <row r="42693">
      <c r="AI42693" s="80"/>
    </row>
    <row r="42694">
      <c r="AI42694" s="80"/>
    </row>
    <row r="42695">
      <c r="AI42695" s="80"/>
    </row>
    <row r="42696">
      <c r="AI42696" s="80"/>
    </row>
    <row r="42697">
      <c r="AI42697" s="80"/>
    </row>
    <row r="42698">
      <c r="AI42698" s="80"/>
    </row>
    <row r="42699">
      <c r="AI42699" s="80"/>
    </row>
    <row r="42700">
      <c r="AI42700" s="80"/>
    </row>
    <row r="42701">
      <c r="AI42701" s="80"/>
    </row>
    <row r="42702">
      <c r="AI42702" s="80"/>
    </row>
    <row r="42703">
      <c r="AI42703" s="80"/>
    </row>
    <row r="42704">
      <c r="AI42704" s="80"/>
    </row>
    <row r="42705">
      <c r="AI42705" s="80"/>
    </row>
    <row r="42706">
      <c r="AI42706" s="80"/>
    </row>
    <row r="42707">
      <c r="AI42707" s="80"/>
    </row>
    <row r="42708">
      <c r="AI42708" s="80"/>
    </row>
    <row r="42709">
      <c r="AI42709" s="80"/>
    </row>
    <row r="42710">
      <c r="AI42710" s="80"/>
    </row>
    <row r="42711">
      <c r="AI42711" s="80"/>
    </row>
    <row r="42712">
      <c r="AI42712" s="80"/>
    </row>
    <row r="42713">
      <c r="AI42713" s="80"/>
    </row>
    <row r="42714">
      <c r="AI42714" s="80"/>
    </row>
    <row r="42715">
      <c r="AI42715" s="80"/>
    </row>
    <row r="42716">
      <c r="AI42716" s="80"/>
    </row>
    <row r="42717">
      <c r="AI42717" s="80"/>
    </row>
    <row r="42718">
      <c r="AI42718" s="80"/>
    </row>
    <row r="42719">
      <c r="AI42719" s="80"/>
    </row>
    <row r="42720">
      <c r="AI42720" s="80"/>
    </row>
    <row r="42721">
      <c r="AI42721" s="80"/>
    </row>
    <row r="42722">
      <c r="AI42722" s="80"/>
    </row>
    <row r="42723">
      <c r="AI42723" s="80"/>
    </row>
    <row r="42724">
      <c r="AI42724" s="80"/>
    </row>
    <row r="42725">
      <c r="AI42725" s="80"/>
    </row>
    <row r="42726">
      <c r="AI42726" s="80"/>
    </row>
    <row r="42727">
      <c r="AI42727" s="80"/>
    </row>
    <row r="42728">
      <c r="AI42728" s="80"/>
    </row>
    <row r="42729">
      <c r="AI42729" s="80"/>
    </row>
    <row r="42730">
      <c r="AI42730" s="80"/>
    </row>
    <row r="42731">
      <c r="AI42731" s="80"/>
    </row>
    <row r="42732">
      <c r="AI42732" s="80"/>
    </row>
    <row r="42733">
      <c r="AI42733" s="80"/>
    </row>
    <row r="42734">
      <c r="AI42734" s="80"/>
    </row>
    <row r="42735">
      <c r="AI42735" s="80"/>
    </row>
    <row r="42736">
      <c r="AI42736" s="80"/>
    </row>
    <row r="42737">
      <c r="AI42737" s="80"/>
    </row>
    <row r="42738">
      <c r="AI42738" s="80"/>
    </row>
    <row r="42739">
      <c r="AI42739" s="80"/>
    </row>
    <row r="42740">
      <c r="AI42740" s="80"/>
    </row>
    <row r="42741">
      <c r="AI42741" s="80"/>
    </row>
    <row r="42742">
      <c r="AI42742" s="80"/>
    </row>
    <row r="42743">
      <c r="AI42743" s="80"/>
    </row>
    <row r="42744">
      <c r="AI42744" s="80"/>
    </row>
    <row r="42745">
      <c r="AI42745" s="80"/>
    </row>
    <row r="42746">
      <c r="AI42746" s="80"/>
    </row>
    <row r="42747">
      <c r="AI42747" s="80"/>
    </row>
    <row r="42748">
      <c r="AI42748" s="80"/>
    </row>
    <row r="42749">
      <c r="AI42749" s="80"/>
    </row>
    <row r="42750">
      <c r="AI42750" s="80"/>
    </row>
    <row r="42751">
      <c r="AI42751" s="80"/>
    </row>
    <row r="42752">
      <c r="AI42752" s="80"/>
    </row>
    <row r="42753">
      <c r="AI42753" s="80"/>
    </row>
    <row r="42754">
      <c r="AI42754" s="80"/>
    </row>
    <row r="42755">
      <c r="AI42755" s="80"/>
    </row>
    <row r="42756">
      <c r="AI42756" s="80"/>
    </row>
    <row r="42757">
      <c r="AI42757" s="80"/>
    </row>
    <row r="42758">
      <c r="AI42758" s="80"/>
    </row>
    <row r="42759">
      <c r="AI42759" s="80"/>
    </row>
    <row r="42760">
      <c r="AI42760" s="80"/>
    </row>
    <row r="42761">
      <c r="AI42761" s="80"/>
    </row>
    <row r="42762">
      <c r="AI42762" s="80"/>
    </row>
    <row r="42763">
      <c r="AI42763" s="80"/>
    </row>
    <row r="42764">
      <c r="AI42764" s="80"/>
    </row>
    <row r="42765">
      <c r="AI42765" s="80"/>
    </row>
    <row r="42766">
      <c r="AI42766" s="80"/>
    </row>
    <row r="42767">
      <c r="AI42767" s="80"/>
    </row>
    <row r="42768">
      <c r="AI42768" s="80"/>
    </row>
    <row r="42769">
      <c r="AI42769" s="80"/>
    </row>
    <row r="42770">
      <c r="AI42770" s="80"/>
    </row>
    <row r="42771">
      <c r="AI42771" s="80"/>
    </row>
    <row r="42772">
      <c r="AI42772" s="80"/>
    </row>
    <row r="42773">
      <c r="AI42773" s="80"/>
    </row>
    <row r="42774">
      <c r="AI42774" s="80"/>
    </row>
    <row r="42775">
      <c r="AI42775" s="80"/>
    </row>
    <row r="42776">
      <c r="AI42776" s="80"/>
    </row>
    <row r="42777">
      <c r="AI42777" s="80"/>
    </row>
    <row r="42778">
      <c r="AI42778" s="80"/>
    </row>
    <row r="42779">
      <c r="AI42779" s="80"/>
    </row>
    <row r="42780">
      <c r="AI42780" s="80"/>
    </row>
    <row r="42781">
      <c r="AI42781" s="80"/>
    </row>
    <row r="42782">
      <c r="AI42782" s="80"/>
    </row>
    <row r="42783">
      <c r="AI42783" s="80"/>
    </row>
    <row r="42784">
      <c r="AI42784" s="80"/>
    </row>
    <row r="42785">
      <c r="AI42785" s="80"/>
    </row>
    <row r="42786">
      <c r="AI42786" s="80"/>
    </row>
    <row r="42787">
      <c r="AI42787" s="80"/>
    </row>
    <row r="42788">
      <c r="AI42788" s="80"/>
    </row>
    <row r="42789">
      <c r="AI42789" s="80"/>
    </row>
    <row r="42790">
      <c r="AI42790" s="80"/>
    </row>
    <row r="42791">
      <c r="AI42791" s="80"/>
    </row>
    <row r="42792">
      <c r="AI42792" s="80"/>
    </row>
    <row r="42793">
      <c r="AI42793" s="80"/>
    </row>
    <row r="42794">
      <c r="AI42794" s="80"/>
    </row>
    <row r="42795">
      <c r="AI42795" s="80"/>
    </row>
    <row r="42796">
      <c r="AI42796" s="80"/>
    </row>
    <row r="42797">
      <c r="AI42797" s="80"/>
    </row>
    <row r="42798">
      <c r="AI42798" s="80"/>
    </row>
    <row r="42799">
      <c r="AI42799" s="80"/>
    </row>
    <row r="42800">
      <c r="AI42800" s="80"/>
    </row>
    <row r="42801">
      <c r="AI42801" s="80"/>
    </row>
    <row r="42802">
      <c r="AI42802" s="80"/>
    </row>
    <row r="42803">
      <c r="AI42803" s="80"/>
    </row>
    <row r="42804">
      <c r="AI42804" s="80"/>
    </row>
    <row r="42805">
      <c r="AI42805" s="80"/>
    </row>
    <row r="42806">
      <c r="AI42806" s="80"/>
    </row>
    <row r="42807">
      <c r="AI42807" s="80"/>
    </row>
    <row r="42808">
      <c r="AI42808" s="80"/>
    </row>
    <row r="42809">
      <c r="AI42809" s="80"/>
    </row>
    <row r="42810">
      <c r="AI42810" s="80"/>
    </row>
    <row r="42811">
      <c r="AI42811" s="80"/>
    </row>
    <row r="42812">
      <c r="AI42812" s="80"/>
    </row>
    <row r="42813">
      <c r="AI42813" s="80"/>
    </row>
    <row r="42814">
      <c r="AI42814" s="80"/>
    </row>
    <row r="42815">
      <c r="AI42815" s="80"/>
    </row>
    <row r="42816">
      <c r="AI42816" s="80"/>
    </row>
    <row r="42817">
      <c r="AI42817" s="80"/>
    </row>
    <row r="42818">
      <c r="AI42818" s="80"/>
    </row>
    <row r="42819">
      <c r="AI42819" s="80"/>
    </row>
    <row r="42820">
      <c r="AI42820" s="80"/>
    </row>
    <row r="42821">
      <c r="AI42821" s="80"/>
    </row>
    <row r="42822">
      <c r="AI42822" s="80"/>
    </row>
    <row r="42823">
      <c r="AI42823" s="80"/>
    </row>
    <row r="42824">
      <c r="AI42824" s="80"/>
    </row>
    <row r="42825">
      <c r="AI42825" s="80"/>
    </row>
    <row r="42826">
      <c r="AI42826" s="80"/>
    </row>
    <row r="42827">
      <c r="AI42827" s="80"/>
    </row>
    <row r="42828">
      <c r="AI42828" s="80"/>
    </row>
    <row r="42829">
      <c r="AI42829" s="80"/>
    </row>
    <row r="42830">
      <c r="AI42830" s="80"/>
    </row>
    <row r="42831">
      <c r="AI42831" s="80"/>
    </row>
    <row r="42832">
      <c r="AI42832" s="80"/>
    </row>
    <row r="42833">
      <c r="AI42833" s="80"/>
    </row>
    <row r="42834">
      <c r="AI42834" s="80"/>
    </row>
    <row r="42835">
      <c r="AI42835" s="80"/>
    </row>
    <row r="42836">
      <c r="AI42836" s="80"/>
    </row>
    <row r="42837">
      <c r="AI42837" s="80"/>
    </row>
    <row r="42838">
      <c r="AI42838" s="80"/>
    </row>
    <row r="42839">
      <c r="AI42839" s="80"/>
    </row>
    <row r="42840">
      <c r="AI42840" s="80"/>
    </row>
    <row r="42841">
      <c r="AI42841" s="80"/>
    </row>
    <row r="42842">
      <c r="AI42842" s="80"/>
    </row>
    <row r="42843">
      <c r="AI42843" s="80"/>
    </row>
    <row r="42844">
      <c r="AI42844" s="80"/>
    </row>
    <row r="42845">
      <c r="AI42845" s="80"/>
    </row>
    <row r="42846">
      <c r="AI42846" s="80"/>
    </row>
    <row r="42847">
      <c r="AI42847" s="80"/>
    </row>
    <row r="42848">
      <c r="AI42848" s="80"/>
    </row>
    <row r="42849">
      <c r="AI42849" s="80"/>
    </row>
    <row r="42850">
      <c r="AI42850" s="80"/>
    </row>
    <row r="42851">
      <c r="AI42851" s="80"/>
    </row>
    <row r="42852">
      <c r="AI42852" s="80"/>
    </row>
    <row r="42853">
      <c r="AI42853" s="80"/>
    </row>
    <row r="42854">
      <c r="AI42854" s="80"/>
    </row>
    <row r="42855">
      <c r="AI42855" s="80"/>
    </row>
    <row r="42856">
      <c r="AI42856" s="80"/>
    </row>
    <row r="42857">
      <c r="AI42857" s="80"/>
    </row>
    <row r="42858">
      <c r="AI42858" s="80"/>
    </row>
    <row r="42859">
      <c r="AI42859" s="80"/>
    </row>
    <row r="42860">
      <c r="AI42860" s="80"/>
    </row>
    <row r="42861">
      <c r="AI42861" s="80"/>
    </row>
    <row r="42862">
      <c r="AI42862" s="80"/>
    </row>
    <row r="42863">
      <c r="AI42863" s="80"/>
    </row>
    <row r="42864">
      <c r="AI42864" s="80"/>
    </row>
    <row r="42865">
      <c r="AI42865" s="80"/>
    </row>
    <row r="42866">
      <c r="AI42866" s="80"/>
    </row>
    <row r="42867">
      <c r="AI42867" s="80"/>
    </row>
    <row r="42868">
      <c r="AI42868" s="80"/>
    </row>
    <row r="42869">
      <c r="AI42869" s="80"/>
    </row>
    <row r="42870">
      <c r="AI42870" s="80"/>
    </row>
    <row r="42871">
      <c r="AI42871" s="80"/>
    </row>
    <row r="42872">
      <c r="AI42872" s="80"/>
    </row>
    <row r="42873">
      <c r="AI42873" s="80"/>
    </row>
    <row r="42874">
      <c r="AI42874" s="80"/>
    </row>
    <row r="42875">
      <c r="AI42875" s="80"/>
    </row>
    <row r="42876">
      <c r="AI42876" s="80"/>
    </row>
    <row r="42877">
      <c r="AI42877" s="80"/>
    </row>
    <row r="42878">
      <c r="AI42878" s="80"/>
    </row>
    <row r="42879">
      <c r="AI42879" s="80"/>
    </row>
    <row r="42880">
      <c r="AI42880" s="80"/>
    </row>
    <row r="42881">
      <c r="AI42881" s="80"/>
    </row>
    <row r="42882">
      <c r="AI42882" s="80"/>
    </row>
    <row r="42883">
      <c r="AI42883" s="80"/>
    </row>
    <row r="42884">
      <c r="AI42884" s="80"/>
    </row>
    <row r="42885">
      <c r="AI42885" s="80"/>
    </row>
    <row r="42886">
      <c r="AI42886" s="80"/>
    </row>
    <row r="42887">
      <c r="AI42887" s="80"/>
    </row>
    <row r="42888">
      <c r="AI42888" s="80"/>
    </row>
    <row r="42889">
      <c r="AI42889" s="80"/>
    </row>
    <row r="42890">
      <c r="AI42890" s="80"/>
    </row>
    <row r="42891">
      <c r="AI42891" s="80"/>
    </row>
    <row r="42892">
      <c r="AI42892" s="80"/>
    </row>
    <row r="42893">
      <c r="AI42893" s="80"/>
    </row>
    <row r="42894">
      <c r="AI42894" s="80"/>
    </row>
    <row r="42895">
      <c r="AI42895" s="80"/>
    </row>
    <row r="42896">
      <c r="AI42896" s="80"/>
    </row>
    <row r="42897">
      <c r="AI42897" s="80"/>
    </row>
    <row r="42898">
      <c r="AI42898" s="80"/>
    </row>
    <row r="42899">
      <c r="AI42899" s="80"/>
    </row>
    <row r="42900">
      <c r="AI42900" s="80"/>
    </row>
    <row r="42901">
      <c r="AI42901" s="80"/>
    </row>
    <row r="42902">
      <c r="AI42902" s="80"/>
    </row>
    <row r="42903">
      <c r="AI42903" s="80"/>
    </row>
    <row r="42904">
      <c r="AI42904" s="80"/>
    </row>
    <row r="42905">
      <c r="AI42905" s="80"/>
    </row>
    <row r="42906">
      <c r="AI42906" s="80"/>
    </row>
    <row r="42907">
      <c r="AI42907" s="80"/>
    </row>
    <row r="42908">
      <c r="AI42908" s="80"/>
    </row>
    <row r="42909">
      <c r="AI42909" s="80"/>
    </row>
    <row r="42910">
      <c r="AI42910" s="80"/>
    </row>
    <row r="42911">
      <c r="AI42911" s="80"/>
    </row>
    <row r="42912">
      <c r="AI42912" s="80"/>
    </row>
    <row r="42913">
      <c r="AI42913" s="80"/>
    </row>
    <row r="42914">
      <c r="AI42914" s="80"/>
    </row>
    <row r="42915">
      <c r="AI42915" s="80"/>
    </row>
    <row r="42916">
      <c r="AI42916" s="80"/>
    </row>
    <row r="42917">
      <c r="AI42917" s="80"/>
    </row>
    <row r="42918">
      <c r="AI42918" s="80"/>
    </row>
    <row r="42919">
      <c r="AI42919" s="80"/>
    </row>
    <row r="42920">
      <c r="AI42920" s="80"/>
    </row>
    <row r="42921">
      <c r="AI42921" s="80"/>
    </row>
    <row r="42922">
      <c r="AI42922" s="80"/>
    </row>
    <row r="42923">
      <c r="AI42923" s="80"/>
    </row>
    <row r="42924">
      <c r="AI42924" s="80"/>
    </row>
    <row r="42925">
      <c r="AI42925" s="80"/>
    </row>
    <row r="42926">
      <c r="AI42926" s="80"/>
    </row>
    <row r="42927">
      <c r="AI42927" s="80"/>
    </row>
    <row r="42928">
      <c r="AI42928" s="80"/>
    </row>
    <row r="42929">
      <c r="AI42929" s="80"/>
    </row>
    <row r="42930">
      <c r="AI42930" s="80"/>
    </row>
    <row r="42931">
      <c r="AI42931" s="80"/>
    </row>
    <row r="42932">
      <c r="AI42932" s="80"/>
    </row>
    <row r="42933">
      <c r="AI42933" s="80"/>
    </row>
    <row r="42934">
      <c r="AI42934" s="80"/>
    </row>
    <row r="42935">
      <c r="AI42935" s="80"/>
    </row>
    <row r="42936">
      <c r="AI42936" s="80"/>
    </row>
    <row r="42937">
      <c r="AI42937" s="80"/>
    </row>
    <row r="42938">
      <c r="AI42938" s="80"/>
    </row>
    <row r="42939">
      <c r="AI42939" s="80"/>
    </row>
    <row r="42940">
      <c r="AI42940" s="80"/>
    </row>
    <row r="42941">
      <c r="AI42941" s="80"/>
    </row>
    <row r="42942">
      <c r="AI42942" s="80"/>
    </row>
    <row r="42943">
      <c r="AI42943" s="80"/>
    </row>
    <row r="42944">
      <c r="AI42944" s="80"/>
    </row>
    <row r="42945">
      <c r="AI42945" s="80"/>
    </row>
    <row r="42946">
      <c r="AI42946" s="80"/>
    </row>
    <row r="42947">
      <c r="AI42947" s="80"/>
    </row>
    <row r="42948">
      <c r="AI42948" s="80"/>
    </row>
    <row r="42949">
      <c r="AI42949" s="80"/>
    </row>
    <row r="42950">
      <c r="AI42950" s="80"/>
    </row>
    <row r="42951">
      <c r="AI42951" s="80"/>
    </row>
    <row r="42952">
      <c r="AI42952" s="80"/>
    </row>
    <row r="42953">
      <c r="AI42953" s="80"/>
    </row>
    <row r="42954">
      <c r="AI42954" s="80"/>
    </row>
    <row r="42955">
      <c r="AI42955" s="80"/>
    </row>
    <row r="42956">
      <c r="AI42956" s="80"/>
    </row>
    <row r="42957">
      <c r="AI42957" s="80"/>
    </row>
    <row r="42958">
      <c r="AI42958" s="80"/>
    </row>
    <row r="42959">
      <c r="AI42959" s="80"/>
    </row>
    <row r="42960">
      <c r="AI42960" s="80"/>
    </row>
    <row r="42961">
      <c r="AI42961" s="80"/>
    </row>
    <row r="42962">
      <c r="AI42962" s="80"/>
    </row>
    <row r="42963">
      <c r="AI42963" s="80"/>
    </row>
    <row r="42964">
      <c r="AI42964" s="80"/>
    </row>
    <row r="42965">
      <c r="AI42965" s="80"/>
    </row>
    <row r="42966">
      <c r="AI42966" s="80"/>
    </row>
    <row r="42967">
      <c r="AI42967" s="80"/>
    </row>
    <row r="42968">
      <c r="AI42968" s="80"/>
    </row>
    <row r="42969">
      <c r="AI42969" s="80"/>
    </row>
    <row r="42970">
      <c r="AI42970" s="80"/>
    </row>
    <row r="42971">
      <c r="AI42971" s="80"/>
    </row>
    <row r="42972">
      <c r="AI42972" s="80"/>
    </row>
    <row r="42973">
      <c r="AI42973" s="80"/>
    </row>
    <row r="42974">
      <c r="AI42974" s="80"/>
    </row>
    <row r="42975">
      <c r="AI42975" s="80"/>
    </row>
    <row r="42976">
      <c r="AI42976" s="80"/>
    </row>
    <row r="42977">
      <c r="AI42977" s="80"/>
    </row>
    <row r="42978">
      <c r="AI42978" s="80"/>
    </row>
    <row r="42979">
      <c r="AI42979" s="80"/>
    </row>
    <row r="42980">
      <c r="AI42980" s="80"/>
    </row>
    <row r="42981">
      <c r="AI42981" s="80"/>
    </row>
    <row r="42982">
      <c r="AI42982" s="80"/>
    </row>
    <row r="42983">
      <c r="AI42983" s="80"/>
    </row>
    <row r="42984">
      <c r="AI42984" s="80"/>
    </row>
    <row r="42985">
      <c r="AI42985" s="80"/>
    </row>
    <row r="42986">
      <c r="AI42986" s="80"/>
    </row>
    <row r="42987">
      <c r="AI42987" s="80"/>
    </row>
    <row r="42988">
      <c r="AI42988" s="80"/>
    </row>
    <row r="42989">
      <c r="AI42989" s="80"/>
    </row>
    <row r="42990">
      <c r="AI42990" s="80"/>
    </row>
    <row r="42991">
      <c r="AI42991" s="80"/>
    </row>
    <row r="42992">
      <c r="AI42992" s="80"/>
    </row>
    <row r="42993">
      <c r="AI42993" s="80"/>
    </row>
    <row r="42994">
      <c r="AI42994" s="80"/>
    </row>
    <row r="42995">
      <c r="AI42995" s="80"/>
    </row>
    <row r="42996">
      <c r="AI42996" s="80"/>
    </row>
    <row r="42997">
      <c r="AI42997" s="80"/>
    </row>
    <row r="42998">
      <c r="AI42998" s="80"/>
    </row>
    <row r="42999">
      <c r="AI42999" s="80"/>
    </row>
    <row r="43000">
      <c r="AI43000" s="80"/>
    </row>
    <row r="43001">
      <c r="AI43001" s="80"/>
    </row>
    <row r="43002">
      <c r="AI43002" s="80"/>
    </row>
    <row r="43003">
      <c r="AI43003" s="80"/>
    </row>
    <row r="43004">
      <c r="AI43004" s="80"/>
    </row>
    <row r="43005">
      <c r="AI43005" s="80"/>
    </row>
    <row r="43006">
      <c r="AI43006" s="80"/>
    </row>
    <row r="43007">
      <c r="AI43007" s="80"/>
    </row>
    <row r="43008">
      <c r="AI43008" s="80"/>
    </row>
    <row r="43009">
      <c r="AI43009" s="80"/>
    </row>
    <row r="43010">
      <c r="AI43010" s="80"/>
    </row>
    <row r="43011">
      <c r="AI43011" s="80"/>
    </row>
    <row r="43012">
      <c r="AI43012" s="80"/>
    </row>
    <row r="43013">
      <c r="AI43013" s="80"/>
    </row>
    <row r="43014">
      <c r="AI43014" s="80"/>
    </row>
    <row r="43015">
      <c r="AI43015" s="80"/>
    </row>
    <row r="43016">
      <c r="AI43016" s="80"/>
    </row>
    <row r="43017">
      <c r="AI43017" s="80"/>
    </row>
    <row r="43018">
      <c r="AI43018" s="80"/>
    </row>
    <row r="43019">
      <c r="AI43019" s="80"/>
    </row>
    <row r="43020">
      <c r="AI43020" s="80"/>
    </row>
    <row r="43021">
      <c r="AI43021" s="80"/>
    </row>
    <row r="43022">
      <c r="AI43022" s="80"/>
    </row>
    <row r="43023">
      <c r="AI43023" s="80"/>
    </row>
    <row r="43024">
      <c r="AI43024" s="80"/>
    </row>
    <row r="43025">
      <c r="AI43025" s="80"/>
    </row>
    <row r="43026">
      <c r="AI43026" s="80"/>
    </row>
    <row r="43027">
      <c r="AI43027" s="80"/>
    </row>
    <row r="43028">
      <c r="AI43028" s="80"/>
    </row>
    <row r="43029">
      <c r="AI43029" s="80"/>
    </row>
    <row r="43030">
      <c r="AI43030" s="80"/>
    </row>
    <row r="43031">
      <c r="AI43031" s="80"/>
    </row>
    <row r="43032">
      <c r="AI43032" s="80"/>
    </row>
    <row r="43033">
      <c r="AI43033" s="80"/>
    </row>
    <row r="43034">
      <c r="AI43034" s="80"/>
    </row>
    <row r="43035">
      <c r="AI43035" s="80"/>
    </row>
    <row r="43036">
      <c r="AI43036" s="80"/>
    </row>
    <row r="43037">
      <c r="AI43037" s="80"/>
    </row>
    <row r="43038">
      <c r="AI43038" s="80"/>
    </row>
    <row r="43039">
      <c r="AI43039" s="80"/>
    </row>
    <row r="43040">
      <c r="AI43040" s="80"/>
    </row>
    <row r="43041">
      <c r="AI43041" s="80"/>
    </row>
    <row r="43042">
      <c r="AI43042" s="80"/>
    </row>
    <row r="43043">
      <c r="AI43043" s="80"/>
    </row>
    <row r="43044">
      <c r="AI43044" s="80"/>
    </row>
    <row r="43045">
      <c r="AI43045" s="80"/>
    </row>
    <row r="43046">
      <c r="AI43046" s="80"/>
    </row>
    <row r="43047">
      <c r="AI43047" s="80"/>
    </row>
    <row r="43048">
      <c r="AI43048" s="80"/>
    </row>
    <row r="43049">
      <c r="AI43049" s="80"/>
    </row>
    <row r="43050">
      <c r="AI43050" s="80"/>
    </row>
    <row r="43051">
      <c r="AI43051" s="80"/>
    </row>
    <row r="43052">
      <c r="AI43052" s="80"/>
    </row>
    <row r="43053">
      <c r="AI43053" s="80"/>
    </row>
    <row r="43054">
      <c r="AI43054" s="80"/>
    </row>
    <row r="43055">
      <c r="AI43055" s="80"/>
    </row>
    <row r="43056">
      <c r="AI43056" s="80"/>
    </row>
    <row r="43057">
      <c r="AI43057" s="80"/>
    </row>
    <row r="43058">
      <c r="AI43058" s="80"/>
    </row>
    <row r="43059">
      <c r="AI43059" s="80"/>
    </row>
    <row r="43060">
      <c r="AI43060" s="80"/>
    </row>
    <row r="43061">
      <c r="AI43061" s="80"/>
    </row>
    <row r="43062">
      <c r="AI43062" s="80"/>
    </row>
    <row r="43063">
      <c r="AI43063" s="80"/>
    </row>
    <row r="43064">
      <c r="AI43064" s="80"/>
    </row>
    <row r="43065">
      <c r="AI43065" s="80"/>
    </row>
    <row r="43066">
      <c r="AI43066" s="80"/>
    </row>
    <row r="43067">
      <c r="AI43067" s="80"/>
    </row>
    <row r="43068">
      <c r="AI43068" s="80"/>
    </row>
    <row r="43069">
      <c r="AI43069" s="80"/>
    </row>
    <row r="43070">
      <c r="AI43070" s="80"/>
    </row>
    <row r="43071">
      <c r="AI43071" s="80"/>
    </row>
    <row r="43072">
      <c r="AI43072" s="80"/>
    </row>
    <row r="43073">
      <c r="AI43073" s="80"/>
    </row>
    <row r="43074">
      <c r="AI43074" s="80"/>
    </row>
    <row r="43075">
      <c r="AI43075" s="80"/>
    </row>
    <row r="43076">
      <c r="AI43076" s="80"/>
    </row>
    <row r="43077">
      <c r="AI43077" s="80"/>
    </row>
    <row r="43078">
      <c r="AI43078" s="80"/>
    </row>
    <row r="43079">
      <c r="AI43079" s="80"/>
    </row>
    <row r="43080">
      <c r="AI43080" s="80"/>
    </row>
    <row r="43081">
      <c r="AI43081" s="80"/>
    </row>
    <row r="43082">
      <c r="AI43082" s="80"/>
    </row>
    <row r="43083">
      <c r="AI43083" s="80"/>
    </row>
    <row r="43084">
      <c r="AI43084" s="80"/>
    </row>
    <row r="43085">
      <c r="AI43085" s="80"/>
    </row>
    <row r="43086">
      <c r="AI43086" s="80"/>
    </row>
    <row r="43087">
      <c r="AI43087" s="80"/>
    </row>
    <row r="43088">
      <c r="AI43088" s="80"/>
    </row>
    <row r="43089">
      <c r="AI43089" s="80"/>
    </row>
    <row r="43090">
      <c r="AI43090" s="80"/>
    </row>
    <row r="43091">
      <c r="AI43091" s="80"/>
    </row>
    <row r="43092">
      <c r="AI43092" s="80"/>
    </row>
    <row r="43093">
      <c r="AI43093" s="80"/>
    </row>
    <row r="43094">
      <c r="AI43094" s="80"/>
    </row>
    <row r="43095">
      <c r="AI43095" s="80"/>
    </row>
    <row r="43096">
      <c r="AI43096" s="80"/>
    </row>
    <row r="43097">
      <c r="AI43097" s="80"/>
    </row>
    <row r="43098">
      <c r="AI43098" s="80"/>
    </row>
    <row r="43099">
      <c r="AI43099" s="80"/>
    </row>
    <row r="43100">
      <c r="AI43100" s="80"/>
    </row>
    <row r="43101">
      <c r="AI43101" s="80"/>
    </row>
    <row r="43102">
      <c r="AI43102" s="80"/>
    </row>
    <row r="43103">
      <c r="AI43103" s="80"/>
    </row>
    <row r="43104">
      <c r="AI43104" s="80"/>
    </row>
    <row r="43105">
      <c r="AI43105" s="80"/>
    </row>
    <row r="43106">
      <c r="AI43106" s="80"/>
    </row>
    <row r="43107">
      <c r="AI43107" s="80"/>
    </row>
    <row r="43108">
      <c r="AI43108" s="80"/>
    </row>
    <row r="43109">
      <c r="AI43109" s="80"/>
    </row>
    <row r="43110">
      <c r="AI43110" s="80"/>
    </row>
    <row r="43111">
      <c r="AI43111" s="80"/>
    </row>
    <row r="43112">
      <c r="AI43112" s="80"/>
    </row>
    <row r="43113">
      <c r="AI43113" s="80"/>
    </row>
    <row r="43114">
      <c r="AI43114" s="80"/>
    </row>
    <row r="43115">
      <c r="AI43115" s="80"/>
    </row>
    <row r="43116">
      <c r="AI43116" s="80"/>
    </row>
    <row r="43117">
      <c r="AI43117" s="80"/>
    </row>
    <row r="43118">
      <c r="AI43118" s="80"/>
    </row>
    <row r="43119">
      <c r="AI43119" s="80"/>
    </row>
    <row r="43120">
      <c r="AI43120" s="80"/>
    </row>
    <row r="43121">
      <c r="AI43121" s="80"/>
    </row>
    <row r="43122">
      <c r="AI43122" s="80"/>
    </row>
    <row r="43123">
      <c r="AI43123" s="80"/>
    </row>
    <row r="43124">
      <c r="AI43124" s="80"/>
    </row>
    <row r="43125">
      <c r="AI43125" s="80"/>
    </row>
    <row r="43126">
      <c r="AI43126" s="80"/>
    </row>
    <row r="43127">
      <c r="AI43127" s="80"/>
    </row>
    <row r="43128">
      <c r="AI43128" s="80"/>
    </row>
    <row r="43129">
      <c r="AI43129" s="80"/>
    </row>
    <row r="43130">
      <c r="AI43130" s="80"/>
    </row>
    <row r="43131">
      <c r="AI43131" s="80"/>
    </row>
    <row r="43132">
      <c r="AI43132" s="80"/>
    </row>
    <row r="43133">
      <c r="AI43133" s="80"/>
    </row>
    <row r="43134">
      <c r="AI43134" s="80"/>
    </row>
    <row r="43135">
      <c r="AI43135" s="80"/>
    </row>
    <row r="43136">
      <c r="AI43136" s="80"/>
    </row>
    <row r="43137">
      <c r="AI43137" s="80"/>
    </row>
    <row r="43138">
      <c r="AI43138" s="80"/>
    </row>
    <row r="43139">
      <c r="AI43139" s="80"/>
    </row>
    <row r="43140">
      <c r="AI43140" s="80"/>
    </row>
    <row r="43141">
      <c r="AI43141" s="80"/>
    </row>
    <row r="43142">
      <c r="AI43142" s="80"/>
    </row>
    <row r="43143">
      <c r="AI43143" s="80"/>
    </row>
    <row r="43144">
      <c r="AI43144" s="80"/>
    </row>
    <row r="43145">
      <c r="AI43145" s="80"/>
    </row>
    <row r="43146">
      <c r="AI43146" s="80"/>
    </row>
    <row r="43147">
      <c r="AI43147" s="80"/>
    </row>
    <row r="43148">
      <c r="AI43148" s="80"/>
    </row>
    <row r="43149">
      <c r="AI43149" s="80"/>
    </row>
    <row r="43150">
      <c r="AI43150" s="80"/>
    </row>
    <row r="43151">
      <c r="AI43151" s="80"/>
    </row>
    <row r="43152">
      <c r="AI43152" s="80"/>
    </row>
    <row r="43153">
      <c r="AI43153" s="80"/>
    </row>
    <row r="43154">
      <c r="AI43154" s="80"/>
    </row>
    <row r="43155">
      <c r="AI43155" s="80"/>
    </row>
    <row r="43156">
      <c r="AI43156" s="80"/>
    </row>
    <row r="43157">
      <c r="AI43157" s="80"/>
    </row>
    <row r="43158">
      <c r="AI43158" s="80"/>
    </row>
    <row r="43159">
      <c r="AI43159" s="80"/>
    </row>
    <row r="43160">
      <c r="AI43160" s="80"/>
    </row>
    <row r="43161">
      <c r="AI43161" s="80"/>
    </row>
    <row r="43162">
      <c r="AI43162" s="80"/>
    </row>
    <row r="43163">
      <c r="AI43163" s="80"/>
    </row>
    <row r="43164">
      <c r="AI43164" s="80"/>
    </row>
    <row r="43165">
      <c r="AI43165" s="80"/>
    </row>
    <row r="43166">
      <c r="AI43166" s="80"/>
    </row>
    <row r="43167">
      <c r="AI43167" s="80"/>
    </row>
    <row r="43168">
      <c r="AI43168" s="80"/>
    </row>
    <row r="43169">
      <c r="AI43169" s="80"/>
    </row>
    <row r="43170">
      <c r="AI43170" s="80"/>
    </row>
    <row r="43171">
      <c r="AI43171" s="80"/>
    </row>
    <row r="43172">
      <c r="AI43172" s="80"/>
    </row>
    <row r="43173">
      <c r="AI43173" s="80"/>
    </row>
    <row r="43174">
      <c r="AI43174" s="80"/>
    </row>
    <row r="43175">
      <c r="AI43175" s="80"/>
    </row>
    <row r="43176">
      <c r="AI43176" s="80"/>
    </row>
    <row r="43177">
      <c r="AI43177" s="80"/>
    </row>
    <row r="43178">
      <c r="AI43178" s="80"/>
    </row>
    <row r="43179">
      <c r="AI43179" s="80"/>
    </row>
    <row r="43180">
      <c r="AI43180" s="80"/>
    </row>
    <row r="43181">
      <c r="AI43181" s="80"/>
    </row>
    <row r="43182">
      <c r="AI43182" s="80"/>
    </row>
    <row r="43183">
      <c r="AI43183" s="80"/>
    </row>
    <row r="43184">
      <c r="AI43184" s="80"/>
    </row>
    <row r="43185">
      <c r="AI43185" s="80"/>
    </row>
    <row r="43186">
      <c r="AI43186" s="80"/>
    </row>
    <row r="43187">
      <c r="AI43187" s="80"/>
    </row>
    <row r="43188">
      <c r="AI43188" s="80"/>
    </row>
    <row r="43189">
      <c r="AI43189" s="80"/>
    </row>
    <row r="43190">
      <c r="AI43190" s="80"/>
    </row>
    <row r="43191">
      <c r="AI43191" s="80"/>
    </row>
    <row r="43192">
      <c r="AI43192" s="80"/>
    </row>
    <row r="43193">
      <c r="AI43193" s="80"/>
    </row>
    <row r="43194">
      <c r="AI43194" s="80"/>
    </row>
    <row r="43195">
      <c r="AI43195" s="80"/>
    </row>
    <row r="43196">
      <c r="AI43196" s="80"/>
    </row>
    <row r="43197">
      <c r="AI43197" s="80"/>
    </row>
    <row r="43198">
      <c r="AI43198" s="80"/>
    </row>
    <row r="43199">
      <c r="AI43199" s="80"/>
    </row>
    <row r="43200">
      <c r="AI43200" s="80"/>
    </row>
    <row r="43201">
      <c r="AI43201" s="80"/>
    </row>
    <row r="43202">
      <c r="AI43202" s="80"/>
    </row>
    <row r="43203">
      <c r="AI43203" s="80"/>
    </row>
    <row r="43204">
      <c r="AI43204" s="80"/>
    </row>
    <row r="43205">
      <c r="AI43205" s="80"/>
    </row>
    <row r="43206">
      <c r="AI43206" s="80"/>
    </row>
    <row r="43207">
      <c r="AI43207" s="80"/>
    </row>
    <row r="43208">
      <c r="AI43208" s="80"/>
    </row>
    <row r="43209">
      <c r="AI43209" s="80"/>
    </row>
    <row r="43210">
      <c r="AI43210" s="80"/>
    </row>
    <row r="43211">
      <c r="AI43211" s="80"/>
    </row>
    <row r="43212">
      <c r="AI43212" s="80"/>
    </row>
    <row r="43213">
      <c r="AI43213" s="80"/>
    </row>
    <row r="43214">
      <c r="AI43214" s="80"/>
    </row>
    <row r="43215">
      <c r="AI43215" s="80"/>
    </row>
    <row r="43216">
      <c r="AI43216" s="80"/>
    </row>
    <row r="43217">
      <c r="AI43217" s="80"/>
    </row>
    <row r="43218">
      <c r="AI43218" s="80"/>
    </row>
    <row r="43219">
      <c r="AI43219" s="80"/>
    </row>
    <row r="43220">
      <c r="AI43220" s="80"/>
    </row>
    <row r="43221">
      <c r="AI43221" s="80"/>
    </row>
    <row r="43222">
      <c r="AI43222" s="80"/>
    </row>
    <row r="43223">
      <c r="AI43223" s="80"/>
    </row>
    <row r="43224">
      <c r="AI43224" s="80"/>
    </row>
    <row r="43225">
      <c r="AI43225" s="80"/>
    </row>
    <row r="43226">
      <c r="AI43226" s="80"/>
    </row>
    <row r="43227">
      <c r="AI43227" s="80"/>
    </row>
    <row r="43228">
      <c r="AI43228" s="80"/>
    </row>
    <row r="43229">
      <c r="AI43229" s="80"/>
    </row>
    <row r="43230">
      <c r="AI43230" s="80"/>
    </row>
    <row r="43231">
      <c r="AI43231" s="80"/>
    </row>
    <row r="43232">
      <c r="AI43232" s="80"/>
    </row>
    <row r="43233">
      <c r="AI43233" s="80"/>
    </row>
    <row r="43234">
      <c r="AI43234" s="80"/>
    </row>
    <row r="43235">
      <c r="AI43235" s="80"/>
    </row>
    <row r="43236">
      <c r="AI43236" s="80"/>
    </row>
    <row r="43237">
      <c r="AI43237" s="80"/>
    </row>
    <row r="43238">
      <c r="AI43238" s="80"/>
    </row>
    <row r="43239">
      <c r="AI43239" s="80"/>
    </row>
    <row r="43240">
      <c r="AI43240" s="80"/>
    </row>
    <row r="43241">
      <c r="AI43241" s="80"/>
    </row>
    <row r="43242">
      <c r="AI43242" s="80"/>
    </row>
    <row r="43243">
      <c r="AI43243" s="80"/>
    </row>
    <row r="43244">
      <c r="AI43244" s="80"/>
    </row>
    <row r="43245">
      <c r="AI43245" s="80"/>
    </row>
    <row r="43246">
      <c r="AI43246" s="80"/>
    </row>
    <row r="43247">
      <c r="AI43247" s="80"/>
    </row>
    <row r="43248">
      <c r="AI43248" s="80"/>
    </row>
    <row r="43249">
      <c r="AI43249" s="80"/>
    </row>
    <row r="43250">
      <c r="AI43250" s="80"/>
    </row>
    <row r="43251">
      <c r="AI43251" s="80"/>
    </row>
    <row r="43252">
      <c r="AI43252" s="80"/>
    </row>
    <row r="43253">
      <c r="AI43253" s="80"/>
    </row>
    <row r="43254">
      <c r="AI43254" s="80"/>
    </row>
    <row r="43255">
      <c r="AI43255" s="80"/>
    </row>
    <row r="43256">
      <c r="AI43256" s="80"/>
    </row>
    <row r="43257">
      <c r="AI43257" s="80"/>
    </row>
    <row r="43258">
      <c r="AI43258" s="80"/>
    </row>
    <row r="43259">
      <c r="AI43259" s="80"/>
    </row>
    <row r="43260">
      <c r="AI43260" s="80"/>
    </row>
    <row r="43261">
      <c r="AI43261" s="80"/>
    </row>
    <row r="43262">
      <c r="AI43262" s="80"/>
    </row>
    <row r="43263">
      <c r="AI43263" s="80"/>
    </row>
    <row r="43264">
      <c r="AI43264" s="80"/>
    </row>
    <row r="43265">
      <c r="AI43265" s="80"/>
    </row>
    <row r="43266">
      <c r="AI43266" s="80"/>
    </row>
    <row r="43267">
      <c r="AI43267" s="80"/>
    </row>
    <row r="43268">
      <c r="AI43268" s="80"/>
    </row>
    <row r="43269">
      <c r="AI43269" s="80"/>
    </row>
    <row r="43270">
      <c r="AI43270" s="80"/>
    </row>
    <row r="43271">
      <c r="AI43271" s="80"/>
    </row>
    <row r="43272">
      <c r="AI43272" s="80"/>
    </row>
    <row r="43273">
      <c r="AI43273" s="80"/>
    </row>
    <row r="43274">
      <c r="AI43274" s="80"/>
    </row>
    <row r="43275">
      <c r="AI43275" s="80"/>
    </row>
    <row r="43276">
      <c r="AI43276" s="80"/>
    </row>
    <row r="43277">
      <c r="AI43277" s="80"/>
    </row>
    <row r="43278">
      <c r="AI43278" s="80"/>
    </row>
    <row r="43279">
      <c r="AI43279" s="80"/>
    </row>
    <row r="43280">
      <c r="AI43280" s="80"/>
    </row>
    <row r="43281">
      <c r="AI43281" s="80"/>
    </row>
    <row r="43282">
      <c r="AI43282" s="80"/>
    </row>
    <row r="43283">
      <c r="AI43283" s="80"/>
    </row>
    <row r="43284">
      <c r="AI43284" s="80"/>
    </row>
    <row r="43285">
      <c r="AI43285" s="80"/>
    </row>
    <row r="43286">
      <c r="AI43286" s="80"/>
    </row>
    <row r="43287">
      <c r="AI43287" s="80"/>
    </row>
    <row r="43288">
      <c r="AI43288" s="80"/>
    </row>
    <row r="43289">
      <c r="AI43289" s="80"/>
    </row>
    <row r="43290">
      <c r="AI43290" s="80"/>
    </row>
    <row r="43291">
      <c r="AI43291" s="80"/>
    </row>
    <row r="43292">
      <c r="AI43292" s="80"/>
    </row>
    <row r="43293">
      <c r="AI43293" s="80"/>
    </row>
    <row r="43294">
      <c r="AI43294" s="80"/>
    </row>
    <row r="43295">
      <c r="AI43295" s="80"/>
    </row>
    <row r="43296">
      <c r="AI43296" s="80"/>
    </row>
    <row r="43297">
      <c r="AI43297" s="80"/>
    </row>
    <row r="43298">
      <c r="AI43298" s="80"/>
    </row>
    <row r="43299">
      <c r="AI43299" s="80"/>
    </row>
    <row r="43300">
      <c r="AI43300" s="80"/>
    </row>
    <row r="43301">
      <c r="AI43301" s="80"/>
    </row>
    <row r="43302">
      <c r="AI43302" s="80"/>
    </row>
    <row r="43303">
      <c r="AI43303" s="80"/>
    </row>
    <row r="43304">
      <c r="AI43304" s="80"/>
    </row>
    <row r="43305">
      <c r="AI43305" s="80"/>
    </row>
    <row r="43306">
      <c r="AI43306" s="80"/>
    </row>
    <row r="43307">
      <c r="AI43307" s="80"/>
    </row>
    <row r="43308">
      <c r="AI43308" s="80"/>
    </row>
    <row r="43309">
      <c r="AI43309" s="80"/>
    </row>
    <row r="43310">
      <c r="AI43310" s="80"/>
    </row>
    <row r="43311">
      <c r="AI43311" s="80"/>
    </row>
    <row r="43312">
      <c r="AI43312" s="80"/>
    </row>
    <row r="43313">
      <c r="AI43313" s="80"/>
    </row>
    <row r="43314">
      <c r="AI43314" s="80"/>
    </row>
    <row r="43315">
      <c r="AI43315" s="80"/>
    </row>
    <row r="43316">
      <c r="AI43316" s="80"/>
    </row>
    <row r="43317">
      <c r="AI43317" s="80"/>
    </row>
    <row r="43318">
      <c r="AI43318" s="80"/>
    </row>
    <row r="43319">
      <c r="AI43319" s="80"/>
    </row>
    <row r="43320">
      <c r="AI43320" s="80"/>
    </row>
    <row r="43321">
      <c r="AI43321" s="80"/>
    </row>
    <row r="43322">
      <c r="AI43322" s="80"/>
    </row>
    <row r="43323">
      <c r="AI43323" s="80"/>
    </row>
    <row r="43324">
      <c r="AI43324" s="80"/>
    </row>
    <row r="43325">
      <c r="AI43325" s="80"/>
    </row>
    <row r="43326">
      <c r="AI43326" s="80"/>
    </row>
    <row r="43327">
      <c r="AI43327" s="80"/>
    </row>
    <row r="43328">
      <c r="AI43328" s="80"/>
    </row>
    <row r="43329">
      <c r="AI43329" s="80"/>
    </row>
    <row r="43330">
      <c r="AI43330" s="80"/>
    </row>
    <row r="43331">
      <c r="AI43331" s="80"/>
    </row>
    <row r="43332">
      <c r="AI43332" s="80"/>
    </row>
    <row r="43333">
      <c r="AI43333" s="80"/>
    </row>
    <row r="43334">
      <c r="AI43334" s="80"/>
    </row>
    <row r="43335">
      <c r="AI43335" s="80"/>
    </row>
    <row r="43336">
      <c r="AI43336" s="80"/>
    </row>
    <row r="43337">
      <c r="AI43337" s="80"/>
    </row>
    <row r="43338">
      <c r="AI43338" s="80"/>
    </row>
    <row r="43339">
      <c r="AI43339" s="80"/>
    </row>
    <row r="43340">
      <c r="AI43340" s="80"/>
    </row>
    <row r="43341">
      <c r="AI43341" s="80"/>
    </row>
    <row r="43342">
      <c r="AI43342" s="80"/>
    </row>
    <row r="43343">
      <c r="AI43343" s="80"/>
    </row>
    <row r="43344">
      <c r="AI43344" s="80"/>
    </row>
    <row r="43345">
      <c r="AI43345" s="80"/>
    </row>
    <row r="43346">
      <c r="AI43346" s="80"/>
    </row>
    <row r="43347">
      <c r="AI43347" s="80"/>
    </row>
    <row r="43348">
      <c r="AI43348" s="80"/>
    </row>
    <row r="43349">
      <c r="AI43349" s="80"/>
    </row>
    <row r="43350">
      <c r="AI43350" s="80"/>
    </row>
    <row r="43351">
      <c r="AI43351" s="80"/>
    </row>
    <row r="43352">
      <c r="AI43352" s="80"/>
    </row>
    <row r="43353">
      <c r="AI43353" s="80"/>
    </row>
    <row r="43354">
      <c r="AI43354" s="80"/>
    </row>
    <row r="43355">
      <c r="AI43355" s="80"/>
    </row>
    <row r="43356">
      <c r="AI43356" s="80"/>
    </row>
    <row r="43357">
      <c r="AI43357" s="80"/>
    </row>
    <row r="43358">
      <c r="AI43358" s="80"/>
    </row>
    <row r="43359">
      <c r="AI43359" s="80"/>
    </row>
    <row r="43360">
      <c r="AI43360" s="80"/>
    </row>
    <row r="43361">
      <c r="AI43361" s="80"/>
    </row>
    <row r="43362">
      <c r="AI43362" s="80"/>
    </row>
    <row r="43363">
      <c r="AI43363" s="80"/>
    </row>
    <row r="43364">
      <c r="AI43364" s="80"/>
    </row>
    <row r="43365">
      <c r="AI43365" s="80"/>
    </row>
    <row r="43366">
      <c r="AI43366" s="80"/>
    </row>
    <row r="43367">
      <c r="AI43367" s="80"/>
    </row>
    <row r="43368">
      <c r="AI43368" s="80"/>
    </row>
    <row r="43369">
      <c r="AI43369" s="80"/>
    </row>
    <row r="43370">
      <c r="AI43370" s="80"/>
    </row>
    <row r="43371">
      <c r="AI43371" s="80"/>
    </row>
    <row r="43372">
      <c r="AI43372" s="80"/>
    </row>
    <row r="43373">
      <c r="AI43373" s="80"/>
    </row>
    <row r="43374">
      <c r="AI43374" s="80"/>
    </row>
    <row r="43375">
      <c r="AI43375" s="80"/>
    </row>
    <row r="43376">
      <c r="AI43376" s="80"/>
    </row>
    <row r="43377">
      <c r="AI43377" s="80"/>
    </row>
    <row r="43378">
      <c r="AI43378" s="80"/>
    </row>
    <row r="43379">
      <c r="AI43379" s="80"/>
    </row>
    <row r="43380">
      <c r="AI43380" s="80"/>
    </row>
    <row r="43381">
      <c r="AI43381" s="80"/>
    </row>
    <row r="43382">
      <c r="AI43382" s="80"/>
    </row>
    <row r="43383">
      <c r="AI43383" s="80"/>
    </row>
    <row r="43384">
      <c r="AI43384" s="80"/>
    </row>
    <row r="43385">
      <c r="AI43385" s="80"/>
    </row>
    <row r="43386">
      <c r="AI43386" s="80"/>
    </row>
    <row r="43387">
      <c r="AI43387" s="80"/>
    </row>
    <row r="43388">
      <c r="AI43388" s="80"/>
    </row>
    <row r="43389">
      <c r="AI43389" s="80"/>
    </row>
    <row r="43390">
      <c r="AI43390" s="80"/>
    </row>
    <row r="43391">
      <c r="AI43391" s="80"/>
    </row>
    <row r="43392">
      <c r="AI43392" s="80"/>
    </row>
    <row r="43393">
      <c r="AI43393" s="80"/>
    </row>
    <row r="43394">
      <c r="AI43394" s="80"/>
    </row>
    <row r="43395">
      <c r="AI43395" s="80"/>
    </row>
    <row r="43396">
      <c r="AI43396" s="80"/>
    </row>
    <row r="43397">
      <c r="AI43397" s="80"/>
    </row>
    <row r="43398">
      <c r="AI43398" s="80"/>
    </row>
    <row r="43399">
      <c r="AI43399" s="80"/>
    </row>
    <row r="43400">
      <c r="AI43400" s="80"/>
    </row>
    <row r="43401">
      <c r="AI43401" s="80"/>
    </row>
    <row r="43402">
      <c r="AI43402" s="80"/>
    </row>
    <row r="43403">
      <c r="AI43403" s="80"/>
    </row>
    <row r="43404">
      <c r="AI43404" s="80"/>
    </row>
    <row r="43405">
      <c r="AI43405" s="80"/>
    </row>
    <row r="43406">
      <c r="AI43406" s="80"/>
    </row>
    <row r="43407">
      <c r="AI43407" s="80"/>
    </row>
    <row r="43408">
      <c r="AI43408" s="80"/>
    </row>
    <row r="43409">
      <c r="AI43409" s="80"/>
    </row>
    <row r="43410">
      <c r="AI43410" s="80"/>
    </row>
    <row r="43411">
      <c r="AI43411" s="80"/>
    </row>
    <row r="43412">
      <c r="AI43412" s="80"/>
    </row>
    <row r="43413">
      <c r="AI43413" s="80"/>
    </row>
    <row r="43414">
      <c r="AI43414" s="80"/>
    </row>
    <row r="43415">
      <c r="AI43415" s="80"/>
    </row>
    <row r="43416">
      <c r="AI43416" s="80"/>
    </row>
    <row r="43417">
      <c r="AI43417" s="80"/>
    </row>
    <row r="43418">
      <c r="AI43418" s="80"/>
    </row>
    <row r="43419">
      <c r="AI43419" s="80"/>
    </row>
    <row r="43420">
      <c r="AI43420" s="80"/>
    </row>
    <row r="43421">
      <c r="AI43421" s="80"/>
    </row>
    <row r="43422">
      <c r="AI43422" s="80"/>
    </row>
    <row r="43423">
      <c r="AI43423" s="80"/>
    </row>
    <row r="43424">
      <c r="AI43424" s="80"/>
    </row>
    <row r="43425">
      <c r="AI43425" s="80"/>
    </row>
    <row r="43426">
      <c r="AI43426" s="80"/>
    </row>
    <row r="43427">
      <c r="AI43427" s="80"/>
    </row>
    <row r="43428">
      <c r="AI43428" s="80"/>
    </row>
    <row r="43429">
      <c r="AI43429" s="80"/>
    </row>
    <row r="43430">
      <c r="AI43430" s="80"/>
    </row>
    <row r="43431">
      <c r="AI43431" s="80"/>
    </row>
    <row r="43432">
      <c r="AI43432" s="80"/>
    </row>
    <row r="43433">
      <c r="AI43433" s="80"/>
    </row>
    <row r="43434">
      <c r="AI43434" s="80"/>
    </row>
    <row r="43435">
      <c r="AI43435" s="80"/>
    </row>
    <row r="43436">
      <c r="AI43436" s="80"/>
    </row>
    <row r="43437">
      <c r="AI43437" s="80"/>
    </row>
    <row r="43438">
      <c r="AI43438" s="80"/>
    </row>
    <row r="43439">
      <c r="AI43439" s="80"/>
    </row>
    <row r="43440">
      <c r="AI43440" s="80"/>
    </row>
    <row r="43441">
      <c r="AI43441" s="80"/>
    </row>
    <row r="43442">
      <c r="AI43442" s="80"/>
    </row>
    <row r="43443">
      <c r="AI43443" s="80"/>
    </row>
    <row r="43444">
      <c r="AI43444" s="80"/>
    </row>
    <row r="43445">
      <c r="AI43445" s="80"/>
    </row>
    <row r="43446">
      <c r="AI43446" s="80"/>
    </row>
    <row r="43447">
      <c r="AI43447" s="80"/>
    </row>
    <row r="43448">
      <c r="AI43448" s="80"/>
    </row>
    <row r="43449">
      <c r="AI43449" s="80"/>
    </row>
    <row r="43450">
      <c r="AI43450" s="80"/>
    </row>
    <row r="43451">
      <c r="AI43451" s="80"/>
    </row>
    <row r="43452">
      <c r="AI43452" s="80"/>
    </row>
    <row r="43453">
      <c r="AI43453" s="80"/>
    </row>
    <row r="43454">
      <c r="AI43454" s="80"/>
    </row>
    <row r="43455">
      <c r="AI43455" s="80"/>
    </row>
    <row r="43456">
      <c r="AI43456" s="80"/>
    </row>
    <row r="43457">
      <c r="AI43457" s="80"/>
    </row>
    <row r="43458">
      <c r="AI43458" s="80"/>
    </row>
    <row r="43459">
      <c r="AI43459" s="80"/>
    </row>
    <row r="43460">
      <c r="AI43460" s="80"/>
    </row>
    <row r="43461">
      <c r="AI43461" s="80"/>
    </row>
    <row r="43462">
      <c r="AI43462" s="80"/>
    </row>
    <row r="43463">
      <c r="AI43463" s="80"/>
    </row>
    <row r="43464">
      <c r="AI43464" s="80"/>
    </row>
    <row r="43465">
      <c r="AI43465" s="80"/>
    </row>
    <row r="43466">
      <c r="AI43466" s="80"/>
    </row>
    <row r="43467">
      <c r="AI43467" s="80"/>
    </row>
    <row r="43468">
      <c r="AI43468" s="80"/>
    </row>
    <row r="43469">
      <c r="AI43469" s="80"/>
    </row>
    <row r="43470">
      <c r="AI43470" s="80"/>
    </row>
    <row r="43471">
      <c r="AI43471" s="80"/>
    </row>
    <row r="43472">
      <c r="AI43472" s="80"/>
    </row>
    <row r="43473">
      <c r="AI43473" s="80"/>
    </row>
    <row r="43474">
      <c r="AI43474" s="80"/>
    </row>
    <row r="43475">
      <c r="AI43475" s="80"/>
    </row>
    <row r="43476">
      <c r="AI43476" s="80"/>
    </row>
    <row r="43477">
      <c r="AI43477" s="80"/>
    </row>
    <row r="43478">
      <c r="AI43478" s="80"/>
    </row>
    <row r="43479">
      <c r="AI43479" s="80"/>
    </row>
    <row r="43480">
      <c r="AI43480" s="80"/>
    </row>
    <row r="43481">
      <c r="AI43481" s="80"/>
    </row>
    <row r="43482">
      <c r="AI43482" s="80"/>
    </row>
    <row r="43483">
      <c r="AI43483" s="80"/>
    </row>
    <row r="43484">
      <c r="AI43484" s="80"/>
    </row>
    <row r="43485">
      <c r="AI43485" s="80"/>
    </row>
    <row r="43486">
      <c r="AI43486" s="80"/>
    </row>
    <row r="43487">
      <c r="AI43487" s="80"/>
    </row>
    <row r="43488">
      <c r="AI43488" s="80"/>
    </row>
    <row r="43489">
      <c r="AI43489" s="80"/>
    </row>
    <row r="43490">
      <c r="AI43490" s="80"/>
    </row>
    <row r="43491">
      <c r="AI43491" s="80"/>
    </row>
    <row r="43492">
      <c r="AI43492" s="80"/>
    </row>
    <row r="43493">
      <c r="AI43493" s="80"/>
    </row>
    <row r="43494">
      <c r="AI43494" s="80"/>
    </row>
    <row r="43495">
      <c r="AI43495" s="80"/>
    </row>
    <row r="43496">
      <c r="AI43496" s="80"/>
    </row>
    <row r="43497">
      <c r="AI43497" s="80"/>
    </row>
    <row r="43498">
      <c r="AI43498" s="80"/>
    </row>
    <row r="43499">
      <c r="AI43499" s="80"/>
    </row>
    <row r="43500">
      <c r="AI43500" s="80"/>
    </row>
    <row r="43501">
      <c r="AI43501" s="80"/>
    </row>
    <row r="43502">
      <c r="AI43502" s="80"/>
    </row>
    <row r="43503">
      <c r="AI43503" s="80"/>
    </row>
    <row r="43504">
      <c r="AI43504" s="80"/>
    </row>
    <row r="43505">
      <c r="AI43505" s="80"/>
    </row>
    <row r="43506">
      <c r="AI43506" s="80"/>
    </row>
    <row r="43507">
      <c r="AI43507" s="80"/>
    </row>
    <row r="43508">
      <c r="AI43508" s="80"/>
    </row>
    <row r="43509">
      <c r="AI43509" s="80"/>
    </row>
    <row r="43510">
      <c r="AI43510" s="80"/>
    </row>
    <row r="43511">
      <c r="AI43511" s="80"/>
    </row>
    <row r="43512">
      <c r="AI43512" s="80"/>
    </row>
    <row r="43513">
      <c r="AI43513" s="80"/>
    </row>
    <row r="43514">
      <c r="AI43514" s="80"/>
    </row>
    <row r="43515">
      <c r="AI43515" s="80"/>
    </row>
    <row r="43516">
      <c r="AI43516" s="80"/>
    </row>
    <row r="43517">
      <c r="AI43517" s="80"/>
    </row>
    <row r="43518">
      <c r="AI43518" s="80"/>
    </row>
    <row r="43519">
      <c r="AI43519" s="80"/>
    </row>
    <row r="43520">
      <c r="AI43520" s="80"/>
    </row>
    <row r="43521">
      <c r="AI43521" s="80"/>
    </row>
    <row r="43522">
      <c r="AI43522" s="80"/>
    </row>
    <row r="43523">
      <c r="AI43523" s="80"/>
    </row>
    <row r="43524">
      <c r="AI43524" s="80"/>
    </row>
    <row r="43525">
      <c r="AI43525" s="80"/>
    </row>
    <row r="43526">
      <c r="AI43526" s="80"/>
    </row>
    <row r="43527">
      <c r="AI43527" s="80"/>
    </row>
    <row r="43528">
      <c r="AI43528" s="80"/>
    </row>
    <row r="43529">
      <c r="AI43529" s="80"/>
    </row>
    <row r="43530">
      <c r="AI43530" s="80"/>
    </row>
    <row r="43531">
      <c r="AI43531" s="80"/>
    </row>
    <row r="43532">
      <c r="AI43532" s="80"/>
    </row>
    <row r="43533">
      <c r="AI43533" s="80"/>
    </row>
    <row r="43534">
      <c r="AI43534" s="80"/>
    </row>
    <row r="43535">
      <c r="AI43535" s="80"/>
    </row>
    <row r="43536">
      <c r="AI43536" s="80"/>
    </row>
    <row r="43537">
      <c r="AI43537" s="80"/>
    </row>
    <row r="43538">
      <c r="AI43538" s="80"/>
    </row>
    <row r="43539">
      <c r="AI43539" s="80"/>
    </row>
    <row r="43540">
      <c r="AI43540" s="80"/>
    </row>
    <row r="43541">
      <c r="AI43541" s="80"/>
    </row>
    <row r="43542">
      <c r="AI43542" s="80"/>
    </row>
    <row r="43543">
      <c r="AI43543" s="80"/>
    </row>
    <row r="43544">
      <c r="AI43544" s="80"/>
    </row>
    <row r="43545">
      <c r="AI43545" s="80"/>
    </row>
    <row r="43546">
      <c r="AI43546" s="80"/>
    </row>
    <row r="43547">
      <c r="AI43547" s="80"/>
    </row>
    <row r="43548">
      <c r="AI43548" s="80"/>
    </row>
    <row r="43549">
      <c r="AI43549" s="80"/>
    </row>
    <row r="43550">
      <c r="AI43550" s="80"/>
    </row>
    <row r="43551">
      <c r="AI43551" s="80"/>
    </row>
    <row r="43552">
      <c r="AI43552" s="80"/>
    </row>
    <row r="43553">
      <c r="AI43553" s="80"/>
    </row>
    <row r="43554">
      <c r="AI43554" s="80"/>
    </row>
    <row r="43555">
      <c r="AI43555" s="80"/>
    </row>
    <row r="43556">
      <c r="AI43556" s="80"/>
    </row>
    <row r="43557">
      <c r="AI43557" s="80"/>
    </row>
    <row r="43558">
      <c r="AI43558" s="80"/>
    </row>
    <row r="43559">
      <c r="AI43559" s="80"/>
    </row>
    <row r="43560">
      <c r="AI43560" s="80"/>
    </row>
    <row r="43561">
      <c r="AI43561" s="80"/>
    </row>
    <row r="43562">
      <c r="AI43562" s="80"/>
    </row>
    <row r="43563">
      <c r="AI43563" s="80"/>
    </row>
    <row r="43564">
      <c r="AI43564" s="80"/>
    </row>
    <row r="43565">
      <c r="AI43565" s="80"/>
    </row>
    <row r="43566">
      <c r="AI43566" s="80"/>
    </row>
    <row r="43567">
      <c r="AI43567" s="80"/>
    </row>
    <row r="43568">
      <c r="AI43568" s="80"/>
    </row>
    <row r="43569">
      <c r="AI43569" s="80"/>
    </row>
    <row r="43570">
      <c r="AI43570" s="80"/>
    </row>
    <row r="43571">
      <c r="AI43571" s="80"/>
    </row>
    <row r="43572">
      <c r="AI43572" s="80"/>
    </row>
    <row r="43573">
      <c r="AI43573" s="80"/>
    </row>
    <row r="43574">
      <c r="AI43574" s="80"/>
    </row>
    <row r="43575">
      <c r="AI43575" s="80"/>
    </row>
    <row r="43576">
      <c r="AI43576" s="80"/>
    </row>
    <row r="43577">
      <c r="AI43577" s="80"/>
    </row>
    <row r="43578">
      <c r="AI43578" s="80"/>
    </row>
    <row r="43579">
      <c r="AI43579" s="80"/>
    </row>
    <row r="43580">
      <c r="AI43580" s="80"/>
    </row>
    <row r="43581">
      <c r="AI43581" s="80"/>
    </row>
    <row r="43582">
      <c r="AI43582" s="80"/>
    </row>
    <row r="43583">
      <c r="AI43583" s="80"/>
    </row>
    <row r="43584">
      <c r="AI43584" s="80"/>
    </row>
    <row r="43585">
      <c r="AI43585" s="80"/>
    </row>
    <row r="43586">
      <c r="AI43586" s="80"/>
    </row>
    <row r="43587">
      <c r="AI43587" s="80"/>
    </row>
    <row r="43588">
      <c r="AI43588" s="80"/>
    </row>
    <row r="43589">
      <c r="AI43589" s="80"/>
    </row>
    <row r="43590">
      <c r="AI43590" s="80"/>
    </row>
    <row r="43591">
      <c r="AI43591" s="80"/>
    </row>
    <row r="43592">
      <c r="AI43592" s="80"/>
    </row>
    <row r="43593">
      <c r="AI43593" s="80"/>
    </row>
    <row r="43594">
      <c r="AI43594" s="80"/>
    </row>
    <row r="43595">
      <c r="AI43595" s="80"/>
    </row>
    <row r="43596">
      <c r="AI43596" s="80"/>
    </row>
    <row r="43597">
      <c r="AI43597" s="80"/>
    </row>
    <row r="43598">
      <c r="AI43598" s="80"/>
    </row>
    <row r="43599">
      <c r="AI43599" s="80"/>
    </row>
    <row r="43600">
      <c r="AI43600" s="80"/>
    </row>
    <row r="43601">
      <c r="AI43601" s="80"/>
    </row>
    <row r="43602">
      <c r="AI43602" s="80"/>
    </row>
    <row r="43603">
      <c r="AI43603" s="80"/>
    </row>
    <row r="43604">
      <c r="AI43604" s="80"/>
    </row>
    <row r="43605">
      <c r="AI43605" s="80"/>
    </row>
    <row r="43606">
      <c r="AI43606" s="80"/>
    </row>
    <row r="43607">
      <c r="AI43607" s="80"/>
    </row>
    <row r="43608">
      <c r="AI43608" s="80"/>
    </row>
    <row r="43609">
      <c r="AI43609" s="80"/>
    </row>
    <row r="43610">
      <c r="AI43610" s="80"/>
    </row>
    <row r="43611">
      <c r="AI43611" s="80"/>
    </row>
    <row r="43612">
      <c r="AI43612" s="80"/>
    </row>
    <row r="43613">
      <c r="AI43613" s="80"/>
    </row>
    <row r="43614">
      <c r="AI43614" s="80"/>
    </row>
    <row r="43615">
      <c r="AI43615" s="80"/>
    </row>
    <row r="43616">
      <c r="AI43616" s="80"/>
    </row>
    <row r="43617">
      <c r="AI43617" s="80"/>
    </row>
    <row r="43618">
      <c r="AI43618" s="80"/>
    </row>
    <row r="43619">
      <c r="AI43619" s="80"/>
    </row>
    <row r="43620">
      <c r="AI43620" s="80"/>
    </row>
    <row r="43621">
      <c r="AI43621" s="80"/>
    </row>
    <row r="43622">
      <c r="AI43622" s="80"/>
    </row>
    <row r="43623">
      <c r="AI43623" s="80"/>
    </row>
    <row r="43624">
      <c r="AI43624" s="80"/>
    </row>
    <row r="43625">
      <c r="AI43625" s="80"/>
    </row>
    <row r="43626">
      <c r="AI43626" s="80"/>
    </row>
    <row r="43627">
      <c r="AI43627" s="80"/>
    </row>
    <row r="43628">
      <c r="AI43628" s="80"/>
    </row>
    <row r="43629">
      <c r="AI43629" s="80"/>
    </row>
    <row r="43630">
      <c r="AI43630" s="80"/>
    </row>
    <row r="43631">
      <c r="AI43631" s="80"/>
    </row>
    <row r="43632">
      <c r="AI43632" s="80"/>
    </row>
    <row r="43633">
      <c r="AI43633" s="80"/>
    </row>
    <row r="43634">
      <c r="AI43634" s="80"/>
    </row>
    <row r="43635">
      <c r="AI43635" s="80"/>
    </row>
    <row r="43636">
      <c r="AI43636" s="80"/>
    </row>
    <row r="43637">
      <c r="AI43637" s="80"/>
    </row>
    <row r="43638">
      <c r="AI43638" s="80"/>
    </row>
    <row r="43639">
      <c r="AI43639" s="80"/>
    </row>
    <row r="43640">
      <c r="AI43640" s="80"/>
    </row>
    <row r="43641">
      <c r="AI43641" s="80"/>
    </row>
    <row r="43642">
      <c r="AI43642" s="80"/>
    </row>
    <row r="43643">
      <c r="AI43643" s="80"/>
    </row>
    <row r="43644">
      <c r="AI43644" s="80"/>
    </row>
    <row r="43645">
      <c r="AI43645" s="80"/>
    </row>
    <row r="43646">
      <c r="AI43646" s="80"/>
    </row>
    <row r="43647">
      <c r="AI43647" s="80"/>
    </row>
    <row r="43648">
      <c r="AI43648" s="80"/>
    </row>
    <row r="43649">
      <c r="AI43649" s="80"/>
    </row>
    <row r="43650">
      <c r="AI43650" s="80"/>
    </row>
    <row r="43651">
      <c r="AI43651" s="80"/>
    </row>
    <row r="43652">
      <c r="AI43652" s="80"/>
    </row>
    <row r="43653">
      <c r="AI43653" s="80"/>
    </row>
    <row r="43654">
      <c r="AI43654" s="80"/>
    </row>
    <row r="43655">
      <c r="AI43655" s="80"/>
    </row>
    <row r="43656">
      <c r="AI43656" s="80"/>
    </row>
    <row r="43657">
      <c r="AI43657" s="80"/>
    </row>
    <row r="43658">
      <c r="AI43658" s="80"/>
    </row>
    <row r="43659">
      <c r="AI43659" s="80"/>
    </row>
    <row r="43660">
      <c r="AI43660" s="80"/>
    </row>
    <row r="43661">
      <c r="AI43661" s="80"/>
    </row>
    <row r="43662">
      <c r="AI43662" s="80"/>
    </row>
    <row r="43663">
      <c r="AI43663" s="80"/>
    </row>
    <row r="43664">
      <c r="AI43664" s="80"/>
    </row>
    <row r="43665">
      <c r="AI43665" s="80"/>
    </row>
    <row r="43666">
      <c r="AI43666" s="80"/>
    </row>
    <row r="43667">
      <c r="AI43667" s="80"/>
    </row>
    <row r="43668">
      <c r="AI43668" s="80"/>
    </row>
    <row r="43669">
      <c r="AI43669" s="80"/>
    </row>
    <row r="43670">
      <c r="AI43670" s="80"/>
    </row>
    <row r="43671">
      <c r="AI43671" s="80"/>
    </row>
    <row r="43672">
      <c r="AI43672" s="80"/>
    </row>
    <row r="43673">
      <c r="AI43673" s="80"/>
    </row>
    <row r="43674">
      <c r="AI43674" s="80"/>
    </row>
    <row r="43675">
      <c r="AI43675" s="80"/>
    </row>
    <row r="43676">
      <c r="AI43676" s="80"/>
    </row>
    <row r="43677">
      <c r="AI43677" s="80"/>
    </row>
    <row r="43678">
      <c r="AI43678" s="80"/>
    </row>
    <row r="43679">
      <c r="AI43679" s="80"/>
    </row>
    <row r="43680">
      <c r="AI43680" s="80"/>
    </row>
    <row r="43681">
      <c r="AI43681" s="80"/>
    </row>
    <row r="43682">
      <c r="AI43682" s="80"/>
    </row>
    <row r="43683">
      <c r="AI43683" s="80"/>
    </row>
    <row r="43684">
      <c r="AI43684" s="80"/>
    </row>
    <row r="43685">
      <c r="AI43685" s="80"/>
    </row>
    <row r="43686">
      <c r="AI43686" s="80"/>
    </row>
    <row r="43687">
      <c r="AI43687" s="80"/>
    </row>
    <row r="43688">
      <c r="AI43688" s="80"/>
    </row>
    <row r="43689">
      <c r="AI43689" s="80"/>
    </row>
    <row r="43690">
      <c r="AI43690" s="80"/>
    </row>
    <row r="43691">
      <c r="AI43691" s="80"/>
    </row>
    <row r="43692">
      <c r="AI43692" s="80"/>
    </row>
    <row r="43693">
      <c r="AI43693" s="80"/>
    </row>
    <row r="43694">
      <c r="AI43694" s="80"/>
    </row>
    <row r="43695">
      <c r="AI43695" s="80"/>
    </row>
    <row r="43696">
      <c r="AI43696" s="80"/>
    </row>
    <row r="43697">
      <c r="AI43697" s="80"/>
    </row>
    <row r="43698">
      <c r="AI43698" s="80"/>
    </row>
    <row r="43699">
      <c r="AI43699" s="80"/>
    </row>
    <row r="43700">
      <c r="AI43700" s="80"/>
    </row>
    <row r="43701">
      <c r="AI43701" s="80"/>
    </row>
    <row r="43702">
      <c r="AI43702" s="80"/>
    </row>
    <row r="43703">
      <c r="AI43703" s="80"/>
    </row>
    <row r="43704">
      <c r="AI43704" s="80"/>
    </row>
    <row r="43705">
      <c r="AI43705" s="80"/>
    </row>
    <row r="43706">
      <c r="AI43706" s="80"/>
    </row>
    <row r="43707">
      <c r="AI43707" s="80"/>
    </row>
    <row r="43708">
      <c r="AI43708" s="80"/>
    </row>
    <row r="43709">
      <c r="AI43709" s="80"/>
    </row>
    <row r="43710">
      <c r="AI43710" s="80"/>
    </row>
    <row r="43711">
      <c r="AI43711" s="80"/>
    </row>
    <row r="43712">
      <c r="AI43712" s="80"/>
    </row>
    <row r="43713">
      <c r="AI43713" s="80"/>
    </row>
    <row r="43714">
      <c r="AI43714" s="80"/>
    </row>
    <row r="43715">
      <c r="AI43715" s="80"/>
    </row>
    <row r="43716">
      <c r="AI43716" s="80"/>
    </row>
    <row r="43717">
      <c r="AI43717" s="80"/>
    </row>
    <row r="43718">
      <c r="AI43718" s="80"/>
    </row>
    <row r="43719">
      <c r="AI43719" s="80"/>
    </row>
    <row r="43720">
      <c r="AI43720" s="80"/>
    </row>
    <row r="43721">
      <c r="AI43721" s="80"/>
    </row>
    <row r="43722">
      <c r="AI43722" s="80"/>
    </row>
    <row r="43723">
      <c r="AI43723" s="80"/>
    </row>
    <row r="43724">
      <c r="AI43724" s="80"/>
    </row>
    <row r="43725">
      <c r="AI43725" s="80"/>
    </row>
    <row r="43726">
      <c r="AI43726" s="80"/>
    </row>
    <row r="43727">
      <c r="AI43727" s="80"/>
    </row>
    <row r="43728">
      <c r="AI43728" s="80"/>
    </row>
    <row r="43729">
      <c r="AI43729" s="80"/>
    </row>
    <row r="43730">
      <c r="AI43730" s="80"/>
    </row>
    <row r="43731">
      <c r="AI43731" s="80"/>
    </row>
    <row r="43732">
      <c r="AI43732" s="80"/>
    </row>
    <row r="43733">
      <c r="AI43733" s="80"/>
    </row>
    <row r="43734">
      <c r="AI43734" s="80"/>
    </row>
    <row r="43735">
      <c r="AI43735" s="80"/>
    </row>
    <row r="43736">
      <c r="AI43736" s="80"/>
    </row>
    <row r="43737">
      <c r="AI43737" s="80"/>
    </row>
    <row r="43738">
      <c r="AI43738" s="80"/>
    </row>
    <row r="43739">
      <c r="AI43739" s="80"/>
    </row>
    <row r="43740">
      <c r="AI43740" s="80"/>
    </row>
    <row r="43741">
      <c r="AI43741" s="80"/>
    </row>
    <row r="43742">
      <c r="AI43742" s="80"/>
    </row>
    <row r="43743">
      <c r="AI43743" s="80"/>
    </row>
    <row r="43744">
      <c r="AI43744" s="80"/>
    </row>
    <row r="43745">
      <c r="AI43745" s="80"/>
    </row>
    <row r="43746">
      <c r="AI43746" s="80"/>
    </row>
    <row r="43747">
      <c r="AI43747" s="80"/>
    </row>
    <row r="43748">
      <c r="AI43748" s="80"/>
    </row>
    <row r="43749">
      <c r="AI43749" s="80"/>
    </row>
    <row r="43750">
      <c r="AI43750" s="80"/>
    </row>
    <row r="43751">
      <c r="AI43751" s="80"/>
    </row>
    <row r="43752">
      <c r="AI43752" s="80"/>
    </row>
    <row r="43753">
      <c r="AI43753" s="80"/>
    </row>
    <row r="43754">
      <c r="AI43754" s="80"/>
    </row>
    <row r="43755">
      <c r="AI43755" s="80"/>
    </row>
    <row r="43756">
      <c r="AI43756" s="80"/>
    </row>
    <row r="43757">
      <c r="AI43757" s="80"/>
    </row>
    <row r="43758">
      <c r="AI43758" s="80"/>
    </row>
    <row r="43759">
      <c r="AI43759" s="80"/>
    </row>
    <row r="43760">
      <c r="AI43760" s="80"/>
    </row>
    <row r="43761">
      <c r="AI43761" s="80"/>
    </row>
    <row r="43762">
      <c r="AI43762" s="80"/>
    </row>
    <row r="43763">
      <c r="AI43763" s="80"/>
    </row>
    <row r="43764">
      <c r="AI43764" s="80"/>
    </row>
    <row r="43765">
      <c r="AI43765" s="80"/>
    </row>
    <row r="43766">
      <c r="AI43766" s="80"/>
    </row>
    <row r="43767">
      <c r="AI43767" s="80"/>
    </row>
    <row r="43768">
      <c r="AI43768" s="80"/>
    </row>
    <row r="43769">
      <c r="AI43769" s="80"/>
    </row>
    <row r="43770">
      <c r="AI43770" s="80"/>
    </row>
    <row r="43771">
      <c r="AI43771" s="80"/>
    </row>
    <row r="43772">
      <c r="AI43772" s="80"/>
    </row>
    <row r="43773">
      <c r="AI43773" s="80"/>
    </row>
    <row r="43774">
      <c r="AI43774" s="80"/>
    </row>
    <row r="43775">
      <c r="AI43775" s="80"/>
    </row>
    <row r="43776">
      <c r="AI43776" s="80"/>
    </row>
    <row r="43777">
      <c r="AI43777" s="80"/>
    </row>
    <row r="43778">
      <c r="AI43778" s="80"/>
    </row>
    <row r="43779">
      <c r="AI43779" s="80"/>
    </row>
    <row r="43780">
      <c r="AI43780" s="80"/>
    </row>
    <row r="43781">
      <c r="AI43781" s="80"/>
    </row>
    <row r="43782">
      <c r="AI43782" s="80"/>
    </row>
    <row r="43783">
      <c r="AI43783" s="80"/>
    </row>
    <row r="43784">
      <c r="AI43784" s="80"/>
    </row>
    <row r="43785">
      <c r="AI43785" s="80"/>
    </row>
    <row r="43786">
      <c r="AI43786" s="80"/>
    </row>
    <row r="43787">
      <c r="AI43787" s="80"/>
    </row>
    <row r="43788">
      <c r="AI43788" s="80"/>
    </row>
    <row r="43789">
      <c r="AI43789" s="80"/>
    </row>
    <row r="43790">
      <c r="AI43790" s="80"/>
    </row>
    <row r="43791">
      <c r="AI43791" s="80"/>
    </row>
    <row r="43792">
      <c r="AI43792" s="80"/>
    </row>
    <row r="43793">
      <c r="AI43793" s="80"/>
    </row>
    <row r="43794">
      <c r="AI43794" s="80"/>
    </row>
    <row r="43795">
      <c r="AI43795" s="80"/>
    </row>
    <row r="43796">
      <c r="AI43796" s="80"/>
    </row>
    <row r="43797">
      <c r="AI43797" s="80"/>
    </row>
    <row r="43798">
      <c r="AI43798" s="80"/>
    </row>
    <row r="43799">
      <c r="AI43799" s="80"/>
    </row>
    <row r="43800">
      <c r="AI43800" s="80"/>
    </row>
    <row r="43801">
      <c r="AI43801" s="80"/>
    </row>
    <row r="43802">
      <c r="AI43802" s="80"/>
    </row>
    <row r="43803">
      <c r="AI43803" s="80"/>
    </row>
    <row r="43804">
      <c r="AI43804" s="80"/>
    </row>
    <row r="43805">
      <c r="AI43805" s="80"/>
    </row>
    <row r="43806">
      <c r="AI43806" s="80"/>
    </row>
    <row r="43807">
      <c r="AI43807" s="80"/>
    </row>
    <row r="43808">
      <c r="AI43808" s="80"/>
    </row>
    <row r="43809">
      <c r="AI43809" s="80"/>
    </row>
    <row r="43810">
      <c r="AI43810" s="80"/>
    </row>
    <row r="43811">
      <c r="AI43811" s="80"/>
    </row>
    <row r="43812">
      <c r="AI43812" s="80"/>
    </row>
    <row r="43813">
      <c r="AI43813" s="80"/>
    </row>
    <row r="43814">
      <c r="AI43814" s="80"/>
    </row>
    <row r="43815">
      <c r="AI43815" s="80"/>
    </row>
    <row r="43816">
      <c r="AI43816" s="80"/>
    </row>
    <row r="43817">
      <c r="AI43817" s="80"/>
    </row>
    <row r="43818">
      <c r="AI43818" s="80"/>
    </row>
    <row r="43819">
      <c r="AI43819" s="80"/>
    </row>
    <row r="43820">
      <c r="AI43820" s="80"/>
    </row>
    <row r="43821">
      <c r="AI43821" s="80"/>
    </row>
    <row r="43822">
      <c r="AI43822" s="80"/>
    </row>
    <row r="43823">
      <c r="AI43823" s="80"/>
    </row>
    <row r="43824">
      <c r="AI43824" s="80"/>
    </row>
    <row r="43825">
      <c r="AI43825" s="80"/>
    </row>
    <row r="43826">
      <c r="AI43826" s="80"/>
    </row>
    <row r="43827">
      <c r="AI43827" s="80"/>
    </row>
    <row r="43828">
      <c r="AI43828" s="80"/>
    </row>
    <row r="43829">
      <c r="AI43829" s="80"/>
    </row>
    <row r="43830">
      <c r="AI43830" s="80"/>
    </row>
    <row r="43831">
      <c r="AI43831" s="80"/>
    </row>
    <row r="43832">
      <c r="AI43832" s="80"/>
    </row>
    <row r="43833">
      <c r="AI43833" s="80"/>
    </row>
    <row r="43834">
      <c r="AI43834" s="80"/>
    </row>
    <row r="43835">
      <c r="AI43835" s="80"/>
    </row>
    <row r="43836">
      <c r="AI43836" s="80"/>
    </row>
    <row r="43837">
      <c r="AI43837" s="80"/>
    </row>
    <row r="43838">
      <c r="AI43838" s="80"/>
    </row>
    <row r="43839">
      <c r="AI43839" s="80"/>
    </row>
    <row r="43840">
      <c r="AI43840" s="80"/>
    </row>
    <row r="43841">
      <c r="AI43841" s="80"/>
    </row>
    <row r="43842">
      <c r="AI43842" s="80"/>
    </row>
    <row r="43843">
      <c r="AI43843" s="80"/>
    </row>
    <row r="43844">
      <c r="AI43844" s="80"/>
    </row>
    <row r="43845">
      <c r="AI43845" s="80"/>
    </row>
    <row r="43846">
      <c r="AI43846" s="80"/>
    </row>
    <row r="43847">
      <c r="AI43847" s="80"/>
    </row>
    <row r="43848">
      <c r="AI43848" s="80"/>
    </row>
    <row r="43849">
      <c r="AI43849" s="80"/>
    </row>
    <row r="43850">
      <c r="AI43850" s="80"/>
    </row>
    <row r="43851">
      <c r="AI43851" s="80"/>
    </row>
    <row r="43852">
      <c r="AI43852" s="80"/>
    </row>
    <row r="43853">
      <c r="AI43853" s="80"/>
    </row>
    <row r="43854">
      <c r="AI43854" s="80"/>
    </row>
    <row r="43855">
      <c r="AI43855" s="80"/>
    </row>
    <row r="43856">
      <c r="AI43856" s="80"/>
    </row>
    <row r="43857">
      <c r="AI43857" s="80"/>
    </row>
    <row r="43858">
      <c r="AI43858" s="80"/>
    </row>
    <row r="43859">
      <c r="AI43859" s="80"/>
    </row>
    <row r="43860">
      <c r="AI43860" s="80"/>
    </row>
    <row r="43861">
      <c r="AI43861" s="80"/>
    </row>
    <row r="43862">
      <c r="AI43862" s="80"/>
    </row>
    <row r="43863">
      <c r="AI43863" s="80"/>
    </row>
    <row r="43864">
      <c r="AI43864" s="80"/>
    </row>
    <row r="43865">
      <c r="AI43865" s="80"/>
    </row>
    <row r="43866">
      <c r="AI43866" s="80"/>
    </row>
    <row r="43867">
      <c r="AI43867" s="80"/>
    </row>
    <row r="43868">
      <c r="AI43868" s="80"/>
    </row>
    <row r="43869">
      <c r="AI43869" s="80"/>
    </row>
    <row r="43870">
      <c r="AI43870" s="80"/>
    </row>
    <row r="43871">
      <c r="AI43871" s="80"/>
    </row>
    <row r="43872">
      <c r="AI43872" s="80"/>
    </row>
    <row r="43873">
      <c r="AI43873" s="80"/>
    </row>
    <row r="43874">
      <c r="AI43874" s="80"/>
    </row>
    <row r="43875">
      <c r="AI43875" s="80"/>
    </row>
    <row r="43876">
      <c r="AI43876" s="80"/>
    </row>
    <row r="43877">
      <c r="AI43877" s="80"/>
    </row>
    <row r="43878">
      <c r="AI43878" s="80"/>
    </row>
    <row r="43879">
      <c r="AI43879" s="80"/>
    </row>
    <row r="43880">
      <c r="AI43880" s="80"/>
    </row>
    <row r="43881">
      <c r="AI43881" s="80"/>
    </row>
    <row r="43882">
      <c r="AI43882" s="80"/>
    </row>
    <row r="43883">
      <c r="AI43883" s="80"/>
    </row>
    <row r="43884">
      <c r="AI43884" s="80"/>
    </row>
    <row r="43885">
      <c r="AI43885" s="80"/>
    </row>
    <row r="43886">
      <c r="AI43886" s="80"/>
    </row>
    <row r="43887">
      <c r="AI43887" s="80"/>
    </row>
    <row r="43888">
      <c r="AI43888" s="80"/>
    </row>
    <row r="43889">
      <c r="AI43889" s="80"/>
    </row>
    <row r="43890">
      <c r="AI43890" s="80"/>
    </row>
    <row r="43891">
      <c r="AI43891" s="80"/>
    </row>
    <row r="43892">
      <c r="AI43892" s="80"/>
    </row>
    <row r="43893">
      <c r="AI43893" s="80"/>
    </row>
    <row r="43894">
      <c r="AI43894" s="80"/>
    </row>
    <row r="43895">
      <c r="AI43895" s="80"/>
    </row>
    <row r="43896">
      <c r="AI43896" s="80"/>
    </row>
    <row r="43897">
      <c r="AI43897" s="80"/>
    </row>
    <row r="43898">
      <c r="AI43898" s="80"/>
    </row>
    <row r="43899">
      <c r="AI43899" s="80"/>
    </row>
    <row r="43900">
      <c r="AI43900" s="80"/>
    </row>
    <row r="43901">
      <c r="AI43901" s="80"/>
    </row>
    <row r="43902">
      <c r="AI43902" s="80"/>
    </row>
    <row r="43903">
      <c r="AI43903" s="80"/>
    </row>
    <row r="43904">
      <c r="AI43904" s="80"/>
    </row>
    <row r="43905">
      <c r="AI43905" s="80"/>
    </row>
    <row r="43906">
      <c r="AI43906" s="80"/>
    </row>
    <row r="43907">
      <c r="AI43907" s="80"/>
    </row>
    <row r="43908">
      <c r="AI43908" s="80"/>
    </row>
    <row r="43909">
      <c r="AI43909" s="80"/>
    </row>
    <row r="43910">
      <c r="AI43910" s="80"/>
    </row>
    <row r="43911">
      <c r="AI43911" s="80"/>
    </row>
    <row r="43912">
      <c r="AI43912" s="80"/>
    </row>
    <row r="43913">
      <c r="AI43913" s="80"/>
    </row>
    <row r="43914">
      <c r="AI43914" s="80"/>
    </row>
    <row r="43915">
      <c r="AI43915" s="80"/>
    </row>
    <row r="43916">
      <c r="AI43916" s="80"/>
    </row>
    <row r="43917">
      <c r="AI43917" s="80"/>
    </row>
    <row r="43918">
      <c r="AI43918" s="80"/>
    </row>
    <row r="43919">
      <c r="AI43919" s="80"/>
    </row>
    <row r="43920">
      <c r="AI43920" s="80"/>
    </row>
    <row r="43921">
      <c r="AI43921" s="80"/>
    </row>
    <row r="43922">
      <c r="AI43922" s="80"/>
    </row>
    <row r="43923">
      <c r="AI43923" s="80"/>
    </row>
    <row r="43924">
      <c r="AI43924" s="80"/>
    </row>
    <row r="43925">
      <c r="AI43925" s="80"/>
    </row>
    <row r="43926">
      <c r="AI43926" s="80"/>
    </row>
    <row r="43927">
      <c r="AI43927" s="80"/>
    </row>
    <row r="43928">
      <c r="AI43928" s="80"/>
    </row>
    <row r="43929">
      <c r="AI43929" s="80"/>
    </row>
    <row r="43930">
      <c r="AI43930" s="80"/>
    </row>
    <row r="43931">
      <c r="AI43931" s="80"/>
    </row>
    <row r="43932">
      <c r="AI43932" s="80"/>
    </row>
    <row r="43933">
      <c r="AI43933" s="80"/>
    </row>
    <row r="43934">
      <c r="AI43934" s="80"/>
    </row>
    <row r="43935">
      <c r="AI43935" s="80"/>
    </row>
    <row r="43936">
      <c r="AI43936" s="80"/>
    </row>
    <row r="43937">
      <c r="AI43937" s="80"/>
    </row>
    <row r="43938">
      <c r="AI43938" s="80"/>
    </row>
    <row r="43939">
      <c r="AI43939" s="80"/>
    </row>
    <row r="43940">
      <c r="AI43940" s="80"/>
    </row>
    <row r="43941">
      <c r="AI43941" s="80"/>
    </row>
    <row r="43942">
      <c r="AI43942" s="80"/>
    </row>
    <row r="43943">
      <c r="AI43943" s="80"/>
    </row>
    <row r="43944">
      <c r="AI43944" s="80"/>
    </row>
    <row r="43945">
      <c r="AI43945" s="80"/>
    </row>
    <row r="43946">
      <c r="AI43946" s="80"/>
    </row>
    <row r="43947">
      <c r="AI43947" s="80"/>
    </row>
    <row r="43948">
      <c r="AI43948" s="80"/>
    </row>
    <row r="43949">
      <c r="AI43949" s="80"/>
    </row>
    <row r="43950">
      <c r="AI43950" s="80"/>
    </row>
    <row r="43951">
      <c r="AI43951" s="80"/>
    </row>
    <row r="43952">
      <c r="AI43952" s="80"/>
    </row>
    <row r="43953">
      <c r="AI43953" s="80"/>
    </row>
    <row r="43954">
      <c r="AI43954" s="80"/>
    </row>
    <row r="43955">
      <c r="AI43955" s="80"/>
    </row>
    <row r="43956">
      <c r="AI43956" s="80"/>
    </row>
    <row r="43957">
      <c r="AI43957" s="80"/>
    </row>
    <row r="43958">
      <c r="AI43958" s="80"/>
    </row>
    <row r="43959">
      <c r="AI43959" s="80"/>
    </row>
    <row r="43960">
      <c r="AI43960" s="80"/>
    </row>
    <row r="43961">
      <c r="AI43961" s="80"/>
    </row>
    <row r="43962">
      <c r="AI43962" s="80"/>
    </row>
    <row r="43963">
      <c r="AI43963" s="80"/>
    </row>
    <row r="43964">
      <c r="AI43964" s="80"/>
    </row>
    <row r="43965">
      <c r="AI43965" s="80"/>
    </row>
    <row r="43966">
      <c r="AI43966" s="80"/>
    </row>
    <row r="43967">
      <c r="AI43967" s="80"/>
    </row>
    <row r="43968">
      <c r="AI43968" s="80"/>
    </row>
    <row r="43969">
      <c r="AI43969" s="80"/>
    </row>
    <row r="43970">
      <c r="AI43970" s="80"/>
    </row>
    <row r="43971">
      <c r="AI43971" s="80"/>
    </row>
    <row r="43972">
      <c r="AI43972" s="80"/>
    </row>
    <row r="43973">
      <c r="AI43973" s="80"/>
    </row>
    <row r="43974">
      <c r="AI43974" s="80"/>
    </row>
    <row r="43975">
      <c r="AI43975" s="80"/>
    </row>
    <row r="43976">
      <c r="AI43976" s="80"/>
    </row>
    <row r="43977">
      <c r="AI43977" s="80"/>
    </row>
    <row r="43978">
      <c r="AI43978" s="80"/>
    </row>
    <row r="43979">
      <c r="AI43979" s="80"/>
    </row>
    <row r="43980">
      <c r="AI43980" s="80"/>
    </row>
    <row r="43981">
      <c r="AI43981" s="80"/>
    </row>
    <row r="43982">
      <c r="AI43982" s="80"/>
    </row>
    <row r="43983">
      <c r="AI43983" s="80"/>
    </row>
    <row r="43984">
      <c r="AI43984" s="80"/>
    </row>
    <row r="43985">
      <c r="AI43985" s="80"/>
    </row>
    <row r="43986">
      <c r="AI43986" s="80"/>
    </row>
    <row r="43987">
      <c r="AI43987" s="80"/>
    </row>
    <row r="43988">
      <c r="AI43988" s="80"/>
    </row>
    <row r="43989">
      <c r="AI43989" s="80"/>
    </row>
    <row r="43990">
      <c r="AI43990" s="80"/>
    </row>
    <row r="43991">
      <c r="AI43991" s="80"/>
    </row>
    <row r="43992">
      <c r="AI43992" s="80"/>
    </row>
    <row r="43993">
      <c r="AI43993" s="80"/>
    </row>
    <row r="43994">
      <c r="AI43994" s="80"/>
    </row>
    <row r="43995">
      <c r="AI43995" s="80"/>
    </row>
    <row r="43996">
      <c r="AI43996" s="80"/>
    </row>
    <row r="43997">
      <c r="AI43997" s="80"/>
    </row>
    <row r="43998">
      <c r="AI43998" s="80"/>
    </row>
    <row r="43999">
      <c r="AI43999" s="80"/>
    </row>
    <row r="44000">
      <c r="AI44000" s="80"/>
    </row>
    <row r="44001">
      <c r="AI44001" s="80"/>
    </row>
    <row r="44002">
      <c r="AI44002" s="80"/>
    </row>
    <row r="44003">
      <c r="AI44003" s="80"/>
    </row>
    <row r="44004">
      <c r="AI44004" s="80"/>
    </row>
    <row r="44005">
      <c r="AI44005" s="80"/>
    </row>
    <row r="44006">
      <c r="AI44006" s="80"/>
    </row>
    <row r="44007">
      <c r="AI44007" s="80"/>
    </row>
    <row r="44008">
      <c r="AI44008" s="80"/>
    </row>
    <row r="44009">
      <c r="AI44009" s="80"/>
    </row>
    <row r="44010">
      <c r="AI44010" s="80"/>
    </row>
    <row r="44011">
      <c r="AI44011" s="80"/>
    </row>
    <row r="44012">
      <c r="AI44012" s="80"/>
    </row>
    <row r="44013">
      <c r="AI44013" s="80"/>
    </row>
    <row r="44014">
      <c r="AI44014" s="80"/>
    </row>
    <row r="44015">
      <c r="AI44015" s="80"/>
    </row>
    <row r="44016">
      <c r="AI44016" s="80"/>
    </row>
    <row r="44017">
      <c r="AI44017" s="80"/>
    </row>
    <row r="44018">
      <c r="AI44018" s="80"/>
    </row>
    <row r="44019">
      <c r="AI44019" s="80"/>
    </row>
    <row r="44020">
      <c r="AI44020" s="80"/>
    </row>
    <row r="44021">
      <c r="AI44021" s="80"/>
    </row>
    <row r="44022">
      <c r="AI44022" s="80"/>
    </row>
    <row r="44023">
      <c r="AI44023" s="80"/>
    </row>
    <row r="44024">
      <c r="AI44024" s="80"/>
    </row>
    <row r="44025">
      <c r="AI44025" s="80"/>
    </row>
    <row r="44026">
      <c r="AI44026" s="80"/>
    </row>
    <row r="44027">
      <c r="AI44027" s="80"/>
    </row>
    <row r="44028">
      <c r="AI44028" s="80"/>
    </row>
    <row r="44029">
      <c r="AI44029" s="80"/>
    </row>
    <row r="44030">
      <c r="AI44030" s="80"/>
    </row>
    <row r="44031">
      <c r="AI44031" s="80"/>
    </row>
    <row r="44032">
      <c r="AI44032" s="80"/>
    </row>
    <row r="44033">
      <c r="AI44033" s="80"/>
    </row>
    <row r="44034">
      <c r="AI44034" s="80"/>
    </row>
    <row r="44035">
      <c r="AI44035" s="80"/>
    </row>
    <row r="44036">
      <c r="AI44036" s="80"/>
    </row>
    <row r="44037">
      <c r="AI44037" s="80"/>
    </row>
    <row r="44038">
      <c r="AI44038" s="80"/>
    </row>
    <row r="44039">
      <c r="AI44039" s="80"/>
    </row>
    <row r="44040">
      <c r="AI44040" s="80"/>
    </row>
    <row r="44041">
      <c r="AI44041" s="80"/>
    </row>
    <row r="44042">
      <c r="AI44042" s="80"/>
    </row>
    <row r="44043">
      <c r="AI44043" s="80"/>
    </row>
    <row r="44044">
      <c r="AI44044" s="80"/>
    </row>
    <row r="44045">
      <c r="AI44045" s="80"/>
    </row>
    <row r="44046">
      <c r="AI44046" s="80"/>
    </row>
    <row r="44047">
      <c r="AI44047" s="80"/>
    </row>
    <row r="44048">
      <c r="AI44048" s="80"/>
    </row>
    <row r="44049">
      <c r="AI44049" s="80"/>
    </row>
    <row r="44050">
      <c r="AI44050" s="80"/>
    </row>
    <row r="44051">
      <c r="AI44051" s="80"/>
    </row>
    <row r="44052">
      <c r="AI44052" s="80"/>
    </row>
    <row r="44053">
      <c r="AI44053" s="80"/>
    </row>
    <row r="44054">
      <c r="AI44054" s="80"/>
    </row>
    <row r="44055">
      <c r="AI44055" s="80"/>
    </row>
    <row r="44056">
      <c r="AI44056" s="80"/>
    </row>
    <row r="44057">
      <c r="AI44057" s="80"/>
    </row>
    <row r="44058">
      <c r="AI44058" s="80"/>
    </row>
    <row r="44059">
      <c r="AI44059" s="80"/>
    </row>
    <row r="44060">
      <c r="AI44060" s="80"/>
    </row>
    <row r="44061">
      <c r="AI44061" s="80"/>
    </row>
    <row r="44062">
      <c r="AI44062" s="80"/>
    </row>
    <row r="44063">
      <c r="AI44063" s="80"/>
    </row>
    <row r="44064">
      <c r="AI44064" s="80"/>
    </row>
    <row r="44065">
      <c r="AI44065" s="80"/>
    </row>
    <row r="44066">
      <c r="AI44066" s="80"/>
    </row>
    <row r="44067">
      <c r="AI44067" s="80"/>
    </row>
    <row r="44068">
      <c r="AI44068" s="80"/>
    </row>
    <row r="44069">
      <c r="AI44069" s="80"/>
    </row>
    <row r="44070">
      <c r="AI44070" s="80"/>
    </row>
    <row r="44071">
      <c r="AI44071" s="80"/>
    </row>
    <row r="44072">
      <c r="AI44072" s="80"/>
    </row>
    <row r="44073">
      <c r="AI44073" s="80"/>
    </row>
    <row r="44074">
      <c r="AI44074" s="80"/>
    </row>
    <row r="44075">
      <c r="AI44075" s="80"/>
    </row>
    <row r="44076">
      <c r="AI44076" s="80"/>
    </row>
    <row r="44077">
      <c r="AI44077" s="80"/>
    </row>
    <row r="44078">
      <c r="AI44078" s="80"/>
    </row>
    <row r="44079">
      <c r="AI44079" s="80"/>
    </row>
    <row r="44080">
      <c r="AI44080" s="80"/>
    </row>
    <row r="44081">
      <c r="AI44081" s="80"/>
    </row>
    <row r="44082">
      <c r="AI44082" s="80"/>
    </row>
    <row r="44083">
      <c r="AI44083" s="80"/>
    </row>
    <row r="44084">
      <c r="AI44084" s="80"/>
    </row>
    <row r="44085">
      <c r="AI44085" s="80"/>
    </row>
    <row r="44086">
      <c r="AI44086" s="80"/>
    </row>
    <row r="44087">
      <c r="AI44087" s="80"/>
    </row>
    <row r="44088">
      <c r="AI44088" s="80"/>
    </row>
    <row r="44089">
      <c r="AI44089" s="80"/>
    </row>
    <row r="44090">
      <c r="AI44090" s="80"/>
    </row>
    <row r="44091">
      <c r="AI44091" s="80"/>
    </row>
    <row r="44092">
      <c r="AI44092" s="80"/>
    </row>
    <row r="44093">
      <c r="AI44093" s="80"/>
    </row>
    <row r="44094">
      <c r="AI44094" s="80"/>
    </row>
    <row r="44095">
      <c r="AI44095" s="80"/>
    </row>
    <row r="44096">
      <c r="AI44096" s="80"/>
    </row>
    <row r="44097">
      <c r="AI44097" s="80"/>
    </row>
    <row r="44098">
      <c r="AI44098" s="80"/>
    </row>
    <row r="44099">
      <c r="AI44099" s="80"/>
    </row>
    <row r="44100">
      <c r="AI44100" s="80"/>
    </row>
    <row r="44101">
      <c r="AI44101" s="80"/>
    </row>
    <row r="44102">
      <c r="AI44102" s="80"/>
    </row>
    <row r="44103">
      <c r="AI44103" s="80"/>
    </row>
    <row r="44104">
      <c r="AI44104" s="80"/>
    </row>
    <row r="44105">
      <c r="AI44105" s="80"/>
    </row>
    <row r="44106">
      <c r="AI44106" s="80"/>
    </row>
    <row r="44107">
      <c r="AI44107" s="80"/>
    </row>
    <row r="44108">
      <c r="AI44108" s="80"/>
    </row>
    <row r="44109">
      <c r="AI44109" s="80"/>
    </row>
    <row r="44110">
      <c r="AI44110" s="80"/>
    </row>
    <row r="44111">
      <c r="AI44111" s="80"/>
    </row>
    <row r="44112">
      <c r="AI44112" s="80"/>
    </row>
    <row r="44113">
      <c r="AI44113" s="80"/>
    </row>
    <row r="44114">
      <c r="AI44114" s="80"/>
    </row>
    <row r="44115">
      <c r="AI44115" s="80"/>
    </row>
    <row r="44116">
      <c r="AI44116" s="80"/>
    </row>
    <row r="44117">
      <c r="AI44117" s="80"/>
    </row>
    <row r="44118">
      <c r="AI44118" s="80"/>
    </row>
    <row r="44119">
      <c r="AI44119" s="80"/>
    </row>
    <row r="44120">
      <c r="AI44120" s="80"/>
    </row>
    <row r="44121">
      <c r="AI44121" s="80"/>
    </row>
    <row r="44122">
      <c r="AI44122" s="80"/>
    </row>
    <row r="44123">
      <c r="AI44123" s="80"/>
    </row>
    <row r="44124">
      <c r="AI44124" s="80"/>
    </row>
    <row r="44125">
      <c r="AI44125" s="80"/>
    </row>
    <row r="44126">
      <c r="AI44126" s="80"/>
    </row>
    <row r="44127">
      <c r="AI44127" s="80"/>
    </row>
    <row r="44128">
      <c r="AI44128" s="80"/>
    </row>
    <row r="44129">
      <c r="AI44129" s="80"/>
    </row>
    <row r="44130">
      <c r="AI44130" s="80"/>
    </row>
    <row r="44131">
      <c r="AI44131" s="80"/>
    </row>
    <row r="44132">
      <c r="AI44132" s="80"/>
    </row>
    <row r="44133">
      <c r="AI44133" s="80"/>
    </row>
    <row r="44134">
      <c r="AI44134" s="80"/>
    </row>
    <row r="44135">
      <c r="AI44135" s="80"/>
    </row>
    <row r="44136">
      <c r="AI44136" s="80"/>
    </row>
    <row r="44137">
      <c r="AI44137" s="80"/>
    </row>
    <row r="44138">
      <c r="AI44138" s="80"/>
    </row>
    <row r="44139">
      <c r="AI44139" s="80"/>
    </row>
    <row r="44140">
      <c r="AI44140" s="80"/>
    </row>
    <row r="44141">
      <c r="AI44141" s="80"/>
    </row>
    <row r="44142">
      <c r="AI44142" s="80"/>
    </row>
    <row r="44143">
      <c r="AI44143" s="80"/>
    </row>
    <row r="44144">
      <c r="AI44144" s="80"/>
    </row>
    <row r="44145">
      <c r="AI44145" s="80"/>
    </row>
    <row r="44146">
      <c r="AI44146" s="80"/>
    </row>
    <row r="44147">
      <c r="AI44147" s="80"/>
    </row>
    <row r="44148">
      <c r="AI44148" s="80"/>
    </row>
    <row r="44149">
      <c r="AI44149" s="80"/>
    </row>
    <row r="44150">
      <c r="AI44150" s="80"/>
    </row>
    <row r="44151">
      <c r="AI44151" s="80"/>
    </row>
    <row r="44152">
      <c r="AI44152" s="80"/>
    </row>
    <row r="44153">
      <c r="AI44153" s="80"/>
    </row>
    <row r="44154">
      <c r="AI44154" s="80"/>
    </row>
    <row r="44155">
      <c r="AI44155" s="80"/>
    </row>
    <row r="44156">
      <c r="AI44156" s="80"/>
    </row>
    <row r="44157">
      <c r="AI44157" s="80"/>
    </row>
    <row r="44158">
      <c r="AI44158" s="80"/>
    </row>
    <row r="44159">
      <c r="AI44159" s="80"/>
    </row>
    <row r="44160">
      <c r="AI44160" s="80"/>
    </row>
    <row r="44161">
      <c r="AI44161" s="80"/>
    </row>
    <row r="44162">
      <c r="AI44162" s="80"/>
    </row>
    <row r="44163">
      <c r="AI44163" s="80"/>
    </row>
    <row r="44164">
      <c r="AI44164" s="80"/>
    </row>
    <row r="44165">
      <c r="AI44165" s="80"/>
    </row>
    <row r="44166">
      <c r="AI44166" s="80"/>
    </row>
    <row r="44167">
      <c r="AI44167" s="80"/>
    </row>
    <row r="44168">
      <c r="AI44168" s="80"/>
    </row>
    <row r="44169">
      <c r="AI44169" s="80"/>
    </row>
    <row r="44170">
      <c r="AI44170" s="80"/>
    </row>
    <row r="44171">
      <c r="AI44171" s="80"/>
    </row>
    <row r="44172">
      <c r="AI44172" s="80"/>
    </row>
    <row r="44173">
      <c r="AI44173" s="80"/>
    </row>
    <row r="44174">
      <c r="AI44174" s="80"/>
    </row>
    <row r="44175">
      <c r="AI44175" s="80"/>
    </row>
    <row r="44176">
      <c r="AI44176" s="80"/>
    </row>
    <row r="44177">
      <c r="AI44177" s="80"/>
    </row>
    <row r="44178">
      <c r="AI44178" s="80"/>
    </row>
    <row r="44179">
      <c r="AI44179" s="80"/>
    </row>
    <row r="44180">
      <c r="AI44180" s="80"/>
    </row>
    <row r="44181">
      <c r="AI44181" s="80"/>
    </row>
    <row r="44182">
      <c r="AI44182" s="80"/>
    </row>
    <row r="44183">
      <c r="AI44183" s="80"/>
    </row>
    <row r="44184">
      <c r="AI44184" s="80"/>
    </row>
    <row r="44185">
      <c r="AI44185" s="80"/>
    </row>
    <row r="44186">
      <c r="AI44186" s="80"/>
    </row>
    <row r="44187">
      <c r="AI44187" s="80"/>
    </row>
    <row r="44188">
      <c r="AI44188" s="80"/>
    </row>
    <row r="44189">
      <c r="AI44189" s="80"/>
    </row>
    <row r="44190">
      <c r="AI44190" s="80"/>
    </row>
    <row r="44191">
      <c r="AI44191" s="80"/>
    </row>
    <row r="44192">
      <c r="AI44192" s="80"/>
    </row>
    <row r="44193">
      <c r="AI44193" s="80"/>
    </row>
    <row r="44194">
      <c r="AI44194" s="80"/>
    </row>
    <row r="44195">
      <c r="AI44195" s="80"/>
    </row>
    <row r="44196">
      <c r="AI44196" s="80"/>
    </row>
    <row r="44197">
      <c r="AI44197" s="80"/>
    </row>
    <row r="44198">
      <c r="AI44198" s="80"/>
    </row>
    <row r="44199">
      <c r="AI44199" s="80"/>
    </row>
    <row r="44200">
      <c r="AI44200" s="80"/>
    </row>
    <row r="44201">
      <c r="AI44201" s="80"/>
    </row>
    <row r="44202">
      <c r="AI44202" s="80"/>
    </row>
    <row r="44203">
      <c r="AI44203" s="80"/>
    </row>
    <row r="44204">
      <c r="AI44204" s="80"/>
    </row>
    <row r="44205">
      <c r="AI44205" s="80"/>
    </row>
    <row r="44206">
      <c r="AI44206" s="80"/>
    </row>
    <row r="44207">
      <c r="AI44207" s="80"/>
    </row>
    <row r="44208">
      <c r="AI44208" s="80"/>
    </row>
    <row r="44209">
      <c r="AI44209" s="80"/>
    </row>
    <row r="44210">
      <c r="AI44210" s="80"/>
    </row>
    <row r="44211">
      <c r="AI44211" s="80"/>
    </row>
    <row r="44212">
      <c r="AI44212" s="80"/>
    </row>
    <row r="44213">
      <c r="AI44213" s="80"/>
    </row>
    <row r="44214">
      <c r="AI44214" s="80"/>
    </row>
    <row r="44215">
      <c r="AI44215" s="80"/>
    </row>
    <row r="44216">
      <c r="AI44216" s="80"/>
    </row>
    <row r="44217">
      <c r="AI44217" s="80"/>
    </row>
    <row r="44218">
      <c r="AI44218" s="80"/>
    </row>
    <row r="44219">
      <c r="AI44219" s="80"/>
    </row>
    <row r="44220">
      <c r="AI44220" s="80"/>
    </row>
    <row r="44221">
      <c r="AI44221" s="80"/>
    </row>
    <row r="44222">
      <c r="AI44222" s="80"/>
    </row>
    <row r="44223">
      <c r="AI44223" s="80"/>
    </row>
    <row r="44224">
      <c r="AI44224" s="80"/>
    </row>
    <row r="44225">
      <c r="AI44225" s="80"/>
    </row>
    <row r="44226">
      <c r="AI44226" s="80"/>
    </row>
    <row r="44227">
      <c r="AI44227" s="80"/>
    </row>
    <row r="44228">
      <c r="AI44228" s="80"/>
    </row>
    <row r="44229">
      <c r="AI44229" s="80"/>
    </row>
    <row r="44230">
      <c r="AI44230" s="80"/>
    </row>
    <row r="44231">
      <c r="AI44231" s="80"/>
    </row>
    <row r="44232">
      <c r="AI44232" s="80"/>
    </row>
    <row r="44233">
      <c r="AI44233" s="80"/>
    </row>
    <row r="44234">
      <c r="AI44234" s="80"/>
    </row>
    <row r="44235">
      <c r="AI44235" s="80"/>
    </row>
    <row r="44236">
      <c r="AI44236" s="80"/>
    </row>
    <row r="44237">
      <c r="AI44237" s="80"/>
    </row>
    <row r="44238">
      <c r="AI44238" s="80"/>
    </row>
    <row r="44239">
      <c r="AI44239" s="80"/>
    </row>
    <row r="44240">
      <c r="AI44240" s="80"/>
    </row>
    <row r="44241">
      <c r="AI44241" s="80"/>
    </row>
    <row r="44242">
      <c r="AI44242" s="80"/>
    </row>
    <row r="44243">
      <c r="AI44243" s="80"/>
    </row>
    <row r="44244">
      <c r="AI44244" s="80"/>
    </row>
    <row r="44245">
      <c r="AI44245" s="80"/>
    </row>
    <row r="44246">
      <c r="AI44246" s="80"/>
    </row>
    <row r="44247">
      <c r="AI44247" s="80"/>
    </row>
    <row r="44248">
      <c r="AI44248" s="80"/>
    </row>
    <row r="44249">
      <c r="AI44249" s="80"/>
    </row>
    <row r="44250">
      <c r="AI44250" s="80"/>
    </row>
    <row r="44251">
      <c r="AI44251" s="80"/>
    </row>
    <row r="44252">
      <c r="AI44252" s="80"/>
    </row>
    <row r="44253">
      <c r="AI44253" s="80"/>
    </row>
    <row r="44254">
      <c r="AI44254" s="80"/>
    </row>
    <row r="44255">
      <c r="AI44255" s="80"/>
    </row>
    <row r="44256">
      <c r="AI44256" s="80"/>
    </row>
    <row r="44257">
      <c r="AI44257" s="80"/>
    </row>
    <row r="44258">
      <c r="AI44258" s="80"/>
    </row>
    <row r="44259">
      <c r="AI44259" s="80"/>
    </row>
    <row r="44260">
      <c r="AI44260" s="80"/>
    </row>
    <row r="44261">
      <c r="AI44261" s="80"/>
    </row>
    <row r="44262">
      <c r="AI44262" s="80"/>
    </row>
    <row r="44263">
      <c r="AI44263" s="80"/>
    </row>
    <row r="44264">
      <c r="AI44264" s="80"/>
    </row>
    <row r="44265">
      <c r="AI44265" s="80"/>
    </row>
    <row r="44266">
      <c r="AI44266" s="80"/>
    </row>
    <row r="44267">
      <c r="AI44267" s="80"/>
    </row>
    <row r="44268">
      <c r="AI44268" s="80"/>
    </row>
    <row r="44269">
      <c r="AI44269" s="80"/>
    </row>
    <row r="44270">
      <c r="AI44270" s="80"/>
    </row>
    <row r="44271">
      <c r="AI44271" s="80"/>
    </row>
    <row r="44272">
      <c r="AI44272" s="80"/>
    </row>
    <row r="44273">
      <c r="AI44273" s="80"/>
    </row>
    <row r="44274">
      <c r="AI44274" s="80"/>
    </row>
    <row r="44275">
      <c r="AI44275" s="80"/>
    </row>
    <row r="44276">
      <c r="AI44276" s="80"/>
    </row>
    <row r="44277">
      <c r="AI44277" s="80"/>
    </row>
    <row r="44278">
      <c r="AI44278" s="80"/>
    </row>
    <row r="44279">
      <c r="AI44279" s="80"/>
    </row>
    <row r="44280">
      <c r="AI44280" s="80"/>
    </row>
    <row r="44281">
      <c r="AI44281" s="80"/>
    </row>
    <row r="44282">
      <c r="AI44282" s="80"/>
    </row>
    <row r="44283">
      <c r="AI44283" s="80"/>
    </row>
    <row r="44284">
      <c r="AI44284" s="80"/>
    </row>
    <row r="44285">
      <c r="AI44285" s="80"/>
    </row>
    <row r="44286">
      <c r="AI44286" s="80"/>
    </row>
    <row r="44287">
      <c r="AI44287" s="80"/>
    </row>
    <row r="44288">
      <c r="AI44288" s="80"/>
    </row>
    <row r="44289">
      <c r="AI44289" s="80"/>
    </row>
    <row r="44290">
      <c r="AI44290" s="80"/>
    </row>
    <row r="44291">
      <c r="AI44291" s="80"/>
    </row>
    <row r="44292">
      <c r="AI44292" s="80"/>
    </row>
    <row r="44293">
      <c r="AI44293" s="80"/>
    </row>
    <row r="44294">
      <c r="AI44294" s="80"/>
    </row>
    <row r="44295">
      <c r="AI44295" s="80"/>
    </row>
    <row r="44296">
      <c r="AI44296" s="80"/>
    </row>
    <row r="44297">
      <c r="AI44297" s="80"/>
    </row>
    <row r="44298">
      <c r="AI44298" s="80"/>
    </row>
    <row r="44299">
      <c r="AI44299" s="80"/>
    </row>
    <row r="44300">
      <c r="AI44300" s="80"/>
    </row>
    <row r="44301">
      <c r="AI44301" s="80"/>
    </row>
    <row r="44302">
      <c r="AI44302" s="80"/>
    </row>
    <row r="44303">
      <c r="AI44303" s="80"/>
    </row>
    <row r="44304">
      <c r="AI44304" s="80"/>
    </row>
    <row r="44305">
      <c r="AI44305" s="80"/>
    </row>
    <row r="44306">
      <c r="AI44306" s="80"/>
    </row>
    <row r="44307">
      <c r="AI44307" s="80"/>
    </row>
    <row r="44308">
      <c r="AI44308" s="80"/>
    </row>
    <row r="44309">
      <c r="AI44309" s="80"/>
    </row>
    <row r="44310">
      <c r="AI44310" s="80"/>
    </row>
    <row r="44311">
      <c r="AI44311" s="80"/>
    </row>
    <row r="44312">
      <c r="AI44312" s="80"/>
    </row>
    <row r="44313">
      <c r="AI44313" s="80"/>
    </row>
    <row r="44314">
      <c r="AI44314" s="80"/>
    </row>
    <row r="44315">
      <c r="AI44315" s="80"/>
    </row>
    <row r="44316">
      <c r="AI44316" s="80"/>
    </row>
    <row r="44317">
      <c r="AI44317" s="80"/>
    </row>
    <row r="44318">
      <c r="AI44318" s="80"/>
    </row>
    <row r="44319">
      <c r="AI44319" s="80"/>
    </row>
    <row r="44320">
      <c r="AI44320" s="80"/>
    </row>
    <row r="44321">
      <c r="AI44321" s="80"/>
    </row>
    <row r="44322">
      <c r="AI44322" s="80"/>
    </row>
    <row r="44323">
      <c r="AI44323" s="80"/>
    </row>
    <row r="44324">
      <c r="AI44324" s="80"/>
    </row>
    <row r="44325">
      <c r="AI44325" s="80"/>
    </row>
    <row r="44326">
      <c r="AI44326" s="80"/>
    </row>
    <row r="44327">
      <c r="AI44327" s="80"/>
    </row>
    <row r="44328">
      <c r="AI44328" s="80"/>
    </row>
    <row r="44329">
      <c r="AI44329" s="80"/>
    </row>
    <row r="44330">
      <c r="AI44330" s="80"/>
    </row>
    <row r="44331">
      <c r="AI44331" s="80"/>
    </row>
    <row r="44332">
      <c r="AI44332" s="80"/>
    </row>
    <row r="44333">
      <c r="AI44333" s="80"/>
    </row>
    <row r="44334">
      <c r="AI44334" s="80"/>
    </row>
    <row r="44335">
      <c r="AI44335" s="80"/>
    </row>
    <row r="44336">
      <c r="AI44336" s="80"/>
    </row>
    <row r="44337">
      <c r="AI44337" s="80"/>
    </row>
    <row r="44338">
      <c r="AI44338" s="80"/>
    </row>
    <row r="44339">
      <c r="AI44339" s="80"/>
    </row>
    <row r="44340">
      <c r="AI44340" s="80"/>
    </row>
    <row r="44341">
      <c r="AI44341" s="80"/>
    </row>
    <row r="44342">
      <c r="AI44342" s="80"/>
    </row>
    <row r="44343">
      <c r="AI44343" s="80"/>
    </row>
    <row r="44344">
      <c r="AI44344" s="80"/>
    </row>
    <row r="44345">
      <c r="AI44345" s="80"/>
    </row>
    <row r="44346">
      <c r="AI44346" s="80"/>
    </row>
    <row r="44347">
      <c r="AI44347" s="80"/>
    </row>
    <row r="44348">
      <c r="AI44348" s="80"/>
    </row>
    <row r="44349">
      <c r="AI44349" s="80"/>
    </row>
    <row r="44350">
      <c r="AI44350" s="80"/>
    </row>
    <row r="44351">
      <c r="AI44351" s="80"/>
    </row>
    <row r="44352">
      <c r="AI44352" s="80"/>
    </row>
    <row r="44353">
      <c r="AI44353" s="80"/>
    </row>
    <row r="44354">
      <c r="AI44354" s="80"/>
    </row>
    <row r="44355">
      <c r="AI44355" s="80"/>
    </row>
    <row r="44356">
      <c r="AI44356" s="80"/>
    </row>
    <row r="44357">
      <c r="AI44357" s="80"/>
    </row>
    <row r="44358">
      <c r="AI44358" s="80"/>
    </row>
    <row r="44359">
      <c r="AI44359" s="80"/>
    </row>
    <row r="44360">
      <c r="AI44360" s="80"/>
    </row>
    <row r="44361">
      <c r="AI44361" s="80"/>
    </row>
    <row r="44362">
      <c r="AI44362" s="80"/>
    </row>
    <row r="44363">
      <c r="AI44363" s="80"/>
    </row>
    <row r="44364">
      <c r="AI44364" s="80"/>
    </row>
    <row r="44365">
      <c r="AI44365" s="80"/>
    </row>
    <row r="44366">
      <c r="AI44366" s="80"/>
    </row>
    <row r="44367">
      <c r="AI44367" s="80"/>
    </row>
    <row r="44368">
      <c r="AI44368" s="80"/>
    </row>
    <row r="44369">
      <c r="AI44369" s="80"/>
    </row>
    <row r="44370">
      <c r="AI44370" s="80"/>
    </row>
    <row r="44371">
      <c r="AI44371" s="80"/>
    </row>
    <row r="44372">
      <c r="AI44372" s="80"/>
    </row>
    <row r="44373">
      <c r="AI44373" s="80"/>
    </row>
    <row r="44374">
      <c r="AI44374" s="80"/>
    </row>
    <row r="44375">
      <c r="AI44375" s="80"/>
    </row>
    <row r="44376">
      <c r="AI44376" s="80"/>
    </row>
    <row r="44377">
      <c r="AI44377" s="80"/>
    </row>
    <row r="44378">
      <c r="AI44378" s="80"/>
    </row>
    <row r="44379">
      <c r="AI44379" s="80"/>
    </row>
    <row r="44380">
      <c r="AI44380" s="80"/>
    </row>
    <row r="44381">
      <c r="AI44381" s="80"/>
    </row>
    <row r="44382">
      <c r="AI44382" s="80"/>
    </row>
    <row r="44383">
      <c r="AI44383" s="80"/>
    </row>
    <row r="44384">
      <c r="AI44384" s="80"/>
    </row>
    <row r="44385">
      <c r="AI44385" s="80"/>
    </row>
    <row r="44386">
      <c r="AI44386" s="80"/>
    </row>
    <row r="44387">
      <c r="AI44387" s="80"/>
    </row>
    <row r="44388">
      <c r="AI44388" s="80"/>
    </row>
    <row r="44389">
      <c r="AI44389" s="80"/>
    </row>
    <row r="44390">
      <c r="AI44390" s="80"/>
    </row>
    <row r="44391">
      <c r="AI44391" s="80"/>
    </row>
    <row r="44392">
      <c r="AI44392" s="80"/>
    </row>
    <row r="44393">
      <c r="AI44393" s="80"/>
    </row>
    <row r="44394">
      <c r="AI44394" s="80"/>
    </row>
    <row r="44395">
      <c r="AI44395" s="80"/>
    </row>
    <row r="44396">
      <c r="AI44396" s="80"/>
    </row>
    <row r="44397">
      <c r="AI44397" s="80"/>
    </row>
    <row r="44398">
      <c r="AI44398" s="80"/>
    </row>
    <row r="44399">
      <c r="AI44399" s="80"/>
    </row>
    <row r="44400">
      <c r="AI44400" s="80"/>
    </row>
    <row r="44401">
      <c r="AI44401" s="80"/>
    </row>
    <row r="44402">
      <c r="AI44402" s="80"/>
    </row>
    <row r="44403">
      <c r="AI44403" s="80"/>
    </row>
    <row r="44404">
      <c r="AI44404" s="80"/>
    </row>
    <row r="44405">
      <c r="AI44405" s="80"/>
    </row>
    <row r="44406">
      <c r="AI44406" s="80"/>
    </row>
    <row r="44407">
      <c r="AI44407" s="80"/>
    </row>
    <row r="44408">
      <c r="AI44408" s="80"/>
    </row>
    <row r="44409">
      <c r="AI44409" s="80"/>
    </row>
    <row r="44410">
      <c r="AI44410" s="80"/>
    </row>
    <row r="44411">
      <c r="AI44411" s="80"/>
    </row>
    <row r="44412">
      <c r="AI44412" s="80"/>
    </row>
    <row r="44413">
      <c r="AI44413" s="80"/>
    </row>
    <row r="44414">
      <c r="AI44414" s="80"/>
    </row>
    <row r="44415">
      <c r="AI44415" s="80"/>
    </row>
    <row r="44416">
      <c r="AI44416" s="80"/>
    </row>
    <row r="44417">
      <c r="AI44417" s="80"/>
    </row>
    <row r="44418">
      <c r="AI44418" s="80"/>
    </row>
    <row r="44419">
      <c r="AI44419" s="80"/>
    </row>
    <row r="44420">
      <c r="AI44420" s="80"/>
    </row>
    <row r="44421">
      <c r="AI44421" s="80"/>
    </row>
    <row r="44422">
      <c r="AI44422" s="80"/>
    </row>
    <row r="44423">
      <c r="AI44423" s="80"/>
    </row>
    <row r="44424">
      <c r="AI44424" s="80"/>
    </row>
    <row r="44425">
      <c r="AI44425" s="80"/>
    </row>
    <row r="44426">
      <c r="AI44426" s="80"/>
    </row>
    <row r="44427">
      <c r="AI44427" s="80"/>
    </row>
    <row r="44428">
      <c r="AI44428" s="80"/>
    </row>
    <row r="44429">
      <c r="AI44429" s="80"/>
    </row>
    <row r="44430">
      <c r="AI44430" s="80"/>
    </row>
    <row r="44431">
      <c r="AI44431" s="80"/>
    </row>
    <row r="44432">
      <c r="AI44432" s="80"/>
    </row>
    <row r="44433">
      <c r="AI44433" s="80"/>
    </row>
    <row r="44434">
      <c r="AI44434" s="80"/>
    </row>
    <row r="44435">
      <c r="AI44435" s="80"/>
    </row>
    <row r="44436">
      <c r="AI44436" s="80"/>
    </row>
    <row r="44437">
      <c r="AI44437" s="80"/>
    </row>
    <row r="44438">
      <c r="AI44438" s="80"/>
    </row>
    <row r="44439">
      <c r="AI44439" s="80"/>
    </row>
    <row r="44440">
      <c r="AI44440" s="80"/>
    </row>
    <row r="44441">
      <c r="AI44441" s="80"/>
    </row>
    <row r="44442">
      <c r="AI44442" s="80"/>
    </row>
    <row r="44443">
      <c r="AI44443" s="80"/>
    </row>
    <row r="44444">
      <c r="AI44444" s="80"/>
    </row>
    <row r="44445">
      <c r="AI44445" s="80"/>
    </row>
    <row r="44446">
      <c r="AI44446" s="80"/>
    </row>
    <row r="44447">
      <c r="AI44447" s="80"/>
    </row>
    <row r="44448">
      <c r="AI44448" s="80"/>
    </row>
    <row r="44449">
      <c r="AI44449" s="80"/>
    </row>
    <row r="44450">
      <c r="AI44450" s="80"/>
    </row>
    <row r="44451">
      <c r="AI44451" s="80"/>
    </row>
    <row r="44452">
      <c r="AI44452" s="80"/>
    </row>
    <row r="44453">
      <c r="AI44453" s="80"/>
    </row>
    <row r="44454">
      <c r="AI44454" s="80"/>
    </row>
    <row r="44455">
      <c r="AI44455" s="80"/>
    </row>
    <row r="44456">
      <c r="AI44456" s="80"/>
    </row>
    <row r="44457">
      <c r="AI44457" s="80"/>
    </row>
    <row r="44458">
      <c r="AI44458" s="80"/>
    </row>
    <row r="44459">
      <c r="AI44459" s="80"/>
    </row>
    <row r="44460">
      <c r="AI44460" s="80"/>
    </row>
    <row r="44461">
      <c r="AI44461" s="80"/>
    </row>
    <row r="44462">
      <c r="AI44462" s="80"/>
    </row>
    <row r="44463">
      <c r="AI44463" s="80"/>
    </row>
    <row r="44464">
      <c r="AI44464" s="80"/>
    </row>
    <row r="44465">
      <c r="AI44465" s="80"/>
    </row>
    <row r="44466">
      <c r="AI44466" s="80"/>
    </row>
    <row r="44467">
      <c r="AI44467" s="80"/>
    </row>
    <row r="44468">
      <c r="AI44468" s="80"/>
    </row>
    <row r="44469">
      <c r="AI44469" s="80"/>
    </row>
    <row r="44470">
      <c r="AI44470" s="80"/>
    </row>
    <row r="44471">
      <c r="AI44471" s="80"/>
    </row>
    <row r="44472">
      <c r="AI44472" s="80"/>
    </row>
    <row r="44473">
      <c r="AI44473" s="80"/>
    </row>
    <row r="44474">
      <c r="AI44474" s="80"/>
    </row>
    <row r="44475">
      <c r="AI44475" s="80"/>
    </row>
    <row r="44476">
      <c r="AI44476" s="80"/>
    </row>
    <row r="44477">
      <c r="AI44477" s="80"/>
    </row>
    <row r="44478">
      <c r="AI44478" s="80"/>
    </row>
    <row r="44479">
      <c r="AI44479" s="80"/>
    </row>
    <row r="44480">
      <c r="AI44480" s="80"/>
    </row>
    <row r="44481">
      <c r="AI44481" s="80"/>
    </row>
    <row r="44482">
      <c r="AI44482" s="80"/>
    </row>
    <row r="44483">
      <c r="AI44483" s="80"/>
    </row>
    <row r="44484">
      <c r="AI44484" s="80"/>
    </row>
    <row r="44485">
      <c r="AI44485" s="80"/>
    </row>
    <row r="44486">
      <c r="AI44486" s="80"/>
    </row>
    <row r="44487">
      <c r="AI44487" s="80"/>
    </row>
    <row r="44488">
      <c r="AI44488" s="80"/>
    </row>
    <row r="44489">
      <c r="AI44489" s="80"/>
    </row>
    <row r="44490">
      <c r="AI44490" s="80"/>
    </row>
    <row r="44491">
      <c r="AI44491" s="80"/>
    </row>
    <row r="44492">
      <c r="AI44492" s="80"/>
    </row>
    <row r="44493">
      <c r="AI44493" s="80"/>
    </row>
    <row r="44494">
      <c r="AI44494" s="80"/>
    </row>
    <row r="44495">
      <c r="AI44495" s="80"/>
    </row>
    <row r="44496">
      <c r="AI44496" s="80"/>
    </row>
    <row r="44497">
      <c r="AI44497" s="80"/>
    </row>
    <row r="44498">
      <c r="AI44498" s="80"/>
    </row>
    <row r="44499">
      <c r="AI44499" s="80"/>
    </row>
    <row r="44500">
      <c r="AI44500" s="80"/>
    </row>
    <row r="44501">
      <c r="AI44501" s="80"/>
    </row>
    <row r="44502">
      <c r="AI44502" s="80"/>
    </row>
    <row r="44503">
      <c r="AI44503" s="80"/>
    </row>
    <row r="44504">
      <c r="AI44504" s="80"/>
    </row>
    <row r="44505">
      <c r="AI44505" s="80"/>
    </row>
    <row r="44506">
      <c r="AI44506" s="80"/>
    </row>
    <row r="44507">
      <c r="AI44507" s="80"/>
    </row>
    <row r="44508">
      <c r="AI44508" s="80"/>
    </row>
    <row r="44509">
      <c r="AI44509" s="80"/>
    </row>
    <row r="44510">
      <c r="AI44510" s="80"/>
    </row>
    <row r="44511">
      <c r="AI44511" s="80"/>
    </row>
    <row r="44512">
      <c r="AI44512" s="80"/>
    </row>
    <row r="44513">
      <c r="AI44513" s="80"/>
    </row>
    <row r="44514">
      <c r="AI44514" s="80"/>
    </row>
    <row r="44515">
      <c r="AI44515" s="80"/>
    </row>
    <row r="44516">
      <c r="AI44516" s="80"/>
    </row>
    <row r="44517">
      <c r="AI44517" s="80"/>
    </row>
    <row r="44518">
      <c r="AI44518" s="80"/>
    </row>
    <row r="44519">
      <c r="AI44519" s="80"/>
    </row>
    <row r="44520">
      <c r="AI44520" s="80"/>
    </row>
    <row r="44521">
      <c r="AI44521" s="80"/>
    </row>
    <row r="44522">
      <c r="AI44522" s="80"/>
    </row>
    <row r="44523">
      <c r="AI44523" s="80"/>
    </row>
    <row r="44524">
      <c r="AI44524" s="80"/>
    </row>
    <row r="44525">
      <c r="AI44525" s="80"/>
    </row>
    <row r="44526">
      <c r="AI44526" s="80"/>
    </row>
    <row r="44527">
      <c r="AI44527" s="80"/>
    </row>
    <row r="44528">
      <c r="AI44528" s="80"/>
    </row>
    <row r="44529">
      <c r="AI44529" s="80"/>
    </row>
    <row r="44530">
      <c r="AI44530" s="80"/>
    </row>
    <row r="44531">
      <c r="AI44531" s="80"/>
    </row>
    <row r="44532">
      <c r="AI44532" s="80"/>
    </row>
    <row r="44533">
      <c r="AI44533" s="80"/>
    </row>
    <row r="44534">
      <c r="AI44534" s="80"/>
    </row>
    <row r="44535">
      <c r="AI44535" s="80"/>
    </row>
    <row r="44536">
      <c r="AI44536" s="80"/>
    </row>
    <row r="44537">
      <c r="AI44537" s="80"/>
    </row>
    <row r="44538">
      <c r="AI44538" s="80"/>
    </row>
    <row r="44539">
      <c r="AI44539" s="80"/>
    </row>
    <row r="44540">
      <c r="AI44540" s="80"/>
    </row>
    <row r="44541">
      <c r="AI44541" s="80"/>
    </row>
    <row r="44542">
      <c r="AI44542" s="80"/>
    </row>
    <row r="44543">
      <c r="AI44543" s="80"/>
    </row>
    <row r="44544">
      <c r="AI44544" s="80"/>
    </row>
    <row r="44545">
      <c r="AI44545" s="80"/>
    </row>
    <row r="44546">
      <c r="AI44546" s="80"/>
    </row>
    <row r="44547">
      <c r="AI44547" s="80"/>
    </row>
    <row r="44548">
      <c r="AI44548" s="80"/>
    </row>
    <row r="44549">
      <c r="AI44549" s="80"/>
    </row>
    <row r="44550">
      <c r="AI44550" s="80"/>
    </row>
    <row r="44551">
      <c r="AI44551" s="80"/>
    </row>
    <row r="44552">
      <c r="AI44552" s="80"/>
    </row>
    <row r="44553">
      <c r="AI44553" s="80"/>
    </row>
    <row r="44554">
      <c r="AI44554" s="80"/>
    </row>
    <row r="44555">
      <c r="AI44555" s="80"/>
    </row>
    <row r="44556">
      <c r="AI44556" s="80"/>
    </row>
    <row r="44557">
      <c r="AI44557" s="80"/>
    </row>
    <row r="44558">
      <c r="AI44558" s="80"/>
    </row>
    <row r="44559">
      <c r="AI44559" s="80"/>
    </row>
    <row r="44560">
      <c r="AI44560" s="80"/>
    </row>
    <row r="44561">
      <c r="AI44561" s="80"/>
    </row>
    <row r="44562">
      <c r="AI44562" s="80"/>
    </row>
    <row r="44563">
      <c r="AI44563" s="80"/>
    </row>
    <row r="44564">
      <c r="AI44564" s="80"/>
    </row>
    <row r="44565">
      <c r="AI44565" s="80"/>
    </row>
    <row r="44566">
      <c r="AI44566" s="80"/>
    </row>
    <row r="44567">
      <c r="AI44567" s="80"/>
    </row>
    <row r="44568">
      <c r="AI44568" s="80"/>
    </row>
    <row r="44569">
      <c r="AI44569" s="80"/>
    </row>
    <row r="44570">
      <c r="AI44570" s="80"/>
    </row>
    <row r="44571">
      <c r="AI44571" s="80"/>
    </row>
    <row r="44572">
      <c r="AI44572" s="80"/>
    </row>
    <row r="44573">
      <c r="AI44573" s="80"/>
    </row>
    <row r="44574">
      <c r="AI44574" s="80"/>
    </row>
    <row r="44575">
      <c r="AI44575" s="80"/>
    </row>
    <row r="44576">
      <c r="AI44576" s="80"/>
    </row>
    <row r="44577">
      <c r="AI44577" s="80"/>
    </row>
    <row r="44578">
      <c r="AI44578" s="80"/>
    </row>
    <row r="44579">
      <c r="AI44579" s="80"/>
    </row>
    <row r="44580">
      <c r="AI44580" s="80"/>
    </row>
    <row r="44581">
      <c r="AI44581" s="80"/>
    </row>
    <row r="44582">
      <c r="AI44582" s="80"/>
    </row>
    <row r="44583">
      <c r="AI44583" s="80"/>
    </row>
    <row r="44584">
      <c r="AI44584" s="80"/>
    </row>
    <row r="44585">
      <c r="AI44585" s="80"/>
    </row>
    <row r="44586">
      <c r="AI44586" s="80"/>
    </row>
    <row r="44587">
      <c r="AI44587" s="80"/>
    </row>
    <row r="44588">
      <c r="AI44588" s="80"/>
    </row>
    <row r="44589">
      <c r="AI44589" s="80"/>
    </row>
    <row r="44590">
      <c r="AI44590" s="80"/>
    </row>
    <row r="44591">
      <c r="AI44591" s="80"/>
    </row>
    <row r="44592">
      <c r="AI44592" s="80"/>
    </row>
    <row r="44593">
      <c r="AI44593" s="80"/>
    </row>
    <row r="44594">
      <c r="AI44594" s="80"/>
    </row>
    <row r="44595">
      <c r="AI44595" s="80"/>
    </row>
    <row r="44596">
      <c r="AI44596" s="80"/>
    </row>
    <row r="44597">
      <c r="AI44597" s="80"/>
    </row>
    <row r="44598">
      <c r="AI44598" s="80"/>
    </row>
    <row r="44599">
      <c r="AI44599" s="80"/>
    </row>
    <row r="44600">
      <c r="AI44600" s="80"/>
    </row>
    <row r="44601">
      <c r="AI44601" s="80"/>
    </row>
    <row r="44602">
      <c r="AI44602" s="80"/>
    </row>
    <row r="44603">
      <c r="AI44603" s="80"/>
    </row>
    <row r="44604">
      <c r="AI44604" s="80"/>
    </row>
    <row r="44605">
      <c r="AI44605" s="80"/>
    </row>
    <row r="44606">
      <c r="AI44606" s="80"/>
    </row>
    <row r="44607">
      <c r="AI44607" s="80"/>
    </row>
    <row r="44608">
      <c r="AI44608" s="80"/>
    </row>
    <row r="44609">
      <c r="AI44609" s="80"/>
    </row>
    <row r="44610">
      <c r="AI44610" s="80"/>
    </row>
    <row r="44611">
      <c r="AI44611" s="80"/>
    </row>
    <row r="44612">
      <c r="AI44612" s="80"/>
    </row>
    <row r="44613">
      <c r="AI44613" s="80"/>
    </row>
    <row r="44614">
      <c r="AI44614" s="80"/>
    </row>
    <row r="44615">
      <c r="AI44615" s="80"/>
    </row>
    <row r="44616">
      <c r="AI44616" s="80"/>
    </row>
    <row r="44617">
      <c r="AI44617" s="80"/>
    </row>
    <row r="44618">
      <c r="AI44618" s="80"/>
    </row>
    <row r="44619">
      <c r="AI44619" s="80"/>
    </row>
    <row r="44620">
      <c r="AI44620" s="80"/>
    </row>
    <row r="44621">
      <c r="AI44621" s="80"/>
    </row>
    <row r="44622">
      <c r="AI44622" s="80"/>
    </row>
    <row r="44623">
      <c r="AI44623" s="80"/>
    </row>
    <row r="44624">
      <c r="AI44624" s="80"/>
    </row>
    <row r="44625">
      <c r="AI44625" s="80"/>
    </row>
    <row r="44626">
      <c r="AI44626" s="80"/>
    </row>
    <row r="44627">
      <c r="AI44627" s="80"/>
    </row>
    <row r="44628">
      <c r="AI44628" s="80"/>
    </row>
    <row r="44629">
      <c r="AI44629" s="80"/>
    </row>
    <row r="44630">
      <c r="AI44630" s="80"/>
    </row>
    <row r="44631">
      <c r="AI44631" s="80"/>
    </row>
    <row r="44632">
      <c r="AI44632" s="80"/>
    </row>
    <row r="44633">
      <c r="AI44633" s="80"/>
    </row>
    <row r="44634">
      <c r="AI44634" s="80"/>
    </row>
    <row r="44635">
      <c r="AI44635" s="80"/>
    </row>
    <row r="44636">
      <c r="AI44636" s="80"/>
    </row>
    <row r="44637">
      <c r="AI44637" s="80"/>
    </row>
    <row r="44638">
      <c r="AI44638" s="80"/>
    </row>
    <row r="44639">
      <c r="AI44639" s="80"/>
    </row>
    <row r="44640">
      <c r="AI44640" s="80"/>
    </row>
    <row r="44641">
      <c r="AI44641" s="80"/>
    </row>
    <row r="44642">
      <c r="AI44642" s="80"/>
    </row>
    <row r="44643">
      <c r="AI44643" s="80"/>
    </row>
    <row r="44644">
      <c r="AI44644" s="80"/>
    </row>
    <row r="44645">
      <c r="AI44645" s="80"/>
    </row>
    <row r="44646">
      <c r="AI44646" s="80"/>
    </row>
    <row r="44647">
      <c r="AI44647" s="80"/>
    </row>
    <row r="44648">
      <c r="AI44648" s="80"/>
    </row>
    <row r="44649">
      <c r="AI44649" s="80"/>
    </row>
    <row r="44650">
      <c r="AI44650" s="80"/>
    </row>
    <row r="44651">
      <c r="AI44651" s="80"/>
    </row>
    <row r="44652">
      <c r="AI44652" s="80"/>
    </row>
    <row r="44653">
      <c r="AI44653" s="80"/>
    </row>
    <row r="44654">
      <c r="AI44654" s="80"/>
    </row>
    <row r="44655">
      <c r="AI44655" s="80"/>
    </row>
    <row r="44656">
      <c r="AI44656" s="80"/>
    </row>
    <row r="44657">
      <c r="AI44657" s="80"/>
    </row>
    <row r="44658">
      <c r="AI44658" s="80"/>
    </row>
    <row r="44659">
      <c r="AI44659" s="80"/>
    </row>
    <row r="44660">
      <c r="AI44660" s="80"/>
    </row>
    <row r="44661">
      <c r="AI44661" s="80"/>
    </row>
    <row r="44662">
      <c r="AI44662" s="80"/>
    </row>
    <row r="44663">
      <c r="AI44663" s="80"/>
    </row>
    <row r="44664">
      <c r="AI44664" s="80"/>
    </row>
    <row r="44665">
      <c r="AI44665" s="80"/>
    </row>
    <row r="44666">
      <c r="AI44666" s="80"/>
    </row>
    <row r="44667">
      <c r="AI44667" s="80"/>
    </row>
    <row r="44668">
      <c r="AI44668" s="80"/>
    </row>
    <row r="44669">
      <c r="AI44669" s="80"/>
    </row>
    <row r="44670">
      <c r="AI44670" s="80"/>
    </row>
    <row r="44671">
      <c r="AI44671" s="80"/>
    </row>
    <row r="44672">
      <c r="AI44672" s="80"/>
    </row>
    <row r="44673">
      <c r="AI44673" s="80"/>
    </row>
    <row r="44674">
      <c r="AI44674" s="80"/>
    </row>
    <row r="44675">
      <c r="AI44675" s="80"/>
    </row>
    <row r="44676">
      <c r="AI44676" s="80"/>
    </row>
    <row r="44677">
      <c r="AI44677" s="80"/>
    </row>
    <row r="44678">
      <c r="AI44678" s="80"/>
    </row>
    <row r="44679">
      <c r="AI44679" s="80"/>
    </row>
    <row r="44680">
      <c r="AI44680" s="80"/>
    </row>
    <row r="44681">
      <c r="AI44681" s="80"/>
    </row>
    <row r="44682">
      <c r="AI44682" s="80"/>
    </row>
    <row r="44683">
      <c r="AI44683" s="80"/>
    </row>
    <row r="44684">
      <c r="AI44684" s="80"/>
    </row>
    <row r="44685">
      <c r="AI44685" s="80"/>
    </row>
    <row r="44686">
      <c r="AI44686" s="80"/>
    </row>
    <row r="44687">
      <c r="AI44687" s="80"/>
    </row>
    <row r="44688">
      <c r="AI44688" s="80"/>
    </row>
    <row r="44689">
      <c r="AI44689" s="80"/>
    </row>
    <row r="44690">
      <c r="AI44690" s="80"/>
    </row>
    <row r="44691">
      <c r="AI44691" s="80"/>
    </row>
    <row r="44692">
      <c r="AI44692" s="80"/>
    </row>
    <row r="44693">
      <c r="AI44693" s="80"/>
    </row>
    <row r="44694">
      <c r="AI44694" s="80"/>
    </row>
    <row r="44695">
      <c r="AI44695" s="80"/>
    </row>
    <row r="44696">
      <c r="AI44696" s="80"/>
    </row>
    <row r="44697">
      <c r="AI44697" s="80"/>
    </row>
    <row r="44698">
      <c r="AI44698" s="80"/>
    </row>
    <row r="44699">
      <c r="AI44699" s="80"/>
    </row>
    <row r="44700">
      <c r="AI44700" s="80"/>
    </row>
    <row r="44701">
      <c r="AI44701" s="80"/>
    </row>
    <row r="44702">
      <c r="AI44702" s="80"/>
    </row>
    <row r="44703">
      <c r="AI44703" s="80"/>
    </row>
    <row r="44704">
      <c r="AI44704" s="80"/>
    </row>
    <row r="44705">
      <c r="AI44705" s="80"/>
    </row>
    <row r="44706">
      <c r="AI44706" s="80"/>
    </row>
    <row r="44707">
      <c r="AI44707" s="80"/>
    </row>
    <row r="44708">
      <c r="AI44708" s="80"/>
    </row>
    <row r="44709">
      <c r="AI44709" s="80"/>
    </row>
    <row r="44710">
      <c r="AI44710" s="80"/>
    </row>
    <row r="44711">
      <c r="AI44711" s="80"/>
    </row>
    <row r="44712">
      <c r="AI44712" s="80"/>
    </row>
    <row r="44713">
      <c r="AI44713" s="80"/>
    </row>
    <row r="44714">
      <c r="AI44714" s="80"/>
    </row>
    <row r="44715">
      <c r="AI44715" s="80"/>
    </row>
    <row r="44716">
      <c r="AI44716" s="80"/>
    </row>
    <row r="44717">
      <c r="AI44717" s="80"/>
    </row>
    <row r="44718">
      <c r="AI44718" s="80"/>
    </row>
    <row r="44719">
      <c r="AI44719" s="80"/>
    </row>
    <row r="44720">
      <c r="AI44720" s="80"/>
    </row>
    <row r="44721">
      <c r="AI44721" s="80"/>
    </row>
    <row r="44722">
      <c r="AI44722" s="80"/>
    </row>
    <row r="44723">
      <c r="AI44723" s="80"/>
    </row>
    <row r="44724">
      <c r="AI44724" s="80"/>
    </row>
    <row r="44725">
      <c r="AI44725" s="80"/>
    </row>
    <row r="44726">
      <c r="AI44726" s="80"/>
    </row>
    <row r="44727">
      <c r="AI44727" s="80"/>
    </row>
    <row r="44728">
      <c r="AI44728" s="80"/>
    </row>
    <row r="44729">
      <c r="AI44729" s="80"/>
    </row>
    <row r="44730">
      <c r="AI44730" s="80"/>
    </row>
    <row r="44731">
      <c r="AI44731" s="80"/>
    </row>
    <row r="44732">
      <c r="AI44732" s="80"/>
    </row>
    <row r="44733">
      <c r="AI44733" s="80"/>
    </row>
    <row r="44734">
      <c r="AI44734" s="80"/>
    </row>
    <row r="44735">
      <c r="AI44735" s="80"/>
    </row>
    <row r="44736">
      <c r="AI44736" s="80"/>
    </row>
    <row r="44737">
      <c r="AI44737" s="80"/>
    </row>
    <row r="44738">
      <c r="AI44738" s="80"/>
    </row>
    <row r="44739">
      <c r="AI44739" s="80"/>
    </row>
    <row r="44740">
      <c r="AI44740" s="80"/>
    </row>
    <row r="44741">
      <c r="AI44741" s="80"/>
    </row>
    <row r="44742">
      <c r="AI44742" s="80"/>
    </row>
    <row r="44743">
      <c r="AI44743" s="80"/>
    </row>
    <row r="44744">
      <c r="AI44744" s="80"/>
    </row>
    <row r="44745">
      <c r="AI44745" s="80"/>
    </row>
    <row r="44746">
      <c r="AI44746" s="80"/>
    </row>
    <row r="44747">
      <c r="AI44747" s="80"/>
    </row>
    <row r="44748">
      <c r="AI44748" s="80"/>
    </row>
    <row r="44749">
      <c r="AI44749" s="80"/>
    </row>
    <row r="44750">
      <c r="AI44750" s="80"/>
    </row>
    <row r="44751">
      <c r="AI44751" s="80"/>
    </row>
    <row r="44752">
      <c r="AI44752" s="80"/>
    </row>
    <row r="44753">
      <c r="AI44753" s="80"/>
    </row>
    <row r="44754">
      <c r="AI44754" s="80"/>
    </row>
    <row r="44755">
      <c r="AI44755" s="80"/>
    </row>
    <row r="44756">
      <c r="AI44756" s="80"/>
    </row>
    <row r="44757">
      <c r="AI44757" s="80"/>
    </row>
    <row r="44758">
      <c r="AI44758" s="80"/>
    </row>
    <row r="44759">
      <c r="AI44759" s="80"/>
    </row>
    <row r="44760">
      <c r="AI44760" s="80"/>
    </row>
    <row r="44761">
      <c r="AI44761" s="80"/>
    </row>
    <row r="44762">
      <c r="AI44762" s="80"/>
    </row>
    <row r="44763">
      <c r="AI44763" s="80"/>
    </row>
    <row r="44764">
      <c r="AI44764" s="80"/>
    </row>
    <row r="44765">
      <c r="AI44765" s="80"/>
    </row>
    <row r="44766">
      <c r="AI44766" s="80"/>
    </row>
    <row r="44767">
      <c r="AI44767" s="80"/>
    </row>
    <row r="44768">
      <c r="AI44768" s="80"/>
    </row>
    <row r="44769">
      <c r="AI44769" s="80"/>
    </row>
    <row r="44770">
      <c r="AI44770" s="80"/>
    </row>
    <row r="44771">
      <c r="AI44771" s="80"/>
    </row>
    <row r="44772">
      <c r="AI44772" s="80"/>
    </row>
    <row r="44773">
      <c r="AI44773" s="80"/>
    </row>
    <row r="44774">
      <c r="AI44774" s="80"/>
    </row>
    <row r="44775">
      <c r="AI44775" s="80"/>
    </row>
    <row r="44776">
      <c r="AI44776" s="80"/>
    </row>
    <row r="44777">
      <c r="AI44777" s="80"/>
    </row>
    <row r="44778">
      <c r="AI44778" s="80"/>
    </row>
    <row r="44779">
      <c r="AI44779" s="80"/>
    </row>
    <row r="44780">
      <c r="AI44780" s="80"/>
    </row>
    <row r="44781">
      <c r="AI44781" s="80"/>
    </row>
    <row r="44782">
      <c r="AI44782" s="80"/>
    </row>
    <row r="44783">
      <c r="AI44783" s="80"/>
    </row>
    <row r="44784">
      <c r="AI44784" s="80"/>
    </row>
    <row r="44785">
      <c r="AI44785" s="80"/>
    </row>
    <row r="44786">
      <c r="AI44786" s="80"/>
    </row>
    <row r="44787">
      <c r="AI44787" s="80"/>
    </row>
    <row r="44788">
      <c r="AI44788" s="80"/>
    </row>
    <row r="44789">
      <c r="AI44789" s="80"/>
    </row>
    <row r="44790">
      <c r="AI44790" s="80"/>
    </row>
    <row r="44791">
      <c r="AI44791" s="80"/>
    </row>
    <row r="44792">
      <c r="AI44792" s="80"/>
    </row>
    <row r="44793">
      <c r="AI44793" s="80"/>
    </row>
    <row r="44794">
      <c r="AI44794" s="80"/>
    </row>
    <row r="44795">
      <c r="AI44795" s="80"/>
    </row>
    <row r="44796">
      <c r="AI44796" s="80"/>
    </row>
    <row r="44797">
      <c r="AI44797" s="80"/>
    </row>
    <row r="44798">
      <c r="AI44798" s="80"/>
    </row>
    <row r="44799">
      <c r="AI44799" s="80"/>
    </row>
    <row r="44800">
      <c r="AI44800" s="80"/>
    </row>
    <row r="44801">
      <c r="AI44801" s="80"/>
    </row>
    <row r="44802">
      <c r="AI44802" s="80"/>
    </row>
    <row r="44803">
      <c r="AI44803" s="80"/>
    </row>
    <row r="44804">
      <c r="AI44804" s="80"/>
    </row>
    <row r="44805">
      <c r="AI44805" s="80"/>
    </row>
    <row r="44806">
      <c r="AI44806" s="80"/>
    </row>
    <row r="44807">
      <c r="AI44807" s="80"/>
    </row>
    <row r="44808">
      <c r="AI44808" s="80"/>
    </row>
    <row r="44809">
      <c r="AI44809" s="80"/>
    </row>
    <row r="44810">
      <c r="AI44810" s="80"/>
    </row>
    <row r="44811">
      <c r="AI44811" s="80"/>
    </row>
    <row r="44812">
      <c r="AI44812" s="80"/>
    </row>
    <row r="44813">
      <c r="AI44813" s="80"/>
    </row>
    <row r="44814">
      <c r="AI44814" s="80"/>
    </row>
    <row r="44815">
      <c r="AI44815" s="80"/>
    </row>
    <row r="44816">
      <c r="AI44816" s="80"/>
    </row>
    <row r="44817">
      <c r="AI44817" s="80"/>
    </row>
    <row r="44818">
      <c r="AI44818" s="80"/>
    </row>
    <row r="44819">
      <c r="AI44819" s="80"/>
    </row>
    <row r="44820">
      <c r="AI44820" s="80"/>
    </row>
    <row r="44821">
      <c r="AI44821" s="80"/>
    </row>
    <row r="44822">
      <c r="AI44822" s="80"/>
    </row>
    <row r="44823">
      <c r="AI44823" s="80"/>
    </row>
    <row r="44824">
      <c r="AI44824" s="80"/>
    </row>
    <row r="44825">
      <c r="AI44825" s="80"/>
    </row>
    <row r="44826">
      <c r="AI44826" s="80"/>
    </row>
    <row r="44827">
      <c r="AI44827" s="80"/>
    </row>
    <row r="44828">
      <c r="AI44828" s="80"/>
    </row>
    <row r="44829">
      <c r="AI44829" s="80"/>
    </row>
    <row r="44830">
      <c r="AI44830" s="80"/>
    </row>
    <row r="44831">
      <c r="AI44831" s="80"/>
    </row>
    <row r="44832">
      <c r="AI44832" s="80"/>
    </row>
    <row r="44833">
      <c r="AI44833" s="80"/>
    </row>
    <row r="44834">
      <c r="AI44834" s="80"/>
    </row>
    <row r="44835">
      <c r="AI44835" s="80"/>
    </row>
    <row r="44836">
      <c r="AI44836" s="80"/>
    </row>
    <row r="44837">
      <c r="AI44837" s="80"/>
    </row>
    <row r="44838">
      <c r="AI44838" s="80"/>
    </row>
    <row r="44839">
      <c r="AI44839" s="80"/>
    </row>
    <row r="44840">
      <c r="AI44840" s="80"/>
    </row>
    <row r="44841">
      <c r="AI44841" s="80"/>
    </row>
    <row r="44842">
      <c r="AI44842" s="80"/>
    </row>
    <row r="44843">
      <c r="AI44843" s="80"/>
    </row>
    <row r="44844">
      <c r="AI44844" s="80"/>
    </row>
    <row r="44845">
      <c r="AI44845" s="80"/>
    </row>
    <row r="44846">
      <c r="AI44846" s="80"/>
    </row>
    <row r="44847">
      <c r="AI44847" s="80"/>
    </row>
    <row r="44848">
      <c r="AI44848" s="80"/>
    </row>
    <row r="44849">
      <c r="AI44849" s="80"/>
    </row>
    <row r="44850">
      <c r="AI44850" s="80"/>
    </row>
    <row r="44851">
      <c r="AI44851" s="80"/>
    </row>
    <row r="44852">
      <c r="AI44852" s="80"/>
    </row>
    <row r="44853">
      <c r="AI44853" s="80"/>
    </row>
    <row r="44854">
      <c r="AI44854" s="80"/>
    </row>
    <row r="44855">
      <c r="AI44855" s="80"/>
    </row>
    <row r="44856">
      <c r="AI44856" s="80"/>
    </row>
    <row r="44857">
      <c r="AI44857" s="80"/>
    </row>
    <row r="44858">
      <c r="AI44858" s="80"/>
    </row>
    <row r="44859">
      <c r="AI44859" s="80"/>
    </row>
    <row r="44860">
      <c r="AI44860" s="80"/>
    </row>
    <row r="44861">
      <c r="AI44861" s="80"/>
    </row>
    <row r="44862">
      <c r="AI44862" s="80"/>
    </row>
    <row r="44863">
      <c r="AI44863" s="80"/>
    </row>
    <row r="44864">
      <c r="AI44864" s="80"/>
    </row>
    <row r="44865">
      <c r="AI44865" s="80"/>
    </row>
    <row r="44866">
      <c r="AI44866" s="80"/>
    </row>
    <row r="44867">
      <c r="AI44867" s="80"/>
    </row>
    <row r="44868">
      <c r="AI44868" s="80"/>
    </row>
    <row r="44869">
      <c r="AI44869" s="80"/>
    </row>
    <row r="44870">
      <c r="AI44870" s="80"/>
    </row>
    <row r="44871">
      <c r="AI44871" s="80"/>
    </row>
    <row r="44872">
      <c r="AI44872" s="80"/>
    </row>
    <row r="44873">
      <c r="AI44873" s="80"/>
    </row>
    <row r="44874">
      <c r="AI44874" s="80"/>
    </row>
    <row r="44875">
      <c r="AI44875" s="80"/>
    </row>
    <row r="44876">
      <c r="AI44876" s="80"/>
    </row>
    <row r="44877">
      <c r="AI44877" s="80"/>
    </row>
    <row r="44878">
      <c r="AI44878" s="80"/>
    </row>
    <row r="44879">
      <c r="AI44879" s="80"/>
    </row>
    <row r="44880">
      <c r="AI44880" s="80"/>
    </row>
    <row r="44881">
      <c r="AI44881" s="80"/>
    </row>
    <row r="44882">
      <c r="AI44882" s="80"/>
    </row>
    <row r="44883">
      <c r="AI44883" s="80"/>
    </row>
    <row r="44884">
      <c r="AI44884" s="80"/>
    </row>
    <row r="44885">
      <c r="AI44885" s="80"/>
    </row>
    <row r="44886">
      <c r="AI44886" s="80"/>
    </row>
    <row r="44887">
      <c r="AI44887" s="80"/>
    </row>
    <row r="44888">
      <c r="AI44888" s="80"/>
    </row>
    <row r="44889">
      <c r="AI44889" s="80"/>
    </row>
    <row r="44890">
      <c r="AI44890" s="80"/>
    </row>
    <row r="44891">
      <c r="AI44891" s="80"/>
    </row>
    <row r="44892">
      <c r="AI44892" s="80"/>
    </row>
    <row r="44893">
      <c r="AI44893" s="80"/>
    </row>
    <row r="44894">
      <c r="AI44894" s="80"/>
    </row>
    <row r="44895">
      <c r="AI44895" s="80"/>
    </row>
    <row r="44896">
      <c r="AI44896" s="80"/>
    </row>
    <row r="44897">
      <c r="AI44897" s="80"/>
    </row>
    <row r="44898">
      <c r="AI44898" s="80"/>
    </row>
    <row r="44899">
      <c r="AI44899" s="80"/>
    </row>
    <row r="44900">
      <c r="AI44900" s="80"/>
    </row>
    <row r="44901">
      <c r="AI44901" s="80"/>
    </row>
    <row r="44902">
      <c r="AI44902" s="80"/>
    </row>
    <row r="44903">
      <c r="AI44903" s="80"/>
    </row>
    <row r="44904">
      <c r="AI44904" s="80"/>
    </row>
    <row r="44905">
      <c r="AI44905" s="80"/>
    </row>
    <row r="44906">
      <c r="AI44906" s="80"/>
    </row>
    <row r="44907">
      <c r="AI44907" s="80"/>
    </row>
    <row r="44908">
      <c r="AI44908" s="80"/>
    </row>
    <row r="44909">
      <c r="AI44909" s="80"/>
    </row>
    <row r="44910">
      <c r="AI44910" s="80"/>
    </row>
    <row r="44911">
      <c r="AI44911" s="80"/>
    </row>
    <row r="44912">
      <c r="AI44912" s="80"/>
    </row>
    <row r="44913">
      <c r="AI44913" s="80"/>
    </row>
    <row r="44914">
      <c r="AI44914" s="80"/>
    </row>
    <row r="44915">
      <c r="AI44915" s="80"/>
    </row>
    <row r="44916">
      <c r="AI44916" s="80"/>
    </row>
    <row r="44917">
      <c r="AI44917" s="80"/>
    </row>
    <row r="44918">
      <c r="AI44918" s="80"/>
    </row>
    <row r="44919">
      <c r="AI44919" s="80"/>
    </row>
    <row r="44920">
      <c r="AI44920" s="80"/>
    </row>
    <row r="44921">
      <c r="AI44921" s="80"/>
    </row>
    <row r="44922">
      <c r="AI44922" s="80"/>
    </row>
    <row r="44923">
      <c r="AI44923" s="80"/>
    </row>
    <row r="44924">
      <c r="AI44924" s="80"/>
    </row>
    <row r="44925">
      <c r="AI44925" s="80"/>
    </row>
    <row r="44926">
      <c r="AI44926" s="80"/>
    </row>
    <row r="44927">
      <c r="AI44927" s="80"/>
    </row>
    <row r="44928">
      <c r="AI44928" s="80"/>
    </row>
    <row r="44929">
      <c r="AI44929" s="80"/>
    </row>
    <row r="44930">
      <c r="AI44930" s="80"/>
    </row>
    <row r="44931">
      <c r="AI44931" s="80"/>
    </row>
    <row r="44932">
      <c r="AI44932" s="80"/>
    </row>
    <row r="44933">
      <c r="AI44933" s="80"/>
    </row>
    <row r="44934">
      <c r="AI44934" s="80"/>
    </row>
    <row r="44935">
      <c r="AI44935" s="80"/>
    </row>
    <row r="44936">
      <c r="AI44936" s="80"/>
    </row>
    <row r="44937">
      <c r="AI44937" s="80"/>
    </row>
    <row r="44938">
      <c r="AI44938" s="80"/>
    </row>
    <row r="44939">
      <c r="AI44939" s="80"/>
    </row>
    <row r="44940">
      <c r="AI44940" s="80"/>
    </row>
    <row r="44941">
      <c r="AI44941" s="80"/>
    </row>
    <row r="44942">
      <c r="AI44942" s="80"/>
    </row>
    <row r="44943">
      <c r="AI44943" s="80"/>
    </row>
    <row r="44944">
      <c r="AI44944" s="80"/>
    </row>
    <row r="44945">
      <c r="AI44945" s="80"/>
    </row>
    <row r="44946">
      <c r="AI44946" s="80"/>
    </row>
    <row r="44947">
      <c r="AI44947" s="80"/>
    </row>
    <row r="44948">
      <c r="AI44948" s="80"/>
    </row>
    <row r="44949">
      <c r="AI44949" s="80"/>
    </row>
    <row r="44950">
      <c r="AI44950" s="80"/>
    </row>
    <row r="44951">
      <c r="AI44951" s="80"/>
    </row>
    <row r="44952">
      <c r="AI44952" s="80"/>
    </row>
    <row r="44953">
      <c r="AI44953" s="80"/>
    </row>
    <row r="44954">
      <c r="AI44954" s="80"/>
    </row>
    <row r="44955">
      <c r="AI44955" s="80"/>
    </row>
    <row r="44956">
      <c r="AI44956" s="80"/>
    </row>
    <row r="44957">
      <c r="AI44957" s="80"/>
    </row>
    <row r="44958">
      <c r="AI44958" s="80"/>
    </row>
    <row r="44959">
      <c r="AI44959" s="80"/>
    </row>
    <row r="44960">
      <c r="AI44960" s="80"/>
    </row>
    <row r="44961">
      <c r="AI44961" s="80"/>
    </row>
    <row r="44962">
      <c r="AI44962" s="80"/>
    </row>
    <row r="44963">
      <c r="AI44963" s="80"/>
    </row>
    <row r="44964">
      <c r="AI44964" s="80"/>
    </row>
    <row r="44965">
      <c r="AI44965" s="80"/>
    </row>
    <row r="44966">
      <c r="AI44966" s="80"/>
    </row>
    <row r="44967">
      <c r="AI44967" s="80"/>
    </row>
    <row r="44968">
      <c r="AI44968" s="80"/>
    </row>
    <row r="44969">
      <c r="AI44969" s="80"/>
    </row>
    <row r="44970">
      <c r="AI44970" s="80"/>
    </row>
    <row r="44971">
      <c r="AI44971" s="80"/>
    </row>
    <row r="44972">
      <c r="AI44972" s="80"/>
    </row>
    <row r="44973">
      <c r="AI44973" s="80"/>
    </row>
    <row r="44974">
      <c r="AI44974" s="80"/>
    </row>
    <row r="44975">
      <c r="AI44975" s="80"/>
    </row>
    <row r="44976">
      <c r="AI44976" s="80"/>
    </row>
    <row r="44977">
      <c r="AI44977" s="80"/>
    </row>
    <row r="44978">
      <c r="AI44978" s="80"/>
    </row>
    <row r="44979">
      <c r="AI44979" s="80"/>
    </row>
    <row r="44980">
      <c r="AI44980" s="80"/>
    </row>
    <row r="44981">
      <c r="AI44981" s="80"/>
    </row>
    <row r="44982">
      <c r="AI44982" s="80"/>
    </row>
    <row r="44983">
      <c r="AI44983" s="80"/>
    </row>
    <row r="44984">
      <c r="AI44984" s="80"/>
    </row>
    <row r="44985">
      <c r="AI44985" s="80"/>
    </row>
    <row r="44986">
      <c r="AI44986" s="80"/>
    </row>
    <row r="44987">
      <c r="AI44987" s="80"/>
    </row>
    <row r="44988">
      <c r="AI44988" s="80"/>
    </row>
    <row r="44989">
      <c r="AI44989" s="80"/>
    </row>
    <row r="44990">
      <c r="AI44990" s="80"/>
    </row>
    <row r="44991">
      <c r="AI44991" s="80"/>
    </row>
    <row r="44992">
      <c r="AI44992" s="80"/>
    </row>
    <row r="44993">
      <c r="AI44993" s="80"/>
    </row>
    <row r="44994">
      <c r="AI44994" s="80"/>
    </row>
    <row r="44995">
      <c r="AI44995" s="80"/>
    </row>
    <row r="44996">
      <c r="AI44996" s="80"/>
    </row>
    <row r="44997">
      <c r="AI44997" s="80"/>
    </row>
    <row r="44998">
      <c r="AI44998" s="80"/>
    </row>
    <row r="44999">
      <c r="AI44999" s="80"/>
    </row>
    <row r="45000">
      <c r="AI45000" s="80"/>
    </row>
    <row r="45001">
      <c r="AI45001" s="80"/>
    </row>
    <row r="45002">
      <c r="AI45002" s="80"/>
    </row>
    <row r="45003">
      <c r="AI45003" s="80"/>
    </row>
    <row r="45004">
      <c r="AI45004" s="80"/>
    </row>
    <row r="45005">
      <c r="AI45005" s="80"/>
    </row>
    <row r="45006">
      <c r="AI45006" s="80"/>
    </row>
    <row r="45007">
      <c r="AI45007" s="80"/>
    </row>
    <row r="45008">
      <c r="AI45008" s="80"/>
    </row>
    <row r="45009">
      <c r="AI45009" s="80"/>
    </row>
    <row r="45010">
      <c r="AI45010" s="80"/>
    </row>
    <row r="45011">
      <c r="AI45011" s="80"/>
    </row>
    <row r="45012">
      <c r="AI45012" s="80"/>
    </row>
    <row r="45013">
      <c r="AI45013" s="80"/>
    </row>
    <row r="45014">
      <c r="AI45014" s="80"/>
    </row>
    <row r="45015">
      <c r="AI45015" s="80"/>
    </row>
    <row r="45016">
      <c r="AI45016" s="80"/>
    </row>
    <row r="45017">
      <c r="AI45017" s="80"/>
    </row>
    <row r="45018">
      <c r="AI45018" s="80"/>
    </row>
    <row r="45019">
      <c r="AI45019" s="80"/>
    </row>
    <row r="45020">
      <c r="AI45020" s="80"/>
    </row>
    <row r="45021">
      <c r="AI45021" s="80"/>
    </row>
    <row r="45022">
      <c r="AI45022" s="80"/>
    </row>
    <row r="45023">
      <c r="AI45023" s="80"/>
    </row>
    <row r="45024">
      <c r="AI45024" s="80"/>
    </row>
    <row r="45025">
      <c r="AI45025" s="80"/>
    </row>
    <row r="45026">
      <c r="AI45026" s="80"/>
    </row>
    <row r="45027">
      <c r="AI45027" s="80"/>
    </row>
    <row r="45028">
      <c r="AI45028" s="80"/>
    </row>
    <row r="45029">
      <c r="AI45029" s="80"/>
    </row>
    <row r="45030">
      <c r="AI45030" s="80"/>
    </row>
    <row r="45031">
      <c r="AI45031" s="80"/>
    </row>
    <row r="45032">
      <c r="AI45032" s="80"/>
    </row>
    <row r="45033">
      <c r="AI45033" s="80"/>
    </row>
    <row r="45034">
      <c r="AI45034" s="80"/>
    </row>
    <row r="45035">
      <c r="AI45035" s="80"/>
    </row>
    <row r="45036">
      <c r="AI45036" s="80"/>
    </row>
    <row r="45037">
      <c r="AI45037" s="80"/>
    </row>
    <row r="45038">
      <c r="AI45038" s="80"/>
    </row>
    <row r="45039">
      <c r="AI45039" s="80"/>
    </row>
    <row r="45040">
      <c r="AI45040" s="80"/>
    </row>
    <row r="45041">
      <c r="AI45041" s="80"/>
    </row>
    <row r="45042">
      <c r="AI45042" s="80"/>
    </row>
    <row r="45043">
      <c r="AI45043" s="80"/>
    </row>
    <row r="45044">
      <c r="AI45044" s="80"/>
    </row>
    <row r="45045">
      <c r="AI45045" s="80"/>
    </row>
    <row r="45046">
      <c r="AI45046" s="80"/>
    </row>
    <row r="45047">
      <c r="AI45047" s="80"/>
    </row>
    <row r="45048">
      <c r="AI45048" s="80"/>
    </row>
    <row r="45049">
      <c r="AI45049" s="80"/>
    </row>
    <row r="45050">
      <c r="AI45050" s="80"/>
    </row>
    <row r="45051">
      <c r="AI45051" s="80"/>
    </row>
    <row r="45052">
      <c r="AI45052" s="80"/>
    </row>
    <row r="45053">
      <c r="AI45053" s="80"/>
    </row>
    <row r="45054">
      <c r="AI45054" s="80"/>
    </row>
    <row r="45055">
      <c r="AI45055" s="80"/>
    </row>
    <row r="45056">
      <c r="AI45056" s="80"/>
    </row>
    <row r="45057">
      <c r="AI45057" s="80"/>
    </row>
    <row r="45058">
      <c r="AI45058" s="80"/>
    </row>
    <row r="45059">
      <c r="AI45059" s="80"/>
    </row>
    <row r="45060">
      <c r="AI45060" s="80"/>
    </row>
    <row r="45061">
      <c r="AI45061" s="80"/>
    </row>
    <row r="45062">
      <c r="AI45062" s="80"/>
    </row>
    <row r="45063">
      <c r="AI45063" s="80"/>
    </row>
    <row r="45064">
      <c r="AI45064" s="80"/>
    </row>
    <row r="45065">
      <c r="AI45065" s="80"/>
    </row>
    <row r="45066">
      <c r="AI45066" s="80"/>
    </row>
    <row r="45067">
      <c r="AI45067" s="80"/>
    </row>
    <row r="45068">
      <c r="AI45068" s="80"/>
    </row>
    <row r="45069">
      <c r="AI45069" s="80"/>
    </row>
    <row r="45070">
      <c r="AI45070" s="80"/>
    </row>
    <row r="45071">
      <c r="AI45071" s="80"/>
    </row>
    <row r="45072">
      <c r="AI45072" s="80"/>
    </row>
    <row r="45073">
      <c r="AI45073" s="80"/>
    </row>
    <row r="45074">
      <c r="AI45074" s="80"/>
    </row>
    <row r="45075">
      <c r="AI45075" s="80"/>
    </row>
    <row r="45076">
      <c r="AI45076" s="80"/>
    </row>
    <row r="45077">
      <c r="AI45077" s="80"/>
    </row>
    <row r="45078">
      <c r="AI45078" s="80"/>
    </row>
    <row r="45079">
      <c r="AI45079" s="80"/>
    </row>
    <row r="45080">
      <c r="AI45080" s="80"/>
    </row>
    <row r="45081">
      <c r="AI45081" s="80"/>
    </row>
    <row r="45082">
      <c r="AI45082" s="80"/>
    </row>
    <row r="45083">
      <c r="AI45083" s="80"/>
    </row>
    <row r="45084">
      <c r="AI45084" s="80"/>
    </row>
    <row r="45085">
      <c r="AI45085" s="80"/>
    </row>
    <row r="45086">
      <c r="AI45086" s="80"/>
    </row>
    <row r="45087">
      <c r="AI45087" s="80"/>
    </row>
    <row r="45088">
      <c r="AI45088" s="80"/>
    </row>
    <row r="45089">
      <c r="AI45089" s="80"/>
    </row>
    <row r="45090">
      <c r="AI45090" s="80"/>
    </row>
    <row r="45091">
      <c r="AI45091" s="80"/>
    </row>
    <row r="45092">
      <c r="AI45092" s="80"/>
    </row>
    <row r="45093">
      <c r="AI45093" s="80"/>
    </row>
    <row r="45094">
      <c r="AI45094" s="80"/>
    </row>
    <row r="45095">
      <c r="AI45095" s="80"/>
    </row>
    <row r="45096">
      <c r="AI45096" s="80"/>
    </row>
    <row r="45097">
      <c r="AI45097" s="80"/>
    </row>
    <row r="45098">
      <c r="AI45098" s="80"/>
    </row>
    <row r="45099">
      <c r="AI45099" s="80"/>
    </row>
    <row r="45100">
      <c r="AI45100" s="80"/>
    </row>
    <row r="45101">
      <c r="AI45101" s="80"/>
    </row>
    <row r="45102">
      <c r="AI45102" s="80"/>
    </row>
    <row r="45103">
      <c r="AI45103" s="80"/>
    </row>
    <row r="45104">
      <c r="AI45104" s="80"/>
    </row>
    <row r="45105">
      <c r="AI45105" s="80"/>
    </row>
    <row r="45106">
      <c r="AI45106" s="80"/>
    </row>
    <row r="45107">
      <c r="AI45107" s="80"/>
    </row>
    <row r="45108">
      <c r="AI45108" s="80"/>
    </row>
    <row r="45109">
      <c r="AI45109" s="80"/>
    </row>
    <row r="45110">
      <c r="AI45110" s="80"/>
    </row>
    <row r="45111">
      <c r="AI45111" s="80"/>
    </row>
    <row r="45112">
      <c r="AI45112" s="80"/>
    </row>
    <row r="45113">
      <c r="AI45113" s="80"/>
    </row>
    <row r="45114">
      <c r="AI45114" s="80"/>
    </row>
    <row r="45115">
      <c r="AI45115" s="80"/>
    </row>
    <row r="45116">
      <c r="AI45116" s="80"/>
    </row>
    <row r="45117">
      <c r="AI45117" s="80"/>
    </row>
    <row r="45118">
      <c r="AI45118" s="80"/>
    </row>
    <row r="45119">
      <c r="AI45119" s="80"/>
    </row>
    <row r="45120">
      <c r="AI45120" s="80"/>
    </row>
    <row r="45121">
      <c r="AI45121" s="80"/>
    </row>
    <row r="45122">
      <c r="AI45122" s="80"/>
    </row>
    <row r="45123">
      <c r="AI45123" s="80"/>
    </row>
    <row r="45124">
      <c r="AI45124" s="80"/>
    </row>
    <row r="45125">
      <c r="AI45125" s="80"/>
    </row>
    <row r="45126">
      <c r="AI45126" s="80"/>
    </row>
    <row r="45127">
      <c r="AI45127" s="80"/>
    </row>
    <row r="45128">
      <c r="AI45128" s="80"/>
    </row>
    <row r="45129">
      <c r="AI45129" s="80"/>
    </row>
    <row r="45130">
      <c r="AI45130" s="80"/>
    </row>
    <row r="45131">
      <c r="AI45131" s="80"/>
    </row>
    <row r="45132">
      <c r="AI45132" s="80"/>
    </row>
    <row r="45133">
      <c r="AI45133" s="80"/>
    </row>
    <row r="45134">
      <c r="AI45134" s="80"/>
    </row>
    <row r="45135">
      <c r="AI45135" s="80"/>
    </row>
    <row r="45136">
      <c r="AI45136" s="80"/>
    </row>
    <row r="45137">
      <c r="AI45137" s="80"/>
    </row>
    <row r="45138">
      <c r="AI45138" s="80"/>
    </row>
    <row r="45139">
      <c r="AI45139" s="80"/>
    </row>
    <row r="45140">
      <c r="AI45140" s="80"/>
    </row>
    <row r="45141">
      <c r="AI45141" s="80"/>
    </row>
    <row r="45142">
      <c r="AI45142" s="80"/>
    </row>
    <row r="45143">
      <c r="AI45143" s="80"/>
    </row>
    <row r="45144">
      <c r="AI45144" s="80"/>
    </row>
    <row r="45145">
      <c r="AI45145" s="80"/>
    </row>
    <row r="45146">
      <c r="AI45146" s="80"/>
    </row>
    <row r="45147">
      <c r="AI45147" s="80"/>
    </row>
    <row r="45148">
      <c r="AI45148" s="80"/>
    </row>
    <row r="45149">
      <c r="AI45149" s="80"/>
    </row>
    <row r="45150">
      <c r="AI45150" s="80"/>
    </row>
    <row r="45151">
      <c r="AI45151" s="80"/>
    </row>
    <row r="45152">
      <c r="AI45152" s="80"/>
    </row>
    <row r="45153">
      <c r="AI45153" s="80"/>
    </row>
    <row r="45154">
      <c r="AI45154" s="80"/>
    </row>
    <row r="45155">
      <c r="AI45155" s="80"/>
    </row>
    <row r="45156">
      <c r="AI45156" s="80"/>
    </row>
    <row r="45157">
      <c r="AI45157" s="80"/>
    </row>
    <row r="45158">
      <c r="AI45158" s="80"/>
    </row>
    <row r="45159">
      <c r="AI45159" s="80"/>
    </row>
    <row r="45160">
      <c r="AI45160" s="80"/>
    </row>
    <row r="45161">
      <c r="AI45161" s="80"/>
    </row>
    <row r="45162">
      <c r="AI45162" s="80"/>
    </row>
    <row r="45163">
      <c r="AI45163" s="80"/>
    </row>
    <row r="45164">
      <c r="AI45164" s="80"/>
    </row>
    <row r="45165">
      <c r="AI45165" s="80"/>
    </row>
    <row r="45166">
      <c r="AI45166" s="80"/>
    </row>
    <row r="45167">
      <c r="AI45167" s="80"/>
    </row>
    <row r="45168">
      <c r="AI45168" s="80"/>
    </row>
    <row r="45169">
      <c r="AI45169" s="80"/>
    </row>
    <row r="45170">
      <c r="AI45170" s="80"/>
    </row>
    <row r="45171">
      <c r="AI45171" s="80"/>
    </row>
    <row r="45172">
      <c r="AI45172" s="80"/>
    </row>
    <row r="45173">
      <c r="AI45173" s="80"/>
    </row>
    <row r="45174">
      <c r="AI45174" s="80"/>
    </row>
    <row r="45175">
      <c r="AI45175" s="80"/>
    </row>
    <row r="45176">
      <c r="AI45176" s="80"/>
    </row>
    <row r="45177">
      <c r="AI45177" s="80"/>
    </row>
    <row r="45178">
      <c r="AI45178" s="80"/>
    </row>
    <row r="45179">
      <c r="AI45179" s="80"/>
    </row>
    <row r="45180">
      <c r="AI45180" s="80"/>
    </row>
    <row r="45181">
      <c r="AI45181" s="80"/>
    </row>
    <row r="45182">
      <c r="AI45182" s="80"/>
    </row>
    <row r="45183">
      <c r="AI45183" s="80"/>
    </row>
    <row r="45184">
      <c r="AI45184" s="80"/>
    </row>
    <row r="45185">
      <c r="AI45185" s="80"/>
    </row>
    <row r="45186">
      <c r="AI45186" s="80"/>
    </row>
    <row r="45187">
      <c r="AI45187" s="80"/>
    </row>
    <row r="45188">
      <c r="AI45188" s="80"/>
    </row>
    <row r="45189">
      <c r="AI45189" s="80"/>
    </row>
    <row r="45190">
      <c r="AI45190" s="80"/>
    </row>
    <row r="45191">
      <c r="AI45191" s="80"/>
    </row>
    <row r="45192">
      <c r="AI45192" s="80"/>
    </row>
    <row r="45193">
      <c r="AI45193" s="80"/>
    </row>
    <row r="45194">
      <c r="AI45194" s="80"/>
    </row>
    <row r="45195">
      <c r="AI45195" s="80"/>
    </row>
    <row r="45196">
      <c r="AI45196" s="80"/>
    </row>
    <row r="45197">
      <c r="AI45197" s="80"/>
    </row>
    <row r="45198">
      <c r="AI45198" s="80"/>
    </row>
    <row r="45199">
      <c r="AI45199" s="80"/>
    </row>
    <row r="45200">
      <c r="AI45200" s="80"/>
    </row>
    <row r="45201">
      <c r="AI45201" s="80"/>
    </row>
    <row r="45202">
      <c r="AI45202" s="80"/>
    </row>
    <row r="45203">
      <c r="AI45203" s="80"/>
    </row>
    <row r="45204">
      <c r="AI45204" s="80"/>
    </row>
    <row r="45205">
      <c r="AI45205" s="80"/>
    </row>
    <row r="45206">
      <c r="AI45206" s="80"/>
    </row>
    <row r="45207">
      <c r="AI45207" s="80"/>
    </row>
    <row r="45208">
      <c r="AI45208" s="80"/>
    </row>
    <row r="45209">
      <c r="AI45209" s="80"/>
    </row>
    <row r="45210">
      <c r="AI45210" s="80"/>
    </row>
    <row r="45211">
      <c r="AI45211" s="80"/>
    </row>
    <row r="45212">
      <c r="AI45212" s="80"/>
    </row>
    <row r="45213">
      <c r="AI45213" s="80"/>
    </row>
    <row r="45214">
      <c r="AI45214" s="80"/>
    </row>
    <row r="45215">
      <c r="AI45215" s="80"/>
    </row>
    <row r="45216">
      <c r="AI45216" s="80"/>
    </row>
    <row r="45217">
      <c r="AI45217" s="80"/>
    </row>
    <row r="45218">
      <c r="AI45218" s="80"/>
    </row>
    <row r="45219">
      <c r="AI45219" s="80"/>
    </row>
    <row r="45220">
      <c r="AI45220" s="80"/>
    </row>
    <row r="45221">
      <c r="AI45221" s="80"/>
    </row>
    <row r="45222">
      <c r="AI45222" s="80"/>
    </row>
    <row r="45223">
      <c r="AI45223" s="80"/>
    </row>
    <row r="45224">
      <c r="AI45224" s="80"/>
    </row>
    <row r="45225">
      <c r="AI45225" s="80"/>
    </row>
    <row r="45226">
      <c r="AI45226" s="80"/>
    </row>
    <row r="45227">
      <c r="AI45227" s="80"/>
    </row>
    <row r="45228">
      <c r="AI45228" s="80"/>
    </row>
    <row r="45229">
      <c r="AI45229" s="80"/>
    </row>
    <row r="45230">
      <c r="AI45230" s="80"/>
    </row>
    <row r="45231">
      <c r="AI45231" s="80"/>
    </row>
    <row r="45232">
      <c r="AI45232" s="80"/>
    </row>
    <row r="45233">
      <c r="AI45233" s="80"/>
    </row>
    <row r="45234">
      <c r="AI45234" s="80"/>
    </row>
    <row r="45235">
      <c r="AI45235" s="80"/>
    </row>
    <row r="45236">
      <c r="AI45236" s="80"/>
    </row>
    <row r="45237">
      <c r="AI45237" s="80"/>
    </row>
    <row r="45238">
      <c r="AI45238" s="80"/>
    </row>
    <row r="45239">
      <c r="AI45239" s="80"/>
    </row>
    <row r="45240">
      <c r="AI45240" s="80"/>
    </row>
    <row r="45241">
      <c r="AI45241" s="80"/>
    </row>
    <row r="45242">
      <c r="AI45242" s="80"/>
    </row>
    <row r="45243">
      <c r="AI45243" s="80"/>
    </row>
    <row r="45244">
      <c r="AI45244" s="80"/>
    </row>
    <row r="45245">
      <c r="AI45245" s="80"/>
    </row>
    <row r="45246">
      <c r="AI45246" s="80"/>
    </row>
    <row r="45247">
      <c r="AI45247" s="80"/>
    </row>
    <row r="45248">
      <c r="AI45248" s="80"/>
    </row>
    <row r="45249">
      <c r="AI45249" s="80"/>
    </row>
    <row r="45250">
      <c r="AI45250" s="80"/>
    </row>
    <row r="45251">
      <c r="AI45251" s="80"/>
    </row>
    <row r="45252">
      <c r="AI45252" s="80"/>
    </row>
    <row r="45253">
      <c r="AI45253" s="80"/>
    </row>
    <row r="45254">
      <c r="AI45254" s="80"/>
    </row>
    <row r="45255">
      <c r="AI45255" s="80"/>
    </row>
    <row r="45256">
      <c r="AI45256" s="80"/>
    </row>
    <row r="45257">
      <c r="AI45257" s="80"/>
    </row>
    <row r="45258">
      <c r="AI45258" s="80"/>
    </row>
    <row r="45259">
      <c r="AI45259" s="80"/>
    </row>
    <row r="45260">
      <c r="AI45260" s="80"/>
    </row>
    <row r="45261">
      <c r="AI45261" s="80"/>
    </row>
    <row r="45262">
      <c r="AI45262" s="80"/>
    </row>
    <row r="45263">
      <c r="AI45263" s="80"/>
    </row>
    <row r="45264">
      <c r="AI45264" s="80"/>
    </row>
    <row r="45265">
      <c r="AI45265" s="80"/>
    </row>
    <row r="45266">
      <c r="AI45266" s="80"/>
    </row>
    <row r="45267">
      <c r="AI45267" s="80"/>
    </row>
    <row r="45268">
      <c r="AI45268" s="80"/>
    </row>
    <row r="45269">
      <c r="AI45269" s="80"/>
    </row>
    <row r="45270">
      <c r="AI45270" s="80"/>
    </row>
    <row r="45271">
      <c r="AI45271" s="80"/>
    </row>
    <row r="45272">
      <c r="AI45272" s="80"/>
    </row>
    <row r="45273">
      <c r="AI45273" s="80"/>
    </row>
    <row r="45274">
      <c r="AI45274" s="80"/>
    </row>
    <row r="45275">
      <c r="AI45275" s="80"/>
    </row>
    <row r="45276">
      <c r="AI45276" s="80"/>
    </row>
    <row r="45277">
      <c r="AI45277" s="80"/>
    </row>
    <row r="45278">
      <c r="AI45278" s="80"/>
    </row>
    <row r="45279">
      <c r="AI45279" s="80"/>
    </row>
    <row r="45280">
      <c r="AI45280" s="80"/>
    </row>
    <row r="45281">
      <c r="AI45281" s="80"/>
    </row>
    <row r="45282">
      <c r="AI45282" s="80"/>
    </row>
    <row r="45283">
      <c r="AI45283" s="80"/>
    </row>
    <row r="45284">
      <c r="AI45284" s="80"/>
    </row>
    <row r="45285">
      <c r="AI45285" s="80"/>
    </row>
    <row r="45286">
      <c r="AI45286" s="80"/>
    </row>
    <row r="45287">
      <c r="AI45287" s="80"/>
    </row>
    <row r="45288">
      <c r="AI45288" s="80"/>
    </row>
    <row r="45289">
      <c r="AI45289" s="80"/>
    </row>
    <row r="45290">
      <c r="AI45290" s="80"/>
    </row>
    <row r="45291">
      <c r="AI45291" s="80"/>
    </row>
    <row r="45292">
      <c r="AI45292" s="80"/>
    </row>
    <row r="45293">
      <c r="AI45293" s="80"/>
    </row>
    <row r="45294">
      <c r="AI45294" s="80"/>
    </row>
    <row r="45295">
      <c r="AI45295" s="80"/>
    </row>
    <row r="45296">
      <c r="AI45296" s="80"/>
    </row>
    <row r="45297">
      <c r="AI45297" s="80"/>
    </row>
    <row r="45298">
      <c r="AI45298" s="80"/>
    </row>
    <row r="45299">
      <c r="AI45299" s="80"/>
    </row>
    <row r="45300">
      <c r="AI45300" s="80"/>
    </row>
    <row r="45301">
      <c r="AI45301" s="80"/>
    </row>
    <row r="45302">
      <c r="AI45302" s="80"/>
    </row>
    <row r="45303">
      <c r="AI45303" s="80"/>
    </row>
    <row r="45304">
      <c r="AI45304" s="80"/>
    </row>
    <row r="45305">
      <c r="AI45305" s="80"/>
    </row>
    <row r="45306">
      <c r="AI45306" s="80"/>
    </row>
    <row r="45307">
      <c r="AI45307" s="80"/>
    </row>
    <row r="45308">
      <c r="AI45308" s="80"/>
    </row>
    <row r="45309">
      <c r="AI45309" s="80"/>
    </row>
    <row r="45310">
      <c r="AI45310" s="80"/>
    </row>
    <row r="45311">
      <c r="AI45311" s="80"/>
    </row>
    <row r="45312">
      <c r="AI45312" s="80"/>
    </row>
    <row r="45313">
      <c r="AI45313" s="80"/>
    </row>
    <row r="45314">
      <c r="AI45314" s="80"/>
    </row>
    <row r="45315">
      <c r="AI45315" s="80"/>
    </row>
    <row r="45316">
      <c r="AI45316" s="80"/>
    </row>
    <row r="45317">
      <c r="AI45317" s="80"/>
    </row>
    <row r="45318">
      <c r="AI45318" s="80"/>
    </row>
    <row r="45319">
      <c r="AI45319" s="80"/>
    </row>
    <row r="45320">
      <c r="AI45320" s="80"/>
    </row>
    <row r="45321">
      <c r="AI45321" s="80"/>
    </row>
    <row r="45322">
      <c r="AI45322" s="80"/>
    </row>
    <row r="45323">
      <c r="AI45323" s="80"/>
    </row>
    <row r="45324">
      <c r="AI45324" s="80"/>
    </row>
    <row r="45325">
      <c r="AI45325" s="80"/>
    </row>
    <row r="45326">
      <c r="AI45326" s="80"/>
    </row>
    <row r="45327">
      <c r="AI45327" s="80"/>
    </row>
    <row r="45328">
      <c r="AI45328" s="80"/>
    </row>
    <row r="45329">
      <c r="AI45329" s="80"/>
    </row>
    <row r="45330">
      <c r="AI45330" s="80"/>
    </row>
    <row r="45331">
      <c r="AI45331" s="80"/>
    </row>
    <row r="45332">
      <c r="AI45332" s="80"/>
    </row>
    <row r="45333">
      <c r="AI45333" s="80"/>
    </row>
    <row r="45334">
      <c r="AI45334" s="80"/>
    </row>
    <row r="45335">
      <c r="AI45335" s="80"/>
    </row>
    <row r="45336">
      <c r="AI45336" s="80"/>
    </row>
    <row r="45337">
      <c r="AI45337" s="80"/>
    </row>
    <row r="45338">
      <c r="AI45338" s="80"/>
    </row>
    <row r="45339">
      <c r="AI45339" s="80"/>
    </row>
    <row r="45340">
      <c r="AI45340" s="80"/>
    </row>
    <row r="45341">
      <c r="AI45341" s="80"/>
    </row>
    <row r="45342">
      <c r="AI45342" s="80"/>
    </row>
    <row r="45343">
      <c r="AI45343" s="80"/>
    </row>
    <row r="45344">
      <c r="AI45344" s="80"/>
    </row>
    <row r="45345">
      <c r="AI45345" s="80"/>
    </row>
    <row r="45346">
      <c r="AI45346" s="80"/>
    </row>
    <row r="45347">
      <c r="AI45347" s="80"/>
    </row>
    <row r="45348">
      <c r="AI45348" s="80"/>
    </row>
    <row r="45349">
      <c r="AI45349" s="80"/>
    </row>
    <row r="45350">
      <c r="AI45350" s="80"/>
    </row>
    <row r="45351">
      <c r="AI45351" s="80"/>
    </row>
    <row r="45352">
      <c r="AI45352" s="80"/>
    </row>
    <row r="45353">
      <c r="AI45353" s="80"/>
    </row>
    <row r="45354">
      <c r="AI45354" s="80"/>
    </row>
    <row r="45355">
      <c r="AI45355" s="80"/>
    </row>
    <row r="45356">
      <c r="AI45356" s="80"/>
    </row>
    <row r="45357">
      <c r="AI45357" s="80"/>
    </row>
    <row r="45358">
      <c r="AI45358" s="80"/>
    </row>
    <row r="45359">
      <c r="AI45359" s="80"/>
    </row>
    <row r="45360">
      <c r="AI45360" s="80"/>
    </row>
    <row r="45361">
      <c r="AI45361" s="80"/>
    </row>
    <row r="45362">
      <c r="AI45362" s="80"/>
    </row>
    <row r="45363">
      <c r="AI45363" s="80"/>
    </row>
    <row r="45364">
      <c r="AI45364" s="80"/>
    </row>
    <row r="45365">
      <c r="AI45365" s="80"/>
    </row>
    <row r="45366">
      <c r="AI45366" s="80"/>
    </row>
    <row r="45367">
      <c r="AI45367" s="80"/>
    </row>
    <row r="45368">
      <c r="AI45368" s="80"/>
    </row>
    <row r="45369">
      <c r="AI45369" s="80"/>
    </row>
    <row r="45370">
      <c r="AI45370" s="80"/>
    </row>
    <row r="45371">
      <c r="AI45371" s="80"/>
    </row>
    <row r="45372">
      <c r="AI45372" s="80"/>
    </row>
    <row r="45373">
      <c r="AI45373" s="80"/>
    </row>
    <row r="45374">
      <c r="AI45374" s="80"/>
    </row>
    <row r="45375">
      <c r="AI45375" s="80"/>
    </row>
    <row r="45376">
      <c r="AI45376" s="80"/>
    </row>
    <row r="45377">
      <c r="AI45377" s="80"/>
    </row>
    <row r="45378">
      <c r="AI45378" s="80"/>
    </row>
    <row r="45379">
      <c r="AI45379" s="80"/>
    </row>
    <row r="45380">
      <c r="AI45380" s="80"/>
    </row>
    <row r="45381">
      <c r="AI45381" s="80"/>
    </row>
    <row r="45382">
      <c r="AI45382" s="80"/>
    </row>
    <row r="45383">
      <c r="AI45383" s="80"/>
    </row>
    <row r="45384">
      <c r="AI45384" s="80"/>
    </row>
    <row r="45385">
      <c r="AI45385" s="80"/>
    </row>
    <row r="45386">
      <c r="AI45386" s="80"/>
    </row>
    <row r="45387">
      <c r="AI45387" s="80"/>
    </row>
    <row r="45388">
      <c r="AI45388" s="80"/>
    </row>
    <row r="45389">
      <c r="AI45389" s="80"/>
    </row>
    <row r="45390">
      <c r="AI45390" s="80"/>
    </row>
    <row r="45391">
      <c r="AI45391" s="80"/>
    </row>
    <row r="45392">
      <c r="AI45392" s="80"/>
    </row>
    <row r="45393">
      <c r="AI45393" s="80"/>
    </row>
    <row r="45394">
      <c r="AI45394" s="80"/>
    </row>
    <row r="45395">
      <c r="AI45395" s="80"/>
    </row>
    <row r="45396">
      <c r="AI45396" s="80"/>
    </row>
    <row r="45397">
      <c r="AI45397" s="80"/>
    </row>
    <row r="45398">
      <c r="AI45398" s="80"/>
    </row>
    <row r="45399">
      <c r="AI45399" s="80"/>
    </row>
    <row r="45400">
      <c r="AI45400" s="80"/>
    </row>
    <row r="45401">
      <c r="AI45401" s="80"/>
    </row>
    <row r="45402">
      <c r="AI45402" s="80"/>
    </row>
    <row r="45403">
      <c r="AI45403" s="80"/>
    </row>
    <row r="45404">
      <c r="AI45404" s="80"/>
    </row>
    <row r="45405">
      <c r="AI45405" s="80"/>
    </row>
    <row r="45406">
      <c r="AI45406" s="80"/>
    </row>
    <row r="45407">
      <c r="AI45407" s="80"/>
    </row>
    <row r="45408">
      <c r="AI45408" s="80"/>
    </row>
    <row r="45409">
      <c r="AI45409" s="80"/>
    </row>
    <row r="45410">
      <c r="AI45410" s="80"/>
    </row>
    <row r="45411">
      <c r="AI45411" s="80"/>
    </row>
    <row r="45412">
      <c r="AI45412" s="80"/>
    </row>
    <row r="45413">
      <c r="AI45413" s="80"/>
    </row>
    <row r="45414">
      <c r="AI45414" s="80"/>
    </row>
    <row r="45415">
      <c r="AI45415" s="80"/>
    </row>
    <row r="45416">
      <c r="AI45416" s="80"/>
    </row>
    <row r="45417">
      <c r="AI45417" s="80"/>
    </row>
    <row r="45418">
      <c r="AI45418" s="80"/>
    </row>
    <row r="45419">
      <c r="AI45419" s="80"/>
    </row>
    <row r="45420">
      <c r="AI45420" s="80"/>
    </row>
    <row r="45421">
      <c r="AI45421" s="80"/>
    </row>
    <row r="45422">
      <c r="AI45422" s="80"/>
    </row>
    <row r="45423">
      <c r="AI45423" s="80"/>
    </row>
    <row r="45424">
      <c r="AI45424" s="80"/>
    </row>
    <row r="45425">
      <c r="AI45425" s="80"/>
    </row>
    <row r="45426">
      <c r="AI45426" s="80"/>
    </row>
    <row r="45427">
      <c r="AI45427" s="80"/>
    </row>
    <row r="45428">
      <c r="AI45428" s="80"/>
    </row>
    <row r="45429">
      <c r="AI45429" s="80"/>
    </row>
    <row r="45430">
      <c r="AI45430" s="80"/>
    </row>
    <row r="45431">
      <c r="AI45431" s="80"/>
    </row>
    <row r="45432">
      <c r="AI45432" s="80"/>
    </row>
    <row r="45433">
      <c r="AI45433" s="80"/>
    </row>
    <row r="45434">
      <c r="AI45434" s="80"/>
    </row>
    <row r="45435">
      <c r="AI45435" s="80"/>
    </row>
    <row r="45436">
      <c r="AI45436" s="80"/>
    </row>
    <row r="45437">
      <c r="AI45437" s="80"/>
    </row>
    <row r="45438">
      <c r="AI45438" s="80"/>
    </row>
    <row r="45439">
      <c r="AI45439" s="80"/>
    </row>
    <row r="45440">
      <c r="AI45440" s="80"/>
    </row>
    <row r="45441">
      <c r="AI45441" s="80"/>
    </row>
    <row r="45442">
      <c r="AI45442" s="80"/>
    </row>
    <row r="45443">
      <c r="AI45443" s="80"/>
    </row>
    <row r="45444">
      <c r="AI45444" s="80"/>
    </row>
    <row r="45445">
      <c r="AI45445" s="80"/>
    </row>
    <row r="45446">
      <c r="AI45446" s="80"/>
    </row>
    <row r="45447">
      <c r="AI45447" s="80"/>
    </row>
    <row r="45448">
      <c r="AI45448" s="80"/>
    </row>
    <row r="45449">
      <c r="AI45449" s="80"/>
    </row>
    <row r="45450">
      <c r="AI45450" s="80"/>
    </row>
    <row r="45451">
      <c r="AI45451" s="80"/>
    </row>
    <row r="45452">
      <c r="AI45452" s="80"/>
    </row>
    <row r="45453">
      <c r="AI45453" s="80"/>
    </row>
    <row r="45454">
      <c r="AI45454" s="80"/>
    </row>
    <row r="45455">
      <c r="AI45455" s="80"/>
    </row>
    <row r="45456">
      <c r="AI45456" s="80"/>
    </row>
    <row r="45457">
      <c r="AI45457" s="80"/>
    </row>
    <row r="45458">
      <c r="AI45458" s="80"/>
    </row>
    <row r="45459">
      <c r="AI45459" s="80"/>
    </row>
    <row r="45460">
      <c r="AI45460" s="80"/>
    </row>
    <row r="45461">
      <c r="AI45461" s="80"/>
    </row>
    <row r="45462">
      <c r="AI45462" s="80"/>
    </row>
    <row r="45463">
      <c r="AI45463" s="80"/>
    </row>
    <row r="45464">
      <c r="AI45464" s="80"/>
    </row>
    <row r="45465">
      <c r="AI45465" s="80"/>
    </row>
    <row r="45466">
      <c r="AI45466" s="80"/>
    </row>
    <row r="45467">
      <c r="AI45467" s="80"/>
    </row>
    <row r="45468">
      <c r="AI45468" s="80"/>
    </row>
    <row r="45469">
      <c r="AI45469" s="80"/>
    </row>
    <row r="45470">
      <c r="AI45470" s="80"/>
    </row>
    <row r="45471">
      <c r="AI45471" s="80"/>
    </row>
    <row r="45472">
      <c r="AI45472" s="80"/>
    </row>
    <row r="45473">
      <c r="AI45473" s="80"/>
    </row>
    <row r="45474">
      <c r="AI45474" s="80"/>
    </row>
    <row r="45475">
      <c r="AI45475" s="80"/>
    </row>
    <row r="45476">
      <c r="AI45476" s="80"/>
    </row>
    <row r="45477">
      <c r="AI45477" s="80"/>
    </row>
    <row r="45478">
      <c r="AI45478" s="80"/>
    </row>
    <row r="45479">
      <c r="AI45479" s="80"/>
    </row>
    <row r="45480">
      <c r="AI45480" s="80"/>
    </row>
    <row r="45481">
      <c r="AI45481" s="80"/>
    </row>
    <row r="45482">
      <c r="AI45482" s="80"/>
    </row>
    <row r="45483">
      <c r="AI45483" s="80"/>
    </row>
    <row r="45484">
      <c r="AI45484" s="80"/>
    </row>
    <row r="45485">
      <c r="AI45485" s="80"/>
    </row>
    <row r="45486">
      <c r="AI45486" s="80"/>
    </row>
    <row r="45487">
      <c r="AI45487" s="80"/>
    </row>
    <row r="45488">
      <c r="AI45488" s="80"/>
    </row>
    <row r="45489">
      <c r="AI45489" s="80"/>
    </row>
    <row r="45490">
      <c r="AI45490" s="80"/>
    </row>
    <row r="45491">
      <c r="AI45491" s="80"/>
    </row>
    <row r="45492">
      <c r="AI45492" s="80"/>
    </row>
    <row r="45493">
      <c r="AI45493" s="80"/>
    </row>
    <row r="45494">
      <c r="AI45494" s="80"/>
    </row>
    <row r="45495">
      <c r="AI45495" s="80"/>
    </row>
    <row r="45496">
      <c r="AI45496" s="80"/>
    </row>
    <row r="45497">
      <c r="AI45497" s="80"/>
    </row>
    <row r="45498">
      <c r="AI45498" s="80"/>
    </row>
    <row r="45499">
      <c r="AI45499" s="80"/>
    </row>
    <row r="45500">
      <c r="AI45500" s="80"/>
    </row>
    <row r="45501">
      <c r="AI45501" s="80"/>
    </row>
    <row r="45502">
      <c r="AI45502" s="80"/>
    </row>
    <row r="45503">
      <c r="AI45503" s="80"/>
    </row>
    <row r="45504">
      <c r="AI45504" s="80"/>
    </row>
    <row r="45505">
      <c r="AI45505" s="80"/>
    </row>
    <row r="45506">
      <c r="AI45506" s="80"/>
    </row>
    <row r="45507">
      <c r="AI45507" s="80"/>
    </row>
    <row r="45508">
      <c r="AI45508" s="80"/>
    </row>
    <row r="45509">
      <c r="AI45509" s="80"/>
    </row>
    <row r="45510">
      <c r="AI45510" s="80"/>
    </row>
    <row r="45511">
      <c r="AI45511" s="80"/>
    </row>
    <row r="45512">
      <c r="AI45512" s="80"/>
    </row>
    <row r="45513">
      <c r="AI45513" s="80"/>
    </row>
    <row r="45514">
      <c r="AI45514" s="80"/>
    </row>
    <row r="45515">
      <c r="AI45515" s="80"/>
    </row>
    <row r="45516">
      <c r="AI45516" s="80"/>
    </row>
    <row r="45517">
      <c r="AI45517" s="80"/>
    </row>
    <row r="45518">
      <c r="AI45518" s="80"/>
    </row>
    <row r="45519">
      <c r="AI45519" s="80"/>
    </row>
    <row r="45520">
      <c r="AI45520" s="80"/>
    </row>
    <row r="45521">
      <c r="AI45521" s="80"/>
    </row>
    <row r="45522">
      <c r="AI45522" s="80"/>
    </row>
    <row r="45523">
      <c r="AI45523" s="80"/>
    </row>
    <row r="45524">
      <c r="AI45524" s="80"/>
    </row>
    <row r="45525">
      <c r="AI45525" s="80"/>
    </row>
    <row r="45526">
      <c r="AI45526" s="80"/>
    </row>
    <row r="45527">
      <c r="AI45527" s="80"/>
    </row>
    <row r="45528">
      <c r="AI45528" s="80"/>
    </row>
    <row r="45529">
      <c r="AI45529" s="80"/>
    </row>
    <row r="45530">
      <c r="AI45530" s="80"/>
    </row>
    <row r="45531">
      <c r="AI45531" s="80"/>
    </row>
    <row r="45532">
      <c r="AI45532" s="80"/>
    </row>
    <row r="45533">
      <c r="AI45533" s="80"/>
    </row>
    <row r="45534">
      <c r="AI45534" s="80"/>
    </row>
    <row r="45535">
      <c r="AI45535" s="80"/>
    </row>
    <row r="45536">
      <c r="AI45536" s="80"/>
    </row>
    <row r="45537">
      <c r="AI45537" s="80"/>
    </row>
    <row r="45538">
      <c r="AI45538" s="80"/>
    </row>
    <row r="45539">
      <c r="AI45539" s="80"/>
    </row>
    <row r="45540">
      <c r="AI45540" s="80"/>
    </row>
    <row r="45541">
      <c r="AI45541" s="80"/>
    </row>
    <row r="45542">
      <c r="AI45542" s="80"/>
    </row>
    <row r="45543">
      <c r="AI45543" s="80"/>
    </row>
    <row r="45544">
      <c r="AI45544" s="80"/>
    </row>
    <row r="45545">
      <c r="AI45545" s="80"/>
    </row>
    <row r="45546">
      <c r="AI45546" s="80"/>
    </row>
    <row r="45547">
      <c r="AI45547" s="80"/>
    </row>
    <row r="45548">
      <c r="AI45548" s="80"/>
    </row>
    <row r="45549">
      <c r="AI45549" s="80"/>
    </row>
    <row r="45550">
      <c r="AI45550" s="80"/>
    </row>
    <row r="45551">
      <c r="AI45551" s="80"/>
    </row>
    <row r="45552">
      <c r="AI45552" s="80"/>
    </row>
    <row r="45553">
      <c r="AI45553" s="80"/>
    </row>
    <row r="45554">
      <c r="AI45554" s="80"/>
    </row>
    <row r="45555">
      <c r="AI45555" s="80"/>
    </row>
    <row r="45556">
      <c r="AI45556" s="80"/>
    </row>
    <row r="45557">
      <c r="AI45557" s="80"/>
    </row>
    <row r="45558">
      <c r="AI45558" s="80"/>
    </row>
    <row r="45559">
      <c r="AI45559" s="80"/>
    </row>
    <row r="45560">
      <c r="AI45560" s="80"/>
    </row>
    <row r="45561">
      <c r="AI45561" s="80"/>
    </row>
    <row r="45562">
      <c r="AI45562" s="80"/>
    </row>
    <row r="45563">
      <c r="AI45563" s="80"/>
    </row>
    <row r="45564">
      <c r="AI45564" s="80"/>
    </row>
    <row r="45565">
      <c r="AI45565" s="80"/>
    </row>
    <row r="45566">
      <c r="AI45566" s="80"/>
    </row>
    <row r="45567">
      <c r="AI45567" s="80"/>
    </row>
    <row r="45568">
      <c r="AI45568" s="80"/>
    </row>
    <row r="45569">
      <c r="AI45569" s="80"/>
    </row>
    <row r="45570">
      <c r="AI45570" s="80"/>
    </row>
    <row r="45571">
      <c r="AI45571" s="80"/>
    </row>
    <row r="45572">
      <c r="AI45572" s="80"/>
    </row>
    <row r="45573">
      <c r="AI45573" s="80"/>
    </row>
    <row r="45574">
      <c r="AI45574" s="80"/>
    </row>
    <row r="45575">
      <c r="AI45575" s="80"/>
    </row>
    <row r="45576">
      <c r="AI45576" s="80"/>
    </row>
    <row r="45577">
      <c r="AI45577" s="80"/>
    </row>
    <row r="45578">
      <c r="AI45578" s="80"/>
    </row>
    <row r="45579">
      <c r="AI45579" s="80"/>
    </row>
    <row r="45580">
      <c r="AI45580" s="80"/>
    </row>
    <row r="45581">
      <c r="AI45581" s="80"/>
    </row>
    <row r="45582">
      <c r="AI45582" s="80"/>
    </row>
    <row r="45583">
      <c r="AI45583" s="80"/>
    </row>
    <row r="45584">
      <c r="AI45584" s="80"/>
    </row>
    <row r="45585">
      <c r="AI45585" s="80"/>
    </row>
    <row r="45586">
      <c r="AI45586" s="80"/>
    </row>
    <row r="45587">
      <c r="AI45587" s="80"/>
    </row>
    <row r="45588">
      <c r="AI45588" s="80"/>
    </row>
    <row r="45589">
      <c r="AI45589" s="80"/>
    </row>
    <row r="45590">
      <c r="AI45590" s="80"/>
    </row>
    <row r="45591">
      <c r="AI45591" s="80"/>
    </row>
    <row r="45592">
      <c r="AI45592" s="80"/>
    </row>
    <row r="45593">
      <c r="AI45593" s="80"/>
    </row>
    <row r="45594">
      <c r="AI45594" s="80"/>
    </row>
    <row r="45595">
      <c r="AI45595" s="80"/>
    </row>
    <row r="45596">
      <c r="AI45596" s="80"/>
    </row>
    <row r="45597">
      <c r="AI45597" s="80"/>
    </row>
    <row r="45598">
      <c r="AI45598" s="80"/>
    </row>
    <row r="45599">
      <c r="AI45599" s="80"/>
    </row>
    <row r="45600">
      <c r="AI45600" s="80"/>
    </row>
    <row r="45601">
      <c r="AI45601" s="80"/>
    </row>
    <row r="45602">
      <c r="AI45602" s="80"/>
    </row>
    <row r="45603">
      <c r="AI45603" s="80"/>
    </row>
    <row r="45604">
      <c r="AI45604" s="80"/>
    </row>
    <row r="45605">
      <c r="AI45605" s="80"/>
    </row>
    <row r="45606">
      <c r="AI45606" s="80"/>
    </row>
    <row r="45607">
      <c r="AI45607" s="80"/>
    </row>
    <row r="45608">
      <c r="AI45608" s="80"/>
    </row>
    <row r="45609">
      <c r="AI45609" s="80"/>
    </row>
    <row r="45610">
      <c r="AI45610" s="80"/>
    </row>
    <row r="45611">
      <c r="AI45611" s="80"/>
    </row>
    <row r="45612">
      <c r="AI45612" s="80"/>
    </row>
    <row r="45613">
      <c r="AI45613" s="80"/>
    </row>
    <row r="45614">
      <c r="AI45614" s="80"/>
    </row>
    <row r="45615">
      <c r="AI45615" s="80"/>
    </row>
    <row r="45616">
      <c r="AI45616" s="80"/>
    </row>
    <row r="45617">
      <c r="AI45617" s="80"/>
    </row>
    <row r="45618">
      <c r="AI45618" s="80"/>
    </row>
    <row r="45619">
      <c r="AI45619" s="80"/>
    </row>
    <row r="45620">
      <c r="AI45620" s="80"/>
    </row>
    <row r="45621">
      <c r="AI45621" s="80"/>
    </row>
    <row r="45622">
      <c r="AI45622" s="80"/>
    </row>
    <row r="45623">
      <c r="AI45623" s="80"/>
    </row>
    <row r="45624">
      <c r="AI45624" s="80"/>
    </row>
    <row r="45625">
      <c r="AI45625" s="80"/>
    </row>
    <row r="45626">
      <c r="AI45626" s="80"/>
    </row>
    <row r="45627">
      <c r="AI45627" s="80"/>
    </row>
    <row r="45628">
      <c r="AI45628" s="80"/>
    </row>
    <row r="45629">
      <c r="AI45629" s="80"/>
    </row>
    <row r="45630">
      <c r="AI45630" s="80"/>
    </row>
    <row r="45631">
      <c r="AI45631" s="80"/>
    </row>
    <row r="45632">
      <c r="AI45632" s="80"/>
    </row>
    <row r="45633">
      <c r="AI45633" s="80"/>
    </row>
    <row r="45634">
      <c r="AI45634" s="80"/>
    </row>
    <row r="45635">
      <c r="AI45635" s="80"/>
    </row>
    <row r="45636">
      <c r="AI45636" s="80"/>
    </row>
    <row r="45637">
      <c r="AI45637" s="80"/>
    </row>
    <row r="45638">
      <c r="AI45638" s="80"/>
    </row>
    <row r="45639">
      <c r="AI45639" s="80"/>
    </row>
    <row r="45640">
      <c r="AI45640" s="80"/>
    </row>
    <row r="45641">
      <c r="AI45641" s="80"/>
    </row>
    <row r="45642">
      <c r="AI45642" s="80"/>
    </row>
    <row r="45643">
      <c r="AI45643" s="80"/>
    </row>
    <row r="45644">
      <c r="AI45644" s="80"/>
    </row>
    <row r="45645">
      <c r="AI45645" s="80"/>
    </row>
    <row r="45646">
      <c r="AI45646" s="80"/>
    </row>
    <row r="45647">
      <c r="AI45647" s="80"/>
    </row>
    <row r="45648">
      <c r="AI45648" s="80"/>
    </row>
    <row r="45649">
      <c r="AI45649" s="80"/>
    </row>
    <row r="45650">
      <c r="AI45650" s="80"/>
    </row>
    <row r="45651">
      <c r="AI45651" s="80"/>
    </row>
    <row r="45652">
      <c r="AI45652" s="80"/>
    </row>
    <row r="45653">
      <c r="AI45653" s="80"/>
    </row>
    <row r="45654">
      <c r="AI45654" s="80"/>
    </row>
    <row r="45655">
      <c r="AI45655" s="80"/>
    </row>
    <row r="45656">
      <c r="AI45656" s="80"/>
    </row>
    <row r="45657">
      <c r="AI45657" s="80"/>
    </row>
    <row r="45658">
      <c r="AI45658" s="80"/>
    </row>
    <row r="45659">
      <c r="AI45659" s="80"/>
    </row>
    <row r="45660">
      <c r="AI45660" s="80"/>
    </row>
    <row r="45661">
      <c r="AI45661" s="80"/>
    </row>
    <row r="45662">
      <c r="AI45662" s="80"/>
    </row>
    <row r="45663">
      <c r="AI45663" s="80"/>
    </row>
    <row r="45664">
      <c r="AI45664" s="80"/>
    </row>
    <row r="45665">
      <c r="AI45665" s="80"/>
    </row>
    <row r="45666">
      <c r="AI45666" s="80"/>
    </row>
    <row r="45667">
      <c r="AI45667" s="80"/>
    </row>
    <row r="45668">
      <c r="AI45668" s="80"/>
    </row>
    <row r="45669">
      <c r="AI45669" s="80"/>
    </row>
    <row r="45670">
      <c r="AI45670" s="80"/>
    </row>
    <row r="45671">
      <c r="AI45671" s="80"/>
    </row>
    <row r="45672">
      <c r="AI45672" s="80"/>
    </row>
    <row r="45673">
      <c r="AI45673" s="80"/>
    </row>
    <row r="45674">
      <c r="AI45674" s="80"/>
    </row>
    <row r="45675">
      <c r="AI45675" s="80"/>
    </row>
    <row r="45676">
      <c r="AI45676" s="80"/>
    </row>
    <row r="45677">
      <c r="AI45677" s="80"/>
    </row>
    <row r="45678">
      <c r="AI45678" s="80"/>
    </row>
    <row r="45679">
      <c r="AI45679" s="80"/>
    </row>
    <row r="45680">
      <c r="AI45680" s="80"/>
    </row>
    <row r="45681">
      <c r="AI45681" s="80"/>
    </row>
    <row r="45682">
      <c r="AI45682" s="80"/>
    </row>
    <row r="45683">
      <c r="AI45683" s="80"/>
    </row>
    <row r="45684">
      <c r="AI45684" s="80"/>
    </row>
    <row r="45685">
      <c r="AI45685" s="80"/>
    </row>
    <row r="45686">
      <c r="AI45686" s="80"/>
    </row>
    <row r="45687">
      <c r="AI45687" s="80"/>
    </row>
    <row r="45688">
      <c r="AI45688" s="80"/>
    </row>
    <row r="45689">
      <c r="AI45689" s="80"/>
    </row>
    <row r="45690">
      <c r="AI45690" s="80"/>
    </row>
    <row r="45691">
      <c r="AI45691" s="80"/>
    </row>
    <row r="45692">
      <c r="AI45692" s="80"/>
    </row>
    <row r="45693">
      <c r="AI45693" s="80"/>
    </row>
    <row r="45694">
      <c r="AI45694" s="80"/>
    </row>
    <row r="45695">
      <c r="AI45695" s="80"/>
    </row>
    <row r="45696">
      <c r="AI45696" s="80"/>
    </row>
    <row r="45697">
      <c r="AI45697" s="80"/>
    </row>
    <row r="45698">
      <c r="AI45698" s="80"/>
    </row>
    <row r="45699">
      <c r="AI45699" s="80"/>
    </row>
    <row r="45700">
      <c r="AI45700" s="80"/>
    </row>
    <row r="45701">
      <c r="AI45701" s="80"/>
    </row>
    <row r="45702">
      <c r="AI45702" s="80"/>
    </row>
    <row r="45703">
      <c r="AI45703" s="80"/>
    </row>
    <row r="45704">
      <c r="AI45704" s="80"/>
    </row>
    <row r="45705">
      <c r="AI45705" s="80"/>
    </row>
    <row r="45706">
      <c r="AI45706" s="80"/>
    </row>
    <row r="45707">
      <c r="AI45707" s="80"/>
    </row>
    <row r="45708">
      <c r="AI45708" s="80"/>
    </row>
    <row r="45709">
      <c r="AI45709" s="80"/>
    </row>
    <row r="45710">
      <c r="AI45710" s="80"/>
    </row>
    <row r="45711">
      <c r="AI45711" s="80"/>
    </row>
    <row r="45712">
      <c r="AI45712" s="80"/>
    </row>
    <row r="45713">
      <c r="AI45713" s="80"/>
    </row>
    <row r="45714">
      <c r="AI45714" s="80"/>
    </row>
    <row r="45715">
      <c r="AI45715" s="80"/>
    </row>
    <row r="45716">
      <c r="AI45716" s="80"/>
    </row>
    <row r="45717">
      <c r="AI45717" s="80"/>
    </row>
    <row r="45718">
      <c r="AI45718" s="80"/>
    </row>
    <row r="45719">
      <c r="AI45719" s="80"/>
    </row>
    <row r="45720">
      <c r="AI45720" s="80"/>
    </row>
    <row r="45721">
      <c r="AI45721" s="80"/>
    </row>
    <row r="45722">
      <c r="AI45722" s="80"/>
    </row>
    <row r="45723">
      <c r="AI45723" s="80"/>
    </row>
    <row r="45724">
      <c r="AI45724" s="80"/>
    </row>
    <row r="45725">
      <c r="AI45725" s="80"/>
    </row>
    <row r="45726">
      <c r="AI45726" s="80"/>
    </row>
    <row r="45727">
      <c r="AI45727" s="80"/>
    </row>
    <row r="45728">
      <c r="AI45728" s="80"/>
    </row>
    <row r="45729">
      <c r="AI45729" s="80"/>
    </row>
    <row r="45730">
      <c r="AI45730" s="80"/>
    </row>
    <row r="45731">
      <c r="AI45731" s="80"/>
    </row>
    <row r="45732">
      <c r="AI45732" s="80"/>
    </row>
    <row r="45733">
      <c r="AI45733" s="80"/>
    </row>
    <row r="45734">
      <c r="AI45734" s="80"/>
    </row>
    <row r="45735">
      <c r="AI45735" s="80"/>
    </row>
    <row r="45736">
      <c r="AI45736" s="80"/>
    </row>
    <row r="45737">
      <c r="AI45737" s="80"/>
    </row>
    <row r="45738">
      <c r="AI45738" s="80"/>
    </row>
    <row r="45739">
      <c r="AI45739" s="80"/>
    </row>
    <row r="45740">
      <c r="AI45740" s="80"/>
    </row>
    <row r="45741">
      <c r="AI45741" s="80"/>
    </row>
    <row r="45742">
      <c r="AI45742" s="80"/>
    </row>
    <row r="45743">
      <c r="AI45743" s="80"/>
    </row>
    <row r="45744">
      <c r="AI45744" s="80"/>
    </row>
    <row r="45745">
      <c r="AI45745" s="80"/>
    </row>
    <row r="45746">
      <c r="AI45746" s="80"/>
    </row>
    <row r="45747">
      <c r="AI45747" s="80"/>
    </row>
    <row r="45748">
      <c r="AI45748" s="80"/>
    </row>
    <row r="45749">
      <c r="AI45749" s="80"/>
    </row>
    <row r="45750">
      <c r="AI45750" s="80"/>
    </row>
    <row r="45751">
      <c r="AI45751" s="80"/>
    </row>
    <row r="45752">
      <c r="AI45752" s="80"/>
    </row>
    <row r="45753">
      <c r="AI45753" s="80"/>
    </row>
    <row r="45754">
      <c r="AI45754" s="80"/>
    </row>
    <row r="45755">
      <c r="AI45755" s="80"/>
    </row>
    <row r="45756">
      <c r="AI45756" s="80"/>
    </row>
    <row r="45757">
      <c r="AI45757" s="80"/>
    </row>
    <row r="45758">
      <c r="AI45758" s="80"/>
    </row>
    <row r="45759">
      <c r="AI45759" s="80"/>
    </row>
    <row r="45760">
      <c r="AI45760" s="80"/>
    </row>
    <row r="45761">
      <c r="AI45761" s="80"/>
    </row>
    <row r="45762">
      <c r="AI45762" s="80"/>
    </row>
    <row r="45763">
      <c r="AI45763" s="80"/>
    </row>
    <row r="45764">
      <c r="AI45764" s="80"/>
    </row>
    <row r="45765">
      <c r="AI45765" s="80"/>
    </row>
    <row r="45766">
      <c r="AI45766" s="80"/>
    </row>
    <row r="45767">
      <c r="AI45767" s="80"/>
    </row>
    <row r="45768">
      <c r="AI45768" s="80"/>
    </row>
    <row r="45769">
      <c r="AI45769" s="80"/>
    </row>
    <row r="45770">
      <c r="AI45770" s="80"/>
    </row>
    <row r="45771">
      <c r="AI45771" s="80"/>
    </row>
    <row r="45772">
      <c r="AI45772" s="80"/>
    </row>
    <row r="45773">
      <c r="AI45773" s="80"/>
    </row>
    <row r="45774">
      <c r="AI45774" s="80"/>
    </row>
    <row r="45775">
      <c r="AI45775" s="80"/>
    </row>
    <row r="45776">
      <c r="AI45776" s="80"/>
    </row>
    <row r="45777">
      <c r="AI45777" s="80"/>
    </row>
    <row r="45778">
      <c r="AI45778" s="80"/>
    </row>
    <row r="45779">
      <c r="AI45779" s="80"/>
    </row>
    <row r="45780">
      <c r="AI45780" s="80"/>
    </row>
    <row r="45781">
      <c r="AI45781" s="80"/>
    </row>
    <row r="45782">
      <c r="AI45782" s="80"/>
    </row>
    <row r="45783">
      <c r="AI45783" s="80"/>
    </row>
    <row r="45784">
      <c r="AI45784" s="80"/>
    </row>
    <row r="45785">
      <c r="AI45785" s="80"/>
    </row>
    <row r="45786">
      <c r="AI45786" s="80"/>
    </row>
    <row r="45787">
      <c r="AI45787" s="80"/>
    </row>
    <row r="45788">
      <c r="AI45788" s="80"/>
    </row>
    <row r="45789">
      <c r="AI45789" s="80"/>
    </row>
    <row r="45790">
      <c r="AI45790" s="80"/>
    </row>
    <row r="45791">
      <c r="AI45791" s="80"/>
    </row>
    <row r="45792">
      <c r="AI45792" s="80"/>
    </row>
    <row r="45793">
      <c r="AI45793" s="80"/>
    </row>
    <row r="45794">
      <c r="AI45794" s="80"/>
    </row>
    <row r="45795">
      <c r="AI45795" s="80"/>
    </row>
    <row r="45796">
      <c r="AI45796" s="80"/>
    </row>
    <row r="45797">
      <c r="AI45797" s="80"/>
    </row>
    <row r="45798">
      <c r="AI45798" s="80"/>
    </row>
    <row r="45799">
      <c r="AI45799" s="80"/>
    </row>
    <row r="45800">
      <c r="AI45800" s="80"/>
    </row>
    <row r="45801">
      <c r="AI45801" s="80"/>
    </row>
    <row r="45802">
      <c r="AI45802" s="80"/>
    </row>
    <row r="45803">
      <c r="AI45803" s="80"/>
    </row>
    <row r="45804">
      <c r="AI45804" s="80"/>
    </row>
    <row r="45805">
      <c r="AI45805" s="80"/>
    </row>
    <row r="45806">
      <c r="AI45806" s="80"/>
    </row>
    <row r="45807">
      <c r="AI45807" s="80"/>
    </row>
    <row r="45808">
      <c r="AI45808" s="80"/>
    </row>
    <row r="45809">
      <c r="AI45809" s="80"/>
    </row>
    <row r="45810">
      <c r="AI45810" s="80"/>
    </row>
    <row r="45811">
      <c r="AI45811" s="80"/>
    </row>
    <row r="45812">
      <c r="AI45812" s="80"/>
    </row>
    <row r="45813">
      <c r="AI45813" s="80"/>
    </row>
    <row r="45814">
      <c r="AI45814" s="80"/>
    </row>
    <row r="45815">
      <c r="AI45815" s="80"/>
    </row>
    <row r="45816">
      <c r="AI45816" s="80"/>
    </row>
    <row r="45817">
      <c r="AI45817" s="80"/>
    </row>
    <row r="45818">
      <c r="AI45818" s="80"/>
    </row>
    <row r="45819">
      <c r="AI45819" s="80"/>
    </row>
    <row r="45820">
      <c r="AI45820" s="80"/>
    </row>
    <row r="45821">
      <c r="AI45821" s="80"/>
    </row>
    <row r="45822">
      <c r="AI45822" s="80"/>
    </row>
    <row r="45823">
      <c r="AI45823" s="80"/>
    </row>
    <row r="45824">
      <c r="AI45824" s="80"/>
    </row>
    <row r="45825">
      <c r="AI45825" s="80"/>
    </row>
    <row r="45826">
      <c r="AI45826" s="80"/>
    </row>
    <row r="45827">
      <c r="AI45827" s="80"/>
    </row>
    <row r="45828">
      <c r="AI45828" s="80"/>
    </row>
    <row r="45829">
      <c r="AI45829" s="80"/>
    </row>
    <row r="45830">
      <c r="AI45830" s="80"/>
    </row>
    <row r="45831">
      <c r="AI45831" s="80"/>
    </row>
    <row r="45832">
      <c r="AI45832" s="80"/>
    </row>
    <row r="45833">
      <c r="AI45833" s="80"/>
    </row>
    <row r="45834">
      <c r="AI45834" s="80"/>
    </row>
    <row r="45835">
      <c r="AI45835" s="80"/>
    </row>
    <row r="45836">
      <c r="AI45836" s="80"/>
    </row>
    <row r="45837">
      <c r="AI45837" s="80"/>
    </row>
    <row r="45838">
      <c r="AI45838" s="80"/>
    </row>
    <row r="45839">
      <c r="AI45839" s="80"/>
    </row>
    <row r="45840">
      <c r="AI45840" s="80"/>
    </row>
    <row r="45841">
      <c r="AI45841" s="80"/>
    </row>
    <row r="45842">
      <c r="AI45842" s="80"/>
    </row>
    <row r="45843">
      <c r="AI45843" s="80"/>
    </row>
    <row r="45844">
      <c r="AI45844" s="80"/>
    </row>
    <row r="45845">
      <c r="AI45845" s="80"/>
    </row>
    <row r="45846">
      <c r="AI45846" s="80"/>
    </row>
    <row r="45847">
      <c r="AI45847" s="80"/>
    </row>
    <row r="45848">
      <c r="AI45848" s="80"/>
    </row>
    <row r="45849">
      <c r="AI45849" s="80"/>
    </row>
    <row r="45850">
      <c r="AI45850" s="80"/>
    </row>
    <row r="45851">
      <c r="AI45851" s="80"/>
    </row>
    <row r="45852">
      <c r="AI45852" s="80"/>
    </row>
    <row r="45853">
      <c r="AI45853" s="80"/>
    </row>
    <row r="45854">
      <c r="AI45854" s="80"/>
    </row>
    <row r="45855">
      <c r="AI45855" s="80"/>
    </row>
    <row r="45856">
      <c r="AI45856" s="80"/>
    </row>
    <row r="45857">
      <c r="AI45857" s="80"/>
    </row>
    <row r="45858">
      <c r="AI45858" s="80"/>
    </row>
    <row r="45859">
      <c r="AI45859" s="80"/>
    </row>
    <row r="45860">
      <c r="AI45860" s="80"/>
    </row>
    <row r="45861">
      <c r="AI45861" s="80"/>
    </row>
    <row r="45862">
      <c r="AI45862" s="80"/>
    </row>
    <row r="45863">
      <c r="AI45863" s="80"/>
    </row>
    <row r="45864">
      <c r="AI45864" s="80"/>
    </row>
    <row r="45865">
      <c r="AI45865" s="80"/>
    </row>
    <row r="45866">
      <c r="AI45866" s="80"/>
    </row>
    <row r="45867">
      <c r="AI45867" s="80"/>
    </row>
    <row r="45868">
      <c r="AI45868" s="80"/>
    </row>
    <row r="45869">
      <c r="AI45869" s="80"/>
    </row>
    <row r="45870">
      <c r="AI45870" s="80"/>
    </row>
    <row r="45871">
      <c r="AI45871" s="80"/>
    </row>
    <row r="45872">
      <c r="AI45872" s="80"/>
    </row>
    <row r="45873">
      <c r="AI45873" s="80"/>
    </row>
    <row r="45874">
      <c r="AI45874" s="80"/>
    </row>
    <row r="45875">
      <c r="AI45875" s="80"/>
    </row>
    <row r="45876">
      <c r="AI45876" s="80"/>
    </row>
    <row r="45877">
      <c r="AI45877" s="80"/>
    </row>
    <row r="45878">
      <c r="AI45878" s="80"/>
    </row>
    <row r="45879">
      <c r="AI45879" s="80"/>
    </row>
    <row r="45880">
      <c r="AI45880" s="80"/>
    </row>
    <row r="45881">
      <c r="AI45881" s="80"/>
    </row>
    <row r="45882">
      <c r="AI45882" s="80"/>
    </row>
    <row r="45883">
      <c r="AI45883" s="80"/>
    </row>
    <row r="45884">
      <c r="AI45884" s="80"/>
    </row>
    <row r="45885">
      <c r="AI45885" s="80"/>
    </row>
    <row r="45886">
      <c r="AI45886" s="80"/>
    </row>
    <row r="45887">
      <c r="AI45887" s="80"/>
    </row>
    <row r="45888">
      <c r="AI45888" s="80"/>
    </row>
    <row r="45889">
      <c r="AI45889" s="80"/>
    </row>
    <row r="45890">
      <c r="AI45890" s="80"/>
    </row>
    <row r="45891">
      <c r="AI45891" s="80"/>
    </row>
    <row r="45892">
      <c r="AI45892" s="80"/>
    </row>
    <row r="45893">
      <c r="AI45893" s="80"/>
    </row>
    <row r="45894">
      <c r="AI45894" s="80"/>
    </row>
    <row r="45895">
      <c r="AI45895" s="80"/>
    </row>
    <row r="45896">
      <c r="AI45896" s="80"/>
    </row>
    <row r="45897">
      <c r="AI45897" s="80"/>
    </row>
    <row r="45898">
      <c r="AI45898" s="80"/>
    </row>
    <row r="45899">
      <c r="AI45899" s="80"/>
    </row>
    <row r="45900">
      <c r="AI45900" s="80"/>
    </row>
    <row r="45901">
      <c r="AI45901" s="80"/>
    </row>
    <row r="45902">
      <c r="AI45902" s="80"/>
    </row>
    <row r="45903">
      <c r="AI45903" s="80"/>
    </row>
    <row r="45904">
      <c r="AI45904" s="80"/>
    </row>
    <row r="45905">
      <c r="AI45905" s="80"/>
    </row>
    <row r="45906">
      <c r="AI45906" s="80"/>
    </row>
    <row r="45907">
      <c r="AI45907" s="80"/>
    </row>
    <row r="45908">
      <c r="AI45908" s="80"/>
    </row>
    <row r="45909">
      <c r="AI45909" s="80"/>
    </row>
    <row r="45910">
      <c r="AI45910" s="80"/>
    </row>
    <row r="45911">
      <c r="AI45911" s="80"/>
    </row>
    <row r="45912">
      <c r="AI45912" s="80"/>
    </row>
    <row r="45913">
      <c r="AI45913" s="80"/>
    </row>
    <row r="45914">
      <c r="AI45914" s="80"/>
    </row>
    <row r="45915">
      <c r="AI45915" s="80"/>
    </row>
    <row r="45916">
      <c r="AI45916" s="80"/>
    </row>
    <row r="45917">
      <c r="AI45917" s="80"/>
    </row>
    <row r="45918">
      <c r="AI45918" s="80"/>
    </row>
    <row r="45919">
      <c r="AI45919" s="80"/>
    </row>
    <row r="45920">
      <c r="AI45920" s="80"/>
    </row>
    <row r="45921">
      <c r="AI45921" s="80"/>
    </row>
    <row r="45922">
      <c r="AI45922" s="80"/>
    </row>
    <row r="45923">
      <c r="AI45923" s="80"/>
    </row>
    <row r="45924">
      <c r="AI45924" s="80"/>
    </row>
    <row r="45925">
      <c r="AI45925" s="80"/>
    </row>
    <row r="45926">
      <c r="AI45926" s="80"/>
    </row>
    <row r="45927">
      <c r="AI45927" s="80"/>
    </row>
    <row r="45928">
      <c r="AI45928" s="80"/>
    </row>
    <row r="45929">
      <c r="AI45929" s="80"/>
    </row>
    <row r="45930">
      <c r="AI45930" s="80"/>
    </row>
    <row r="45931">
      <c r="AI45931" s="80"/>
    </row>
    <row r="45932">
      <c r="AI45932" s="80"/>
    </row>
    <row r="45933">
      <c r="AI45933" s="80"/>
    </row>
    <row r="45934">
      <c r="AI45934" s="80"/>
    </row>
    <row r="45935">
      <c r="AI45935" s="80"/>
    </row>
    <row r="45936">
      <c r="AI45936" s="80"/>
    </row>
    <row r="45937">
      <c r="AI45937" s="80"/>
    </row>
    <row r="45938">
      <c r="AI45938" s="80"/>
    </row>
    <row r="45939">
      <c r="AI45939" s="80"/>
    </row>
    <row r="45940">
      <c r="AI45940" s="80"/>
    </row>
    <row r="45941">
      <c r="AI45941" s="80"/>
    </row>
    <row r="45942">
      <c r="AI45942" s="80"/>
    </row>
    <row r="45943">
      <c r="AI45943" s="80"/>
    </row>
    <row r="45944">
      <c r="AI45944" s="80"/>
    </row>
    <row r="45945">
      <c r="AI45945" s="80"/>
    </row>
    <row r="45946">
      <c r="AI45946" s="80"/>
    </row>
    <row r="45947">
      <c r="AI45947" s="80"/>
    </row>
    <row r="45948">
      <c r="AI45948" s="80"/>
    </row>
    <row r="45949">
      <c r="AI45949" s="80"/>
    </row>
    <row r="45950">
      <c r="AI45950" s="80"/>
    </row>
    <row r="45951">
      <c r="AI45951" s="80"/>
    </row>
    <row r="45952">
      <c r="AI45952" s="80"/>
    </row>
    <row r="45953">
      <c r="AI45953" s="80"/>
    </row>
    <row r="45954">
      <c r="AI45954" s="80"/>
    </row>
    <row r="45955">
      <c r="AI45955" s="80"/>
    </row>
    <row r="45956">
      <c r="AI45956" s="80"/>
    </row>
    <row r="45957">
      <c r="AI45957" s="80"/>
    </row>
    <row r="45958">
      <c r="AI45958" s="80"/>
    </row>
    <row r="45959">
      <c r="AI45959" s="80"/>
    </row>
    <row r="45960">
      <c r="AI45960" s="80"/>
    </row>
    <row r="45961">
      <c r="AI45961" s="80"/>
    </row>
    <row r="45962">
      <c r="AI45962" s="80"/>
    </row>
    <row r="45963">
      <c r="AI45963" s="80"/>
    </row>
    <row r="45964">
      <c r="AI45964" s="80"/>
    </row>
    <row r="45965">
      <c r="AI45965" s="80"/>
    </row>
    <row r="45966">
      <c r="AI45966" s="80"/>
    </row>
    <row r="45967">
      <c r="AI45967" s="80"/>
    </row>
    <row r="45968">
      <c r="AI45968" s="80"/>
    </row>
    <row r="45969">
      <c r="AI45969" s="80"/>
    </row>
    <row r="45970">
      <c r="AI45970" s="80"/>
    </row>
    <row r="45971">
      <c r="AI45971" s="80"/>
    </row>
    <row r="45972">
      <c r="AI45972" s="80"/>
    </row>
    <row r="45973">
      <c r="AI45973" s="80"/>
    </row>
    <row r="45974">
      <c r="AI45974" s="80"/>
    </row>
    <row r="45975">
      <c r="AI45975" s="80"/>
    </row>
    <row r="45976">
      <c r="AI45976" s="80"/>
    </row>
    <row r="45977">
      <c r="AI45977" s="80"/>
    </row>
    <row r="45978">
      <c r="AI45978" s="80"/>
    </row>
    <row r="45979">
      <c r="AI45979" s="80"/>
    </row>
    <row r="45980">
      <c r="AI45980" s="80"/>
    </row>
    <row r="45981">
      <c r="AI45981" s="80"/>
    </row>
    <row r="45982">
      <c r="AI45982" s="80"/>
    </row>
    <row r="45983">
      <c r="AI45983" s="80"/>
    </row>
    <row r="45984">
      <c r="AI45984" s="80"/>
    </row>
    <row r="45985">
      <c r="AI45985" s="80"/>
    </row>
    <row r="45986">
      <c r="AI45986" s="80"/>
    </row>
    <row r="45987">
      <c r="AI45987" s="80"/>
    </row>
    <row r="45988">
      <c r="AI45988" s="80"/>
    </row>
    <row r="45989">
      <c r="AI45989" s="80"/>
    </row>
    <row r="45990">
      <c r="AI45990" s="80"/>
    </row>
    <row r="45991">
      <c r="AI45991" s="80"/>
    </row>
    <row r="45992">
      <c r="AI45992" s="80"/>
    </row>
    <row r="45993">
      <c r="AI45993" s="80"/>
    </row>
    <row r="45994">
      <c r="AI45994" s="80"/>
    </row>
    <row r="45995">
      <c r="AI45995" s="80"/>
    </row>
    <row r="45996">
      <c r="AI45996" s="80"/>
    </row>
    <row r="45997">
      <c r="AI45997" s="80"/>
    </row>
    <row r="45998">
      <c r="AI45998" s="80"/>
    </row>
    <row r="45999">
      <c r="AI45999" s="80"/>
    </row>
    <row r="46000">
      <c r="AI46000" s="80"/>
    </row>
    <row r="46001">
      <c r="AI46001" s="80"/>
    </row>
    <row r="46002">
      <c r="AI46002" s="80"/>
    </row>
    <row r="46003">
      <c r="AI46003" s="80"/>
    </row>
    <row r="46004">
      <c r="AI46004" s="80"/>
    </row>
    <row r="46005">
      <c r="AI46005" s="80"/>
    </row>
    <row r="46006">
      <c r="AI46006" s="80"/>
    </row>
    <row r="46007">
      <c r="AI46007" s="80"/>
    </row>
    <row r="46008">
      <c r="AI46008" s="80"/>
    </row>
    <row r="46009">
      <c r="AI46009" s="80"/>
    </row>
    <row r="46010">
      <c r="AI46010" s="80"/>
    </row>
    <row r="46011">
      <c r="AI46011" s="80"/>
    </row>
    <row r="46012">
      <c r="AI46012" s="80"/>
    </row>
    <row r="46013">
      <c r="AI46013" s="80"/>
    </row>
    <row r="46014">
      <c r="AI46014" s="80"/>
    </row>
    <row r="46015">
      <c r="AI46015" s="80"/>
    </row>
    <row r="46016">
      <c r="AI46016" s="80"/>
    </row>
    <row r="46017">
      <c r="AI46017" s="80"/>
    </row>
    <row r="46018">
      <c r="AI46018" s="80"/>
    </row>
    <row r="46019">
      <c r="AI46019" s="80"/>
    </row>
    <row r="46020">
      <c r="AI46020" s="80"/>
    </row>
    <row r="46021">
      <c r="AI46021" s="80"/>
    </row>
    <row r="46022">
      <c r="AI46022" s="80"/>
    </row>
    <row r="46023">
      <c r="AI46023" s="80"/>
    </row>
    <row r="46024">
      <c r="AI46024" s="80"/>
    </row>
    <row r="46025">
      <c r="AI46025" s="80"/>
    </row>
    <row r="46026">
      <c r="AI46026" s="80"/>
    </row>
    <row r="46027">
      <c r="AI46027" s="80"/>
    </row>
    <row r="46028">
      <c r="AI46028" s="80"/>
    </row>
    <row r="46029">
      <c r="AI46029" s="80"/>
    </row>
    <row r="46030">
      <c r="AI46030" s="80"/>
    </row>
    <row r="46031">
      <c r="AI46031" s="80"/>
    </row>
    <row r="46032">
      <c r="AI46032" s="80"/>
    </row>
    <row r="46033">
      <c r="AI46033" s="80"/>
    </row>
    <row r="46034">
      <c r="AI46034" s="80"/>
    </row>
    <row r="46035">
      <c r="AI46035" s="80"/>
    </row>
    <row r="46036">
      <c r="AI46036" s="80"/>
    </row>
    <row r="46037">
      <c r="AI46037" s="80"/>
    </row>
    <row r="46038">
      <c r="AI46038" s="80"/>
    </row>
    <row r="46039">
      <c r="AI46039" s="80"/>
    </row>
    <row r="46040">
      <c r="AI46040" s="80"/>
    </row>
    <row r="46041">
      <c r="AI46041" s="80"/>
    </row>
    <row r="46042">
      <c r="AI46042" s="80"/>
    </row>
    <row r="46043">
      <c r="AI46043" s="80"/>
    </row>
    <row r="46044">
      <c r="AI46044" s="80"/>
    </row>
    <row r="46045">
      <c r="AI46045" s="80"/>
    </row>
    <row r="46046">
      <c r="AI46046" s="80"/>
    </row>
    <row r="46047">
      <c r="AI46047" s="80"/>
    </row>
    <row r="46048">
      <c r="AI46048" s="80"/>
    </row>
    <row r="46049">
      <c r="AI46049" s="80"/>
    </row>
    <row r="46050">
      <c r="AI46050" s="80"/>
    </row>
    <row r="46051">
      <c r="AI46051" s="80"/>
    </row>
    <row r="46052">
      <c r="AI46052" s="80"/>
    </row>
    <row r="46053">
      <c r="AI46053" s="80"/>
    </row>
    <row r="46054">
      <c r="AI46054" s="80"/>
    </row>
    <row r="46055">
      <c r="AI46055" s="80"/>
    </row>
    <row r="46056">
      <c r="AI46056" s="80"/>
    </row>
    <row r="46057">
      <c r="AI46057" s="80"/>
    </row>
    <row r="46058">
      <c r="AI46058" s="80"/>
    </row>
    <row r="46059">
      <c r="AI46059" s="80"/>
    </row>
    <row r="46060">
      <c r="AI46060" s="80"/>
    </row>
    <row r="46061">
      <c r="AI46061" s="80"/>
    </row>
    <row r="46062">
      <c r="AI46062" s="80"/>
    </row>
    <row r="46063">
      <c r="AI46063" s="80"/>
    </row>
    <row r="46064">
      <c r="AI46064" s="80"/>
    </row>
    <row r="46065">
      <c r="AI46065" s="80"/>
    </row>
    <row r="46066">
      <c r="AI46066" s="80"/>
    </row>
    <row r="46067">
      <c r="AI46067" s="80"/>
    </row>
    <row r="46068">
      <c r="AI46068" s="80"/>
    </row>
    <row r="46069">
      <c r="AI46069" s="80"/>
    </row>
    <row r="46070">
      <c r="AI46070" s="80"/>
    </row>
    <row r="46071">
      <c r="AI46071" s="80"/>
    </row>
    <row r="46072">
      <c r="AI46072" s="80"/>
    </row>
    <row r="46073">
      <c r="AI46073" s="80"/>
    </row>
    <row r="46074">
      <c r="AI46074" s="80"/>
    </row>
    <row r="46075">
      <c r="AI46075" s="80"/>
    </row>
    <row r="46076">
      <c r="AI46076" s="80"/>
    </row>
    <row r="46077">
      <c r="AI46077" s="80"/>
    </row>
    <row r="46078">
      <c r="AI46078" s="80"/>
    </row>
    <row r="46079">
      <c r="AI46079" s="80"/>
    </row>
    <row r="46080">
      <c r="AI46080" s="80"/>
    </row>
    <row r="46081">
      <c r="AI46081" s="80"/>
    </row>
    <row r="46082">
      <c r="AI46082" s="80"/>
    </row>
    <row r="46083">
      <c r="AI46083" s="80"/>
    </row>
    <row r="46084">
      <c r="AI46084" s="80"/>
    </row>
    <row r="46085">
      <c r="AI46085" s="80"/>
    </row>
    <row r="46086">
      <c r="AI46086" s="80"/>
    </row>
    <row r="46087">
      <c r="AI46087" s="80"/>
    </row>
    <row r="46088">
      <c r="AI46088" s="80"/>
    </row>
    <row r="46089">
      <c r="AI46089" s="80"/>
    </row>
    <row r="46090">
      <c r="AI46090" s="80"/>
    </row>
    <row r="46091">
      <c r="AI46091" s="80"/>
    </row>
    <row r="46092">
      <c r="AI46092" s="80"/>
    </row>
    <row r="46093">
      <c r="AI46093" s="80"/>
    </row>
    <row r="46094">
      <c r="AI46094" s="80"/>
    </row>
    <row r="46095">
      <c r="AI46095" s="80"/>
    </row>
    <row r="46096">
      <c r="AI46096" s="80"/>
    </row>
    <row r="46097">
      <c r="AI46097" s="80"/>
    </row>
    <row r="46098">
      <c r="AI46098" s="80"/>
    </row>
    <row r="46099">
      <c r="AI46099" s="80"/>
    </row>
    <row r="46100">
      <c r="AI46100" s="80"/>
    </row>
    <row r="46101">
      <c r="AI46101" s="80"/>
    </row>
    <row r="46102">
      <c r="AI46102" s="80"/>
    </row>
    <row r="46103">
      <c r="AI46103" s="80"/>
    </row>
    <row r="46104">
      <c r="AI46104" s="80"/>
    </row>
    <row r="46105">
      <c r="AI46105" s="80"/>
    </row>
    <row r="46106">
      <c r="AI46106" s="80"/>
    </row>
    <row r="46107">
      <c r="AI46107" s="80"/>
    </row>
    <row r="46108">
      <c r="AI46108" s="80"/>
    </row>
    <row r="46109">
      <c r="AI46109" s="80"/>
    </row>
    <row r="46110">
      <c r="AI46110" s="80"/>
    </row>
    <row r="46111">
      <c r="AI46111" s="80"/>
    </row>
    <row r="46112">
      <c r="AI46112" s="80"/>
    </row>
    <row r="46113">
      <c r="AI46113" s="80"/>
    </row>
    <row r="46114">
      <c r="AI46114" s="80"/>
    </row>
    <row r="46115">
      <c r="AI46115" s="80"/>
    </row>
    <row r="46116">
      <c r="AI46116" s="80"/>
    </row>
    <row r="46117">
      <c r="AI46117" s="80"/>
    </row>
    <row r="46118">
      <c r="AI46118" s="80"/>
    </row>
    <row r="46119">
      <c r="AI46119" s="80"/>
    </row>
    <row r="46120">
      <c r="AI46120" s="80"/>
    </row>
    <row r="46121">
      <c r="AI46121" s="80"/>
    </row>
    <row r="46122">
      <c r="AI46122" s="80"/>
    </row>
    <row r="46123">
      <c r="AI46123" s="80"/>
    </row>
    <row r="46124">
      <c r="AI46124" s="80"/>
    </row>
    <row r="46125">
      <c r="AI46125" s="80"/>
    </row>
    <row r="46126">
      <c r="AI46126" s="80"/>
    </row>
    <row r="46127">
      <c r="AI46127" s="80"/>
    </row>
    <row r="46128">
      <c r="AI46128" s="80"/>
    </row>
    <row r="46129">
      <c r="AI46129" s="80"/>
    </row>
    <row r="46130">
      <c r="AI46130" s="80"/>
    </row>
    <row r="46131">
      <c r="AI46131" s="80"/>
    </row>
    <row r="46132">
      <c r="AI46132" s="80"/>
    </row>
    <row r="46133">
      <c r="AI46133" s="80"/>
    </row>
    <row r="46134">
      <c r="AI46134" s="80"/>
    </row>
    <row r="46135">
      <c r="AI46135" s="80"/>
    </row>
    <row r="46136">
      <c r="AI46136" s="80"/>
    </row>
    <row r="46137">
      <c r="AI46137" s="80"/>
    </row>
    <row r="46138">
      <c r="AI46138" s="80"/>
    </row>
    <row r="46139">
      <c r="AI46139" s="80"/>
    </row>
    <row r="46140">
      <c r="AI46140" s="80"/>
    </row>
    <row r="46141">
      <c r="AI46141" s="80"/>
    </row>
    <row r="46142">
      <c r="AI46142" s="80"/>
    </row>
    <row r="46143">
      <c r="AI46143" s="80"/>
    </row>
    <row r="46144">
      <c r="AI46144" s="80"/>
    </row>
    <row r="46145">
      <c r="AI46145" s="80"/>
    </row>
    <row r="46146">
      <c r="AI46146" s="80"/>
    </row>
    <row r="46147">
      <c r="AI46147" s="80"/>
    </row>
    <row r="46148">
      <c r="AI46148" s="80"/>
    </row>
    <row r="46149">
      <c r="AI46149" s="80"/>
    </row>
    <row r="46150">
      <c r="AI46150" s="80"/>
    </row>
    <row r="46151">
      <c r="AI46151" s="80"/>
    </row>
    <row r="46152">
      <c r="AI46152" s="80"/>
    </row>
    <row r="46153">
      <c r="AI46153" s="80"/>
    </row>
    <row r="46154">
      <c r="AI46154" s="80"/>
    </row>
    <row r="46155">
      <c r="AI46155" s="80"/>
    </row>
    <row r="46156">
      <c r="AI46156" s="80"/>
    </row>
    <row r="46157">
      <c r="AI46157" s="80"/>
    </row>
    <row r="46158">
      <c r="AI46158" s="80"/>
    </row>
    <row r="46159">
      <c r="AI46159" s="80"/>
    </row>
    <row r="46160">
      <c r="AI46160" s="80"/>
    </row>
    <row r="46161">
      <c r="AI46161" s="80"/>
    </row>
    <row r="46162">
      <c r="AI46162" s="80"/>
    </row>
    <row r="46163">
      <c r="AI46163" s="80"/>
    </row>
    <row r="46164">
      <c r="AI46164" s="80"/>
    </row>
    <row r="46165">
      <c r="AI46165" s="80"/>
    </row>
    <row r="46166">
      <c r="AI46166" s="80"/>
    </row>
    <row r="46167">
      <c r="AI46167" s="80"/>
    </row>
    <row r="46168">
      <c r="AI46168" s="80"/>
    </row>
    <row r="46169">
      <c r="AI46169" s="80"/>
    </row>
    <row r="46170">
      <c r="AI46170" s="80"/>
    </row>
    <row r="46171">
      <c r="AI46171" s="80"/>
    </row>
    <row r="46172">
      <c r="AI46172" s="80"/>
    </row>
    <row r="46173">
      <c r="AI46173" s="80"/>
    </row>
    <row r="46174">
      <c r="AI46174" s="80"/>
    </row>
    <row r="46175">
      <c r="AI46175" s="80"/>
    </row>
    <row r="46176">
      <c r="AI46176" s="80"/>
    </row>
    <row r="46177">
      <c r="AI46177" s="80"/>
    </row>
    <row r="46178">
      <c r="AI46178" s="80"/>
    </row>
    <row r="46179">
      <c r="AI46179" s="80"/>
    </row>
    <row r="46180">
      <c r="AI46180" s="80"/>
    </row>
    <row r="46181">
      <c r="AI46181" s="80"/>
    </row>
    <row r="46182">
      <c r="AI46182" s="80"/>
    </row>
    <row r="46183">
      <c r="AI46183" s="80"/>
    </row>
    <row r="46184">
      <c r="AI46184" s="80"/>
    </row>
    <row r="46185">
      <c r="AI46185" s="80"/>
    </row>
    <row r="46186">
      <c r="AI46186" s="80"/>
    </row>
    <row r="46187">
      <c r="AI46187" s="80"/>
    </row>
    <row r="46188">
      <c r="AI46188" s="80"/>
    </row>
    <row r="46189">
      <c r="AI46189" s="80"/>
    </row>
    <row r="46190">
      <c r="AI46190" s="80"/>
    </row>
    <row r="46191">
      <c r="AI46191" s="80"/>
    </row>
    <row r="46192">
      <c r="AI46192" s="80"/>
    </row>
    <row r="46193">
      <c r="AI46193" s="80"/>
    </row>
    <row r="46194">
      <c r="AI46194" s="80"/>
    </row>
    <row r="46195">
      <c r="AI46195" s="80"/>
    </row>
    <row r="46196">
      <c r="AI46196" s="80"/>
    </row>
    <row r="46197">
      <c r="AI46197" s="80"/>
    </row>
    <row r="46198">
      <c r="AI46198" s="80"/>
    </row>
    <row r="46199">
      <c r="AI46199" s="80"/>
    </row>
    <row r="46200">
      <c r="AI46200" s="80"/>
    </row>
    <row r="46201">
      <c r="AI46201" s="80"/>
    </row>
    <row r="46202">
      <c r="AI46202" s="80"/>
    </row>
    <row r="46203">
      <c r="AI46203" s="80"/>
    </row>
    <row r="46204">
      <c r="AI46204" s="80"/>
    </row>
    <row r="46205">
      <c r="AI46205" s="80"/>
    </row>
    <row r="46206">
      <c r="AI46206" s="80"/>
    </row>
    <row r="46207">
      <c r="AI46207" s="80"/>
    </row>
    <row r="46208">
      <c r="AI46208" s="80"/>
    </row>
    <row r="46209">
      <c r="AI46209" s="80"/>
    </row>
    <row r="46210">
      <c r="AI46210" s="80"/>
    </row>
    <row r="46211">
      <c r="AI46211" s="80"/>
    </row>
    <row r="46212">
      <c r="AI46212" s="80"/>
    </row>
    <row r="46213">
      <c r="AI46213" s="80"/>
    </row>
    <row r="46214">
      <c r="AI46214" s="80"/>
    </row>
    <row r="46215">
      <c r="AI46215" s="80"/>
    </row>
    <row r="46216">
      <c r="AI46216" s="80"/>
    </row>
    <row r="46217">
      <c r="AI46217" s="80"/>
    </row>
    <row r="46218">
      <c r="AI46218" s="80"/>
    </row>
    <row r="46219">
      <c r="AI46219" s="80"/>
    </row>
    <row r="46220">
      <c r="AI46220" s="80"/>
    </row>
    <row r="46221">
      <c r="AI46221" s="80"/>
    </row>
    <row r="46222">
      <c r="AI46222" s="80"/>
    </row>
    <row r="46223">
      <c r="AI46223" s="80"/>
    </row>
    <row r="46224">
      <c r="AI46224" s="80"/>
    </row>
    <row r="46225">
      <c r="AI46225" s="80"/>
    </row>
    <row r="46226">
      <c r="AI46226" s="80"/>
    </row>
    <row r="46227">
      <c r="AI46227" s="80"/>
    </row>
    <row r="46228">
      <c r="AI46228" s="80"/>
    </row>
    <row r="46229">
      <c r="AI46229" s="80"/>
    </row>
    <row r="46230">
      <c r="AI46230" s="80"/>
    </row>
    <row r="46231">
      <c r="AI46231" s="80"/>
    </row>
    <row r="46232">
      <c r="AI46232" s="80"/>
    </row>
    <row r="46233">
      <c r="AI46233" s="80"/>
    </row>
    <row r="46234">
      <c r="AI46234" s="80"/>
    </row>
    <row r="46235">
      <c r="AI46235" s="80"/>
    </row>
    <row r="46236">
      <c r="AI46236" s="80"/>
    </row>
    <row r="46237">
      <c r="AI46237" s="80"/>
    </row>
    <row r="46238">
      <c r="AI46238" s="80"/>
    </row>
    <row r="46239">
      <c r="AI46239" s="80"/>
    </row>
    <row r="46240">
      <c r="AI46240" s="80"/>
    </row>
    <row r="46241">
      <c r="AI46241" s="80"/>
    </row>
    <row r="46242">
      <c r="AI46242" s="80"/>
    </row>
    <row r="46243">
      <c r="AI46243" s="80"/>
    </row>
    <row r="46244">
      <c r="AI46244" s="80"/>
    </row>
    <row r="46245">
      <c r="AI46245" s="80"/>
    </row>
    <row r="46246">
      <c r="AI46246" s="80"/>
    </row>
    <row r="46247">
      <c r="AI46247" s="80"/>
    </row>
    <row r="46248">
      <c r="AI46248" s="80"/>
    </row>
    <row r="46249">
      <c r="AI46249" s="80"/>
    </row>
    <row r="46250">
      <c r="AI46250" s="80"/>
    </row>
    <row r="46251">
      <c r="AI46251" s="80"/>
    </row>
    <row r="46252">
      <c r="AI46252" s="80"/>
    </row>
    <row r="46253">
      <c r="AI46253" s="80"/>
    </row>
    <row r="46254">
      <c r="AI46254" s="80"/>
    </row>
    <row r="46255">
      <c r="AI46255" s="80"/>
    </row>
    <row r="46256">
      <c r="AI46256" s="80"/>
    </row>
    <row r="46257">
      <c r="AI46257" s="80"/>
    </row>
    <row r="46258">
      <c r="AI46258" s="80"/>
    </row>
    <row r="46259">
      <c r="AI46259" s="80"/>
    </row>
    <row r="46260">
      <c r="AI46260" s="80"/>
    </row>
    <row r="46261">
      <c r="AI46261" s="80"/>
    </row>
    <row r="46262">
      <c r="AI46262" s="80"/>
    </row>
    <row r="46263">
      <c r="AI46263" s="80"/>
    </row>
    <row r="46264">
      <c r="AI46264" s="80"/>
    </row>
    <row r="46265">
      <c r="AI46265" s="80"/>
    </row>
    <row r="46266">
      <c r="AI46266" s="80"/>
    </row>
    <row r="46267">
      <c r="AI46267" s="80"/>
    </row>
    <row r="46268">
      <c r="AI46268" s="80"/>
    </row>
    <row r="46269">
      <c r="AI46269" s="80"/>
    </row>
    <row r="46270">
      <c r="AI46270" s="80"/>
    </row>
    <row r="46271">
      <c r="AI46271" s="80"/>
    </row>
    <row r="46272">
      <c r="AI46272" s="80"/>
    </row>
    <row r="46273">
      <c r="AI46273" s="80"/>
    </row>
    <row r="46274">
      <c r="AI46274" s="80"/>
    </row>
    <row r="46275">
      <c r="AI46275" s="80"/>
    </row>
    <row r="46276">
      <c r="AI46276" s="80"/>
    </row>
    <row r="46277">
      <c r="AI46277" s="80"/>
    </row>
    <row r="46278">
      <c r="AI46278" s="80"/>
    </row>
    <row r="46279">
      <c r="AI46279" s="80"/>
    </row>
    <row r="46280">
      <c r="AI46280" s="80"/>
    </row>
    <row r="46281">
      <c r="AI46281" s="80"/>
    </row>
    <row r="46282">
      <c r="AI46282" s="80"/>
    </row>
    <row r="46283">
      <c r="AI46283" s="80"/>
    </row>
    <row r="46284">
      <c r="AI46284" s="80"/>
    </row>
    <row r="46285">
      <c r="AI46285" s="80"/>
    </row>
    <row r="46286">
      <c r="AI46286" s="80"/>
    </row>
    <row r="46287">
      <c r="AI46287" s="80"/>
    </row>
    <row r="46288">
      <c r="AI46288" s="80"/>
    </row>
    <row r="46289">
      <c r="AI46289" s="80"/>
    </row>
    <row r="46290">
      <c r="AI46290" s="80"/>
    </row>
    <row r="46291">
      <c r="AI46291" s="80"/>
    </row>
    <row r="46292">
      <c r="AI46292" s="80"/>
    </row>
    <row r="46293">
      <c r="AI46293" s="80"/>
    </row>
    <row r="46294">
      <c r="AI46294" s="80"/>
    </row>
    <row r="46295">
      <c r="AI46295" s="80"/>
    </row>
    <row r="46296">
      <c r="AI46296" s="80"/>
    </row>
    <row r="46297">
      <c r="AI46297" s="80"/>
    </row>
    <row r="46298">
      <c r="AI46298" s="80"/>
    </row>
    <row r="46299">
      <c r="AI46299" s="80"/>
    </row>
    <row r="46300">
      <c r="AI46300" s="80"/>
    </row>
    <row r="46301">
      <c r="AI46301" s="80"/>
    </row>
    <row r="46302">
      <c r="AI46302" s="80"/>
    </row>
    <row r="46303">
      <c r="AI46303" s="80"/>
    </row>
    <row r="46304">
      <c r="AI46304" s="80"/>
    </row>
    <row r="46305">
      <c r="AI46305" s="80"/>
    </row>
    <row r="46306">
      <c r="AI46306" s="80"/>
    </row>
    <row r="46307">
      <c r="AI46307" s="80"/>
    </row>
    <row r="46308">
      <c r="AI46308" s="80"/>
    </row>
    <row r="46309">
      <c r="AI46309" s="80"/>
    </row>
    <row r="46310">
      <c r="AI46310" s="80"/>
    </row>
    <row r="46311">
      <c r="AI46311" s="80"/>
    </row>
    <row r="46312">
      <c r="AI46312" s="80"/>
    </row>
    <row r="46313">
      <c r="AI46313" s="80"/>
    </row>
    <row r="46314">
      <c r="AI46314" s="80"/>
    </row>
    <row r="46315">
      <c r="AI46315" s="80"/>
    </row>
    <row r="46316">
      <c r="AI46316" s="80"/>
    </row>
    <row r="46317">
      <c r="AI46317" s="80"/>
    </row>
    <row r="46318">
      <c r="AI46318" s="80"/>
    </row>
    <row r="46319">
      <c r="AI46319" s="80"/>
    </row>
    <row r="46320">
      <c r="AI46320" s="80"/>
    </row>
    <row r="46321">
      <c r="AI46321" s="80"/>
    </row>
    <row r="46322">
      <c r="AI46322" s="80"/>
    </row>
    <row r="46323">
      <c r="AI46323" s="80"/>
    </row>
    <row r="46324">
      <c r="AI46324" s="80"/>
    </row>
    <row r="46325">
      <c r="AI46325" s="80"/>
    </row>
    <row r="46326">
      <c r="AI46326" s="80"/>
    </row>
    <row r="46327">
      <c r="AI46327" s="80"/>
    </row>
    <row r="46328">
      <c r="AI46328" s="80"/>
    </row>
    <row r="46329">
      <c r="AI46329" s="80"/>
    </row>
    <row r="46330">
      <c r="AI46330" s="80"/>
    </row>
    <row r="46331">
      <c r="AI46331" s="80"/>
    </row>
    <row r="46332">
      <c r="AI46332" s="80"/>
    </row>
    <row r="46333">
      <c r="AI46333" s="80"/>
    </row>
    <row r="46334">
      <c r="AI46334" s="80"/>
    </row>
    <row r="46335">
      <c r="AI46335" s="80"/>
    </row>
    <row r="46336">
      <c r="AI46336" s="80"/>
    </row>
    <row r="46337">
      <c r="AI46337" s="80"/>
    </row>
    <row r="46338">
      <c r="AI46338" s="80"/>
    </row>
    <row r="46339">
      <c r="AI46339" s="80"/>
    </row>
    <row r="46340">
      <c r="AI46340" s="80"/>
    </row>
    <row r="46341">
      <c r="AI46341" s="80"/>
    </row>
    <row r="46342">
      <c r="AI46342" s="80"/>
    </row>
    <row r="46343">
      <c r="AI46343" s="80"/>
    </row>
    <row r="46344">
      <c r="AI46344" s="80"/>
    </row>
    <row r="46345">
      <c r="AI46345" s="80"/>
    </row>
    <row r="46346">
      <c r="AI46346" s="80"/>
    </row>
    <row r="46347">
      <c r="AI46347" s="80"/>
    </row>
    <row r="46348">
      <c r="AI46348" s="80"/>
    </row>
    <row r="46349">
      <c r="AI46349" s="80"/>
    </row>
    <row r="46350">
      <c r="AI46350" s="80"/>
    </row>
    <row r="46351">
      <c r="AI46351" s="80"/>
    </row>
    <row r="46352">
      <c r="AI46352" s="80"/>
    </row>
    <row r="46353">
      <c r="AI46353" s="80"/>
    </row>
    <row r="46354">
      <c r="AI46354" s="80"/>
    </row>
    <row r="46355">
      <c r="AI46355" s="80"/>
    </row>
    <row r="46356">
      <c r="AI46356" s="80"/>
    </row>
    <row r="46357">
      <c r="AI46357" s="80"/>
    </row>
    <row r="46358">
      <c r="AI46358" s="80"/>
    </row>
    <row r="46359">
      <c r="AI46359" s="80"/>
    </row>
    <row r="46360">
      <c r="AI46360" s="80"/>
    </row>
    <row r="46361">
      <c r="AI46361" s="80"/>
    </row>
    <row r="46362">
      <c r="AI46362" s="80"/>
    </row>
    <row r="46363">
      <c r="AI46363" s="80"/>
    </row>
    <row r="46364">
      <c r="AI46364" s="80"/>
    </row>
    <row r="46365">
      <c r="AI46365" s="80"/>
    </row>
    <row r="46366">
      <c r="AI46366" s="80"/>
    </row>
    <row r="46367">
      <c r="AI46367" s="80"/>
    </row>
    <row r="46368">
      <c r="AI46368" s="80"/>
    </row>
    <row r="46369">
      <c r="AI46369" s="80"/>
    </row>
    <row r="46370">
      <c r="AI46370" s="80"/>
    </row>
    <row r="46371">
      <c r="AI46371" s="80"/>
    </row>
    <row r="46372">
      <c r="AI46372" s="80"/>
    </row>
    <row r="46373">
      <c r="AI46373" s="80"/>
    </row>
    <row r="46374">
      <c r="AI46374" s="80"/>
    </row>
    <row r="46375">
      <c r="AI46375" s="80"/>
    </row>
    <row r="46376">
      <c r="AI46376" s="80"/>
    </row>
    <row r="46377">
      <c r="AI46377" s="80"/>
    </row>
    <row r="46378">
      <c r="AI46378" s="80"/>
    </row>
    <row r="46379">
      <c r="AI46379" s="80"/>
    </row>
    <row r="46380">
      <c r="AI46380" s="80"/>
    </row>
    <row r="46381">
      <c r="AI46381" s="80"/>
    </row>
    <row r="46382">
      <c r="AI46382" s="80"/>
    </row>
    <row r="46383">
      <c r="AI46383" s="80"/>
    </row>
    <row r="46384">
      <c r="AI46384" s="80"/>
    </row>
    <row r="46385">
      <c r="AI46385" s="80"/>
    </row>
    <row r="46386">
      <c r="AI46386" s="80"/>
    </row>
    <row r="46387">
      <c r="AI46387" s="80"/>
    </row>
    <row r="46388">
      <c r="AI46388" s="80"/>
    </row>
    <row r="46389">
      <c r="AI46389" s="80"/>
    </row>
    <row r="46390">
      <c r="AI46390" s="80"/>
    </row>
    <row r="46391">
      <c r="AI46391" s="80"/>
    </row>
    <row r="46392">
      <c r="AI46392" s="80"/>
    </row>
    <row r="46393">
      <c r="AI46393" s="80"/>
    </row>
    <row r="46394">
      <c r="AI46394" s="80"/>
    </row>
    <row r="46395">
      <c r="AI46395" s="80"/>
    </row>
    <row r="46396">
      <c r="AI46396" s="80"/>
    </row>
    <row r="46397">
      <c r="AI46397" s="80"/>
    </row>
    <row r="46398">
      <c r="AI46398" s="80"/>
    </row>
    <row r="46399">
      <c r="AI46399" s="80"/>
    </row>
    <row r="46400">
      <c r="AI46400" s="80"/>
    </row>
    <row r="46401">
      <c r="AI46401" s="80"/>
    </row>
    <row r="46402">
      <c r="AI46402" s="80"/>
    </row>
    <row r="46403">
      <c r="AI46403" s="80"/>
    </row>
    <row r="46404">
      <c r="AI46404" s="80"/>
    </row>
    <row r="46405">
      <c r="AI46405" s="80"/>
    </row>
    <row r="46406">
      <c r="AI46406" s="80"/>
    </row>
    <row r="46407">
      <c r="AI46407" s="80"/>
    </row>
    <row r="46408">
      <c r="AI46408" s="80"/>
    </row>
    <row r="46409">
      <c r="AI46409" s="80"/>
    </row>
    <row r="46410">
      <c r="AI46410" s="80"/>
    </row>
    <row r="46411">
      <c r="AI46411" s="80"/>
    </row>
    <row r="46412">
      <c r="AI46412" s="80"/>
    </row>
    <row r="46413">
      <c r="AI46413" s="80"/>
    </row>
    <row r="46414">
      <c r="AI46414" s="80"/>
    </row>
    <row r="46415">
      <c r="AI46415" s="80"/>
    </row>
    <row r="46416">
      <c r="AI46416" s="80"/>
    </row>
    <row r="46417">
      <c r="AI46417" s="80"/>
    </row>
    <row r="46418">
      <c r="AI46418" s="80"/>
    </row>
    <row r="46419">
      <c r="AI46419" s="80"/>
    </row>
    <row r="46420">
      <c r="AI46420" s="80"/>
    </row>
    <row r="46421">
      <c r="AI46421" s="80"/>
    </row>
    <row r="46422">
      <c r="AI46422" s="80"/>
    </row>
    <row r="46423">
      <c r="AI46423" s="80"/>
    </row>
    <row r="46424">
      <c r="AI46424" s="80"/>
    </row>
    <row r="46425">
      <c r="AI46425" s="80"/>
    </row>
    <row r="46426">
      <c r="AI46426" s="80"/>
    </row>
    <row r="46427">
      <c r="AI46427" s="80"/>
    </row>
    <row r="46428">
      <c r="AI46428" s="80"/>
    </row>
    <row r="46429">
      <c r="AI46429" s="80"/>
    </row>
    <row r="46430">
      <c r="AI46430" s="80"/>
    </row>
    <row r="46431">
      <c r="AI46431" s="80"/>
    </row>
    <row r="46432">
      <c r="AI46432" s="80"/>
    </row>
    <row r="46433">
      <c r="AI46433" s="80"/>
    </row>
    <row r="46434">
      <c r="AI46434" s="80"/>
    </row>
    <row r="46435">
      <c r="AI46435" s="80"/>
    </row>
    <row r="46436">
      <c r="AI46436" s="80"/>
    </row>
    <row r="46437">
      <c r="AI46437" s="80"/>
    </row>
    <row r="46438">
      <c r="AI46438" s="80"/>
    </row>
    <row r="46439">
      <c r="AI46439" s="80"/>
    </row>
    <row r="46440">
      <c r="AI46440" s="80"/>
    </row>
    <row r="46441">
      <c r="AI46441" s="80"/>
    </row>
    <row r="46442">
      <c r="AI46442" s="80"/>
    </row>
    <row r="46443">
      <c r="AI46443" s="80"/>
    </row>
    <row r="46444">
      <c r="AI46444" s="80"/>
    </row>
    <row r="46445">
      <c r="AI46445" s="80"/>
    </row>
    <row r="46446">
      <c r="AI46446" s="80"/>
    </row>
    <row r="46447">
      <c r="AI46447" s="80"/>
    </row>
    <row r="46448">
      <c r="AI46448" s="80"/>
    </row>
    <row r="46449">
      <c r="AI46449" s="80"/>
    </row>
    <row r="46450">
      <c r="AI46450" s="80"/>
    </row>
    <row r="46451">
      <c r="AI46451" s="80"/>
    </row>
    <row r="46452">
      <c r="AI46452" s="80"/>
    </row>
    <row r="46453">
      <c r="AI46453" s="80"/>
    </row>
    <row r="46454">
      <c r="AI46454" s="80"/>
    </row>
    <row r="46455">
      <c r="AI46455" s="80"/>
    </row>
    <row r="46456">
      <c r="AI46456" s="80"/>
    </row>
    <row r="46457">
      <c r="AI46457" s="80"/>
    </row>
    <row r="46458">
      <c r="AI46458" s="80"/>
    </row>
    <row r="46459">
      <c r="AI46459" s="80"/>
    </row>
    <row r="46460">
      <c r="AI46460" s="80"/>
    </row>
    <row r="46461">
      <c r="AI46461" s="80"/>
    </row>
    <row r="46462">
      <c r="AI46462" s="80"/>
    </row>
    <row r="46463">
      <c r="AI46463" s="80"/>
    </row>
    <row r="46464">
      <c r="AI46464" s="80"/>
    </row>
    <row r="46465">
      <c r="AI46465" s="80"/>
    </row>
    <row r="46466">
      <c r="AI46466" s="80"/>
    </row>
    <row r="46467">
      <c r="AI46467" s="80"/>
    </row>
    <row r="46468">
      <c r="AI46468" s="80"/>
    </row>
    <row r="46469">
      <c r="AI46469" s="80"/>
    </row>
    <row r="46470">
      <c r="AI46470" s="80"/>
    </row>
    <row r="46471">
      <c r="AI46471" s="80"/>
    </row>
    <row r="46472">
      <c r="AI46472" s="80"/>
    </row>
    <row r="46473">
      <c r="AI46473" s="80"/>
    </row>
    <row r="46474">
      <c r="AI46474" s="80"/>
    </row>
    <row r="46475">
      <c r="AI46475" s="80"/>
    </row>
    <row r="46476">
      <c r="AI46476" s="80"/>
    </row>
    <row r="46477">
      <c r="AI46477" s="80"/>
    </row>
    <row r="46478">
      <c r="AI46478" s="80"/>
    </row>
    <row r="46479">
      <c r="AI46479" s="80"/>
    </row>
    <row r="46480">
      <c r="AI46480" s="80"/>
    </row>
    <row r="46481">
      <c r="AI46481" s="80"/>
    </row>
    <row r="46482">
      <c r="AI46482" s="80"/>
    </row>
    <row r="46483">
      <c r="AI46483" s="80"/>
    </row>
    <row r="46484">
      <c r="AI46484" s="80"/>
    </row>
    <row r="46485">
      <c r="AI46485" s="80"/>
    </row>
    <row r="46486">
      <c r="AI46486" s="80"/>
    </row>
    <row r="46487">
      <c r="AI46487" s="80"/>
    </row>
    <row r="46488">
      <c r="AI46488" s="80"/>
    </row>
    <row r="46489">
      <c r="AI46489" s="80"/>
    </row>
    <row r="46490">
      <c r="AI46490" s="80"/>
    </row>
    <row r="46491">
      <c r="AI46491" s="80"/>
    </row>
    <row r="46492">
      <c r="AI46492" s="80"/>
    </row>
    <row r="46493">
      <c r="AI46493" s="80"/>
    </row>
    <row r="46494">
      <c r="AI46494" s="80"/>
    </row>
    <row r="46495">
      <c r="AI46495" s="80"/>
    </row>
    <row r="46496">
      <c r="AI46496" s="80"/>
    </row>
    <row r="46497">
      <c r="AI46497" s="80"/>
    </row>
    <row r="46498">
      <c r="AI46498" s="80"/>
    </row>
    <row r="46499">
      <c r="AI46499" s="80"/>
    </row>
    <row r="46500">
      <c r="AI46500" s="80"/>
    </row>
    <row r="46501">
      <c r="AI46501" s="80"/>
    </row>
    <row r="46502">
      <c r="AI46502" s="80"/>
    </row>
    <row r="46503">
      <c r="AI46503" s="80"/>
    </row>
    <row r="46504">
      <c r="AI46504" s="80"/>
    </row>
    <row r="46505">
      <c r="AI46505" s="80"/>
    </row>
    <row r="46506">
      <c r="AI46506" s="80"/>
    </row>
    <row r="46507">
      <c r="AI46507" s="80"/>
    </row>
    <row r="46508">
      <c r="AI46508" s="80"/>
    </row>
    <row r="46509">
      <c r="AI46509" s="80"/>
    </row>
    <row r="46510">
      <c r="AI46510" s="80"/>
    </row>
    <row r="46511">
      <c r="AI46511" s="80"/>
    </row>
    <row r="46512">
      <c r="AI46512" s="80"/>
    </row>
    <row r="46513">
      <c r="AI46513" s="80"/>
    </row>
    <row r="46514">
      <c r="AI46514" s="80"/>
    </row>
    <row r="46515">
      <c r="AI46515" s="80"/>
    </row>
    <row r="46516">
      <c r="AI46516" s="80"/>
    </row>
    <row r="46517">
      <c r="AI46517" s="80"/>
    </row>
    <row r="46518">
      <c r="AI46518" s="80"/>
    </row>
    <row r="46519">
      <c r="AI46519" s="80"/>
    </row>
    <row r="46520">
      <c r="AI46520" s="80"/>
    </row>
    <row r="46521">
      <c r="AI46521" s="80"/>
    </row>
    <row r="46522">
      <c r="AI46522" s="80"/>
    </row>
    <row r="46523">
      <c r="AI46523" s="80"/>
    </row>
    <row r="46524">
      <c r="AI46524" s="80"/>
    </row>
    <row r="46525">
      <c r="AI46525" s="80"/>
    </row>
    <row r="46526">
      <c r="AI46526" s="80"/>
    </row>
    <row r="46527">
      <c r="AI46527" s="80"/>
    </row>
    <row r="46528">
      <c r="AI46528" s="80"/>
    </row>
    <row r="46529">
      <c r="AI46529" s="80"/>
    </row>
    <row r="46530">
      <c r="AI46530" s="80"/>
    </row>
    <row r="46531">
      <c r="AI46531" s="80"/>
    </row>
    <row r="46532">
      <c r="AI46532" s="80"/>
    </row>
    <row r="46533">
      <c r="AI46533" s="80"/>
    </row>
    <row r="46534">
      <c r="AI46534" s="80"/>
    </row>
    <row r="46535">
      <c r="AI46535" s="80"/>
    </row>
    <row r="46536">
      <c r="AI46536" s="80"/>
    </row>
    <row r="46537">
      <c r="AI46537" s="80"/>
    </row>
    <row r="46538">
      <c r="AI46538" s="80"/>
    </row>
    <row r="46539">
      <c r="AI46539" s="80"/>
    </row>
    <row r="46540">
      <c r="AI46540" s="80"/>
    </row>
    <row r="46541">
      <c r="AI46541" s="80"/>
    </row>
    <row r="46542">
      <c r="AI46542" s="80"/>
    </row>
    <row r="46543">
      <c r="AI46543" s="80"/>
    </row>
    <row r="46544">
      <c r="AI46544" s="80"/>
    </row>
    <row r="46545">
      <c r="AI46545" s="80"/>
    </row>
    <row r="46546">
      <c r="AI46546" s="80"/>
    </row>
    <row r="46547">
      <c r="AI46547" s="80"/>
    </row>
    <row r="46548">
      <c r="AI46548" s="80"/>
    </row>
    <row r="46549">
      <c r="AI46549" s="80"/>
    </row>
    <row r="46550">
      <c r="AI46550" s="80"/>
    </row>
    <row r="46551">
      <c r="AI46551" s="80"/>
    </row>
    <row r="46552">
      <c r="AI46552" s="80"/>
    </row>
    <row r="46553">
      <c r="AI46553" s="80"/>
    </row>
    <row r="46554">
      <c r="AI46554" s="80"/>
    </row>
    <row r="46555">
      <c r="AI46555" s="80"/>
    </row>
    <row r="46556">
      <c r="AI46556" s="80"/>
    </row>
    <row r="46557">
      <c r="AI46557" s="80"/>
    </row>
    <row r="46558">
      <c r="AI46558" s="80"/>
    </row>
    <row r="46559">
      <c r="AI46559" s="80"/>
    </row>
    <row r="46560">
      <c r="AI46560" s="80"/>
    </row>
    <row r="46561">
      <c r="AI46561" s="80"/>
    </row>
    <row r="46562">
      <c r="AI46562" s="80"/>
    </row>
    <row r="46563">
      <c r="AI46563" s="80"/>
    </row>
    <row r="46564">
      <c r="AI46564" s="80"/>
    </row>
    <row r="46565">
      <c r="AI46565" s="80"/>
    </row>
    <row r="46566">
      <c r="AI46566" s="80"/>
    </row>
    <row r="46567">
      <c r="AI46567" s="80"/>
    </row>
    <row r="46568">
      <c r="AI46568" s="80"/>
    </row>
    <row r="46569">
      <c r="AI46569" s="80"/>
    </row>
    <row r="46570">
      <c r="AI46570" s="80"/>
    </row>
    <row r="46571">
      <c r="AI46571" s="80"/>
    </row>
    <row r="46572">
      <c r="AI46572" s="80"/>
    </row>
    <row r="46573">
      <c r="AI46573" s="80"/>
    </row>
    <row r="46574">
      <c r="AI46574" s="80"/>
    </row>
    <row r="46575">
      <c r="AI46575" s="80"/>
    </row>
    <row r="46576">
      <c r="AI46576" s="80"/>
    </row>
    <row r="46577">
      <c r="AI46577" s="80"/>
    </row>
    <row r="46578">
      <c r="AI46578" s="80"/>
    </row>
    <row r="46579">
      <c r="AI46579" s="80"/>
    </row>
    <row r="46580">
      <c r="AI46580" s="80"/>
    </row>
    <row r="46581">
      <c r="AI46581" s="80"/>
    </row>
    <row r="46582">
      <c r="AI46582" s="80"/>
    </row>
    <row r="46583">
      <c r="AI46583" s="80"/>
    </row>
    <row r="46584">
      <c r="AI46584" s="80"/>
    </row>
    <row r="46585">
      <c r="AI46585" s="80"/>
    </row>
    <row r="46586">
      <c r="AI46586" s="80"/>
    </row>
    <row r="46587">
      <c r="AI46587" s="80"/>
    </row>
    <row r="46588">
      <c r="AI46588" s="80"/>
    </row>
    <row r="46589">
      <c r="AI46589" s="80"/>
    </row>
    <row r="46590">
      <c r="AI46590" s="80"/>
    </row>
    <row r="46591">
      <c r="AI46591" s="80"/>
    </row>
    <row r="46592">
      <c r="AI46592" s="80"/>
    </row>
    <row r="46593">
      <c r="AI46593" s="80"/>
    </row>
    <row r="46594">
      <c r="AI46594" s="80"/>
    </row>
    <row r="46595">
      <c r="AI46595" s="80"/>
    </row>
    <row r="46596">
      <c r="AI46596" s="80"/>
    </row>
    <row r="46597">
      <c r="AI46597" s="80"/>
    </row>
    <row r="46598">
      <c r="AI46598" s="80"/>
    </row>
    <row r="46599">
      <c r="AI46599" s="80"/>
    </row>
    <row r="46600">
      <c r="AI46600" s="80"/>
    </row>
    <row r="46601">
      <c r="AI46601" s="80"/>
    </row>
    <row r="46602">
      <c r="AI46602" s="80"/>
    </row>
    <row r="46603">
      <c r="AI46603" s="80"/>
    </row>
    <row r="46604">
      <c r="AI46604" s="80"/>
    </row>
    <row r="46605">
      <c r="AI46605" s="80"/>
    </row>
    <row r="46606">
      <c r="AI46606" s="80"/>
    </row>
    <row r="46607">
      <c r="AI46607" s="80"/>
    </row>
    <row r="46608">
      <c r="AI46608" s="80"/>
    </row>
    <row r="46609">
      <c r="AI46609" s="80"/>
    </row>
    <row r="46610">
      <c r="AI46610" s="80"/>
    </row>
    <row r="46611">
      <c r="AI46611" s="80"/>
    </row>
    <row r="46612">
      <c r="AI46612" s="80"/>
    </row>
    <row r="46613">
      <c r="AI46613" s="80"/>
    </row>
    <row r="46614">
      <c r="AI46614" s="80"/>
    </row>
    <row r="46615">
      <c r="AI46615" s="80"/>
    </row>
    <row r="46616">
      <c r="AI46616" s="80"/>
    </row>
    <row r="46617">
      <c r="AI46617" s="80"/>
    </row>
    <row r="46618">
      <c r="AI46618" s="80"/>
    </row>
    <row r="46619">
      <c r="AI46619" s="80"/>
    </row>
    <row r="46620">
      <c r="AI46620" s="80"/>
    </row>
    <row r="46621">
      <c r="AI46621" s="80"/>
    </row>
    <row r="46622">
      <c r="AI46622" s="80"/>
    </row>
    <row r="46623">
      <c r="AI46623" s="80"/>
    </row>
    <row r="46624">
      <c r="AI46624" s="80"/>
    </row>
    <row r="46625">
      <c r="AI46625" s="80"/>
    </row>
    <row r="46626">
      <c r="AI46626" s="80"/>
    </row>
    <row r="46627">
      <c r="AI46627" s="80"/>
    </row>
    <row r="46628">
      <c r="AI46628" s="80"/>
    </row>
    <row r="46629">
      <c r="AI46629" s="80"/>
    </row>
    <row r="46630">
      <c r="AI46630" s="80"/>
    </row>
    <row r="46631">
      <c r="AI46631" s="80"/>
    </row>
    <row r="46632">
      <c r="AI46632" s="80"/>
    </row>
    <row r="46633">
      <c r="AI46633" s="80"/>
    </row>
    <row r="46634">
      <c r="AI46634" s="80"/>
    </row>
    <row r="46635">
      <c r="AI46635" s="80"/>
    </row>
    <row r="46636">
      <c r="AI46636" s="80"/>
    </row>
    <row r="46637">
      <c r="AI46637" s="80"/>
    </row>
    <row r="46638">
      <c r="AI46638" s="80"/>
    </row>
    <row r="46639">
      <c r="AI46639" s="80"/>
    </row>
    <row r="46640">
      <c r="AI46640" s="80"/>
    </row>
    <row r="46641">
      <c r="AI46641" s="80"/>
    </row>
    <row r="46642">
      <c r="AI46642" s="80"/>
    </row>
    <row r="46643">
      <c r="AI46643" s="80"/>
    </row>
    <row r="46644">
      <c r="AI46644" s="80"/>
    </row>
    <row r="46645">
      <c r="AI46645" s="80"/>
    </row>
    <row r="46646">
      <c r="AI46646" s="80"/>
    </row>
    <row r="46647">
      <c r="AI46647" s="80"/>
    </row>
    <row r="46648">
      <c r="AI46648" s="80"/>
    </row>
    <row r="46649">
      <c r="AI46649" s="80"/>
    </row>
    <row r="46650">
      <c r="AI46650" s="80"/>
    </row>
    <row r="46651">
      <c r="AI46651" s="80"/>
    </row>
    <row r="46652">
      <c r="AI46652" s="80"/>
    </row>
    <row r="46653">
      <c r="AI46653" s="80"/>
    </row>
    <row r="46654">
      <c r="AI46654" s="80"/>
    </row>
    <row r="46655">
      <c r="AI46655" s="80"/>
    </row>
    <row r="46656">
      <c r="AI46656" s="80"/>
    </row>
    <row r="46657">
      <c r="AI46657" s="80"/>
    </row>
    <row r="46658">
      <c r="AI46658" s="80"/>
    </row>
    <row r="46659">
      <c r="AI46659" s="80"/>
    </row>
    <row r="46660">
      <c r="AI46660" s="80"/>
    </row>
    <row r="46661">
      <c r="AI46661" s="80"/>
    </row>
    <row r="46662">
      <c r="AI46662" s="80"/>
    </row>
    <row r="46663">
      <c r="AI46663" s="80"/>
    </row>
    <row r="46664">
      <c r="AI46664" s="80"/>
    </row>
    <row r="46665">
      <c r="AI46665" s="80"/>
    </row>
    <row r="46666">
      <c r="AI46666" s="80"/>
    </row>
    <row r="46667">
      <c r="AI46667" s="80"/>
    </row>
    <row r="46668">
      <c r="AI46668" s="80"/>
    </row>
    <row r="46669">
      <c r="AI46669" s="80"/>
    </row>
    <row r="46670">
      <c r="AI46670" s="80"/>
    </row>
    <row r="46671">
      <c r="AI46671" s="80"/>
    </row>
    <row r="46672">
      <c r="AI46672" s="80"/>
    </row>
    <row r="46673">
      <c r="AI46673" s="80"/>
    </row>
    <row r="46674">
      <c r="AI46674" s="80"/>
    </row>
    <row r="46675">
      <c r="AI46675" s="80"/>
    </row>
    <row r="46676">
      <c r="AI46676" s="80"/>
    </row>
    <row r="46677">
      <c r="AI46677" s="80"/>
    </row>
    <row r="46678">
      <c r="AI46678" s="80"/>
    </row>
    <row r="46679">
      <c r="AI46679" s="80"/>
    </row>
    <row r="46680">
      <c r="AI46680" s="80"/>
    </row>
    <row r="46681">
      <c r="AI46681" s="80"/>
    </row>
    <row r="46682">
      <c r="AI46682" s="80"/>
    </row>
    <row r="46683">
      <c r="AI46683" s="80"/>
    </row>
    <row r="46684">
      <c r="AI46684" s="80"/>
    </row>
    <row r="46685">
      <c r="AI46685" s="80"/>
    </row>
    <row r="46686">
      <c r="AI46686" s="80"/>
    </row>
    <row r="46687">
      <c r="AI46687" s="80"/>
    </row>
    <row r="46688">
      <c r="AI46688" s="80"/>
    </row>
    <row r="46689">
      <c r="AI46689" s="80"/>
    </row>
    <row r="46690">
      <c r="AI46690" s="80"/>
    </row>
    <row r="46691">
      <c r="AI46691" s="80"/>
    </row>
    <row r="46692">
      <c r="AI46692" s="80"/>
    </row>
    <row r="46693">
      <c r="AI46693" s="80"/>
    </row>
    <row r="46694">
      <c r="AI46694" s="80"/>
    </row>
    <row r="46695">
      <c r="AI46695" s="80"/>
    </row>
    <row r="46696">
      <c r="AI46696" s="80"/>
    </row>
    <row r="46697">
      <c r="AI46697" s="80"/>
    </row>
    <row r="46698">
      <c r="AI46698" s="80"/>
    </row>
    <row r="46699">
      <c r="AI46699" s="80"/>
    </row>
    <row r="46700">
      <c r="AI46700" s="80"/>
    </row>
    <row r="46701">
      <c r="AI46701" s="80"/>
    </row>
    <row r="46702">
      <c r="AI46702" s="80"/>
    </row>
    <row r="46703">
      <c r="AI46703" s="80"/>
    </row>
    <row r="46704">
      <c r="AI46704" s="80"/>
    </row>
    <row r="46705">
      <c r="AI46705" s="80"/>
    </row>
    <row r="46706">
      <c r="AI46706" s="80"/>
    </row>
    <row r="46707">
      <c r="AI46707" s="80"/>
    </row>
    <row r="46708">
      <c r="AI46708" s="80"/>
    </row>
    <row r="46709">
      <c r="AI46709" s="80"/>
    </row>
    <row r="46710">
      <c r="AI46710" s="80"/>
    </row>
    <row r="46711">
      <c r="AI46711" s="80"/>
    </row>
    <row r="46712">
      <c r="AI46712" s="80"/>
    </row>
    <row r="46713">
      <c r="AI46713" s="80"/>
    </row>
    <row r="46714">
      <c r="AI46714" s="80"/>
    </row>
    <row r="46715">
      <c r="AI46715" s="80"/>
    </row>
    <row r="46716">
      <c r="AI46716" s="80"/>
    </row>
    <row r="46717">
      <c r="AI46717" s="80"/>
    </row>
    <row r="46718">
      <c r="AI46718" s="80"/>
    </row>
    <row r="46719">
      <c r="AI46719" s="80"/>
    </row>
    <row r="46720">
      <c r="AI46720" s="80"/>
    </row>
    <row r="46721">
      <c r="AI46721" s="80"/>
    </row>
    <row r="46722">
      <c r="AI46722" s="80"/>
    </row>
    <row r="46723">
      <c r="AI46723" s="80"/>
    </row>
    <row r="46724">
      <c r="AI46724" s="80"/>
    </row>
    <row r="46725">
      <c r="AI46725" s="80"/>
    </row>
    <row r="46726">
      <c r="AI46726" s="80"/>
    </row>
    <row r="46727">
      <c r="AI46727" s="80"/>
    </row>
    <row r="46728">
      <c r="AI46728" s="80"/>
    </row>
    <row r="46729">
      <c r="AI46729" s="80"/>
    </row>
    <row r="46730">
      <c r="AI46730" s="80"/>
    </row>
    <row r="46731">
      <c r="AI46731" s="80"/>
    </row>
    <row r="46732">
      <c r="AI46732" s="80"/>
    </row>
    <row r="46733">
      <c r="AI46733" s="80"/>
    </row>
    <row r="46734">
      <c r="AI46734" s="80"/>
    </row>
    <row r="46735">
      <c r="AI46735" s="80"/>
    </row>
    <row r="46736">
      <c r="AI46736" s="80"/>
    </row>
    <row r="46737">
      <c r="AI46737" s="80"/>
    </row>
    <row r="46738">
      <c r="AI46738" s="80"/>
    </row>
    <row r="46739">
      <c r="AI46739" s="80"/>
    </row>
    <row r="46740">
      <c r="AI46740" s="80"/>
    </row>
    <row r="46741">
      <c r="AI46741" s="80"/>
    </row>
    <row r="46742">
      <c r="AI46742" s="80"/>
    </row>
    <row r="46743">
      <c r="AI46743" s="80"/>
    </row>
    <row r="46744">
      <c r="AI46744" s="80"/>
    </row>
    <row r="46745">
      <c r="AI46745" s="80"/>
    </row>
    <row r="46746">
      <c r="AI46746" s="80"/>
    </row>
    <row r="46747">
      <c r="AI46747" s="80"/>
    </row>
    <row r="46748">
      <c r="AI46748" s="80"/>
    </row>
    <row r="46749">
      <c r="AI46749" s="80"/>
    </row>
    <row r="46750">
      <c r="AI46750" s="80"/>
    </row>
    <row r="46751">
      <c r="AI46751" s="80"/>
    </row>
    <row r="46752">
      <c r="AI46752" s="80"/>
    </row>
    <row r="46753">
      <c r="AI46753" s="80"/>
    </row>
    <row r="46754">
      <c r="AI46754" s="80"/>
    </row>
    <row r="46755">
      <c r="AI46755" s="80"/>
    </row>
    <row r="46756">
      <c r="AI46756" s="80"/>
    </row>
    <row r="46757">
      <c r="AI46757" s="80"/>
    </row>
    <row r="46758">
      <c r="AI46758" s="80"/>
    </row>
    <row r="46759">
      <c r="AI46759" s="80"/>
    </row>
    <row r="46760">
      <c r="AI46760" s="80"/>
    </row>
    <row r="46761">
      <c r="AI46761" s="80"/>
    </row>
    <row r="46762">
      <c r="AI46762" s="80"/>
    </row>
    <row r="46763">
      <c r="AI46763" s="80"/>
    </row>
    <row r="46764">
      <c r="AI46764" s="80"/>
    </row>
    <row r="46765">
      <c r="AI46765" s="80"/>
    </row>
    <row r="46766">
      <c r="AI46766" s="80"/>
    </row>
    <row r="46767">
      <c r="AI46767" s="80"/>
    </row>
    <row r="46768">
      <c r="AI46768" s="80"/>
    </row>
    <row r="46769">
      <c r="AI46769" s="80"/>
    </row>
    <row r="46770">
      <c r="AI46770" s="80"/>
    </row>
    <row r="46771">
      <c r="AI46771" s="80"/>
    </row>
    <row r="46772">
      <c r="AI46772" s="80"/>
    </row>
    <row r="46773">
      <c r="AI46773" s="80"/>
    </row>
    <row r="46774">
      <c r="AI46774" s="80"/>
    </row>
    <row r="46775">
      <c r="AI46775" s="80"/>
    </row>
    <row r="46776">
      <c r="AI46776" s="80"/>
    </row>
    <row r="46777">
      <c r="AI46777" s="80"/>
    </row>
    <row r="46778">
      <c r="AI46778" s="80"/>
    </row>
    <row r="46779">
      <c r="AI46779" s="80"/>
    </row>
    <row r="46780">
      <c r="AI46780" s="80"/>
    </row>
    <row r="46781">
      <c r="AI46781" s="80"/>
    </row>
    <row r="46782">
      <c r="AI46782" s="80"/>
    </row>
    <row r="46783">
      <c r="AI46783" s="80"/>
    </row>
    <row r="46784">
      <c r="AI46784" s="80"/>
    </row>
    <row r="46785">
      <c r="AI46785" s="80"/>
    </row>
    <row r="46786">
      <c r="AI46786" s="80"/>
    </row>
    <row r="46787">
      <c r="AI46787" s="80"/>
    </row>
    <row r="46788">
      <c r="AI46788" s="80"/>
    </row>
    <row r="46789">
      <c r="AI46789" s="80"/>
    </row>
    <row r="46790">
      <c r="AI46790" s="80"/>
    </row>
    <row r="46791">
      <c r="AI46791" s="80"/>
    </row>
    <row r="46792">
      <c r="AI46792" s="80"/>
    </row>
    <row r="46793">
      <c r="AI46793" s="80"/>
    </row>
    <row r="46794">
      <c r="AI46794" s="80"/>
    </row>
    <row r="46795">
      <c r="AI46795" s="80"/>
    </row>
    <row r="46796">
      <c r="AI46796" s="80"/>
    </row>
    <row r="46797">
      <c r="AI46797" s="80"/>
    </row>
    <row r="46798">
      <c r="AI46798" s="80"/>
    </row>
    <row r="46799">
      <c r="AI46799" s="80"/>
    </row>
    <row r="46800">
      <c r="AI46800" s="80"/>
    </row>
    <row r="46801">
      <c r="AI46801" s="80"/>
    </row>
    <row r="46802">
      <c r="AI46802" s="80"/>
    </row>
    <row r="46803">
      <c r="AI46803" s="80"/>
    </row>
    <row r="46804">
      <c r="AI46804" s="80"/>
    </row>
    <row r="46805">
      <c r="AI46805" s="80"/>
    </row>
    <row r="46806">
      <c r="AI46806" s="80"/>
    </row>
    <row r="46807">
      <c r="AI46807" s="80"/>
    </row>
    <row r="46808">
      <c r="AI46808" s="80"/>
    </row>
    <row r="46809">
      <c r="AI46809" s="80"/>
    </row>
    <row r="46810">
      <c r="AI46810" s="80"/>
    </row>
    <row r="46811">
      <c r="AI46811" s="80"/>
    </row>
    <row r="46812">
      <c r="AI46812" s="80"/>
    </row>
    <row r="46813">
      <c r="AI46813" s="80"/>
    </row>
    <row r="46814">
      <c r="AI46814" s="80"/>
    </row>
    <row r="46815">
      <c r="AI46815" s="80"/>
    </row>
    <row r="46816">
      <c r="AI46816" s="80"/>
    </row>
    <row r="46817">
      <c r="AI46817" s="80"/>
    </row>
    <row r="46818">
      <c r="AI46818" s="80"/>
    </row>
    <row r="46819">
      <c r="AI46819" s="80"/>
    </row>
    <row r="46820">
      <c r="AI46820" s="80"/>
    </row>
    <row r="46821">
      <c r="AI46821" s="80"/>
    </row>
    <row r="46822">
      <c r="AI46822" s="80"/>
    </row>
    <row r="46823">
      <c r="AI46823" s="80"/>
    </row>
    <row r="46824">
      <c r="AI46824" s="80"/>
    </row>
    <row r="46825">
      <c r="AI46825" s="80"/>
    </row>
    <row r="46826">
      <c r="AI46826" s="80"/>
    </row>
    <row r="46827">
      <c r="AI46827" s="80"/>
    </row>
    <row r="46828">
      <c r="AI46828" s="80"/>
    </row>
    <row r="46829">
      <c r="AI46829" s="80"/>
    </row>
    <row r="46830">
      <c r="AI46830" s="80"/>
    </row>
    <row r="46831">
      <c r="AI46831" s="80"/>
    </row>
    <row r="46832">
      <c r="AI46832" s="80"/>
    </row>
    <row r="46833">
      <c r="AI46833" s="80"/>
    </row>
    <row r="46834">
      <c r="AI46834" s="80"/>
    </row>
    <row r="46835">
      <c r="AI46835" s="80"/>
    </row>
    <row r="46836">
      <c r="AI46836" s="80"/>
    </row>
    <row r="46837">
      <c r="AI46837" s="80"/>
    </row>
    <row r="46838">
      <c r="AI46838" s="80"/>
    </row>
    <row r="46839">
      <c r="AI46839" s="80"/>
    </row>
    <row r="46840">
      <c r="AI46840" s="80"/>
    </row>
    <row r="46841">
      <c r="AI46841" s="80"/>
    </row>
    <row r="46842">
      <c r="AI46842" s="80"/>
    </row>
    <row r="46843">
      <c r="AI46843" s="80"/>
    </row>
    <row r="46844">
      <c r="AI46844" s="80"/>
    </row>
    <row r="46845">
      <c r="AI46845" s="80"/>
    </row>
    <row r="46846">
      <c r="AI46846" s="80"/>
    </row>
    <row r="46847">
      <c r="AI46847" s="80"/>
    </row>
    <row r="46848">
      <c r="AI46848" s="80"/>
    </row>
    <row r="46849">
      <c r="AI46849" s="80"/>
    </row>
    <row r="46850">
      <c r="AI46850" s="80"/>
    </row>
    <row r="46851">
      <c r="AI46851" s="80"/>
    </row>
    <row r="46852">
      <c r="AI46852" s="80"/>
    </row>
    <row r="46853">
      <c r="AI46853" s="80"/>
    </row>
    <row r="46854">
      <c r="AI46854" s="80"/>
    </row>
    <row r="46855">
      <c r="AI46855" s="80"/>
    </row>
    <row r="46856">
      <c r="AI46856" s="80"/>
    </row>
    <row r="46857">
      <c r="AI46857" s="80"/>
    </row>
    <row r="46858">
      <c r="AI46858" s="80"/>
    </row>
    <row r="46859">
      <c r="AI46859" s="80"/>
    </row>
    <row r="46860">
      <c r="AI46860" s="80"/>
    </row>
    <row r="46861">
      <c r="AI46861" s="80"/>
    </row>
    <row r="46862">
      <c r="AI46862" s="80"/>
    </row>
    <row r="46863">
      <c r="AI46863" s="80"/>
    </row>
    <row r="46864">
      <c r="AI46864" s="80"/>
    </row>
    <row r="46865">
      <c r="AI46865" s="80"/>
    </row>
    <row r="46866">
      <c r="AI46866" s="80"/>
    </row>
    <row r="46867">
      <c r="AI46867" s="80"/>
    </row>
    <row r="46868">
      <c r="AI46868" s="80"/>
    </row>
    <row r="46869">
      <c r="AI46869" s="80"/>
    </row>
    <row r="46870">
      <c r="AI46870" s="80"/>
    </row>
    <row r="46871">
      <c r="AI46871" s="80"/>
    </row>
    <row r="46872">
      <c r="AI46872" s="80"/>
    </row>
    <row r="46873">
      <c r="AI46873" s="80"/>
    </row>
    <row r="46874">
      <c r="AI46874" s="80"/>
    </row>
    <row r="46875">
      <c r="AI46875" s="80"/>
    </row>
    <row r="46876">
      <c r="AI46876" s="80"/>
    </row>
    <row r="46877">
      <c r="AI46877" s="80"/>
    </row>
    <row r="46878">
      <c r="AI46878" s="80"/>
    </row>
    <row r="46879">
      <c r="AI46879" s="80"/>
    </row>
    <row r="46880">
      <c r="AI46880" s="80"/>
    </row>
    <row r="46881">
      <c r="AI46881" s="80"/>
    </row>
    <row r="46882">
      <c r="AI46882" s="80"/>
    </row>
    <row r="46883">
      <c r="AI46883" s="80"/>
    </row>
    <row r="46884">
      <c r="AI46884" s="80"/>
    </row>
    <row r="46885">
      <c r="AI46885" s="80"/>
    </row>
    <row r="46886">
      <c r="AI46886" s="80"/>
    </row>
    <row r="46887">
      <c r="AI46887" s="80"/>
    </row>
    <row r="46888">
      <c r="AI46888" s="80"/>
    </row>
    <row r="46889">
      <c r="AI46889" s="80"/>
    </row>
    <row r="46890">
      <c r="AI46890" s="80"/>
    </row>
    <row r="46891">
      <c r="AI46891" s="80"/>
    </row>
    <row r="46892">
      <c r="AI46892" s="80"/>
    </row>
    <row r="46893">
      <c r="AI46893" s="80"/>
    </row>
    <row r="46894">
      <c r="AI46894" s="80"/>
    </row>
    <row r="46895">
      <c r="AI46895" s="80"/>
    </row>
    <row r="46896">
      <c r="AI46896" s="80"/>
    </row>
    <row r="46897">
      <c r="AI46897" s="80"/>
    </row>
    <row r="46898">
      <c r="AI46898" s="80"/>
    </row>
    <row r="46899">
      <c r="AI46899" s="80"/>
    </row>
    <row r="46900">
      <c r="AI46900" s="80"/>
    </row>
    <row r="46901">
      <c r="AI46901" s="80"/>
    </row>
    <row r="46902">
      <c r="AI46902" s="80"/>
    </row>
    <row r="46903">
      <c r="AI46903" s="80"/>
    </row>
    <row r="46904">
      <c r="AI46904" s="80"/>
    </row>
    <row r="46905">
      <c r="AI46905" s="80"/>
    </row>
    <row r="46906">
      <c r="AI46906" s="80"/>
    </row>
    <row r="46907">
      <c r="AI46907" s="80"/>
    </row>
    <row r="46908">
      <c r="AI46908" s="80"/>
    </row>
    <row r="46909">
      <c r="AI46909" s="80"/>
    </row>
    <row r="46910">
      <c r="AI46910" s="80"/>
    </row>
    <row r="46911">
      <c r="AI46911" s="80"/>
    </row>
    <row r="46912">
      <c r="AI46912" s="80"/>
    </row>
    <row r="46913">
      <c r="AI46913" s="80"/>
    </row>
    <row r="46914">
      <c r="AI46914" s="80"/>
    </row>
    <row r="46915">
      <c r="AI46915" s="80"/>
    </row>
    <row r="46916">
      <c r="AI46916" s="80"/>
    </row>
    <row r="46917">
      <c r="AI46917" s="80"/>
    </row>
    <row r="46918">
      <c r="AI46918" s="80"/>
    </row>
    <row r="46919">
      <c r="AI46919" s="80"/>
    </row>
    <row r="46920">
      <c r="AI46920" s="80"/>
    </row>
    <row r="46921">
      <c r="AI46921" s="80"/>
    </row>
    <row r="46922">
      <c r="AI46922" s="80"/>
    </row>
    <row r="46923">
      <c r="AI46923" s="80"/>
    </row>
    <row r="46924">
      <c r="AI46924" s="80"/>
    </row>
    <row r="46925">
      <c r="AI46925" s="80"/>
    </row>
    <row r="46926">
      <c r="AI46926" s="80"/>
    </row>
    <row r="46927">
      <c r="AI46927" s="80"/>
    </row>
    <row r="46928">
      <c r="AI46928" s="80"/>
    </row>
    <row r="46929">
      <c r="AI46929" s="80"/>
    </row>
    <row r="46930">
      <c r="AI46930" s="80"/>
    </row>
    <row r="46931">
      <c r="AI46931" s="80"/>
    </row>
    <row r="46932">
      <c r="AI46932" s="80"/>
    </row>
    <row r="46933">
      <c r="AI46933" s="80"/>
    </row>
    <row r="46934">
      <c r="AI46934" s="80"/>
    </row>
    <row r="46935">
      <c r="AI46935" s="80"/>
    </row>
    <row r="46936">
      <c r="AI46936" s="80"/>
    </row>
    <row r="46937">
      <c r="AI46937" s="80"/>
    </row>
    <row r="46938">
      <c r="AI46938" s="80"/>
    </row>
    <row r="46939">
      <c r="AI46939" s="80"/>
    </row>
    <row r="46940">
      <c r="AI46940" s="80"/>
    </row>
    <row r="46941">
      <c r="AI46941" s="80"/>
    </row>
    <row r="46942">
      <c r="AI46942" s="80"/>
    </row>
    <row r="46943">
      <c r="AI46943" s="80"/>
    </row>
    <row r="46944">
      <c r="AI46944" s="80"/>
    </row>
    <row r="46945">
      <c r="AI46945" s="80"/>
    </row>
    <row r="46946">
      <c r="AI46946" s="80"/>
    </row>
    <row r="46947">
      <c r="AI46947" s="80"/>
    </row>
    <row r="46948">
      <c r="AI46948" s="80"/>
    </row>
    <row r="46949">
      <c r="AI46949" s="80"/>
    </row>
    <row r="46950">
      <c r="AI46950" s="80"/>
    </row>
    <row r="46951">
      <c r="AI46951" s="80"/>
    </row>
    <row r="46952">
      <c r="AI46952" s="80"/>
    </row>
    <row r="46953">
      <c r="AI46953" s="80"/>
    </row>
    <row r="46954">
      <c r="AI46954" s="80"/>
    </row>
    <row r="46955">
      <c r="AI46955" s="80"/>
    </row>
    <row r="46956">
      <c r="AI46956" s="80"/>
    </row>
    <row r="46957">
      <c r="AI46957" s="80"/>
    </row>
    <row r="46958">
      <c r="AI46958" s="80"/>
    </row>
    <row r="46959">
      <c r="AI46959" s="80"/>
    </row>
    <row r="46960">
      <c r="AI46960" s="80"/>
    </row>
    <row r="46961">
      <c r="AI46961" s="80"/>
    </row>
    <row r="46962">
      <c r="AI46962" s="80"/>
    </row>
    <row r="46963">
      <c r="AI46963" s="80"/>
    </row>
    <row r="46964">
      <c r="AI46964" s="80"/>
    </row>
    <row r="46965">
      <c r="AI46965" s="80"/>
    </row>
    <row r="46966">
      <c r="AI46966" s="80"/>
    </row>
    <row r="46967">
      <c r="AI46967" s="80"/>
    </row>
    <row r="46968">
      <c r="AI46968" s="80"/>
    </row>
    <row r="46969">
      <c r="AI46969" s="80"/>
    </row>
    <row r="46970">
      <c r="AI46970" s="80"/>
    </row>
    <row r="46971">
      <c r="AI46971" s="80"/>
    </row>
    <row r="46972">
      <c r="AI46972" s="80"/>
    </row>
    <row r="46973">
      <c r="AI46973" s="80"/>
    </row>
    <row r="46974">
      <c r="AI46974" s="80"/>
    </row>
    <row r="46975">
      <c r="AI46975" s="80"/>
    </row>
    <row r="46976">
      <c r="AI46976" s="80"/>
    </row>
    <row r="46977">
      <c r="AI46977" s="80"/>
    </row>
    <row r="46978">
      <c r="AI46978" s="80"/>
    </row>
    <row r="46979">
      <c r="AI46979" s="80"/>
    </row>
    <row r="46980">
      <c r="AI46980" s="80"/>
    </row>
    <row r="46981">
      <c r="AI46981" s="80"/>
    </row>
    <row r="46982">
      <c r="AI46982" s="80"/>
    </row>
    <row r="46983">
      <c r="AI46983" s="80"/>
    </row>
    <row r="46984">
      <c r="AI46984" s="80"/>
    </row>
    <row r="46985">
      <c r="AI46985" s="80"/>
    </row>
    <row r="46986">
      <c r="AI46986" s="80"/>
    </row>
    <row r="46987">
      <c r="AI46987" s="80"/>
    </row>
    <row r="46988">
      <c r="AI46988" s="80"/>
    </row>
    <row r="46989">
      <c r="AI46989" s="80"/>
    </row>
    <row r="46990">
      <c r="AI46990" s="80"/>
    </row>
    <row r="46991">
      <c r="AI46991" s="80"/>
    </row>
    <row r="46992">
      <c r="AI46992" s="80"/>
    </row>
    <row r="46993">
      <c r="AI46993" s="80"/>
    </row>
    <row r="46994">
      <c r="AI46994" s="80"/>
    </row>
    <row r="46995">
      <c r="AI46995" s="80"/>
    </row>
    <row r="46996">
      <c r="AI46996" s="80"/>
    </row>
    <row r="46997">
      <c r="AI46997" s="80"/>
    </row>
    <row r="46998">
      <c r="AI46998" s="80"/>
    </row>
    <row r="46999">
      <c r="AI46999" s="80"/>
    </row>
    <row r="47000">
      <c r="AI47000" s="80"/>
    </row>
    <row r="47001">
      <c r="AI47001" s="80"/>
    </row>
    <row r="47002">
      <c r="AI47002" s="80"/>
    </row>
    <row r="47003">
      <c r="AI47003" s="80"/>
    </row>
    <row r="47004">
      <c r="AI47004" s="80"/>
    </row>
    <row r="47005">
      <c r="AI47005" s="80"/>
    </row>
    <row r="47006">
      <c r="AI47006" s="80"/>
    </row>
    <row r="47007">
      <c r="AI47007" s="80"/>
    </row>
    <row r="47008">
      <c r="AI47008" s="80"/>
    </row>
    <row r="47009">
      <c r="AI47009" s="80"/>
    </row>
    <row r="47010">
      <c r="AI47010" s="80"/>
    </row>
    <row r="47011">
      <c r="AI47011" s="80"/>
    </row>
    <row r="47012">
      <c r="AI47012" s="80"/>
    </row>
    <row r="47013">
      <c r="AI47013" s="80"/>
    </row>
    <row r="47014">
      <c r="AI47014" s="80"/>
    </row>
    <row r="47015">
      <c r="AI47015" s="80"/>
    </row>
    <row r="47016">
      <c r="AI47016" s="80"/>
    </row>
    <row r="47017">
      <c r="AI47017" s="80"/>
    </row>
    <row r="47018">
      <c r="AI47018" s="80"/>
    </row>
    <row r="47019">
      <c r="AI47019" s="80"/>
    </row>
    <row r="47020">
      <c r="AI47020" s="80"/>
    </row>
    <row r="47021">
      <c r="AI47021" s="80"/>
    </row>
    <row r="47022">
      <c r="AI47022" s="80"/>
    </row>
    <row r="47023">
      <c r="AI47023" s="80"/>
    </row>
    <row r="47024">
      <c r="AI47024" s="80"/>
    </row>
    <row r="47025">
      <c r="AI47025" s="80"/>
    </row>
    <row r="47026">
      <c r="AI47026" s="80"/>
    </row>
    <row r="47027">
      <c r="AI47027" s="80"/>
    </row>
    <row r="47028">
      <c r="AI47028" s="80"/>
    </row>
    <row r="47029">
      <c r="AI47029" s="80"/>
    </row>
    <row r="47030">
      <c r="AI47030" s="80"/>
    </row>
    <row r="47031">
      <c r="AI47031" s="80"/>
    </row>
    <row r="47032">
      <c r="AI47032" s="80"/>
    </row>
    <row r="47033">
      <c r="AI47033" s="80"/>
    </row>
    <row r="47034">
      <c r="AI47034" s="80"/>
    </row>
    <row r="47035">
      <c r="AI47035" s="80"/>
    </row>
    <row r="47036">
      <c r="AI47036" s="80"/>
    </row>
    <row r="47037">
      <c r="AI47037" s="80"/>
    </row>
    <row r="47038">
      <c r="AI47038" s="80"/>
    </row>
    <row r="47039">
      <c r="AI47039" s="80"/>
    </row>
    <row r="47040">
      <c r="AI47040" s="80"/>
    </row>
    <row r="47041">
      <c r="AI47041" s="80"/>
    </row>
    <row r="47042">
      <c r="AI47042" s="80"/>
    </row>
    <row r="47043">
      <c r="AI47043" s="80"/>
    </row>
    <row r="47044">
      <c r="AI47044" s="80"/>
    </row>
    <row r="47045">
      <c r="AI47045" s="80"/>
    </row>
    <row r="47046">
      <c r="AI47046" s="80"/>
    </row>
    <row r="47047">
      <c r="AI47047" s="80"/>
    </row>
    <row r="47048">
      <c r="AI47048" s="80"/>
    </row>
    <row r="47049">
      <c r="AI47049" s="80"/>
    </row>
    <row r="47050">
      <c r="AI47050" s="80"/>
    </row>
    <row r="47051">
      <c r="AI47051" s="80"/>
    </row>
    <row r="47052">
      <c r="AI47052" s="80"/>
    </row>
    <row r="47053">
      <c r="AI47053" s="80"/>
    </row>
    <row r="47054">
      <c r="AI47054" s="80"/>
    </row>
    <row r="47055">
      <c r="AI47055" s="80"/>
    </row>
    <row r="47056">
      <c r="AI47056" s="80"/>
    </row>
    <row r="47057">
      <c r="AI47057" s="80"/>
    </row>
    <row r="47058">
      <c r="AI47058" s="80"/>
    </row>
    <row r="47059">
      <c r="AI47059" s="80"/>
    </row>
    <row r="47060">
      <c r="AI47060" s="80"/>
    </row>
    <row r="47061">
      <c r="AI47061" s="80"/>
    </row>
    <row r="47062">
      <c r="AI47062" s="80"/>
    </row>
    <row r="47063">
      <c r="AI47063" s="80"/>
    </row>
    <row r="47064">
      <c r="AI47064" s="80"/>
    </row>
    <row r="47065">
      <c r="AI47065" s="80"/>
    </row>
    <row r="47066">
      <c r="AI47066" s="80"/>
    </row>
    <row r="47067">
      <c r="AI47067" s="80"/>
    </row>
    <row r="47068">
      <c r="AI47068" s="80"/>
    </row>
    <row r="47069">
      <c r="AI47069" s="80"/>
    </row>
    <row r="47070">
      <c r="AI47070" s="80"/>
    </row>
    <row r="47071">
      <c r="AI47071" s="80"/>
    </row>
    <row r="47072">
      <c r="AI47072" s="80"/>
    </row>
    <row r="47073">
      <c r="AI47073" s="80"/>
    </row>
    <row r="47074">
      <c r="AI47074" s="80"/>
    </row>
    <row r="47075">
      <c r="AI47075" s="80"/>
    </row>
    <row r="47076">
      <c r="AI47076" s="80"/>
    </row>
    <row r="47077">
      <c r="AI47077" s="80"/>
    </row>
    <row r="47078">
      <c r="AI47078" s="80"/>
    </row>
    <row r="47079">
      <c r="AI47079" s="80"/>
    </row>
    <row r="47080">
      <c r="AI47080" s="80"/>
    </row>
    <row r="47081">
      <c r="AI47081" s="80"/>
    </row>
    <row r="47082">
      <c r="AI47082" s="80"/>
    </row>
    <row r="47083">
      <c r="AI47083" s="80"/>
    </row>
    <row r="47084">
      <c r="AI47084" s="80"/>
    </row>
    <row r="47085">
      <c r="AI47085" s="80"/>
    </row>
    <row r="47086">
      <c r="AI47086" s="80"/>
    </row>
    <row r="47087">
      <c r="AI47087" s="80"/>
    </row>
    <row r="47088">
      <c r="AI47088" s="80"/>
    </row>
    <row r="47089">
      <c r="AI47089" s="80"/>
    </row>
    <row r="47090">
      <c r="AI47090" s="80"/>
    </row>
    <row r="47091">
      <c r="AI47091" s="80"/>
    </row>
    <row r="47092">
      <c r="AI47092" s="80"/>
    </row>
    <row r="47093">
      <c r="AI47093" s="80"/>
    </row>
    <row r="47094">
      <c r="AI47094" s="80"/>
    </row>
    <row r="47095">
      <c r="AI47095" s="80"/>
    </row>
    <row r="47096">
      <c r="AI47096" s="80"/>
    </row>
    <row r="47097">
      <c r="AI47097" s="80"/>
    </row>
    <row r="47098">
      <c r="AI47098" s="80"/>
    </row>
    <row r="47099">
      <c r="AI47099" s="80"/>
    </row>
    <row r="47100">
      <c r="AI47100" s="80"/>
    </row>
    <row r="47101">
      <c r="AI47101" s="80"/>
    </row>
    <row r="47102">
      <c r="AI47102" s="80"/>
    </row>
    <row r="47103">
      <c r="AI47103" s="80"/>
    </row>
    <row r="47104">
      <c r="AI47104" s="80"/>
    </row>
    <row r="47105">
      <c r="AI47105" s="80"/>
    </row>
    <row r="47106">
      <c r="AI47106" s="80"/>
    </row>
    <row r="47107">
      <c r="AI47107" s="80"/>
    </row>
    <row r="47108">
      <c r="AI47108" s="80"/>
    </row>
    <row r="47109">
      <c r="AI47109" s="80"/>
    </row>
    <row r="47110">
      <c r="AI47110" s="80"/>
    </row>
    <row r="47111">
      <c r="AI47111" s="80"/>
    </row>
    <row r="47112">
      <c r="AI47112" s="80"/>
    </row>
    <row r="47113">
      <c r="AI47113" s="80"/>
    </row>
    <row r="47114">
      <c r="AI47114" s="80"/>
    </row>
    <row r="47115">
      <c r="AI47115" s="80"/>
    </row>
    <row r="47116">
      <c r="AI47116" s="80"/>
    </row>
    <row r="47117">
      <c r="AI47117" s="80"/>
    </row>
    <row r="47118">
      <c r="AI47118" s="80"/>
    </row>
    <row r="47119">
      <c r="AI47119" s="80"/>
    </row>
    <row r="47120">
      <c r="AI47120" s="80"/>
    </row>
    <row r="47121">
      <c r="AI47121" s="80"/>
    </row>
    <row r="47122">
      <c r="AI47122" s="80"/>
    </row>
    <row r="47123">
      <c r="AI47123" s="80"/>
    </row>
    <row r="47124">
      <c r="AI47124" s="80"/>
    </row>
    <row r="47125">
      <c r="AI47125" s="80"/>
    </row>
    <row r="47126">
      <c r="AI47126" s="80"/>
    </row>
    <row r="47127">
      <c r="AI47127" s="80"/>
    </row>
    <row r="47128">
      <c r="AI47128" s="80"/>
    </row>
    <row r="47129">
      <c r="AI47129" s="80"/>
    </row>
    <row r="47130">
      <c r="AI47130" s="80"/>
    </row>
    <row r="47131">
      <c r="AI47131" s="80"/>
    </row>
    <row r="47132">
      <c r="AI47132" s="80"/>
    </row>
    <row r="47133">
      <c r="AI47133" s="80"/>
    </row>
    <row r="47134">
      <c r="AI47134" s="80"/>
    </row>
    <row r="47135">
      <c r="AI47135" s="80"/>
    </row>
    <row r="47136">
      <c r="AI47136" s="80"/>
    </row>
    <row r="47137">
      <c r="AI47137" s="80"/>
    </row>
    <row r="47138">
      <c r="AI47138" s="80"/>
    </row>
    <row r="47139">
      <c r="AI47139" s="80"/>
    </row>
    <row r="47140">
      <c r="AI47140" s="80"/>
    </row>
    <row r="47141">
      <c r="AI47141" s="80"/>
    </row>
    <row r="47142">
      <c r="AI47142" s="80"/>
    </row>
    <row r="47143">
      <c r="AI47143" s="80"/>
    </row>
    <row r="47144">
      <c r="AI47144" s="80"/>
    </row>
    <row r="47145">
      <c r="AI47145" s="80"/>
    </row>
    <row r="47146">
      <c r="AI47146" s="80"/>
    </row>
    <row r="47147">
      <c r="AI47147" s="80"/>
    </row>
    <row r="47148">
      <c r="AI47148" s="80"/>
    </row>
    <row r="47149">
      <c r="AI47149" s="80"/>
    </row>
    <row r="47150">
      <c r="AI47150" s="80"/>
    </row>
    <row r="47151">
      <c r="AI47151" s="80"/>
    </row>
    <row r="47152">
      <c r="AI47152" s="80"/>
    </row>
    <row r="47153">
      <c r="AI47153" s="80"/>
    </row>
    <row r="47154">
      <c r="AI47154" s="80"/>
    </row>
    <row r="47155">
      <c r="AI47155" s="80"/>
    </row>
    <row r="47156">
      <c r="AI47156" s="80"/>
    </row>
    <row r="47157">
      <c r="AI47157" s="80"/>
    </row>
    <row r="47158">
      <c r="AI47158" s="80"/>
    </row>
    <row r="47159">
      <c r="AI47159" s="80"/>
    </row>
    <row r="47160">
      <c r="AI47160" s="80"/>
    </row>
    <row r="47161">
      <c r="AI47161" s="80"/>
    </row>
    <row r="47162">
      <c r="AI47162" s="80"/>
    </row>
    <row r="47163">
      <c r="AI47163" s="80"/>
    </row>
    <row r="47164">
      <c r="AI47164" s="80"/>
    </row>
    <row r="47165">
      <c r="AI47165" s="80"/>
    </row>
    <row r="47166">
      <c r="AI47166" s="80"/>
    </row>
    <row r="47167">
      <c r="AI47167" s="80"/>
    </row>
    <row r="47168">
      <c r="AI47168" s="80"/>
    </row>
    <row r="47169">
      <c r="AI47169" s="80"/>
    </row>
    <row r="47170">
      <c r="AI47170" s="80"/>
    </row>
    <row r="47171">
      <c r="AI47171" s="80"/>
    </row>
    <row r="47172">
      <c r="AI47172" s="80"/>
    </row>
    <row r="47173">
      <c r="AI47173" s="80"/>
    </row>
    <row r="47174">
      <c r="AI47174" s="80"/>
    </row>
    <row r="47175">
      <c r="AI47175" s="80"/>
    </row>
    <row r="47176">
      <c r="AI47176" s="80"/>
    </row>
    <row r="47177">
      <c r="AI47177" s="80"/>
    </row>
    <row r="47178">
      <c r="AI47178" s="80"/>
    </row>
    <row r="47179">
      <c r="AI47179" s="80"/>
    </row>
    <row r="47180">
      <c r="AI47180" s="80"/>
    </row>
    <row r="47181">
      <c r="AI47181" s="80"/>
    </row>
    <row r="47182">
      <c r="AI47182" s="80"/>
    </row>
    <row r="47183">
      <c r="AI47183" s="80"/>
    </row>
    <row r="47184">
      <c r="AI47184" s="80"/>
    </row>
    <row r="47185">
      <c r="AI47185" s="80"/>
    </row>
    <row r="47186">
      <c r="AI47186" s="80"/>
    </row>
    <row r="47187">
      <c r="AI47187" s="80"/>
    </row>
    <row r="47188">
      <c r="AI47188" s="80"/>
    </row>
    <row r="47189">
      <c r="AI47189" s="80"/>
    </row>
    <row r="47190">
      <c r="AI47190" s="80"/>
    </row>
    <row r="47191">
      <c r="AI47191" s="80"/>
    </row>
    <row r="47192">
      <c r="AI47192" s="80"/>
    </row>
    <row r="47193">
      <c r="AI47193" s="80"/>
    </row>
    <row r="47194">
      <c r="AI47194" s="80"/>
    </row>
    <row r="47195">
      <c r="AI47195" s="80"/>
    </row>
    <row r="47196">
      <c r="AI47196" s="80"/>
    </row>
    <row r="47197">
      <c r="AI47197" s="80"/>
    </row>
    <row r="47198">
      <c r="AI47198" s="80"/>
    </row>
    <row r="47199">
      <c r="AI47199" s="80"/>
    </row>
    <row r="47200">
      <c r="AI47200" s="80"/>
    </row>
    <row r="47201">
      <c r="AI47201" s="80"/>
    </row>
    <row r="47202">
      <c r="AI47202" s="80"/>
    </row>
    <row r="47203">
      <c r="AI47203" s="80"/>
    </row>
    <row r="47204">
      <c r="AI47204" s="80"/>
    </row>
    <row r="47205">
      <c r="AI47205" s="80"/>
    </row>
    <row r="47206">
      <c r="AI47206" s="80"/>
    </row>
    <row r="47207">
      <c r="AI47207" s="80"/>
    </row>
    <row r="47208">
      <c r="AI47208" s="80"/>
    </row>
    <row r="47209">
      <c r="AI47209" s="80"/>
    </row>
    <row r="47210">
      <c r="AI47210" s="80"/>
    </row>
    <row r="47211">
      <c r="AI47211" s="80"/>
    </row>
    <row r="47212">
      <c r="AI47212" s="80"/>
    </row>
    <row r="47213">
      <c r="AI47213" s="80"/>
    </row>
    <row r="47214">
      <c r="AI47214" s="80"/>
    </row>
    <row r="47215">
      <c r="AI47215" s="80"/>
    </row>
    <row r="47216">
      <c r="AI47216" s="80"/>
    </row>
    <row r="47217">
      <c r="AI47217" s="80"/>
    </row>
    <row r="47218">
      <c r="AI47218" s="80"/>
    </row>
    <row r="47219">
      <c r="AI47219" s="80"/>
    </row>
    <row r="47220">
      <c r="AI47220" s="80"/>
    </row>
    <row r="47221">
      <c r="AI47221" s="80"/>
    </row>
    <row r="47222">
      <c r="AI47222" s="80"/>
    </row>
    <row r="47223">
      <c r="AI47223" s="80"/>
    </row>
    <row r="47224">
      <c r="AI47224" s="80"/>
    </row>
    <row r="47225">
      <c r="AI47225" s="80"/>
    </row>
    <row r="47226">
      <c r="AI47226" s="80"/>
    </row>
    <row r="47227">
      <c r="AI47227" s="80"/>
    </row>
    <row r="47228">
      <c r="AI47228" s="80"/>
    </row>
    <row r="47229">
      <c r="AI47229" s="80"/>
    </row>
    <row r="47230">
      <c r="AI47230" s="80"/>
    </row>
    <row r="47231">
      <c r="AI47231" s="80"/>
    </row>
    <row r="47232">
      <c r="AI47232" s="80"/>
    </row>
    <row r="47233">
      <c r="AI47233" s="80"/>
    </row>
    <row r="47234">
      <c r="AI47234" s="80"/>
    </row>
    <row r="47235">
      <c r="AI47235" s="80"/>
    </row>
    <row r="47236">
      <c r="AI47236" s="80"/>
    </row>
    <row r="47237">
      <c r="AI47237" s="80"/>
    </row>
    <row r="47238">
      <c r="AI47238" s="80"/>
    </row>
    <row r="47239">
      <c r="AI47239" s="80"/>
    </row>
    <row r="47240">
      <c r="AI47240" s="80"/>
    </row>
    <row r="47241">
      <c r="AI47241" s="80"/>
    </row>
    <row r="47242">
      <c r="AI47242" s="80"/>
    </row>
    <row r="47243">
      <c r="AI47243" s="80"/>
    </row>
    <row r="47244">
      <c r="AI47244" s="80"/>
    </row>
    <row r="47245">
      <c r="AI47245" s="80"/>
    </row>
    <row r="47246">
      <c r="AI47246" s="80"/>
    </row>
    <row r="47247">
      <c r="AI47247" s="80"/>
    </row>
    <row r="47248">
      <c r="AI47248" s="80"/>
    </row>
    <row r="47249">
      <c r="AI47249" s="80"/>
    </row>
    <row r="47250">
      <c r="AI47250" s="80"/>
    </row>
    <row r="47251">
      <c r="AI47251" s="80"/>
    </row>
    <row r="47252">
      <c r="AI47252" s="80"/>
    </row>
    <row r="47253">
      <c r="AI47253" s="80"/>
    </row>
    <row r="47254">
      <c r="AI47254" s="80"/>
    </row>
    <row r="47255">
      <c r="AI47255" s="80"/>
    </row>
    <row r="47256">
      <c r="AI47256" s="80"/>
    </row>
    <row r="47257">
      <c r="AI47257" s="80"/>
    </row>
    <row r="47258">
      <c r="AI47258" s="80"/>
    </row>
    <row r="47259">
      <c r="AI47259" s="80"/>
    </row>
    <row r="47260">
      <c r="AI47260" s="80"/>
    </row>
    <row r="47261">
      <c r="AI47261" s="80"/>
    </row>
    <row r="47262">
      <c r="AI47262" s="80"/>
    </row>
    <row r="47263">
      <c r="AI47263" s="80"/>
    </row>
    <row r="47264">
      <c r="AI47264" s="80"/>
    </row>
    <row r="47265">
      <c r="AI47265" s="80"/>
    </row>
    <row r="47266">
      <c r="AI47266" s="80"/>
    </row>
    <row r="47267">
      <c r="AI47267" s="80"/>
    </row>
    <row r="47268">
      <c r="AI47268" s="80"/>
    </row>
    <row r="47269">
      <c r="AI47269" s="80"/>
    </row>
    <row r="47270">
      <c r="AI47270" s="80"/>
    </row>
    <row r="47271">
      <c r="AI47271" s="80"/>
    </row>
    <row r="47272">
      <c r="AI47272" s="80"/>
    </row>
    <row r="47273">
      <c r="AI47273" s="80"/>
    </row>
    <row r="47274">
      <c r="AI47274" s="80"/>
    </row>
    <row r="47275">
      <c r="AI47275" s="80"/>
    </row>
    <row r="47276">
      <c r="AI47276" s="80"/>
    </row>
    <row r="47277">
      <c r="AI47277" s="80"/>
    </row>
    <row r="47278">
      <c r="AI47278" s="80"/>
    </row>
    <row r="47279">
      <c r="AI47279" s="80"/>
    </row>
    <row r="47280">
      <c r="AI47280" s="80"/>
    </row>
    <row r="47281">
      <c r="AI47281" s="80"/>
    </row>
    <row r="47282">
      <c r="AI47282" s="80"/>
    </row>
    <row r="47283">
      <c r="AI47283" s="80"/>
    </row>
    <row r="47284">
      <c r="AI47284" s="80"/>
    </row>
    <row r="47285">
      <c r="AI47285" s="80"/>
    </row>
    <row r="47286">
      <c r="AI47286" s="80"/>
    </row>
    <row r="47287">
      <c r="AI47287" s="80"/>
    </row>
    <row r="47288">
      <c r="AI47288" s="80"/>
    </row>
    <row r="47289">
      <c r="AI47289" s="80"/>
    </row>
    <row r="47290">
      <c r="AI47290" s="80"/>
    </row>
    <row r="47291">
      <c r="AI47291" s="80"/>
    </row>
    <row r="47292">
      <c r="AI47292" s="80"/>
    </row>
    <row r="47293">
      <c r="AI47293" s="80"/>
    </row>
    <row r="47294">
      <c r="AI47294" s="80"/>
    </row>
    <row r="47295">
      <c r="AI47295" s="80"/>
    </row>
    <row r="47296">
      <c r="AI47296" s="80"/>
    </row>
    <row r="47297">
      <c r="AI47297" s="80"/>
    </row>
    <row r="47298">
      <c r="AI47298" s="80"/>
    </row>
    <row r="47299">
      <c r="AI47299" s="80"/>
    </row>
    <row r="47300">
      <c r="AI47300" s="80"/>
    </row>
    <row r="47301">
      <c r="AI47301" s="80"/>
    </row>
    <row r="47302">
      <c r="AI47302" s="80"/>
    </row>
    <row r="47303">
      <c r="AI47303" s="80"/>
    </row>
    <row r="47304">
      <c r="AI47304" s="80"/>
    </row>
    <row r="47305">
      <c r="AI47305" s="80"/>
    </row>
    <row r="47306">
      <c r="AI47306" s="80"/>
    </row>
    <row r="47307">
      <c r="AI47307" s="80"/>
    </row>
    <row r="47308">
      <c r="AI47308" s="80"/>
    </row>
    <row r="47309">
      <c r="AI47309" s="80"/>
    </row>
    <row r="47310">
      <c r="AI47310" s="80"/>
    </row>
    <row r="47311">
      <c r="AI47311" s="80"/>
    </row>
    <row r="47312">
      <c r="AI47312" s="80"/>
    </row>
    <row r="47313">
      <c r="AI47313" s="80"/>
    </row>
    <row r="47314">
      <c r="AI47314" s="80"/>
    </row>
    <row r="47315">
      <c r="AI47315" s="80"/>
    </row>
    <row r="47316">
      <c r="AI47316" s="80"/>
    </row>
    <row r="47317">
      <c r="AI47317" s="80"/>
    </row>
    <row r="47318">
      <c r="AI47318" s="80"/>
    </row>
    <row r="47319">
      <c r="AI47319" s="80"/>
    </row>
    <row r="47320">
      <c r="AI47320" s="80"/>
    </row>
    <row r="47321">
      <c r="AI47321" s="80"/>
    </row>
    <row r="47322">
      <c r="AI47322" s="80"/>
    </row>
    <row r="47323">
      <c r="AI47323" s="80"/>
    </row>
    <row r="47324">
      <c r="AI47324" s="80"/>
    </row>
    <row r="47325">
      <c r="AI47325" s="80"/>
    </row>
    <row r="47326">
      <c r="AI47326" s="80"/>
    </row>
    <row r="47327">
      <c r="AI47327" s="80"/>
    </row>
    <row r="47328">
      <c r="AI47328" s="80"/>
    </row>
    <row r="47329">
      <c r="AI47329" s="80"/>
    </row>
    <row r="47330">
      <c r="AI47330" s="80"/>
    </row>
    <row r="47331">
      <c r="AI47331" s="80"/>
    </row>
    <row r="47332">
      <c r="AI47332" s="80"/>
    </row>
    <row r="47333">
      <c r="AI47333" s="80"/>
    </row>
    <row r="47334">
      <c r="AI47334" s="80"/>
    </row>
    <row r="47335">
      <c r="AI47335" s="80"/>
    </row>
    <row r="47336">
      <c r="AI47336" s="80"/>
    </row>
    <row r="47337">
      <c r="AI47337" s="80"/>
    </row>
    <row r="47338">
      <c r="AI47338" s="80"/>
    </row>
    <row r="47339">
      <c r="AI47339" s="80"/>
    </row>
    <row r="47340">
      <c r="AI47340" s="80"/>
    </row>
    <row r="47341">
      <c r="AI47341" s="80"/>
    </row>
    <row r="47342">
      <c r="AI47342" s="80"/>
    </row>
    <row r="47343">
      <c r="AI47343" s="80"/>
    </row>
    <row r="47344">
      <c r="AI47344" s="80"/>
    </row>
    <row r="47345">
      <c r="AI47345" s="80"/>
    </row>
    <row r="47346">
      <c r="AI47346" s="80"/>
    </row>
    <row r="47347">
      <c r="AI47347" s="80"/>
    </row>
    <row r="47348">
      <c r="AI47348" s="80"/>
    </row>
    <row r="47349">
      <c r="AI47349" s="80"/>
    </row>
    <row r="47350">
      <c r="AI47350" s="80"/>
    </row>
    <row r="47351">
      <c r="AI47351" s="80"/>
    </row>
    <row r="47352">
      <c r="AI47352" s="80"/>
    </row>
    <row r="47353">
      <c r="AI47353" s="80"/>
    </row>
    <row r="47354">
      <c r="AI47354" s="80"/>
    </row>
    <row r="47355">
      <c r="AI47355" s="80"/>
    </row>
    <row r="47356">
      <c r="AI47356" s="80"/>
    </row>
    <row r="47357">
      <c r="AI47357" s="80"/>
    </row>
    <row r="47358">
      <c r="AI47358" s="80"/>
    </row>
    <row r="47359">
      <c r="AI47359" s="80"/>
    </row>
    <row r="47360">
      <c r="AI47360" s="80"/>
    </row>
    <row r="47361">
      <c r="AI47361" s="80"/>
    </row>
    <row r="47362">
      <c r="AI47362" s="80"/>
    </row>
    <row r="47363">
      <c r="AI47363" s="80"/>
    </row>
    <row r="47364">
      <c r="AI47364" s="80"/>
    </row>
    <row r="47365">
      <c r="AI47365" s="80"/>
    </row>
    <row r="47366">
      <c r="AI47366" s="80"/>
    </row>
    <row r="47367">
      <c r="AI47367" s="80"/>
    </row>
    <row r="47368">
      <c r="AI47368" s="80"/>
    </row>
    <row r="47369">
      <c r="AI47369" s="80"/>
    </row>
    <row r="47370">
      <c r="AI47370" s="80"/>
    </row>
    <row r="47371">
      <c r="AI47371" s="80"/>
    </row>
    <row r="47372">
      <c r="AI47372" s="80"/>
    </row>
    <row r="47373">
      <c r="AI47373" s="80"/>
    </row>
    <row r="47374">
      <c r="AI47374" s="80"/>
    </row>
    <row r="47375">
      <c r="AI47375" s="80"/>
    </row>
    <row r="47376">
      <c r="AI47376" s="80"/>
    </row>
    <row r="47377">
      <c r="AI47377" s="80"/>
    </row>
    <row r="47378">
      <c r="AI47378" s="80"/>
    </row>
    <row r="47379">
      <c r="AI47379" s="80"/>
    </row>
    <row r="47380">
      <c r="AI47380" s="80"/>
    </row>
    <row r="47381">
      <c r="AI47381" s="80"/>
    </row>
    <row r="47382">
      <c r="AI47382" s="80"/>
    </row>
    <row r="47383">
      <c r="AI47383" s="80"/>
    </row>
    <row r="47384">
      <c r="AI47384" s="80"/>
    </row>
    <row r="47385">
      <c r="AI47385" s="80"/>
    </row>
    <row r="47386">
      <c r="AI47386" s="80"/>
    </row>
    <row r="47387">
      <c r="AI47387" s="80"/>
    </row>
    <row r="47388">
      <c r="AI47388" s="80"/>
    </row>
    <row r="47389">
      <c r="AI47389" s="80"/>
    </row>
    <row r="47390">
      <c r="AI47390" s="80"/>
    </row>
    <row r="47391">
      <c r="AI47391" s="80"/>
    </row>
    <row r="47392">
      <c r="AI47392" s="80"/>
    </row>
    <row r="47393">
      <c r="AI47393" s="80"/>
    </row>
    <row r="47394">
      <c r="AI47394" s="80"/>
    </row>
    <row r="47395">
      <c r="AI47395" s="80"/>
    </row>
    <row r="47396">
      <c r="AI47396" s="80"/>
    </row>
    <row r="47397">
      <c r="AI47397" s="80"/>
    </row>
    <row r="47398">
      <c r="AI47398" s="80"/>
    </row>
    <row r="47399">
      <c r="AI47399" s="80"/>
    </row>
    <row r="47400">
      <c r="AI47400" s="80"/>
    </row>
    <row r="47401">
      <c r="AI47401" s="80"/>
    </row>
    <row r="47402">
      <c r="AI47402" s="80"/>
    </row>
    <row r="47403">
      <c r="AI47403" s="80"/>
    </row>
    <row r="47404">
      <c r="AI47404" s="80"/>
    </row>
    <row r="47405">
      <c r="AI47405" s="80"/>
    </row>
    <row r="47406">
      <c r="AI47406" s="80"/>
    </row>
    <row r="47407">
      <c r="AI47407" s="80"/>
    </row>
    <row r="47408">
      <c r="AI47408" s="80"/>
    </row>
    <row r="47409">
      <c r="AI47409" s="80"/>
    </row>
    <row r="47410">
      <c r="AI47410" s="80"/>
    </row>
    <row r="47411">
      <c r="AI47411" s="80"/>
    </row>
    <row r="47412">
      <c r="AI47412" s="80"/>
    </row>
    <row r="47413">
      <c r="AI47413" s="80"/>
    </row>
    <row r="47414">
      <c r="AI47414" s="80"/>
    </row>
    <row r="47415">
      <c r="AI47415" s="80"/>
    </row>
    <row r="47416">
      <c r="AI47416" s="80"/>
    </row>
    <row r="47417">
      <c r="AI47417" s="80"/>
    </row>
    <row r="47418">
      <c r="AI47418" s="80"/>
    </row>
    <row r="47419">
      <c r="AI47419" s="80"/>
    </row>
    <row r="47420">
      <c r="AI47420" s="80"/>
    </row>
    <row r="47421">
      <c r="AI47421" s="80"/>
    </row>
    <row r="47422">
      <c r="AI47422" s="80"/>
    </row>
    <row r="47423">
      <c r="AI47423" s="80"/>
    </row>
    <row r="47424">
      <c r="AI47424" s="80"/>
    </row>
    <row r="47425">
      <c r="AI47425" s="80"/>
    </row>
    <row r="47426">
      <c r="AI47426" s="80"/>
    </row>
    <row r="47427">
      <c r="AI47427" s="80"/>
    </row>
    <row r="47428">
      <c r="AI47428" s="80"/>
    </row>
    <row r="47429">
      <c r="AI47429" s="80"/>
    </row>
    <row r="47430">
      <c r="AI47430" s="80"/>
    </row>
    <row r="47431">
      <c r="AI47431" s="80"/>
    </row>
    <row r="47432">
      <c r="AI47432" s="80"/>
    </row>
    <row r="47433">
      <c r="AI47433" s="80"/>
    </row>
    <row r="47434">
      <c r="AI47434" s="80"/>
    </row>
    <row r="47435">
      <c r="AI47435" s="80"/>
    </row>
    <row r="47436">
      <c r="AI47436" s="80"/>
    </row>
    <row r="47437">
      <c r="AI47437" s="80"/>
    </row>
    <row r="47438">
      <c r="AI47438" s="80"/>
    </row>
    <row r="47439">
      <c r="AI47439" s="80"/>
    </row>
    <row r="47440">
      <c r="AI47440" s="80"/>
    </row>
    <row r="47441">
      <c r="AI47441" s="80"/>
    </row>
    <row r="47442">
      <c r="AI47442" s="80"/>
    </row>
    <row r="47443">
      <c r="AI47443" s="80"/>
    </row>
    <row r="47444">
      <c r="AI47444" s="80"/>
    </row>
    <row r="47445">
      <c r="AI47445" s="80"/>
    </row>
    <row r="47446">
      <c r="AI47446" s="80"/>
    </row>
    <row r="47447">
      <c r="AI47447" s="80"/>
    </row>
    <row r="47448">
      <c r="AI47448" s="80"/>
    </row>
    <row r="47449">
      <c r="AI47449" s="80"/>
    </row>
    <row r="47450">
      <c r="AI47450" s="80"/>
    </row>
    <row r="47451">
      <c r="AI47451" s="80"/>
    </row>
    <row r="47452">
      <c r="AI47452" s="80"/>
    </row>
    <row r="47453">
      <c r="AI47453" s="80"/>
    </row>
    <row r="47454">
      <c r="AI47454" s="80"/>
    </row>
    <row r="47455">
      <c r="AI47455" s="80"/>
    </row>
    <row r="47456">
      <c r="AI47456" s="80"/>
    </row>
    <row r="47457">
      <c r="AI47457" s="80"/>
    </row>
    <row r="47458">
      <c r="AI47458" s="80"/>
    </row>
    <row r="47459">
      <c r="AI47459" s="80"/>
    </row>
    <row r="47460">
      <c r="AI47460" s="80"/>
    </row>
    <row r="47461">
      <c r="AI47461" s="80"/>
    </row>
    <row r="47462">
      <c r="AI47462" s="80"/>
    </row>
    <row r="47463">
      <c r="AI47463" s="80"/>
    </row>
    <row r="47464">
      <c r="AI47464" s="80"/>
    </row>
    <row r="47465">
      <c r="AI47465" s="80"/>
    </row>
    <row r="47466">
      <c r="AI47466" s="80"/>
    </row>
    <row r="47467">
      <c r="AI47467" s="80"/>
    </row>
    <row r="47468">
      <c r="AI47468" s="80"/>
    </row>
    <row r="47469">
      <c r="AI47469" s="80"/>
    </row>
    <row r="47470">
      <c r="AI47470" s="80"/>
    </row>
    <row r="47471">
      <c r="AI47471" s="80"/>
    </row>
    <row r="47472">
      <c r="AI47472" s="80"/>
    </row>
    <row r="47473">
      <c r="AI47473" s="80"/>
    </row>
    <row r="47474">
      <c r="AI47474" s="80"/>
    </row>
    <row r="47475">
      <c r="AI47475" s="80"/>
    </row>
    <row r="47476">
      <c r="AI47476" s="80"/>
    </row>
    <row r="47477">
      <c r="AI47477" s="80"/>
    </row>
    <row r="47478">
      <c r="AI47478" s="80"/>
    </row>
    <row r="47479">
      <c r="AI47479" s="80"/>
    </row>
    <row r="47480">
      <c r="AI47480" s="80"/>
    </row>
    <row r="47481">
      <c r="AI47481" s="80"/>
    </row>
    <row r="47482">
      <c r="AI47482" s="80"/>
    </row>
    <row r="47483">
      <c r="AI47483" s="80"/>
    </row>
    <row r="47484">
      <c r="AI47484" s="80"/>
    </row>
    <row r="47485">
      <c r="AI47485" s="80"/>
    </row>
    <row r="47486">
      <c r="AI47486" s="80"/>
    </row>
    <row r="47487">
      <c r="AI47487" s="80"/>
    </row>
    <row r="47488">
      <c r="AI47488" s="80"/>
    </row>
    <row r="47489">
      <c r="AI47489" s="80"/>
    </row>
    <row r="47490">
      <c r="AI47490" s="80"/>
    </row>
    <row r="47491">
      <c r="AI47491" s="80"/>
    </row>
    <row r="47492">
      <c r="AI47492" s="80"/>
    </row>
    <row r="47493">
      <c r="AI47493" s="80"/>
    </row>
    <row r="47494">
      <c r="AI47494" s="80"/>
    </row>
    <row r="47495">
      <c r="AI47495" s="80"/>
    </row>
    <row r="47496">
      <c r="AI47496" s="80"/>
    </row>
    <row r="47497">
      <c r="AI47497" s="80"/>
    </row>
    <row r="47498">
      <c r="AI47498" s="80"/>
    </row>
    <row r="47499">
      <c r="AI47499" s="80"/>
    </row>
    <row r="47500">
      <c r="AI47500" s="80"/>
    </row>
    <row r="47501">
      <c r="AI47501" s="80"/>
    </row>
    <row r="47502">
      <c r="AI47502" s="80"/>
    </row>
    <row r="47503">
      <c r="AI47503" s="80"/>
    </row>
    <row r="47504">
      <c r="AI47504" s="80"/>
    </row>
    <row r="47505">
      <c r="AI47505" s="80"/>
    </row>
    <row r="47506">
      <c r="AI47506" s="80"/>
    </row>
    <row r="47507">
      <c r="AI47507" s="80"/>
    </row>
    <row r="47508">
      <c r="AI47508" s="80"/>
    </row>
    <row r="47509">
      <c r="AI47509" s="80"/>
    </row>
    <row r="47510">
      <c r="AI47510" s="80"/>
    </row>
    <row r="47511">
      <c r="AI47511" s="80"/>
    </row>
    <row r="47512">
      <c r="AI47512" s="80"/>
    </row>
    <row r="47513">
      <c r="AI47513" s="80"/>
    </row>
    <row r="47514">
      <c r="AI47514" s="80"/>
    </row>
    <row r="47515">
      <c r="AI47515" s="80"/>
    </row>
    <row r="47516">
      <c r="AI47516" s="80"/>
    </row>
    <row r="47517">
      <c r="AI47517" s="80"/>
    </row>
    <row r="47518">
      <c r="AI47518" s="80"/>
    </row>
    <row r="47519">
      <c r="AI47519" s="80"/>
    </row>
    <row r="47520">
      <c r="AI47520" s="80"/>
    </row>
    <row r="47521">
      <c r="AI47521" s="80"/>
    </row>
    <row r="47522">
      <c r="AI47522" s="80"/>
    </row>
    <row r="47523">
      <c r="AI47523" s="80"/>
    </row>
    <row r="47524">
      <c r="AI47524" s="80"/>
    </row>
    <row r="47525">
      <c r="AI47525" s="80"/>
    </row>
    <row r="47526">
      <c r="AI47526" s="80"/>
    </row>
    <row r="47527">
      <c r="AI47527" s="80"/>
    </row>
    <row r="47528">
      <c r="AI47528" s="80"/>
    </row>
    <row r="47529">
      <c r="AI47529" s="80"/>
    </row>
    <row r="47530">
      <c r="AI47530" s="80"/>
    </row>
    <row r="47531">
      <c r="AI47531" s="80"/>
    </row>
    <row r="47532">
      <c r="AI47532" s="80"/>
    </row>
    <row r="47533">
      <c r="AI47533" s="80"/>
    </row>
    <row r="47534">
      <c r="AI47534" s="80"/>
    </row>
    <row r="47535">
      <c r="AI47535" s="80"/>
    </row>
    <row r="47536">
      <c r="AI47536" s="80"/>
    </row>
    <row r="47537">
      <c r="AI47537" s="80"/>
    </row>
    <row r="47538">
      <c r="AI47538" s="80"/>
    </row>
    <row r="47539">
      <c r="AI47539" s="80"/>
    </row>
    <row r="47540">
      <c r="AI47540" s="80"/>
    </row>
    <row r="47541">
      <c r="AI47541" s="80"/>
    </row>
    <row r="47542">
      <c r="AI47542" s="80"/>
    </row>
    <row r="47543">
      <c r="AI47543" s="80"/>
    </row>
    <row r="47544">
      <c r="AI47544" s="80"/>
    </row>
    <row r="47545">
      <c r="AI47545" s="80"/>
    </row>
    <row r="47546">
      <c r="AI47546" s="80"/>
    </row>
    <row r="47547">
      <c r="AI47547" s="80"/>
    </row>
    <row r="47548">
      <c r="AI47548" s="80"/>
    </row>
    <row r="47549">
      <c r="AI47549" s="80"/>
    </row>
    <row r="47550">
      <c r="AI47550" s="80"/>
    </row>
    <row r="47551">
      <c r="AI47551" s="80"/>
    </row>
    <row r="47552">
      <c r="AI47552" s="80"/>
    </row>
    <row r="47553">
      <c r="AI47553" s="80"/>
    </row>
    <row r="47554">
      <c r="AI47554" s="80"/>
    </row>
    <row r="47555">
      <c r="AI47555" s="80"/>
    </row>
    <row r="47556">
      <c r="AI47556" s="80"/>
    </row>
    <row r="47557">
      <c r="AI47557" s="80"/>
    </row>
    <row r="47558">
      <c r="AI47558" s="80"/>
    </row>
    <row r="47559">
      <c r="AI47559" s="80"/>
    </row>
    <row r="47560">
      <c r="AI47560" s="80"/>
    </row>
    <row r="47561">
      <c r="AI47561" s="80"/>
    </row>
    <row r="47562">
      <c r="AI47562" s="80"/>
    </row>
    <row r="47563">
      <c r="AI47563" s="80"/>
    </row>
    <row r="47564">
      <c r="AI47564" s="80"/>
    </row>
    <row r="47565">
      <c r="AI47565" s="80"/>
    </row>
    <row r="47566">
      <c r="AI47566" s="80"/>
    </row>
    <row r="47567">
      <c r="AI47567" s="80"/>
    </row>
    <row r="47568">
      <c r="AI47568" s="80"/>
    </row>
    <row r="47569">
      <c r="AI47569" s="80"/>
    </row>
    <row r="47570">
      <c r="AI47570" s="80"/>
    </row>
    <row r="47571">
      <c r="AI47571" s="80"/>
    </row>
    <row r="47572">
      <c r="AI47572" s="80"/>
    </row>
    <row r="47573">
      <c r="AI47573" s="80"/>
    </row>
    <row r="47574">
      <c r="AI47574" s="80"/>
    </row>
    <row r="47575">
      <c r="AI47575" s="80"/>
    </row>
    <row r="47576">
      <c r="AI47576" s="80"/>
    </row>
    <row r="47577">
      <c r="AI47577" s="80"/>
    </row>
    <row r="47578">
      <c r="AI47578" s="80"/>
    </row>
    <row r="47579">
      <c r="AI47579" s="80"/>
    </row>
    <row r="47580">
      <c r="AI47580" s="80"/>
    </row>
    <row r="47581">
      <c r="AI47581" s="80"/>
    </row>
    <row r="47582">
      <c r="AI47582" s="80"/>
    </row>
    <row r="47583">
      <c r="AI47583" s="80"/>
    </row>
    <row r="47584">
      <c r="AI47584" s="80"/>
    </row>
    <row r="47585">
      <c r="AI47585" s="80"/>
    </row>
    <row r="47586">
      <c r="AI47586" s="80"/>
    </row>
    <row r="47587">
      <c r="AI47587" s="80"/>
    </row>
    <row r="47588">
      <c r="AI47588" s="80"/>
    </row>
    <row r="47589">
      <c r="AI47589" s="80"/>
    </row>
    <row r="47590">
      <c r="AI47590" s="80"/>
    </row>
    <row r="47591">
      <c r="AI47591" s="80"/>
    </row>
    <row r="47592">
      <c r="AI47592" s="80"/>
    </row>
    <row r="47593">
      <c r="AI47593" s="80"/>
    </row>
    <row r="47594">
      <c r="AI47594" s="80"/>
    </row>
    <row r="47595">
      <c r="AI47595" s="80"/>
    </row>
    <row r="47596">
      <c r="AI47596" s="80"/>
    </row>
    <row r="47597">
      <c r="AI47597" s="80"/>
    </row>
    <row r="47598">
      <c r="AI47598" s="80"/>
    </row>
    <row r="47599">
      <c r="AI47599" s="80"/>
    </row>
    <row r="47600">
      <c r="AI47600" s="80"/>
    </row>
    <row r="47601">
      <c r="AI47601" s="80"/>
    </row>
    <row r="47602">
      <c r="AI47602" s="80"/>
    </row>
    <row r="47603">
      <c r="AI47603" s="80"/>
    </row>
    <row r="47604">
      <c r="AI47604" s="80"/>
    </row>
    <row r="47605">
      <c r="AI47605" s="80"/>
    </row>
    <row r="47606">
      <c r="AI47606" s="80"/>
    </row>
    <row r="47607">
      <c r="AI47607" s="80"/>
    </row>
    <row r="47608">
      <c r="AI47608" s="80"/>
    </row>
    <row r="47609">
      <c r="AI47609" s="80"/>
    </row>
    <row r="47610">
      <c r="AI47610" s="80"/>
    </row>
    <row r="47611">
      <c r="AI47611" s="80"/>
    </row>
    <row r="47612">
      <c r="AI47612" s="80"/>
    </row>
    <row r="47613">
      <c r="AI47613" s="80"/>
    </row>
    <row r="47614">
      <c r="AI47614" s="80"/>
    </row>
    <row r="47615">
      <c r="AI47615" s="80"/>
    </row>
    <row r="47616">
      <c r="AI47616" s="80"/>
    </row>
    <row r="47617">
      <c r="AI47617" s="80"/>
    </row>
    <row r="47618">
      <c r="AI47618" s="80"/>
    </row>
    <row r="47619">
      <c r="AI47619" s="80"/>
    </row>
    <row r="47620">
      <c r="AI47620" s="80"/>
    </row>
    <row r="47621">
      <c r="AI47621" s="80"/>
    </row>
    <row r="47622">
      <c r="AI47622" s="80"/>
    </row>
    <row r="47623">
      <c r="AI47623" s="80"/>
    </row>
    <row r="47624">
      <c r="AI47624" s="80"/>
    </row>
    <row r="47625">
      <c r="AI47625" s="80"/>
    </row>
    <row r="47626">
      <c r="AI47626" s="80"/>
    </row>
    <row r="47627">
      <c r="AI47627" s="80"/>
    </row>
    <row r="47628">
      <c r="AI47628" s="80"/>
    </row>
    <row r="47629">
      <c r="AI47629" s="80"/>
    </row>
    <row r="47630">
      <c r="AI47630" s="80"/>
    </row>
    <row r="47631">
      <c r="AI47631" s="80"/>
    </row>
    <row r="47632">
      <c r="AI47632" s="80"/>
    </row>
    <row r="47633">
      <c r="AI47633" s="80"/>
    </row>
    <row r="47634">
      <c r="AI47634" s="80"/>
    </row>
    <row r="47635">
      <c r="AI47635" s="80"/>
    </row>
    <row r="47636">
      <c r="AI47636" s="80"/>
    </row>
    <row r="47637">
      <c r="AI47637" s="80"/>
    </row>
    <row r="47638">
      <c r="AI47638" s="80"/>
    </row>
    <row r="47639">
      <c r="AI47639" s="80"/>
    </row>
    <row r="47640">
      <c r="AI47640" s="80"/>
    </row>
    <row r="47641">
      <c r="AI47641" s="80"/>
    </row>
    <row r="47642">
      <c r="AI47642" s="80"/>
    </row>
    <row r="47643">
      <c r="AI47643" s="80"/>
    </row>
    <row r="47644">
      <c r="AI47644" s="80"/>
    </row>
    <row r="47645">
      <c r="AI47645" s="80"/>
    </row>
    <row r="47646">
      <c r="AI47646" s="80"/>
    </row>
    <row r="47647">
      <c r="AI47647" s="80"/>
    </row>
    <row r="47648">
      <c r="AI47648" s="80"/>
    </row>
    <row r="47649">
      <c r="AI47649" s="80"/>
    </row>
    <row r="47650">
      <c r="AI47650" s="80"/>
    </row>
    <row r="47651">
      <c r="AI47651" s="80"/>
    </row>
    <row r="47652">
      <c r="AI47652" s="80"/>
    </row>
    <row r="47653">
      <c r="AI47653" s="80"/>
    </row>
    <row r="47654">
      <c r="AI47654" s="80"/>
    </row>
    <row r="47655">
      <c r="AI47655" s="80"/>
    </row>
    <row r="47656">
      <c r="AI47656" s="80"/>
    </row>
    <row r="47657">
      <c r="AI47657" s="80"/>
    </row>
    <row r="47658">
      <c r="AI47658" s="80"/>
    </row>
    <row r="47659">
      <c r="AI47659" s="80"/>
    </row>
    <row r="47660">
      <c r="AI47660" s="80"/>
    </row>
    <row r="47661">
      <c r="AI47661" s="80"/>
    </row>
    <row r="47662">
      <c r="AI47662" s="80"/>
    </row>
    <row r="47663">
      <c r="AI47663" s="80"/>
    </row>
    <row r="47664">
      <c r="AI47664" s="80"/>
    </row>
    <row r="47665">
      <c r="AI47665" s="80"/>
    </row>
    <row r="47666">
      <c r="AI47666" s="80"/>
    </row>
    <row r="47667">
      <c r="AI47667" s="80"/>
    </row>
    <row r="47668">
      <c r="AI47668" s="80"/>
    </row>
    <row r="47669">
      <c r="AI47669" s="80"/>
    </row>
    <row r="47670">
      <c r="AI47670" s="80"/>
    </row>
    <row r="47671">
      <c r="AI47671" s="80"/>
    </row>
    <row r="47672">
      <c r="AI47672" s="80"/>
    </row>
    <row r="47673">
      <c r="AI47673" s="80"/>
    </row>
    <row r="47674">
      <c r="AI47674" s="80"/>
    </row>
    <row r="47675">
      <c r="AI47675" s="80"/>
    </row>
    <row r="47676">
      <c r="AI47676" s="80"/>
    </row>
    <row r="47677">
      <c r="AI47677" s="80"/>
    </row>
    <row r="47678">
      <c r="AI47678" s="80"/>
    </row>
    <row r="47679">
      <c r="AI47679" s="80"/>
    </row>
    <row r="47680">
      <c r="AI47680" s="80"/>
    </row>
    <row r="47681">
      <c r="AI47681" s="80"/>
    </row>
    <row r="47682">
      <c r="AI47682" s="80"/>
    </row>
    <row r="47683">
      <c r="AI47683" s="80"/>
    </row>
    <row r="47684">
      <c r="AI47684" s="80"/>
    </row>
    <row r="47685">
      <c r="AI47685" s="80"/>
    </row>
    <row r="47686">
      <c r="AI47686" s="80"/>
    </row>
    <row r="47687">
      <c r="AI47687" s="80"/>
    </row>
    <row r="47688">
      <c r="AI47688" s="80"/>
    </row>
    <row r="47689">
      <c r="AI47689" s="80"/>
    </row>
    <row r="47690">
      <c r="AI47690" s="80"/>
    </row>
    <row r="47691">
      <c r="AI47691" s="80"/>
    </row>
    <row r="47692">
      <c r="AI47692" s="80"/>
    </row>
    <row r="47693">
      <c r="AI47693" s="80"/>
    </row>
    <row r="47694">
      <c r="AI47694" s="80"/>
    </row>
    <row r="47695">
      <c r="AI47695" s="80"/>
    </row>
    <row r="47696">
      <c r="AI47696" s="80"/>
    </row>
    <row r="47697">
      <c r="AI47697" s="80"/>
    </row>
    <row r="47698">
      <c r="AI47698" s="80"/>
    </row>
    <row r="47699">
      <c r="AI47699" s="80"/>
    </row>
    <row r="47700">
      <c r="AI47700" s="80"/>
    </row>
    <row r="47701">
      <c r="AI47701" s="80"/>
    </row>
    <row r="47702">
      <c r="AI47702" s="80"/>
    </row>
    <row r="47703">
      <c r="AI47703" s="80"/>
    </row>
    <row r="47704">
      <c r="AI47704" s="80"/>
    </row>
    <row r="47705">
      <c r="AI47705" s="80"/>
    </row>
    <row r="47706">
      <c r="AI47706" s="80"/>
    </row>
    <row r="47707">
      <c r="AI47707" s="80"/>
    </row>
    <row r="47708">
      <c r="AI47708" s="80"/>
    </row>
    <row r="47709">
      <c r="AI47709" s="80"/>
    </row>
    <row r="47710">
      <c r="AI47710" s="80"/>
    </row>
    <row r="47711">
      <c r="AI47711" s="80"/>
    </row>
    <row r="47712">
      <c r="AI47712" s="80"/>
    </row>
    <row r="47713">
      <c r="AI47713" s="80"/>
    </row>
    <row r="47714">
      <c r="AI47714" s="80"/>
    </row>
    <row r="47715">
      <c r="AI47715" s="80"/>
    </row>
    <row r="47716">
      <c r="AI47716" s="80"/>
    </row>
    <row r="47717">
      <c r="AI47717" s="80"/>
    </row>
    <row r="47718">
      <c r="AI47718" s="80"/>
    </row>
    <row r="47719">
      <c r="AI47719" s="80"/>
    </row>
    <row r="47720">
      <c r="AI47720" s="80"/>
    </row>
    <row r="47721">
      <c r="AI47721" s="80"/>
    </row>
    <row r="47722">
      <c r="AI47722" s="80"/>
    </row>
    <row r="47723">
      <c r="AI47723" s="80"/>
    </row>
    <row r="47724">
      <c r="AI47724" s="80"/>
    </row>
    <row r="47725">
      <c r="AI47725" s="80"/>
    </row>
    <row r="47726">
      <c r="AI47726" s="80"/>
    </row>
    <row r="47727">
      <c r="AI47727" s="80"/>
    </row>
    <row r="47728">
      <c r="AI47728" s="80"/>
    </row>
    <row r="47729">
      <c r="AI47729" s="80"/>
    </row>
    <row r="47730">
      <c r="AI47730" s="80"/>
    </row>
    <row r="47731">
      <c r="AI47731" s="80"/>
    </row>
    <row r="47732">
      <c r="AI47732" s="80"/>
    </row>
    <row r="47733">
      <c r="AI47733" s="80"/>
    </row>
    <row r="47734">
      <c r="AI47734" s="80"/>
    </row>
    <row r="47735">
      <c r="AI47735" s="80"/>
    </row>
    <row r="47736">
      <c r="AI47736" s="80"/>
    </row>
    <row r="47737">
      <c r="AI47737" s="80"/>
    </row>
    <row r="47738">
      <c r="AI47738" s="80"/>
    </row>
    <row r="47739">
      <c r="AI47739" s="80"/>
    </row>
    <row r="47740">
      <c r="AI47740" s="80"/>
    </row>
    <row r="47741">
      <c r="AI47741" s="80"/>
    </row>
    <row r="47742">
      <c r="AI47742" s="80"/>
    </row>
    <row r="47743">
      <c r="AI47743" s="80"/>
    </row>
    <row r="47744">
      <c r="AI47744" s="80"/>
    </row>
    <row r="47745">
      <c r="AI47745" s="80"/>
    </row>
    <row r="47746">
      <c r="AI47746" s="80"/>
    </row>
    <row r="47747">
      <c r="AI47747" s="80"/>
    </row>
    <row r="47748">
      <c r="AI47748" s="80"/>
    </row>
    <row r="47749">
      <c r="AI47749" s="80"/>
    </row>
    <row r="47750">
      <c r="AI47750" s="80"/>
    </row>
    <row r="47751">
      <c r="AI47751" s="80"/>
    </row>
    <row r="47752">
      <c r="AI47752" s="80"/>
    </row>
    <row r="47753">
      <c r="AI47753" s="80"/>
    </row>
    <row r="47754">
      <c r="AI47754" s="80"/>
    </row>
    <row r="47755">
      <c r="AI47755" s="80"/>
    </row>
    <row r="47756">
      <c r="AI47756" s="80"/>
    </row>
    <row r="47757">
      <c r="AI47757" s="80"/>
    </row>
    <row r="47758">
      <c r="AI47758" s="80"/>
    </row>
    <row r="47759">
      <c r="AI47759" s="80"/>
    </row>
    <row r="47760">
      <c r="AI47760" s="80"/>
    </row>
    <row r="47761">
      <c r="AI47761" s="80"/>
    </row>
    <row r="47762">
      <c r="AI47762" s="80"/>
    </row>
    <row r="47763">
      <c r="AI47763" s="80"/>
    </row>
    <row r="47764">
      <c r="AI47764" s="80"/>
    </row>
    <row r="47765">
      <c r="AI47765" s="80"/>
    </row>
    <row r="47766">
      <c r="AI47766" s="80"/>
    </row>
    <row r="47767">
      <c r="AI47767" s="80"/>
    </row>
    <row r="47768">
      <c r="AI47768" s="80"/>
    </row>
    <row r="47769">
      <c r="AI47769" s="80"/>
    </row>
    <row r="47770">
      <c r="AI47770" s="80"/>
    </row>
    <row r="47771">
      <c r="AI47771" s="80"/>
    </row>
    <row r="47772">
      <c r="AI47772" s="80"/>
    </row>
    <row r="47773">
      <c r="AI47773" s="80"/>
    </row>
    <row r="47774">
      <c r="AI47774" s="80"/>
    </row>
    <row r="47775">
      <c r="AI47775" s="80"/>
    </row>
    <row r="47776">
      <c r="AI47776" s="80"/>
    </row>
    <row r="47777">
      <c r="AI47777" s="80"/>
    </row>
    <row r="47778">
      <c r="AI47778" s="80"/>
    </row>
    <row r="47779">
      <c r="AI47779" s="80"/>
    </row>
    <row r="47780">
      <c r="AI47780" s="80"/>
    </row>
    <row r="47781">
      <c r="AI47781" s="80"/>
    </row>
    <row r="47782">
      <c r="AI47782" s="80"/>
    </row>
    <row r="47783">
      <c r="AI47783" s="80"/>
    </row>
    <row r="47784">
      <c r="AI47784" s="80"/>
    </row>
    <row r="47785">
      <c r="AI47785" s="80"/>
    </row>
    <row r="47786">
      <c r="AI47786" s="80"/>
    </row>
    <row r="47787">
      <c r="AI47787" s="80"/>
    </row>
    <row r="47788">
      <c r="AI47788" s="80"/>
    </row>
    <row r="47789">
      <c r="AI47789" s="80"/>
    </row>
    <row r="47790">
      <c r="AI47790" s="80"/>
    </row>
    <row r="47791">
      <c r="AI47791" s="80"/>
    </row>
    <row r="47792">
      <c r="AI47792" s="80"/>
    </row>
    <row r="47793">
      <c r="AI47793" s="80"/>
    </row>
    <row r="47794">
      <c r="AI47794" s="80"/>
    </row>
    <row r="47795">
      <c r="AI47795" s="80"/>
    </row>
    <row r="47796">
      <c r="AI47796" s="80"/>
    </row>
    <row r="47797">
      <c r="AI47797" s="80"/>
    </row>
    <row r="47798">
      <c r="AI47798" s="80"/>
    </row>
    <row r="47799">
      <c r="AI47799" s="80"/>
    </row>
    <row r="47800">
      <c r="AI47800" s="80"/>
    </row>
    <row r="47801">
      <c r="AI47801" s="80"/>
    </row>
    <row r="47802">
      <c r="AI47802" s="80"/>
    </row>
    <row r="47803">
      <c r="AI47803" s="80"/>
    </row>
    <row r="47804">
      <c r="AI47804" s="80"/>
    </row>
    <row r="47805">
      <c r="AI47805" s="80"/>
    </row>
    <row r="47806">
      <c r="AI47806" s="80"/>
    </row>
    <row r="47807">
      <c r="AI47807" s="80"/>
    </row>
    <row r="47808">
      <c r="AI47808" s="80"/>
    </row>
    <row r="47809">
      <c r="AI47809" s="80"/>
    </row>
    <row r="47810">
      <c r="AI47810" s="80"/>
    </row>
    <row r="47811">
      <c r="AI47811" s="80"/>
    </row>
    <row r="47812">
      <c r="AI47812" s="80"/>
    </row>
    <row r="47813">
      <c r="AI47813" s="80"/>
    </row>
    <row r="47814">
      <c r="AI47814" s="80"/>
    </row>
    <row r="47815">
      <c r="AI47815" s="80"/>
    </row>
    <row r="47816">
      <c r="AI47816" s="80"/>
    </row>
    <row r="47817">
      <c r="AI47817" s="80"/>
    </row>
    <row r="47818">
      <c r="AI47818" s="80"/>
    </row>
    <row r="47819">
      <c r="AI47819" s="80"/>
    </row>
    <row r="47820">
      <c r="AI47820" s="80"/>
    </row>
    <row r="47821">
      <c r="AI47821" s="80"/>
    </row>
    <row r="47822">
      <c r="AI47822" s="80"/>
    </row>
    <row r="47823">
      <c r="AI47823" s="80"/>
    </row>
    <row r="47824">
      <c r="AI47824" s="80"/>
    </row>
    <row r="47825">
      <c r="AI47825" s="80"/>
    </row>
    <row r="47826">
      <c r="AI47826" s="80"/>
    </row>
    <row r="47827">
      <c r="AI47827" s="80"/>
    </row>
    <row r="47828">
      <c r="AI47828" s="80"/>
    </row>
    <row r="47829">
      <c r="AI47829" s="80"/>
    </row>
    <row r="47830">
      <c r="AI47830" s="80"/>
    </row>
    <row r="47831">
      <c r="AI47831" s="80"/>
    </row>
    <row r="47832">
      <c r="AI47832" s="80"/>
    </row>
    <row r="47833">
      <c r="AI47833" s="80"/>
    </row>
    <row r="47834">
      <c r="AI47834" s="80"/>
    </row>
    <row r="47835">
      <c r="AI47835" s="80"/>
    </row>
    <row r="47836">
      <c r="AI47836" s="80"/>
    </row>
    <row r="47837">
      <c r="AI47837" s="80"/>
    </row>
    <row r="47838">
      <c r="AI47838" s="80"/>
    </row>
    <row r="47839">
      <c r="AI47839" s="80"/>
    </row>
    <row r="47840">
      <c r="AI47840" s="80"/>
    </row>
    <row r="47841">
      <c r="AI47841" s="80"/>
    </row>
    <row r="47842">
      <c r="AI47842" s="80"/>
    </row>
    <row r="47843">
      <c r="AI47843" s="80"/>
    </row>
    <row r="47844">
      <c r="AI47844" s="80"/>
    </row>
    <row r="47845">
      <c r="AI47845" s="80"/>
    </row>
    <row r="47846">
      <c r="AI47846" s="80"/>
    </row>
    <row r="47847">
      <c r="AI47847" s="80"/>
    </row>
    <row r="47848">
      <c r="AI47848" s="80"/>
    </row>
    <row r="47849">
      <c r="AI47849" s="80"/>
    </row>
    <row r="47850">
      <c r="AI47850" s="80"/>
    </row>
    <row r="47851">
      <c r="AI47851" s="80"/>
    </row>
    <row r="47852">
      <c r="AI47852" s="80"/>
    </row>
    <row r="47853">
      <c r="AI47853" s="80"/>
    </row>
    <row r="47854">
      <c r="AI47854" s="80"/>
    </row>
    <row r="47855">
      <c r="AI47855" s="80"/>
    </row>
    <row r="47856">
      <c r="AI47856" s="80"/>
    </row>
    <row r="47857">
      <c r="AI47857" s="80"/>
    </row>
    <row r="47858">
      <c r="AI47858" s="80"/>
    </row>
    <row r="47859">
      <c r="AI47859" s="80"/>
    </row>
    <row r="47860">
      <c r="AI47860" s="80"/>
    </row>
    <row r="47861">
      <c r="AI47861" s="80"/>
    </row>
    <row r="47862">
      <c r="AI47862" s="80"/>
    </row>
    <row r="47863">
      <c r="AI47863" s="80"/>
    </row>
    <row r="47864">
      <c r="AI47864" s="80"/>
    </row>
    <row r="47865">
      <c r="AI47865" s="80"/>
    </row>
    <row r="47866">
      <c r="AI47866" s="80"/>
    </row>
    <row r="47867">
      <c r="AI47867" s="80"/>
    </row>
    <row r="47868">
      <c r="AI47868" s="80"/>
    </row>
    <row r="47869">
      <c r="AI47869" s="80"/>
    </row>
    <row r="47870">
      <c r="AI47870" s="80"/>
    </row>
    <row r="47871">
      <c r="AI47871" s="80"/>
    </row>
    <row r="47872">
      <c r="AI47872" s="80"/>
    </row>
    <row r="47873">
      <c r="AI47873" s="80"/>
    </row>
    <row r="47874">
      <c r="AI47874" s="80"/>
    </row>
    <row r="47875">
      <c r="AI47875" s="80"/>
    </row>
    <row r="47876">
      <c r="AI47876" s="80"/>
    </row>
    <row r="47877">
      <c r="AI47877" s="80"/>
    </row>
    <row r="47878">
      <c r="AI47878" s="80"/>
    </row>
    <row r="47879">
      <c r="AI47879" s="80"/>
    </row>
    <row r="47880">
      <c r="AI47880" s="80"/>
    </row>
    <row r="47881">
      <c r="AI47881" s="80"/>
    </row>
    <row r="47882">
      <c r="AI47882" s="80"/>
    </row>
    <row r="47883">
      <c r="AI47883" s="80"/>
    </row>
    <row r="47884">
      <c r="AI47884" s="80"/>
    </row>
    <row r="47885">
      <c r="AI47885" s="80"/>
    </row>
    <row r="47886">
      <c r="AI47886" s="80"/>
    </row>
    <row r="47887">
      <c r="AI47887" s="80"/>
    </row>
    <row r="47888">
      <c r="AI47888" s="80"/>
    </row>
    <row r="47889">
      <c r="AI47889" s="80"/>
    </row>
    <row r="47890">
      <c r="AI47890" s="80"/>
    </row>
    <row r="47891">
      <c r="AI47891" s="80"/>
    </row>
    <row r="47892">
      <c r="AI47892" s="80"/>
    </row>
    <row r="47893">
      <c r="AI47893" s="80"/>
    </row>
    <row r="47894">
      <c r="AI47894" s="80"/>
    </row>
    <row r="47895">
      <c r="AI47895" s="80"/>
    </row>
    <row r="47896">
      <c r="AI47896" s="80"/>
    </row>
    <row r="47897">
      <c r="AI47897" s="80"/>
    </row>
    <row r="47898">
      <c r="AI47898" s="80"/>
    </row>
    <row r="47899">
      <c r="AI47899" s="80"/>
    </row>
    <row r="47900">
      <c r="AI47900" s="80"/>
    </row>
    <row r="47901">
      <c r="AI47901" s="80"/>
    </row>
    <row r="47902">
      <c r="AI47902" s="80"/>
    </row>
    <row r="47903">
      <c r="AI47903" s="80"/>
    </row>
    <row r="47904">
      <c r="AI47904" s="80"/>
    </row>
    <row r="47905">
      <c r="AI47905" s="80"/>
    </row>
    <row r="47906">
      <c r="AI47906" s="80"/>
    </row>
    <row r="47907">
      <c r="AI47907" s="80"/>
    </row>
    <row r="47908">
      <c r="AI47908" s="80"/>
    </row>
    <row r="47909">
      <c r="AI47909" s="80"/>
    </row>
    <row r="47910">
      <c r="AI47910" s="80"/>
    </row>
    <row r="47911">
      <c r="AI47911" s="80"/>
    </row>
    <row r="47912">
      <c r="AI47912" s="80"/>
    </row>
    <row r="47913">
      <c r="AI47913" s="80"/>
    </row>
    <row r="47914">
      <c r="AI47914" s="80"/>
    </row>
    <row r="47915">
      <c r="AI47915" s="80"/>
    </row>
    <row r="47916">
      <c r="AI47916" s="80"/>
    </row>
    <row r="47917">
      <c r="AI47917" s="80"/>
    </row>
    <row r="47918">
      <c r="AI47918" s="80"/>
    </row>
    <row r="47919">
      <c r="AI47919" s="80"/>
    </row>
    <row r="47920">
      <c r="AI47920" s="80"/>
    </row>
    <row r="47921">
      <c r="AI47921" s="80"/>
    </row>
    <row r="47922">
      <c r="AI47922" s="80"/>
    </row>
    <row r="47923">
      <c r="AI47923" s="80"/>
    </row>
    <row r="47924">
      <c r="AI47924" s="80"/>
    </row>
    <row r="47925">
      <c r="AI47925" s="80"/>
    </row>
    <row r="47926">
      <c r="AI47926" s="80"/>
    </row>
    <row r="47927">
      <c r="AI47927" s="80"/>
    </row>
    <row r="47928">
      <c r="AI47928" s="80"/>
    </row>
    <row r="47929">
      <c r="AI47929" s="80"/>
    </row>
    <row r="47930">
      <c r="AI47930" s="80"/>
    </row>
    <row r="47931">
      <c r="AI47931" s="80"/>
    </row>
    <row r="47932">
      <c r="AI47932" s="80"/>
    </row>
    <row r="47933">
      <c r="AI47933" s="80"/>
    </row>
    <row r="47934">
      <c r="AI47934" s="80"/>
    </row>
    <row r="47935">
      <c r="AI47935" s="80"/>
    </row>
    <row r="47936">
      <c r="AI47936" s="80"/>
    </row>
    <row r="47937">
      <c r="AI47937" s="80"/>
    </row>
    <row r="47938">
      <c r="AI47938" s="80"/>
    </row>
    <row r="47939">
      <c r="AI47939" s="80"/>
    </row>
    <row r="47940">
      <c r="AI47940" s="80"/>
    </row>
    <row r="47941">
      <c r="AI47941" s="80"/>
    </row>
    <row r="47942">
      <c r="AI47942" s="80"/>
    </row>
    <row r="47943">
      <c r="AI47943" s="80"/>
    </row>
    <row r="47944">
      <c r="AI47944" s="80"/>
    </row>
    <row r="47945">
      <c r="AI47945" s="80"/>
    </row>
    <row r="47946">
      <c r="AI47946" s="80"/>
    </row>
    <row r="47947">
      <c r="AI47947" s="80"/>
    </row>
    <row r="47948">
      <c r="AI47948" s="80"/>
    </row>
    <row r="47949">
      <c r="AI47949" s="80"/>
    </row>
    <row r="47950">
      <c r="AI47950" s="80"/>
    </row>
    <row r="47951">
      <c r="AI47951" s="80"/>
    </row>
    <row r="47952">
      <c r="AI47952" s="80"/>
    </row>
    <row r="47953">
      <c r="AI47953" s="80"/>
    </row>
    <row r="47954">
      <c r="AI47954" s="80"/>
    </row>
    <row r="47955">
      <c r="AI47955" s="80"/>
    </row>
    <row r="47956">
      <c r="AI47956" s="80"/>
    </row>
    <row r="47957">
      <c r="AI47957" s="80"/>
    </row>
    <row r="47958">
      <c r="AI47958" s="80"/>
    </row>
    <row r="47959">
      <c r="AI47959" s="80"/>
    </row>
    <row r="47960">
      <c r="AI47960" s="80"/>
    </row>
    <row r="47961">
      <c r="AI47961" s="80"/>
    </row>
    <row r="47962">
      <c r="AI47962" s="80"/>
    </row>
    <row r="47963">
      <c r="AI47963" s="80"/>
    </row>
    <row r="47964">
      <c r="AI47964" s="80"/>
    </row>
    <row r="47965">
      <c r="AI47965" s="80"/>
    </row>
    <row r="47966">
      <c r="AI47966" s="80"/>
    </row>
    <row r="47967">
      <c r="AI47967" s="80"/>
    </row>
    <row r="47968">
      <c r="AI47968" s="80"/>
    </row>
    <row r="47969">
      <c r="AI47969" s="80"/>
    </row>
    <row r="47970">
      <c r="AI47970" s="80"/>
    </row>
    <row r="47971">
      <c r="AI47971" s="80"/>
    </row>
    <row r="47972">
      <c r="AI47972" s="80"/>
    </row>
    <row r="47973">
      <c r="AI47973" s="80"/>
    </row>
    <row r="47974">
      <c r="AI47974" s="80"/>
    </row>
    <row r="47975">
      <c r="AI47975" s="80"/>
    </row>
    <row r="47976">
      <c r="AI47976" s="80"/>
    </row>
    <row r="47977">
      <c r="AI47977" s="80"/>
    </row>
    <row r="47978">
      <c r="AI47978" s="80"/>
    </row>
    <row r="47979">
      <c r="AI47979" s="80"/>
    </row>
    <row r="47980">
      <c r="AI47980" s="80"/>
    </row>
    <row r="47981">
      <c r="AI47981" s="80"/>
    </row>
    <row r="47982">
      <c r="AI47982" s="80"/>
    </row>
    <row r="47983">
      <c r="AI47983" s="80"/>
    </row>
    <row r="47984">
      <c r="AI47984" s="80"/>
    </row>
    <row r="47985">
      <c r="AI47985" s="80"/>
    </row>
    <row r="47986">
      <c r="AI47986" s="80"/>
    </row>
    <row r="47987">
      <c r="AI47987" s="80"/>
    </row>
    <row r="47988">
      <c r="AI47988" s="80"/>
    </row>
    <row r="47989">
      <c r="AI47989" s="80"/>
    </row>
    <row r="47990">
      <c r="AI47990" s="80"/>
    </row>
    <row r="47991">
      <c r="AI47991" s="80"/>
    </row>
    <row r="47992">
      <c r="AI47992" s="80"/>
    </row>
    <row r="47993">
      <c r="AI47993" s="80"/>
    </row>
    <row r="47994">
      <c r="AI47994" s="80"/>
    </row>
    <row r="47995">
      <c r="AI47995" s="80"/>
    </row>
    <row r="47996">
      <c r="AI47996" s="80"/>
    </row>
    <row r="47997">
      <c r="AI47997" s="80"/>
    </row>
    <row r="47998">
      <c r="AI47998" s="80"/>
    </row>
    <row r="47999">
      <c r="AI47999" s="80"/>
    </row>
    <row r="48000">
      <c r="AI48000" s="80"/>
    </row>
    <row r="48001">
      <c r="AI48001" s="80"/>
    </row>
    <row r="48002">
      <c r="AI48002" s="80"/>
    </row>
    <row r="48003">
      <c r="AI48003" s="80"/>
    </row>
    <row r="48004">
      <c r="AI48004" s="80"/>
    </row>
    <row r="48005">
      <c r="AI48005" s="80"/>
    </row>
    <row r="48006">
      <c r="AI48006" s="80"/>
    </row>
    <row r="48007">
      <c r="AI48007" s="80"/>
    </row>
    <row r="48008">
      <c r="AI48008" s="80"/>
    </row>
    <row r="48009">
      <c r="AI48009" s="80"/>
    </row>
    <row r="48010">
      <c r="AI48010" s="80"/>
    </row>
    <row r="48011">
      <c r="AI48011" s="80"/>
    </row>
    <row r="48012">
      <c r="AI48012" s="80"/>
    </row>
    <row r="48013">
      <c r="AI48013" s="80"/>
    </row>
    <row r="48014">
      <c r="AI48014" s="80"/>
    </row>
    <row r="48015">
      <c r="AI48015" s="80"/>
    </row>
    <row r="48016">
      <c r="AI48016" s="80"/>
    </row>
    <row r="48017">
      <c r="AI48017" s="80"/>
    </row>
    <row r="48018">
      <c r="AI48018" s="80"/>
    </row>
    <row r="48019">
      <c r="AI48019" s="80"/>
    </row>
    <row r="48020">
      <c r="AI48020" s="80"/>
    </row>
    <row r="48021">
      <c r="AI48021" s="80"/>
    </row>
    <row r="48022">
      <c r="AI48022" s="80"/>
    </row>
    <row r="48023">
      <c r="AI48023" s="80"/>
    </row>
    <row r="48024">
      <c r="AI48024" s="80"/>
    </row>
    <row r="48025">
      <c r="AI48025" s="80"/>
    </row>
    <row r="48026">
      <c r="AI48026" s="80"/>
    </row>
    <row r="48027">
      <c r="AI48027" s="80"/>
    </row>
    <row r="48028">
      <c r="AI48028" s="80"/>
    </row>
    <row r="48029">
      <c r="AI48029" s="80"/>
    </row>
    <row r="48030">
      <c r="AI48030" s="80"/>
    </row>
    <row r="48031">
      <c r="AI48031" s="80"/>
    </row>
    <row r="48032">
      <c r="AI48032" s="80"/>
    </row>
    <row r="48033">
      <c r="AI48033" s="80"/>
    </row>
    <row r="48034">
      <c r="AI48034" s="80"/>
    </row>
    <row r="48035">
      <c r="AI48035" s="80"/>
    </row>
    <row r="48036">
      <c r="AI48036" s="80"/>
    </row>
    <row r="48037">
      <c r="AI48037" s="80"/>
    </row>
    <row r="48038">
      <c r="AI48038" s="80"/>
    </row>
    <row r="48039">
      <c r="AI48039" s="80"/>
    </row>
    <row r="48040">
      <c r="AI48040" s="80"/>
    </row>
    <row r="48041">
      <c r="AI48041" s="80"/>
    </row>
    <row r="48042">
      <c r="AI48042" s="80"/>
    </row>
    <row r="48043">
      <c r="AI48043" s="80"/>
    </row>
    <row r="48044">
      <c r="AI48044" s="80"/>
    </row>
    <row r="48045">
      <c r="AI48045" s="80"/>
    </row>
    <row r="48046">
      <c r="AI48046" s="80"/>
    </row>
    <row r="48047">
      <c r="AI48047" s="80"/>
    </row>
    <row r="48048">
      <c r="AI48048" s="80"/>
    </row>
    <row r="48049">
      <c r="AI48049" s="80"/>
    </row>
    <row r="48050">
      <c r="AI48050" s="80"/>
    </row>
    <row r="48051">
      <c r="AI48051" s="80"/>
    </row>
    <row r="48052">
      <c r="AI48052" s="80"/>
    </row>
    <row r="48053">
      <c r="AI48053" s="80"/>
    </row>
    <row r="48054">
      <c r="AI48054" s="80"/>
    </row>
    <row r="48055">
      <c r="AI48055" s="80"/>
    </row>
    <row r="48056">
      <c r="AI48056" s="80"/>
    </row>
    <row r="48057">
      <c r="AI48057" s="80"/>
    </row>
    <row r="48058">
      <c r="AI48058" s="80"/>
    </row>
    <row r="48059">
      <c r="AI48059" s="80"/>
    </row>
    <row r="48060">
      <c r="AI48060" s="80"/>
    </row>
    <row r="48061">
      <c r="AI48061" s="80"/>
    </row>
    <row r="48062">
      <c r="AI48062" s="80"/>
    </row>
    <row r="48063">
      <c r="AI48063" s="80"/>
    </row>
    <row r="48064">
      <c r="AI48064" s="80"/>
    </row>
    <row r="48065">
      <c r="AI48065" s="80"/>
    </row>
    <row r="48066">
      <c r="AI48066" s="80"/>
    </row>
    <row r="48067">
      <c r="AI48067" s="80"/>
    </row>
    <row r="48068">
      <c r="AI48068" s="80"/>
    </row>
    <row r="48069">
      <c r="AI48069" s="80"/>
    </row>
    <row r="48070">
      <c r="AI48070" s="80"/>
    </row>
    <row r="48071">
      <c r="AI48071" s="80"/>
    </row>
    <row r="48072">
      <c r="AI48072" s="80"/>
    </row>
    <row r="48073">
      <c r="AI48073" s="80"/>
    </row>
    <row r="48074">
      <c r="AI48074" s="80"/>
    </row>
    <row r="48075">
      <c r="AI48075" s="80"/>
    </row>
    <row r="48076">
      <c r="AI48076" s="80"/>
    </row>
    <row r="48077">
      <c r="AI48077" s="80"/>
    </row>
    <row r="48078">
      <c r="AI48078" s="80"/>
    </row>
    <row r="48079">
      <c r="AI48079" s="80"/>
    </row>
    <row r="48080">
      <c r="AI48080" s="80"/>
    </row>
    <row r="48081">
      <c r="AI48081" s="80"/>
    </row>
    <row r="48082">
      <c r="AI48082" s="80"/>
    </row>
    <row r="48083">
      <c r="AI48083" s="80"/>
    </row>
    <row r="48084">
      <c r="AI48084" s="80"/>
    </row>
    <row r="48085">
      <c r="AI48085" s="80"/>
    </row>
    <row r="48086">
      <c r="AI48086" s="80"/>
    </row>
    <row r="48087">
      <c r="AI48087" s="80"/>
    </row>
    <row r="48088">
      <c r="AI48088" s="80"/>
    </row>
    <row r="48089">
      <c r="AI48089" s="80"/>
    </row>
    <row r="48090">
      <c r="AI48090" s="80"/>
    </row>
    <row r="48091">
      <c r="AI48091" s="80"/>
    </row>
    <row r="48092">
      <c r="AI48092" s="80"/>
    </row>
    <row r="48093">
      <c r="AI48093" s="80"/>
    </row>
    <row r="48094">
      <c r="AI48094" s="80"/>
    </row>
    <row r="48095">
      <c r="AI48095" s="80"/>
    </row>
    <row r="48096">
      <c r="AI48096" s="80"/>
    </row>
    <row r="48097">
      <c r="AI48097" s="80"/>
    </row>
    <row r="48098">
      <c r="AI48098" s="80"/>
    </row>
    <row r="48099">
      <c r="AI48099" s="80"/>
    </row>
    <row r="48100">
      <c r="AI48100" s="80"/>
    </row>
    <row r="48101">
      <c r="AI48101" s="80"/>
    </row>
    <row r="48102">
      <c r="AI48102" s="80"/>
    </row>
    <row r="48103">
      <c r="AI48103" s="80"/>
    </row>
    <row r="48104">
      <c r="AI48104" s="80"/>
    </row>
    <row r="48105">
      <c r="AI48105" s="80"/>
    </row>
    <row r="48106">
      <c r="AI48106" s="80"/>
    </row>
    <row r="48107">
      <c r="AI48107" s="80"/>
    </row>
    <row r="48108">
      <c r="AI48108" s="80"/>
    </row>
    <row r="48109">
      <c r="AI48109" s="80"/>
    </row>
    <row r="48110">
      <c r="AI48110" s="80"/>
    </row>
    <row r="48111">
      <c r="AI48111" s="80"/>
    </row>
    <row r="48112">
      <c r="AI48112" s="80"/>
    </row>
    <row r="48113">
      <c r="AI48113" s="80"/>
    </row>
    <row r="48114">
      <c r="AI48114" s="80"/>
    </row>
    <row r="48115">
      <c r="AI48115" s="80"/>
    </row>
    <row r="48116">
      <c r="AI48116" s="80"/>
    </row>
    <row r="48117">
      <c r="AI48117" s="80"/>
    </row>
    <row r="48118">
      <c r="AI48118" s="80"/>
    </row>
    <row r="48119">
      <c r="AI48119" s="80"/>
    </row>
    <row r="48120">
      <c r="AI48120" s="80"/>
    </row>
    <row r="48121">
      <c r="AI48121" s="80"/>
    </row>
    <row r="48122">
      <c r="AI48122" s="80"/>
    </row>
    <row r="48123">
      <c r="AI48123" s="80"/>
    </row>
    <row r="48124">
      <c r="AI48124" s="80"/>
    </row>
    <row r="48125">
      <c r="AI48125" s="80"/>
    </row>
    <row r="48126">
      <c r="AI48126" s="80"/>
    </row>
    <row r="48127">
      <c r="AI48127" s="80"/>
    </row>
    <row r="48128">
      <c r="AI48128" s="80"/>
    </row>
    <row r="48129">
      <c r="AI48129" s="80"/>
    </row>
    <row r="48130">
      <c r="AI48130" s="80"/>
    </row>
    <row r="48131">
      <c r="AI48131" s="80"/>
    </row>
    <row r="48132">
      <c r="AI48132" s="80"/>
    </row>
    <row r="48133">
      <c r="AI48133" s="80"/>
    </row>
    <row r="48134">
      <c r="AI48134" s="80"/>
    </row>
    <row r="48135">
      <c r="AI48135" s="80"/>
    </row>
    <row r="48136">
      <c r="AI48136" s="80"/>
    </row>
    <row r="48137">
      <c r="AI48137" s="80"/>
    </row>
    <row r="48138">
      <c r="AI48138" s="80"/>
    </row>
    <row r="48139">
      <c r="AI48139" s="80"/>
    </row>
    <row r="48140">
      <c r="AI48140" s="80"/>
    </row>
    <row r="48141">
      <c r="AI48141" s="80"/>
    </row>
    <row r="48142">
      <c r="AI48142" s="80"/>
    </row>
    <row r="48143">
      <c r="AI48143" s="80"/>
    </row>
    <row r="48144">
      <c r="AI48144" s="80"/>
    </row>
    <row r="48145">
      <c r="AI48145" s="80"/>
    </row>
    <row r="48146">
      <c r="AI48146" s="80"/>
    </row>
    <row r="48147">
      <c r="AI48147" s="80"/>
    </row>
    <row r="48148">
      <c r="AI48148" s="80"/>
    </row>
    <row r="48149">
      <c r="AI48149" s="80"/>
    </row>
    <row r="48150">
      <c r="AI48150" s="80"/>
    </row>
    <row r="48151">
      <c r="AI48151" s="80"/>
    </row>
    <row r="48152">
      <c r="AI48152" s="80"/>
    </row>
    <row r="48153">
      <c r="AI48153" s="80"/>
    </row>
    <row r="48154">
      <c r="AI48154" s="80"/>
    </row>
    <row r="48155">
      <c r="AI48155" s="80"/>
    </row>
    <row r="48156">
      <c r="AI48156" s="80"/>
    </row>
    <row r="48157">
      <c r="AI48157" s="80"/>
    </row>
    <row r="48158">
      <c r="AI48158" s="80"/>
    </row>
    <row r="48159">
      <c r="AI48159" s="80"/>
    </row>
    <row r="48160">
      <c r="AI48160" s="80"/>
    </row>
    <row r="48161">
      <c r="AI48161" s="80"/>
    </row>
    <row r="48162">
      <c r="AI48162" s="80"/>
    </row>
    <row r="48163">
      <c r="AI48163" s="80"/>
    </row>
    <row r="48164">
      <c r="AI48164" s="80"/>
    </row>
    <row r="48165">
      <c r="AI48165" s="80"/>
    </row>
    <row r="48166">
      <c r="AI48166" s="80"/>
    </row>
    <row r="48167">
      <c r="AI48167" s="80"/>
    </row>
    <row r="48168">
      <c r="AI48168" s="80"/>
    </row>
    <row r="48169">
      <c r="AI48169" s="80"/>
    </row>
    <row r="48170">
      <c r="AI48170" s="80"/>
    </row>
    <row r="48171">
      <c r="AI48171" s="80"/>
    </row>
    <row r="48172">
      <c r="AI48172" s="80"/>
    </row>
    <row r="48173">
      <c r="AI48173" s="80"/>
    </row>
    <row r="48174">
      <c r="AI48174" s="80"/>
    </row>
    <row r="48175">
      <c r="AI48175" s="80"/>
    </row>
    <row r="48176">
      <c r="AI48176" s="80"/>
    </row>
    <row r="48177">
      <c r="AI48177" s="80"/>
    </row>
    <row r="48178">
      <c r="AI48178" s="80"/>
    </row>
    <row r="48179">
      <c r="AI48179" s="80"/>
    </row>
    <row r="48180">
      <c r="AI48180" s="80"/>
    </row>
    <row r="48181">
      <c r="AI48181" s="80"/>
    </row>
    <row r="48182">
      <c r="AI48182" s="80"/>
    </row>
    <row r="48183">
      <c r="AI48183" s="80"/>
    </row>
    <row r="48184">
      <c r="AI48184" s="80"/>
    </row>
    <row r="48185">
      <c r="AI48185" s="80"/>
    </row>
    <row r="48186">
      <c r="AI48186" s="80"/>
    </row>
    <row r="48187">
      <c r="AI48187" s="80"/>
    </row>
    <row r="48188">
      <c r="AI48188" s="80"/>
    </row>
    <row r="48189">
      <c r="AI48189" s="80"/>
    </row>
    <row r="48190">
      <c r="AI48190" s="80"/>
    </row>
    <row r="48191">
      <c r="AI48191" s="80"/>
    </row>
    <row r="48192">
      <c r="AI48192" s="80"/>
    </row>
    <row r="48193">
      <c r="AI48193" s="80"/>
    </row>
    <row r="48194">
      <c r="AI48194" s="80"/>
    </row>
    <row r="48195">
      <c r="AI48195" s="80"/>
    </row>
    <row r="48196">
      <c r="AI48196" s="80"/>
    </row>
    <row r="48197">
      <c r="AI48197" s="80"/>
    </row>
    <row r="48198">
      <c r="AI48198" s="80"/>
    </row>
    <row r="48199">
      <c r="AI48199" s="80"/>
    </row>
    <row r="48200">
      <c r="AI48200" s="80"/>
    </row>
    <row r="48201">
      <c r="AI48201" s="80"/>
    </row>
    <row r="48202">
      <c r="AI48202" s="80"/>
    </row>
    <row r="48203">
      <c r="AI48203" s="80"/>
    </row>
    <row r="48204">
      <c r="AI48204" s="80"/>
    </row>
    <row r="48205">
      <c r="AI48205" s="80"/>
    </row>
    <row r="48206">
      <c r="AI48206" s="80"/>
    </row>
    <row r="48207">
      <c r="AI48207" s="80"/>
    </row>
    <row r="48208">
      <c r="AI48208" s="80"/>
    </row>
    <row r="48209">
      <c r="AI48209" s="80"/>
    </row>
    <row r="48210">
      <c r="AI48210" s="80"/>
    </row>
    <row r="48211">
      <c r="AI48211" s="80"/>
    </row>
    <row r="48212">
      <c r="AI48212" s="80"/>
    </row>
    <row r="48213">
      <c r="AI48213" s="80"/>
    </row>
    <row r="48214">
      <c r="AI48214" s="80"/>
    </row>
    <row r="48215">
      <c r="AI48215" s="80"/>
    </row>
    <row r="48216">
      <c r="AI48216" s="80"/>
    </row>
    <row r="48217">
      <c r="AI48217" s="80"/>
    </row>
    <row r="48218">
      <c r="AI48218" s="80"/>
    </row>
    <row r="48219">
      <c r="AI48219" s="80"/>
    </row>
    <row r="48220">
      <c r="AI48220" s="80"/>
    </row>
    <row r="48221">
      <c r="AI48221" s="80"/>
    </row>
    <row r="48222">
      <c r="AI48222" s="80"/>
    </row>
    <row r="48223">
      <c r="AI48223" s="80"/>
    </row>
    <row r="48224">
      <c r="AI48224" s="80"/>
    </row>
    <row r="48225">
      <c r="AI48225" s="80"/>
    </row>
    <row r="48226">
      <c r="AI48226" s="80"/>
    </row>
    <row r="48227">
      <c r="AI48227" s="80"/>
    </row>
    <row r="48228">
      <c r="AI48228" s="80"/>
    </row>
    <row r="48229">
      <c r="AI48229" s="80"/>
    </row>
    <row r="48230">
      <c r="AI48230" s="80"/>
    </row>
    <row r="48231">
      <c r="AI48231" s="80"/>
    </row>
    <row r="48232">
      <c r="AI48232" s="80"/>
    </row>
    <row r="48233">
      <c r="AI48233" s="80"/>
    </row>
    <row r="48234">
      <c r="AI48234" s="80"/>
    </row>
    <row r="48235">
      <c r="AI48235" s="80"/>
    </row>
    <row r="48236">
      <c r="AI48236" s="80"/>
    </row>
    <row r="48237">
      <c r="AI48237" s="80"/>
    </row>
    <row r="48238">
      <c r="AI48238" s="80"/>
    </row>
    <row r="48239">
      <c r="AI48239" s="80"/>
    </row>
    <row r="48240">
      <c r="AI48240" s="80"/>
    </row>
    <row r="48241">
      <c r="AI48241" s="80"/>
    </row>
    <row r="48242">
      <c r="AI48242" s="80"/>
    </row>
    <row r="48243">
      <c r="AI48243" s="80"/>
    </row>
    <row r="48244">
      <c r="AI48244" s="80"/>
    </row>
    <row r="48245">
      <c r="AI48245" s="80"/>
    </row>
    <row r="48246">
      <c r="AI48246" s="80"/>
    </row>
    <row r="48247">
      <c r="AI48247" s="80"/>
    </row>
    <row r="48248">
      <c r="AI48248" s="80"/>
    </row>
    <row r="48249">
      <c r="AI48249" s="80"/>
    </row>
    <row r="48250">
      <c r="AI48250" s="80"/>
    </row>
    <row r="48251">
      <c r="AI48251" s="80"/>
    </row>
    <row r="48252">
      <c r="AI48252" s="80"/>
    </row>
    <row r="48253">
      <c r="AI48253" s="80"/>
    </row>
    <row r="48254">
      <c r="AI48254" s="80"/>
    </row>
    <row r="48255">
      <c r="AI48255" s="80"/>
    </row>
    <row r="48256">
      <c r="AI48256" s="80"/>
    </row>
    <row r="48257">
      <c r="AI48257" s="80"/>
    </row>
    <row r="48258">
      <c r="AI48258" s="80"/>
    </row>
    <row r="48259">
      <c r="AI48259" s="80"/>
    </row>
    <row r="48260">
      <c r="AI48260" s="80"/>
    </row>
    <row r="48261">
      <c r="AI48261" s="80"/>
    </row>
    <row r="48262">
      <c r="AI48262" s="80"/>
    </row>
    <row r="48263">
      <c r="AI48263" s="80"/>
    </row>
    <row r="48264">
      <c r="AI48264" s="80"/>
    </row>
    <row r="48265">
      <c r="AI48265" s="80"/>
    </row>
    <row r="48266">
      <c r="AI48266" s="80"/>
    </row>
    <row r="48267">
      <c r="AI48267" s="80"/>
    </row>
    <row r="48268">
      <c r="AI48268" s="80"/>
    </row>
    <row r="48269">
      <c r="AI48269" s="80"/>
    </row>
    <row r="48270">
      <c r="AI48270" s="80"/>
    </row>
    <row r="48271">
      <c r="AI48271" s="80"/>
    </row>
    <row r="48272">
      <c r="AI48272" s="80"/>
    </row>
    <row r="48273">
      <c r="AI48273" s="80"/>
    </row>
    <row r="48274">
      <c r="AI48274" s="80"/>
    </row>
    <row r="48275">
      <c r="AI48275" s="80"/>
    </row>
    <row r="48276">
      <c r="AI48276" s="80"/>
    </row>
    <row r="48277">
      <c r="AI48277" s="80"/>
    </row>
    <row r="48278">
      <c r="AI48278" s="80"/>
    </row>
    <row r="48279">
      <c r="AI48279" s="80"/>
    </row>
    <row r="48280">
      <c r="AI48280" s="80"/>
    </row>
    <row r="48281">
      <c r="AI48281" s="80"/>
    </row>
    <row r="48282">
      <c r="AI48282" s="80"/>
    </row>
    <row r="48283">
      <c r="AI48283" s="80"/>
    </row>
    <row r="48284">
      <c r="AI48284" s="80"/>
    </row>
    <row r="48285">
      <c r="AI48285" s="80"/>
    </row>
    <row r="48286">
      <c r="AI48286" s="80"/>
    </row>
    <row r="48287">
      <c r="AI48287" s="80"/>
    </row>
    <row r="48288">
      <c r="AI48288" s="80"/>
    </row>
    <row r="48289">
      <c r="AI48289" s="80"/>
    </row>
    <row r="48290">
      <c r="AI48290" s="80"/>
    </row>
    <row r="48291">
      <c r="AI48291" s="80"/>
    </row>
    <row r="48292">
      <c r="AI48292" s="80"/>
    </row>
    <row r="48293">
      <c r="AI48293" s="80"/>
    </row>
    <row r="48294">
      <c r="AI48294" s="80"/>
    </row>
    <row r="48295">
      <c r="AI48295" s="80"/>
    </row>
    <row r="48296">
      <c r="AI48296" s="80"/>
    </row>
    <row r="48297">
      <c r="AI48297" s="80"/>
    </row>
    <row r="48298">
      <c r="AI48298" s="80"/>
    </row>
    <row r="48299">
      <c r="AI48299" s="80"/>
    </row>
    <row r="48300">
      <c r="AI48300" s="80"/>
    </row>
    <row r="48301">
      <c r="AI48301" s="80"/>
    </row>
    <row r="48302">
      <c r="AI48302" s="80"/>
    </row>
    <row r="48303">
      <c r="AI48303" s="80"/>
    </row>
    <row r="48304">
      <c r="AI48304" s="80"/>
    </row>
    <row r="48305">
      <c r="AI48305" s="80"/>
    </row>
    <row r="48306">
      <c r="AI48306" s="80"/>
    </row>
    <row r="48307">
      <c r="AI48307" s="80"/>
    </row>
    <row r="48308">
      <c r="AI48308" s="80"/>
    </row>
    <row r="48309">
      <c r="AI48309" s="80"/>
    </row>
    <row r="48310">
      <c r="AI48310" s="80"/>
    </row>
    <row r="48311">
      <c r="AI48311" s="80"/>
    </row>
    <row r="48312">
      <c r="AI48312" s="80"/>
    </row>
    <row r="48313">
      <c r="AI48313" s="80"/>
    </row>
    <row r="48314">
      <c r="AI48314" s="80"/>
    </row>
    <row r="48315">
      <c r="AI48315" s="80"/>
    </row>
    <row r="48316">
      <c r="AI48316" s="80"/>
    </row>
    <row r="48317">
      <c r="AI48317" s="80"/>
    </row>
    <row r="48318">
      <c r="AI48318" s="80"/>
    </row>
    <row r="48319">
      <c r="AI48319" s="80"/>
    </row>
    <row r="48320">
      <c r="AI48320" s="80"/>
    </row>
    <row r="48321">
      <c r="AI48321" s="80"/>
    </row>
    <row r="48322">
      <c r="AI48322" s="80"/>
    </row>
    <row r="48323">
      <c r="AI48323" s="80"/>
    </row>
    <row r="48324">
      <c r="AI48324" s="80"/>
    </row>
    <row r="48325">
      <c r="AI48325" s="80"/>
    </row>
    <row r="48326">
      <c r="AI48326" s="80"/>
    </row>
    <row r="48327">
      <c r="AI48327" s="80"/>
    </row>
    <row r="48328">
      <c r="AI48328" s="80"/>
    </row>
    <row r="48329">
      <c r="AI48329" s="80"/>
    </row>
    <row r="48330">
      <c r="AI48330" s="80"/>
    </row>
    <row r="48331">
      <c r="AI48331" s="80"/>
    </row>
    <row r="48332">
      <c r="AI48332" s="80"/>
    </row>
    <row r="48333">
      <c r="AI48333" s="80"/>
    </row>
    <row r="48334">
      <c r="AI48334" s="80"/>
    </row>
    <row r="48335">
      <c r="AI48335" s="80"/>
    </row>
    <row r="48336">
      <c r="AI48336" s="80"/>
    </row>
    <row r="48337">
      <c r="AI48337" s="80"/>
    </row>
    <row r="48338">
      <c r="AI48338" s="80"/>
    </row>
    <row r="48339">
      <c r="AI48339" s="80"/>
    </row>
    <row r="48340">
      <c r="AI48340" s="80"/>
    </row>
    <row r="48341">
      <c r="AI48341" s="80"/>
    </row>
    <row r="48342">
      <c r="AI48342" s="80"/>
    </row>
    <row r="48343">
      <c r="AI48343" s="80"/>
    </row>
    <row r="48344">
      <c r="AI48344" s="80"/>
    </row>
    <row r="48345">
      <c r="AI48345" s="80"/>
    </row>
    <row r="48346">
      <c r="AI48346" s="80"/>
    </row>
    <row r="48347">
      <c r="AI48347" s="80"/>
    </row>
    <row r="48348">
      <c r="AI48348" s="80"/>
    </row>
    <row r="48349">
      <c r="AI48349" s="80"/>
    </row>
    <row r="48350">
      <c r="AI48350" s="80"/>
    </row>
    <row r="48351">
      <c r="AI48351" s="80"/>
    </row>
    <row r="48352">
      <c r="AI48352" s="80"/>
    </row>
    <row r="48353">
      <c r="AI48353" s="80"/>
    </row>
    <row r="48354">
      <c r="AI48354" s="80"/>
    </row>
    <row r="48355">
      <c r="AI48355" s="80"/>
    </row>
    <row r="48356">
      <c r="AI48356" s="80"/>
    </row>
    <row r="48357">
      <c r="AI48357" s="80"/>
    </row>
    <row r="48358">
      <c r="AI48358" s="80"/>
    </row>
    <row r="48359">
      <c r="AI48359" s="80"/>
    </row>
    <row r="48360">
      <c r="AI48360" s="80"/>
    </row>
    <row r="48361">
      <c r="AI48361" s="80"/>
    </row>
    <row r="48362">
      <c r="AI48362" s="80"/>
    </row>
    <row r="48363">
      <c r="AI48363" s="80"/>
    </row>
    <row r="48364">
      <c r="AI48364" s="80"/>
    </row>
    <row r="48365">
      <c r="AI48365" s="80"/>
    </row>
    <row r="48366">
      <c r="AI48366" s="80"/>
    </row>
    <row r="48367">
      <c r="AI48367" s="80"/>
    </row>
    <row r="48368">
      <c r="AI48368" s="80"/>
    </row>
    <row r="48369">
      <c r="AI48369" s="80"/>
    </row>
    <row r="48370">
      <c r="AI48370" s="80"/>
    </row>
    <row r="48371">
      <c r="AI48371" s="80"/>
    </row>
    <row r="48372">
      <c r="AI48372" s="80"/>
    </row>
    <row r="48373">
      <c r="AI48373" s="80"/>
    </row>
    <row r="48374">
      <c r="AI48374" s="80"/>
    </row>
    <row r="48375">
      <c r="AI48375" s="80"/>
    </row>
    <row r="48376">
      <c r="AI48376" s="80"/>
    </row>
    <row r="48377">
      <c r="AI48377" s="80"/>
    </row>
    <row r="48378">
      <c r="AI48378" s="80"/>
    </row>
    <row r="48379">
      <c r="AI48379" s="80"/>
    </row>
    <row r="48380">
      <c r="AI48380" s="80"/>
    </row>
    <row r="48381">
      <c r="AI48381" s="80"/>
    </row>
    <row r="48382">
      <c r="AI48382" s="80"/>
    </row>
    <row r="48383">
      <c r="AI48383" s="80"/>
    </row>
    <row r="48384">
      <c r="AI48384" s="80"/>
    </row>
    <row r="48385">
      <c r="AI48385" s="80"/>
    </row>
    <row r="48386">
      <c r="AI48386" s="80"/>
    </row>
    <row r="48387">
      <c r="AI48387" s="80"/>
    </row>
    <row r="48388">
      <c r="AI48388" s="80"/>
    </row>
    <row r="48389">
      <c r="AI48389" s="80"/>
    </row>
    <row r="48390">
      <c r="AI48390" s="80"/>
    </row>
    <row r="48391">
      <c r="AI48391" s="80"/>
    </row>
    <row r="48392">
      <c r="AI48392" s="80"/>
    </row>
    <row r="48393">
      <c r="AI48393" s="80"/>
    </row>
    <row r="48394">
      <c r="AI48394" s="80"/>
    </row>
    <row r="48395">
      <c r="AI48395" s="80"/>
    </row>
    <row r="48396">
      <c r="AI48396" s="80"/>
    </row>
    <row r="48397">
      <c r="AI48397" s="80"/>
    </row>
    <row r="48398">
      <c r="AI48398" s="80"/>
    </row>
    <row r="48399">
      <c r="AI48399" s="80"/>
    </row>
    <row r="48400">
      <c r="AI48400" s="80"/>
    </row>
    <row r="48401">
      <c r="AI48401" s="80"/>
    </row>
    <row r="48402">
      <c r="AI48402" s="80"/>
    </row>
    <row r="48403">
      <c r="AI48403" s="80"/>
    </row>
    <row r="48404">
      <c r="AI48404" s="80"/>
    </row>
    <row r="48405">
      <c r="AI48405" s="80"/>
    </row>
    <row r="48406">
      <c r="AI48406" s="80"/>
    </row>
    <row r="48407">
      <c r="AI48407" s="80"/>
    </row>
    <row r="48408">
      <c r="AI48408" s="80"/>
    </row>
    <row r="48409">
      <c r="AI48409" s="80"/>
    </row>
    <row r="48410">
      <c r="AI48410" s="80"/>
    </row>
    <row r="48411">
      <c r="AI48411" s="80"/>
    </row>
    <row r="48412">
      <c r="AI48412" s="80"/>
    </row>
    <row r="48413">
      <c r="AI48413" s="80"/>
    </row>
    <row r="48414">
      <c r="AI48414" s="80"/>
    </row>
    <row r="48415">
      <c r="AI48415" s="80"/>
    </row>
    <row r="48416">
      <c r="AI48416" s="80"/>
    </row>
    <row r="48417">
      <c r="AI48417" s="80"/>
    </row>
    <row r="48418">
      <c r="AI48418" s="80"/>
    </row>
    <row r="48419">
      <c r="AI48419" s="80"/>
    </row>
    <row r="48420">
      <c r="AI48420" s="80"/>
    </row>
    <row r="48421">
      <c r="AI48421" s="80"/>
    </row>
    <row r="48422">
      <c r="AI48422" s="80"/>
    </row>
    <row r="48423">
      <c r="AI48423" s="80"/>
    </row>
    <row r="48424">
      <c r="AI48424" s="80"/>
    </row>
    <row r="48425">
      <c r="AI48425" s="80"/>
    </row>
    <row r="48426">
      <c r="AI48426" s="80"/>
    </row>
    <row r="48427">
      <c r="AI48427" s="80"/>
    </row>
    <row r="48428">
      <c r="AI48428" s="80"/>
    </row>
    <row r="48429">
      <c r="AI48429" s="80"/>
    </row>
    <row r="48430">
      <c r="AI48430" s="80"/>
    </row>
    <row r="48431">
      <c r="AI48431" s="80"/>
    </row>
    <row r="48432">
      <c r="AI48432" s="80"/>
    </row>
    <row r="48433">
      <c r="AI48433" s="80"/>
    </row>
    <row r="48434">
      <c r="AI48434" s="80"/>
    </row>
    <row r="48435">
      <c r="AI48435" s="80"/>
    </row>
    <row r="48436">
      <c r="AI48436" s="80"/>
    </row>
    <row r="48437">
      <c r="AI48437" s="80"/>
    </row>
    <row r="48438">
      <c r="AI48438" s="80"/>
    </row>
    <row r="48439">
      <c r="AI48439" s="80"/>
    </row>
    <row r="48440">
      <c r="AI48440" s="80"/>
    </row>
    <row r="48441">
      <c r="AI48441" s="80"/>
    </row>
    <row r="48442">
      <c r="AI48442" s="80"/>
    </row>
    <row r="48443">
      <c r="AI48443" s="80"/>
    </row>
    <row r="48444">
      <c r="AI48444" s="80"/>
    </row>
    <row r="48445">
      <c r="AI48445" s="80"/>
    </row>
    <row r="48446">
      <c r="AI48446" s="80"/>
    </row>
    <row r="48447">
      <c r="AI48447" s="80"/>
    </row>
    <row r="48448">
      <c r="AI48448" s="80"/>
    </row>
    <row r="48449">
      <c r="AI48449" s="80"/>
    </row>
    <row r="48450">
      <c r="AI48450" s="80"/>
    </row>
    <row r="48451">
      <c r="AI48451" s="80"/>
    </row>
    <row r="48452">
      <c r="AI48452" s="80"/>
    </row>
    <row r="48453">
      <c r="AI48453" s="80"/>
    </row>
    <row r="48454">
      <c r="AI48454" s="80"/>
    </row>
    <row r="48455">
      <c r="AI48455" s="80"/>
    </row>
    <row r="48456">
      <c r="AI48456" s="80"/>
    </row>
    <row r="48457">
      <c r="AI48457" s="80"/>
    </row>
    <row r="48458">
      <c r="AI48458" s="80"/>
    </row>
    <row r="48459">
      <c r="AI48459" s="80"/>
    </row>
    <row r="48460">
      <c r="AI48460" s="80"/>
    </row>
    <row r="48461">
      <c r="AI48461" s="80"/>
    </row>
    <row r="48462">
      <c r="AI48462" s="80"/>
    </row>
    <row r="48463">
      <c r="AI48463" s="80"/>
    </row>
    <row r="48464">
      <c r="AI48464" s="80"/>
    </row>
    <row r="48465">
      <c r="AI48465" s="80"/>
    </row>
    <row r="48466">
      <c r="AI48466" s="80"/>
    </row>
    <row r="48467">
      <c r="AI48467" s="80"/>
    </row>
    <row r="48468">
      <c r="AI48468" s="80"/>
    </row>
    <row r="48469">
      <c r="AI48469" s="80"/>
    </row>
    <row r="48470">
      <c r="AI48470" s="80"/>
    </row>
    <row r="48471">
      <c r="AI48471" s="80"/>
    </row>
    <row r="48472">
      <c r="AI48472" s="80"/>
    </row>
    <row r="48473">
      <c r="AI48473" s="80"/>
    </row>
    <row r="48474">
      <c r="AI48474" s="80"/>
    </row>
    <row r="48475">
      <c r="AI48475" s="80"/>
    </row>
    <row r="48476">
      <c r="AI48476" s="80"/>
    </row>
    <row r="48477">
      <c r="AI48477" s="80"/>
    </row>
    <row r="48478">
      <c r="AI48478" s="80"/>
    </row>
    <row r="48479">
      <c r="AI48479" s="80"/>
    </row>
    <row r="48480">
      <c r="AI48480" s="80"/>
    </row>
    <row r="48481">
      <c r="AI48481" s="80"/>
    </row>
    <row r="48482">
      <c r="AI48482" s="80"/>
    </row>
    <row r="48483">
      <c r="AI48483" s="80"/>
    </row>
    <row r="48484">
      <c r="AI48484" s="80"/>
    </row>
    <row r="48485">
      <c r="AI48485" s="80"/>
    </row>
    <row r="48486">
      <c r="AI48486" s="80"/>
    </row>
    <row r="48487">
      <c r="AI48487" s="80"/>
    </row>
    <row r="48488">
      <c r="AI48488" s="80"/>
    </row>
    <row r="48489">
      <c r="AI48489" s="80"/>
    </row>
    <row r="48490">
      <c r="AI48490" s="80"/>
    </row>
    <row r="48491">
      <c r="AI48491" s="80"/>
    </row>
    <row r="48492">
      <c r="AI48492" s="80"/>
    </row>
    <row r="48493">
      <c r="AI48493" s="80"/>
    </row>
    <row r="48494">
      <c r="AI48494" s="80"/>
    </row>
    <row r="48495">
      <c r="AI48495" s="80"/>
    </row>
    <row r="48496">
      <c r="AI48496" s="80"/>
    </row>
    <row r="48497">
      <c r="AI48497" s="80"/>
    </row>
    <row r="48498">
      <c r="AI48498" s="80"/>
    </row>
    <row r="48499">
      <c r="AI48499" s="80"/>
    </row>
    <row r="48500">
      <c r="AI48500" s="80"/>
    </row>
    <row r="48501">
      <c r="AI48501" s="80"/>
    </row>
    <row r="48502">
      <c r="AI48502" s="80"/>
    </row>
    <row r="48503">
      <c r="AI48503" s="80"/>
    </row>
    <row r="48504">
      <c r="AI48504" s="80"/>
    </row>
    <row r="48505">
      <c r="AI48505" s="80"/>
    </row>
    <row r="48506">
      <c r="AI48506" s="80"/>
    </row>
    <row r="48507">
      <c r="AI48507" s="80"/>
    </row>
    <row r="48508">
      <c r="AI48508" s="80"/>
    </row>
    <row r="48509">
      <c r="AI48509" s="80"/>
    </row>
    <row r="48510">
      <c r="AI48510" s="80"/>
    </row>
    <row r="48511">
      <c r="AI48511" s="80"/>
    </row>
    <row r="48512">
      <c r="AI48512" s="80"/>
    </row>
    <row r="48513">
      <c r="AI48513" s="80"/>
    </row>
    <row r="48514">
      <c r="AI48514" s="80"/>
    </row>
    <row r="48515">
      <c r="AI48515" s="80"/>
    </row>
    <row r="48516">
      <c r="AI48516" s="80"/>
    </row>
    <row r="48517">
      <c r="AI48517" s="80"/>
    </row>
    <row r="48518">
      <c r="AI48518" s="80"/>
    </row>
    <row r="48519">
      <c r="AI48519" s="80"/>
    </row>
    <row r="48520">
      <c r="AI48520" s="80"/>
    </row>
    <row r="48521">
      <c r="AI48521" s="80"/>
    </row>
    <row r="48522">
      <c r="AI48522" s="80"/>
    </row>
    <row r="48523">
      <c r="AI48523" s="80"/>
    </row>
    <row r="48524">
      <c r="AI48524" s="80"/>
    </row>
    <row r="48525">
      <c r="AI48525" s="80"/>
    </row>
    <row r="48526">
      <c r="AI48526" s="80"/>
    </row>
    <row r="48527">
      <c r="AI48527" s="80"/>
    </row>
    <row r="48528">
      <c r="AI48528" s="80"/>
    </row>
    <row r="48529">
      <c r="AI48529" s="80"/>
    </row>
    <row r="48530">
      <c r="AI48530" s="80"/>
    </row>
    <row r="48531">
      <c r="AI48531" s="80"/>
    </row>
    <row r="48532">
      <c r="AI48532" s="80"/>
    </row>
    <row r="48533">
      <c r="AI48533" s="80"/>
    </row>
    <row r="48534">
      <c r="AI48534" s="80"/>
    </row>
    <row r="48535">
      <c r="AI48535" s="80"/>
    </row>
    <row r="48536">
      <c r="AI48536" s="80"/>
    </row>
    <row r="48537">
      <c r="AI48537" s="80"/>
    </row>
    <row r="48538">
      <c r="AI48538" s="80"/>
    </row>
    <row r="48539">
      <c r="AI48539" s="80"/>
    </row>
    <row r="48540">
      <c r="AI48540" s="80"/>
    </row>
    <row r="48541">
      <c r="AI48541" s="80"/>
    </row>
    <row r="48542">
      <c r="AI48542" s="80"/>
    </row>
    <row r="48543">
      <c r="AI48543" s="80"/>
    </row>
    <row r="48544">
      <c r="AI48544" s="80"/>
    </row>
    <row r="48545">
      <c r="AI48545" s="80"/>
    </row>
    <row r="48546">
      <c r="AI48546" s="80"/>
    </row>
    <row r="48547">
      <c r="AI48547" s="80"/>
    </row>
    <row r="48548">
      <c r="AI48548" s="80"/>
    </row>
    <row r="48549">
      <c r="AI48549" s="80"/>
    </row>
    <row r="48550">
      <c r="AI48550" s="80"/>
    </row>
    <row r="48551">
      <c r="AI48551" s="80"/>
    </row>
    <row r="48552">
      <c r="AI48552" s="80"/>
    </row>
    <row r="48553">
      <c r="AI48553" s="80"/>
    </row>
    <row r="48554">
      <c r="AI48554" s="80"/>
    </row>
    <row r="48555">
      <c r="AI48555" s="80"/>
    </row>
    <row r="48556">
      <c r="AI48556" s="80"/>
    </row>
    <row r="48557">
      <c r="AI48557" s="80"/>
    </row>
    <row r="48558">
      <c r="AI48558" s="80"/>
    </row>
    <row r="48559">
      <c r="AI48559" s="80"/>
    </row>
    <row r="48560">
      <c r="AI48560" s="80"/>
    </row>
    <row r="48561">
      <c r="AI48561" s="80"/>
    </row>
    <row r="48562">
      <c r="AI48562" s="80"/>
    </row>
    <row r="48563">
      <c r="AI48563" s="80"/>
    </row>
    <row r="48564">
      <c r="AI48564" s="80"/>
    </row>
    <row r="48565">
      <c r="AI48565" s="80"/>
    </row>
    <row r="48566">
      <c r="AI48566" s="80"/>
    </row>
    <row r="48567">
      <c r="AI48567" s="80"/>
    </row>
    <row r="48568">
      <c r="AI48568" s="80"/>
    </row>
    <row r="48569">
      <c r="AI48569" s="80"/>
    </row>
    <row r="48570">
      <c r="AI48570" s="80"/>
    </row>
    <row r="48571">
      <c r="AI48571" s="80"/>
    </row>
    <row r="48572">
      <c r="AI48572" s="80"/>
    </row>
    <row r="48573">
      <c r="AI48573" s="80"/>
    </row>
    <row r="48574">
      <c r="AI48574" s="80"/>
    </row>
    <row r="48575">
      <c r="AI48575" s="80"/>
    </row>
    <row r="48576">
      <c r="AI48576" s="80"/>
    </row>
    <row r="48577">
      <c r="AI48577" s="80"/>
    </row>
    <row r="48578">
      <c r="AI48578" s="80"/>
    </row>
    <row r="48579">
      <c r="AI48579" s="80"/>
    </row>
    <row r="48580">
      <c r="AI48580" s="80"/>
    </row>
    <row r="48581">
      <c r="AI48581" s="80"/>
    </row>
    <row r="48582">
      <c r="AI48582" s="80"/>
    </row>
    <row r="48583">
      <c r="AI48583" s="80"/>
    </row>
    <row r="48584">
      <c r="AI48584" s="80"/>
    </row>
    <row r="48585">
      <c r="AI48585" s="80"/>
    </row>
    <row r="48586">
      <c r="AI48586" s="80"/>
    </row>
    <row r="48587">
      <c r="AI48587" s="80"/>
    </row>
    <row r="48588">
      <c r="AI48588" s="80"/>
    </row>
    <row r="48589">
      <c r="AI48589" s="80"/>
    </row>
    <row r="48590">
      <c r="AI48590" s="80"/>
    </row>
    <row r="48591">
      <c r="AI48591" s="80"/>
    </row>
    <row r="48592">
      <c r="AI48592" s="80"/>
    </row>
    <row r="48593">
      <c r="AI48593" s="80"/>
    </row>
    <row r="48594">
      <c r="AI48594" s="80"/>
    </row>
    <row r="48595">
      <c r="AI48595" s="80"/>
    </row>
    <row r="48596">
      <c r="AI48596" s="80"/>
    </row>
    <row r="48597">
      <c r="AI48597" s="80"/>
    </row>
    <row r="48598">
      <c r="AI48598" s="80"/>
    </row>
    <row r="48599">
      <c r="AI48599" s="80"/>
    </row>
    <row r="48600">
      <c r="AI48600" s="80"/>
    </row>
    <row r="48601">
      <c r="AI48601" s="80"/>
    </row>
    <row r="48602">
      <c r="AI48602" s="80"/>
    </row>
    <row r="48603">
      <c r="AI48603" s="80"/>
    </row>
    <row r="48604">
      <c r="AI48604" s="80"/>
    </row>
    <row r="48605">
      <c r="AI48605" s="80"/>
    </row>
    <row r="48606">
      <c r="AI48606" s="80"/>
    </row>
    <row r="48607">
      <c r="AI48607" s="80"/>
    </row>
    <row r="48608">
      <c r="AI48608" s="80"/>
    </row>
    <row r="48609">
      <c r="AI48609" s="80"/>
    </row>
    <row r="48610">
      <c r="AI48610" s="80"/>
    </row>
    <row r="48611">
      <c r="AI48611" s="80"/>
    </row>
    <row r="48612">
      <c r="AI48612" s="80"/>
    </row>
    <row r="48613">
      <c r="AI48613" s="80"/>
    </row>
    <row r="48614">
      <c r="AI48614" s="80"/>
    </row>
    <row r="48615">
      <c r="AI48615" s="80"/>
    </row>
    <row r="48616">
      <c r="AI48616" s="80"/>
    </row>
    <row r="48617">
      <c r="AI48617" s="80"/>
    </row>
    <row r="48618">
      <c r="AI48618" s="80"/>
    </row>
    <row r="48619">
      <c r="AI48619" s="80"/>
    </row>
    <row r="48620">
      <c r="AI48620" s="80"/>
    </row>
    <row r="48621">
      <c r="AI48621" s="80"/>
    </row>
    <row r="48622">
      <c r="AI48622" s="80"/>
    </row>
    <row r="48623">
      <c r="AI48623" s="80"/>
    </row>
    <row r="48624">
      <c r="AI48624" s="80"/>
    </row>
    <row r="48625">
      <c r="AI48625" s="80"/>
    </row>
    <row r="48626">
      <c r="AI48626" s="80"/>
    </row>
    <row r="48627">
      <c r="AI48627" s="80"/>
    </row>
    <row r="48628">
      <c r="AI48628" s="80"/>
    </row>
    <row r="48629">
      <c r="AI48629" s="80"/>
    </row>
    <row r="48630">
      <c r="AI48630" s="80"/>
    </row>
    <row r="48631">
      <c r="AI48631" s="80"/>
    </row>
    <row r="48632">
      <c r="AI48632" s="80"/>
    </row>
    <row r="48633">
      <c r="AI48633" s="80"/>
    </row>
    <row r="48634">
      <c r="AI48634" s="80"/>
    </row>
    <row r="48635">
      <c r="AI48635" s="80"/>
    </row>
    <row r="48636">
      <c r="AI48636" s="80"/>
    </row>
    <row r="48637">
      <c r="AI48637" s="80"/>
    </row>
    <row r="48638">
      <c r="AI48638" s="80"/>
    </row>
    <row r="48639">
      <c r="AI48639" s="80"/>
    </row>
    <row r="48640">
      <c r="AI48640" s="80"/>
    </row>
    <row r="48641">
      <c r="AI48641" s="80"/>
    </row>
    <row r="48642">
      <c r="AI48642" s="80"/>
    </row>
    <row r="48643">
      <c r="AI48643" s="80"/>
    </row>
    <row r="48644">
      <c r="AI48644" s="80"/>
    </row>
    <row r="48645">
      <c r="AI48645" s="80"/>
    </row>
    <row r="48646">
      <c r="AI48646" s="80"/>
    </row>
    <row r="48647">
      <c r="AI48647" s="80"/>
    </row>
    <row r="48648">
      <c r="AI48648" s="80"/>
    </row>
    <row r="48649">
      <c r="AI48649" s="80"/>
    </row>
    <row r="48650">
      <c r="AI48650" s="80"/>
    </row>
    <row r="48651">
      <c r="AI48651" s="80"/>
    </row>
    <row r="48652">
      <c r="AI48652" s="80"/>
    </row>
    <row r="48653">
      <c r="AI48653" s="80"/>
    </row>
    <row r="48654">
      <c r="AI48654" s="80"/>
    </row>
    <row r="48655">
      <c r="AI48655" s="80"/>
    </row>
    <row r="48656">
      <c r="AI48656" s="80"/>
    </row>
    <row r="48657">
      <c r="AI48657" s="80"/>
    </row>
    <row r="48658">
      <c r="AI48658" s="80"/>
    </row>
    <row r="48659">
      <c r="AI48659" s="80"/>
    </row>
    <row r="48660">
      <c r="AI48660" s="80"/>
    </row>
    <row r="48661">
      <c r="AI48661" s="80"/>
    </row>
    <row r="48662">
      <c r="AI48662" s="80"/>
    </row>
    <row r="48663">
      <c r="AI48663" s="80"/>
    </row>
    <row r="48664">
      <c r="AI48664" s="80"/>
    </row>
    <row r="48665">
      <c r="AI48665" s="80"/>
    </row>
    <row r="48666">
      <c r="AI48666" s="80"/>
    </row>
    <row r="48667">
      <c r="AI48667" s="80"/>
    </row>
    <row r="48668">
      <c r="AI48668" s="80"/>
    </row>
    <row r="48669">
      <c r="AI48669" s="80"/>
    </row>
    <row r="48670">
      <c r="AI48670" s="80"/>
    </row>
    <row r="48671">
      <c r="AI48671" s="80"/>
    </row>
    <row r="48672">
      <c r="AI48672" s="80"/>
    </row>
    <row r="48673">
      <c r="AI48673" s="80"/>
    </row>
    <row r="48674">
      <c r="AI48674" s="80"/>
    </row>
    <row r="48675">
      <c r="AI48675" s="80"/>
    </row>
    <row r="48676">
      <c r="AI48676" s="80"/>
    </row>
    <row r="48677">
      <c r="AI48677" s="80"/>
    </row>
    <row r="48678">
      <c r="AI48678" s="80"/>
    </row>
    <row r="48679">
      <c r="AI48679" s="80"/>
    </row>
    <row r="48680">
      <c r="AI48680" s="80"/>
    </row>
    <row r="48681">
      <c r="AI48681" s="80"/>
    </row>
    <row r="48682">
      <c r="AI48682" s="80"/>
    </row>
    <row r="48683">
      <c r="AI48683" s="80"/>
    </row>
    <row r="48684">
      <c r="AI48684" s="80"/>
    </row>
    <row r="48685">
      <c r="AI48685" s="80"/>
    </row>
    <row r="48686">
      <c r="AI48686" s="80"/>
    </row>
    <row r="48687">
      <c r="AI48687" s="80"/>
    </row>
    <row r="48688">
      <c r="AI48688" s="80"/>
    </row>
    <row r="48689">
      <c r="AI48689" s="80"/>
    </row>
    <row r="48690">
      <c r="AI48690" s="80"/>
    </row>
    <row r="48691">
      <c r="AI48691" s="80"/>
    </row>
    <row r="48692">
      <c r="AI48692" s="80"/>
    </row>
    <row r="48693">
      <c r="AI48693" s="80"/>
    </row>
    <row r="48694">
      <c r="AI48694" s="80"/>
    </row>
    <row r="48695">
      <c r="AI48695" s="80"/>
    </row>
    <row r="48696">
      <c r="AI48696" s="80"/>
    </row>
    <row r="48697">
      <c r="AI48697" s="80"/>
    </row>
    <row r="48698">
      <c r="AI48698" s="80"/>
    </row>
    <row r="48699">
      <c r="AI48699" s="80"/>
    </row>
    <row r="48700">
      <c r="AI48700" s="80"/>
    </row>
    <row r="48701">
      <c r="AI48701" s="80"/>
    </row>
    <row r="48702">
      <c r="AI48702" s="80"/>
    </row>
    <row r="48703">
      <c r="AI48703" s="80"/>
    </row>
    <row r="48704">
      <c r="AI48704" s="80"/>
    </row>
    <row r="48705">
      <c r="AI48705" s="80"/>
    </row>
    <row r="48706">
      <c r="AI48706" s="80"/>
    </row>
    <row r="48707">
      <c r="AI48707" s="80"/>
    </row>
    <row r="48708">
      <c r="AI48708" s="80"/>
    </row>
    <row r="48709">
      <c r="AI48709" s="80"/>
    </row>
    <row r="48710">
      <c r="AI48710" s="80"/>
    </row>
    <row r="48711">
      <c r="AI48711" s="80"/>
    </row>
    <row r="48712">
      <c r="AI48712" s="80"/>
    </row>
    <row r="48713">
      <c r="AI48713" s="80"/>
    </row>
    <row r="48714">
      <c r="AI48714" s="80"/>
    </row>
    <row r="48715">
      <c r="AI48715" s="80"/>
    </row>
    <row r="48716">
      <c r="AI48716" s="80"/>
    </row>
    <row r="48717">
      <c r="AI48717" s="80"/>
    </row>
    <row r="48718">
      <c r="AI48718" s="80"/>
    </row>
    <row r="48719">
      <c r="AI48719" s="80"/>
    </row>
    <row r="48720">
      <c r="AI48720" s="80"/>
    </row>
    <row r="48721">
      <c r="AI48721" s="80"/>
    </row>
    <row r="48722">
      <c r="AI48722" s="80"/>
    </row>
    <row r="48723">
      <c r="AI48723" s="80"/>
    </row>
    <row r="48724">
      <c r="AI48724" s="80"/>
    </row>
    <row r="48725">
      <c r="AI48725" s="80"/>
    </row>
    <row r="48726">
      <c r="AI48726" s="80"/>
    </row>
    <row r="48727">
      <c r="AI48727" s="80"/>
    </row>
    <row r="48728">
      <c r="AI48728" s="80"/>
    </row>
    <row r="48729">
      <c r="AI48729" s="80"/>
    </row>
    <row r="48730">
      <c r="AI48730" s="80"/>
    </row>
    <row r="48731">
      <c r="AI48731" s="80"/>
    </row>
    <row r="48732">
      <c r="AI48732" s="80"/>
    </row>
    <row r="48733">
      <c r="AI48733" s="80"/>
    </row>
    <row r="48734">
      <c r="AI48734" s="80"/>
    </row>
    <row r="48735">
      <c r="AI48735" s="80"/>
    </row>
    <row r="48736">
      <c r="AI48736" s="80"/>
    </row>
    <row r="48737">
      <c r="AI48737" s="80"/>
    </row>
    <row r="48738">
      <c r="AI48738" s="80"/>
    </row>
    <row r="48739">
      <c r="AI48739" s="80"/>
    </row>
    <row r="48740">
      <c r="AI48740" s="80"/>
    </row>
    <row r="48741">
      <c r="AI48741" s="80"/>
    </row>
    <row r="48742">
      <c r="AI48742" s="80"/>
    </row>
    <row r="48743">
      <c r="AI48743" s="80"/>
    </row>
    <row r="48744">
      <c r="AI48744" s="80"/>
    </row>
    <row r="48745">
      <c r="AI48745" s="80"/>
    </row>
    <row r="48746">
      <c r="AI48746" s="80"/>
    </row>
    <row r="48747">
      <c r="AI48747" s="80"/>
    </row>
    <row r="48748">
      <c r="AI48748" s="80"/>
    </row>
    <row r="48749">
      <c r="AI48749" s="80"/>
    </row>
    <row r="48750">
      <c r="AI48750" s="80"/>
    </row>
    <row r="48751">
      <c r="AI48751" s="80"/>
    </row>
    <row r="48752">
      <c r="AI48752" s="80"/>
    </row>
    <row r="48753">
      <c r="AI48753" s="80"/>
    </row>
    <row r="48754">
      <c r="AI48754" s="80"/>
    </row>
    <row r="48755">
      <c r="AI48755" s="80"/>
    </row>
    <row r="48756">
      <c r="AI48756" s="80"/>
    </row>
    <row r="48757">
      <c r="AI48757" s="80"/>
    </row>
    <row r="48758">
      <c r="AI48758" s="80"/>
    </row>
    <row r="48759">
      <c r="AI48759" s="80"/>
    </row>
    <row r="48760">
      <c r="AI48760" s="80"/>
    </row>
    <row r="48761">
      <c r="AI48761" s="80"/>
    </row>
    <row r="48762">
      <c r="AI48762" s="80"/>
    </row>
    <row r="48763">
      <c r="AI48763" s="80"/>
    </row>
    <row r="48764">
      <c r="AI48764" s="80"/>
    </row>
    <row r="48765">
      <c r="AI48765" s="80"/>
    </row>
    <row r="48766">
      <c r="AI48766" s="80"/>
    </row>
    <row r="48767">
      <c r="AI48767" s="80"/>
    </row>
    <row r="48768">
      <c r="AI48768" s="80"/>
    </row>
    <row r="48769">
      <c r="AI48769" s="80"/>
    </row>
    <row r="48770">
      <c r="AI48770" s="80"/>
    </row>
    <row r="48771">
      <c r="AI48771" s="80"/>
    </row>
    <row r="48772">
      <c r="AI48772" s="80"/>
    </row>
    <row r="48773">
      <c r="AI48773" s="80"/>
    </row>
    <row r="48774">
      <c r="AI48774" s="80"/>
    </row>
    <row r="48775">
      <c r="AI48775" s="80"/>
    </row>
    <row r="48776">
      <c r="AI48776" s="80"/>
    </row>
    <row r="48777">
      <c r="AI48777" s="80"/>
    </row>
    <row r="48778">
      <c r="AI48778" s="80"/>
    </row>
    <row r="48779">
      <c r="AI48779" s="80"/>
    </row>
    <row r="48780">
      <c r="AI48780" s="80"/>
    </row>
    <row r="48781">
      <c r="AI48781" s="80"/>
    </row>
    <row r="48782">
      <c r="AI48782" s="80"/>
    </row>
    <row r="48783">
      <c r="AI48783" s="80"/>
    </row>
    <row r="48784">
      <c r="AI48784" s="80"/>
    </row>
    <row r="48785">
      <c r="AI48785" s="80"/>
    </row>
    <row r="48786">
      <c r="AI48786" s="80"/>
    </row>
    <row r="48787">
      <c r="AI48787" s="80"/>
    </row>
    <row r="48788">
      <c r="AI48788" s="80"/>
    </row>
    <row r="48789">
      <c r="AI48789" s="80"/>
    </row>
    <row r="48790">
      <c r="AI48790" s="80"/>
    </row>
    <row r="48791">
      <c r="AI48791" s="80"/>
    </row>
    <row r="48792">
      <c r="AI48792" s="80"/>
    </row>
    <row r="48793">
      <c r="AI48793" s="80"/>
    </row>
    <row r="48794">
      <c r="AI48794" s="80"/>
    </row>
    <row r="48795">
      <c r="AI48795" s="80"/>
    </row>
    <row r="48796">
      <c r="AI48796" s="80"/>
    </row>
    <row r="48797">
      <c r="AI48797" s="80"/>
    </row>
    <row r="48798">
      <c r="AI48798" s="80"/>
    </row>
    <row r="48799">
      <c r="AI48799" s="80"/>
    </row>
    <row r="48800">
      <c r="AI48800" s="80"/>
    </row>
    <row r="48801">
      <c r="AI48801" s="80"/>
    </row>
    <row r="48802">
      <c r="AI48802" s="80"/>
    </row>
    <row r="48803">
      <c r="AI48803" s="80"/>
    </row>
    <row r="48804">
      <c r="AI48804" s="80"/>
    </row>
    <row r="48805">
      <c r="AI48805" s="80"/>
    </row>
    <row r="48806">
      <c r="AI48806" s="80"/>
    </row>
    <row r="48807">
      <c r="AI48807" s="80"/>
    </row>
    <row r="48808">
      <c r="AI48808" s="80"/>
    </row>
    <row r="48809">
      <c r="AI48809" s="80"/>
    </row>
    <row r="48810">
      <c r="AI48810" s="80"/>
    </row>
    <row r="48811">
      <c r="AI48811" s="80"/>
    </row>
    <row r="48812">
      <c r="AI48812" s="80"/>
    </row>
    <row r="48813">
      <c r="AI48813" s="80"/>
    </row>
    <row r="48814">
      <c r="AI48814" s="80"/>
    </row>
    <row r="48815">
      <c r="AI48815" s="80"/>
    </row>
    <row r="48816">
      <c r="AI48816" s="80"/>
    </row>
    <row r="48817">
      <c r="AI48817" s="80"/>
    </row>
    <row r="48818">
      <c r="AI48818" s="80"/>
    </row>
    <row r="48819">
      <c r="AI48819" s="80"/>
    </row>
    <row r="48820">
      <c r="AI48820" s="80"/>
    </row>
    <row r="48821">
      <c r="AI48821" s="80"/>
    </row>
    <row r="48822">
      <c r="AI48822" s="80"/>
    </row>
    <row r="48823">
      <c r="AI48823" s="80"/>
    </row>
    <row r="48824">
      <c r="AI48824" s="80"/>
    </row>
    <row r="48825">
      <c r="AI48825" s="80"/>
    </row>
    <row r="48826">
      <c r="AI48826" s="80"/>
    </row>
    <row r="48827">
      <c r="AI48827" s="80"/>
    </row>
    <row r="48828">
      <c r="AI48828" s="80"/>
    </row>
    <row r="48829">
      <c r="AI48829" s="80"/>
    </row>
    <row r="48830">
      <c r="AI48830" s="80"/>
    </row>
    <row r="48831">
      <c r="AI48831" s="80"/>
    </row>
    <row r="48832">
      <c r="AI48832" s="80"/>
    </row>
    <row r="48833">
      <c r="AI48833" s="80"/>
    </row>
    <row r="48834">
      <c r="AI48834" s="80"/>
    </row>
    <row r="48835">
      <c r="AI48835" s="80"/>
    </row>
    <row r="48836">
      <c r="AI48836" s="80"/>
    </row>
    <row r="48837">
      <c r="AI48837" s="80"/>
    </row>
    <row r="48838">
      <c r="AI48838" s="80"/>
    </row>
    <row r="48839">
      <c r="AI48839" s="80"/>
    </row>
    <row r="48840">
      <c r="AI48840" s="80"/>
    </row>
    <row r="48841">
      <c r="AI48841" s="80"/>
    </row>
    <row r="48842">
      <c r="AI48842" s="80"/>
    </row>
    <row r="48843">
      <c r="AI48843" s="80"/>
    </row>
    <row r="48844">
      <c r="AI48844" s="80"/>
    </row>
    <row r="48845">
      <c r="AI48845" s="80"/>
    </row>
    <row r="48846">
      <c r="AI48846" s="80"/>
    </row>
    <row r="48847">
      <c r="AI48847" s="80"/>
    </row>
    <row r="48848">
      <c r="AI48848" s="80"/>
    </row>
    <row r="48849">
      <c r="AI48849" s="80"/>
    </row>
    <row r="48850">
      <c r="AI48850" s="80"/>
    </row>
    <row r="48851">
      <c r="AI48851" s="80"/>
    </row>
    <row r="48852">
      <c r="AI48852" s="80"/>
    </row>
    <row r="48853">
      <c r="AI48853" s="80"/>
    </row>
    <row r="48854">
      <c r="AI48854" s="80"/>
    </row>
    <row r="48855">
      <c r="AI48855" s="80"/>
    </row>
    <row r="48856">
      <c r="AI48856" s="80"/>
    </row>
    <row r="48857">
      <c r="AI48857" s="80"/>
    </row>
    <row r="48858">
      <c r="AI48858" s="80"/>
    </row>
    <row r="48859">
      <c r="AI48859" s="80"/>
    </row>
    <row r="48860">
      <c r="AI48860" s="80"/>
    </row>
    <row r="48861">
      <c r="AI48861" s="80"/>
    </row>
    <row r="48862">
      <c r="AI48862" s="80"/>
    </row>
    <row r="48863">
      <c r="AI48863" s="80"/>
    </row>
    <row r="48864">
      <c r="AI48864" s="80"/>
    </row>
    <row r="48865">
      <c r="AI48865" s="80"/>
    </row>
    <row r="48866">
      <c r="AI48866" s="80"/>
    </row>
    <row r="48867">
      <c r="AI48867" s="80"/>
    </row>
    <row r="48868">
      <c r="AI48868" s="80"/>
    </row>
    <row r="48869">
      <c r="AI48869" s="80"/>
    </row>
    <row r="48870">
      <c r="AI48870" s="80"/>
    </row>
    <row r="48871">
      <c r="AI48871" s="80"/>
    </row>
    <row r="48872">
      <c r="AI48872" s="80"/>
    </row>
    <row r="48873">
      <c r="AI48873" s="80"/>
    </row>
    <row r="48874">
      <c r="AI48874" s="80"/>
    </row>
    <row r="48875">
      <c r="AI48875" s="80"/>
    </row>
    <row r="48876">
      <c r="AI48876" s="80"/>
    </row>
    <row r="48877">
      <c r="AI48877" s="80"/>
    </row>
    <row r="48878">
      <c r="AI48878" s="80"/>
    </row>
    <row r="48879">
      <c r="AI48879" s="80"/>
    </row>
    <row r="48880">
      <c r="AI48880" s="80"/>
    </row>
    <row r="48881">
      <c r="AI48881" s="80"/>
    </row>
    <row r="48882">
      <c r="AI48882" s="80"/>
    </row>
    <row r="48883">
      <c r="AI48883" s="80"/>
    </row>
    <row r="48884">
      <c r="AI48884" s="80"/>
    </row>
    <row r="48885">
      <c r="AI48885" s="80"/>
    </row>
    <row r="48886">
      <c r="AI48886" s="80"/>
    </row>
    <row r="48887">
      <c r="AI48887" s="80"/>
    </row>
    <row r="48888">
      <c r="AI48888" s="80"/>
    </row>
    <row r="48889">
      <c r="AI48889" s="80"/>
    </row>
    <row r="48890">
      <c r="AI48890" s="80"/>
    </row>
    <row r="48891">
      <c r="AI48891" s="80"/>
    </row>
    <row r="48892">
      <c r="AI48892" s="80"/>
    </row>
    <row r="48893">
      <c r="AI48893" s="80"/>
    </row>
    <row r="48894">
      <c r="AI48894" s="80"/>
    </row>
    <row r="48895">
      <c r="AI48895" s="80"/>
    </row>
    <row r="48896">
      <c r="AI48896" s="80"/>
    </row>
    <row r="48897">
      <c r="AI48897" s="80"/>
    </row>
    <row r="48898">
      <c r="AI48898" s="80"/>
    </row>
    <row r="48899">
      <c r="AI48899" s="80"/>
    </row>
    <row r="48900">
      <c r="AI48900" s="80"/>
    </row>
    <row r="48901">
      <c r="AI48901" s="80"/>
    </row>
    <row r="48902">
      <c r="AI48902" s="80"/>
    </row>
    <row r="48903">
      <c r="AI48903" s="80"/>
    </row>
    <row r="48904">
      <c r="AI48904" s="80"/>
    </row>
    <row r="48905">
      <c r="AI48905" s="80"/>
    </row>
    <row r="48906">
      <c r="AI48906" s="80"/>
    </row>
    <row r="48907">
      <c r="AI48907" s="80"/>
    </row>
    <row r="48908">
      <c r="AI48908" s="80"/>
    </row>
    <row r="48909">
      <c r="AI48909" s="80"/>
    </row>
    <row r="48910">
      <c r="AI48910" s="80"/>
    </row>
    <row r="48911">
      <c r="AI48911" s="80"/>
    </row>
    <row r="48912">
      <c r="AI48912" s="80"/>
    </row>
    <row r="48913">
      <c r="AI48913" s="80"/>
    </row>
    <row r="48914">
      <c r="AI48914" s="80"/>
    </row>
    <row r="48915">
      <c r="AI48915" s="80"/>
    </row>
    <row r="48916">
      <c r="AI48916" s="80"/>
    </row>
    <row r="48917">
      <c r="AI48917" s="80"/>
    </row>
    <row r="48918">
      <c r="AI48918" s="80"/>
    </row>
    <row r="48919">
      <c r="AI48919" s="80"/>
    </row>
    <row r="48920">
      <c r="AI48920" s="80"/>
    </row>
    <row r="48921">
      <c r="AI48921" s="80"/>
    </row>
    <row r="48922">
      <c r="AI48922" s="80"/>
    </row>
    <row r="48923">
      <c r="AI48923" s="80"/>
    </row>
    <row r="48924">
      <c r="AI48924" s="80"/>
    </row>
    <row r="48925">
      <c r="AI48925" s="80"/>
    </row>
    <row r="48926">
      <c r="AI48926" s="80"/>
    </row>
    <row r="48927">
      <c r="AI48927" s="80"/>
    </row>
    <row r="48928">
      <c r="AI48928" s="80"/>
    </row>
    <row r="48929">
      <c r="AI48929" s="80"/>
    </row>
    <row r="48930">
      <c r="AI48930" s="80"/>
    </row>
    <row r="48931">
      <c r="AI48931" s="80"/>
    </row>
    <row r="48932">
      <c r="AI48932" s="80"/>
    </row>
    <row r="48933">
      <c r="AI48933" s="80"/>
    </row>
    <row r="48934">
      <c r="AI48934" s="80"/>
    </row>
    <row r="48935">
      <c r="AI48935" s="80"/>
    </row>
    <row r="48936">
      <c r="AI48936" s="80"/>
    </row>
    <row r="48937">
      <c r="AI48937" s="80"/>
    </row>
    <row r="48938">
      <c r="AI48938" s="80"/>
    </row>
    <row r="48939">
      <c r="AI48939" s="80"/>
    </row>
    <row r="48940">
      <c r="AI48940" s="80"/>
    </row>
    <row r="48941">
      <c r="AI48941" s="80"/>
    </row>
    <row r="48942">
      <c r="AI48942" s="80"/>
    </row>
    <row r="48943">
      <c r="AI48943" s="80"/>
    </row>
    <row r="48944">
      <c r="AI48944" s="80"/>
    </row>
    <row r="48945">
      <c r="AI48945" s="80"/>
    </row>
    <row r="48946">
      <c r="AI48946" s="80"/>
    </row>
    <row r="48947">
      <c r="AI48947" s="80"/>
    </row>
    <row r="48948">
      <c r="AI48948" s="80"/>
    </row>
    <row r="48949">
      <c r="AI48949" s="80"/>
    </row>
    <row r="48950">
      <c r="AI48950" s="80"/>
    </row>
    <row r="48951">
      <c r="AI48951" s="80"/>
    </row>
    <row r="48952">
      <c r="AI48952" s="80"/>
    </row>
    <row r="48953">
      <c r="AI48953" s="80"/>
    </row>
    <row r="48954">
      <c r="AI48954" s="80"/>
    </row>
    <row r="48955">
      <c r="AI48955" s="80"/>
    </row>
    <row r="48956">
      <c r="AI48956" s="80"/>
    </row>
    <row r="48957">
      <c r="AI48957" s="80"/>
    </row>
    <row r="48958">
      <c r="AI48958" s="80"/>
    </row>
    <row r="48959">
      <c r="AI48959" s="80"/>
    </row>
    <row r="48960">
      <c r="AI48960" s="80"/>
    </row>
    <row r="48961">
      <c r="AI48961" s="80"/>
    </row>
    <row r="48962">
      <c r="AI48962" s="80"/>
    </row>
    <row r="48963">
      <c r="AI48963" s="80"/>
    </row>
    <row r="48964">
      <c r="AI48964" s="80"/>
    </row>
    <row r="48965">
      <c r="AI48965" s="80"/>
    </row>
    <row r="48966">
      <c r="AI48966" s="80"/>
    </row>
    <row r="48967">
      <c r="AI48967" s="80"/>
    </row>
    <row r="48968">
      <c r="AI48968" s="80"/>
    </row>
    <row r="48969">
      <c r="AI48969" s="80"/>
    </row>
    <row r="48970">
      <c r="AI48970" s="80"/>
    </row>
    <row r="48971">
      <c r="AI48971" s="80"/>
    </row>
    <row r="48972">
      <c r="AI48972" s="80"/>
    </row>
    <row r="48973">
      <c r="AI48973" s="80"/>
    </row>
    <row r="48974">
      <c r="AI48974" s="80"/>
    </row>
    <row r="48975">
      <c r="AI48975" s="80"/>
    </row>
    <row r="48976">
      <c r="AI48976" s="80"/>
    </row>
    <row r="48977">
      <c r="AI48977" s="80"/>
    </row>
    <row r="48978">
      <c r="AI48978" s="80"/>
    </row>
    <row r="48979">
      <c r="AI48979" s="80"/>
    </row>
    <row r="48980">
      <c r="AI48980" s="80"/>
    </row>
    <row r="48981">
      <c r="AI48981" s="80"/>
    </row>
    <row r="48982">
      <c r="AI48982" s="80"/>
    </row>
    <row r="48983">
      <c r="AI48983" s="80"/>
    </row>
    <row r="48984">
      <c r="AI48984" s="80"/>
    </row>
    <row r="48985">
      <c r="AI48985" s="80"/>
    </row>
    <row r="48986">
      <c r="AI48986" s="80"/>
    </row>
    <row r="48987">
      <c r="AI48987" s="80"/>
    </row>
    <row r="48988">
      <c r="AI48988" s="80"/>
    </row>
    <row r="48989">
      <c r="AI48989" s="80"/>
    </row>
    <row r="48990">
      <c r="AI48990" s="80"/>
    </row>
    <row r="48991">
      <c r="AI48991" s="80"/>
    </row>
    <row r="48992">
      <c r="AI48992" s="80"/>
    </row>
    <row r="48993">
      <c r="AI48993" s="80"/>
    </row>
    <row r="48994">
      <c r="AI48994" s="80"/>
    </row>
    <row r="48995">
      <c r="AI48995" s="80"/>
    </row>
    <row r="48996">
      <c r="AI48996" s="80"/>
    </row>
    <row r="48997">
      <c r="AI48997" s="80"/>
    </row>
    <row r="48998">
      <c r="AI48998" s="80"/>
    </row>
    <row r="48999">
      <c r="AI48999" s="80"/>
    </row>
    <row r="49000">
      <c r="AI49000" s="80"/>
    </row>
    <row r="49001">
      <c r="AI49001" s="80"/>
    </row>
    <row r="49002">
      <c r="AI49002" s="80"/>
    </row>
    <row r="49003">
      <c r="AI49003" s="80"/>
    </row>
    <row r="49004">
      <c r="AI49004" s="80"/>
    </row>
    <row r="49005">
      <c r="AI49005" s="80"/>
    </row>
    <row r="49006">
      <c r="AI49006" s="80"/>
    </row>
    <row r="49007">
      <c r="AI49007" s="80"/>
    </row>
    <row r="49008">
      <c r="AI49008" s="80"/>
    </row>
    <row r="49009">
      <c r="AI49009" s="80"/>
    </row>
    <row r="49010">
      <c r="AI49010" s="80"/>
    </row>
    <row r="49011">
      <c r="AI49011" s="80"/>
    </row>
    <row r="49012">
      <c r="AI49012" s="80"/>
    </row>
    <row r="49013">
      <c r="AI49013" s="80"/>
    </row>
    <row r="49014">
      <c r="AI49014" s="80"/>
    </row>
    <row r="49015">
      <c r="AI49015" s="80"/>
    </row>
    <row r="49016">
      <c r="AI49016" s="80"/>
    </row>
    <row r="49017">
      <c r="AI49017" s="80"/>
    </row>
    <row r="49018">
      <c r="AI49018" s="80"/>
    </row>
    <row r="49019">
      <c r="AI49019" s="80"/>
    </row>
    <row r="49020">
      <c r="AI49020" s="80"/>
    </row>
    <row r="49021">
      <c r="AI49021" s="80"/>
    </row>
    <row r="49022">
      <c r="AI49022" s="80"/>
    </row>
    <row r="49023">
      <c r="AI49023" s="80"/>
    </row>
    <row r="49024">
      <c r="AI49024" s="80"/>
    </row>
    <row r="49025">
      <c r="AI49025" s="80"/>
    </row>
    <row r="49026">
      <c r="AI49026" s="80"/>
    </row>
    <row r="49027">
      <c r="AI49027" s="80"/>
    </row>
    <row r="49028">
      <c r="AI49028" s="80"/>
    </row>
    <row r="49029">
      <c r="AI49029" s="80"/>
    </row>
    <row r="49030">
      <c r="AI49030" s="80"/>
    </row>
    <row r="49031">
      <c r="AI49031" s="80"/>
    </row>
    <row r="49032">
      <c r="AI49032" s="80"/>
    </row>
    <row r="49033">
      <c r="AI49033" s="80"/>
    </row>
    <row r="49034">
      <c r="AI49034" s="80"/>
    </row>
    <row r="49035">
      <c r="AI49035" s="80"/>
    </row>
    <row r="49036">
      <c r="AI49036" s="80"/>
    </row>
    <row r="49037">
      <c r="AI49037" s="80"/>
    </row>
    <row r="49038">
      <c r="AI49038" s="80"/>
    </row>
    <row r="49039">
      <c r="AI49039" s="80"/>
    </row>
    <row r="49040">
      <c r="AI49040" s="80"/>
    </row>
    <row r="49041">
      <c r="AI49041" s="80"/>
    </row>
    <row r="49042">
      <c r="AI49042" s="80"/>
    </row>
    <row r="49043">
      <c r="AI49043" s="80"/>
    </row>
    <row r="49044">
      <c r="AI49044" s="80"/>
    </row>
    <row r="49045">
      <c r="AI49045" s="80"/>
    </row>
    <row r="49046">
      <c r="AI49046" s="80"/>
    </row>
    <row r="49047">
      <c r="AI49047" s="80"/>
    </row>
    <row r="49048">
      <c r="AI49048" s="80"/>
    </row>
    <row r="49049">
      <c r="AI49049" s="80"/>
    </row>
    <row r="49050">
      <c r="AI49050" s="80"/>
    </row>
    <row r="49051">
      <c r="AI49051" s="80"/>
    </row>
    <row r="49052">
      <c r="AI49052" s="80"/>
    </row>
    <row r="49053">
      <c r="AI49053" s="80"/>
    </row>
    <row r="49054">
      <c r="AI49054" s="80"/>
    </row>
    <row r="49055">
      <c r="AI49055" s="80"/>
    </row>
    <row r="49056">
      <c r="AI49056" s="80"/>
    </row>
    <row r="49057">
      <c r="AI49057" s="80"/>
    </row>
    <row r="49058">
      <c r="AI49058" s="80"/>
    </row>
    <row r="49059">
      <c r="AI49059" s="80"/>
    </row>
    <row r="49060">
      <c r="AI49060" s="80"/>
    </row>
    <row r="49061">
      <c r="AI49061" s="80"/>
    </row>
    <row r="49062">
      <c r="AI49062" s="80"/>
    </row>
    <row r="49063">
      <c r="AI49063" s="80"/>
    </row>
    <row r="49064">
      <c r="AI49064" s="80"/>
    </row>
    <row r="49065">
      <c r="AI49065" s="80"/>
    </row>
    <row r="49066">
      <c r="AI49066" s="80"/>
    </row>
    <row r="49067">
      <c r="AI49067" s="80"/>
    </row>
    <row r="49068">
      <c r="AI49068" s="80"/>
    </row>
    <row r="49069">
      <c r="AI49069" s="80"/>
    </row>
    <row r="49070">
      <c r="AI49070" s="80"/>
    </row>
    <row r="49071">
      <c r="AI49071" s="80"/>
    </row>
    <row r="49072">
      <c r="AI49072" s="80"/>
    </row>
    <row r="49073">
      <c r="AI49073" s="80"/>
    </row>
    <row r="49074">
      <c r="AI49074" s="80"/>
    </row>
    <row r="49075">
      <c r="AI49075" s="80"/>
    </row>
    <row r="49076">
      <c r="AI49076" s="80"/>
    </row>
    <row r="49077">
      <c r="AI49077" s="80"/>
    </row>
    <row r="49078">
      <c r="AI49078" s="80"/>
    </row>
    <row r="49079">
      <c r="AI49079" s="80"/>
    </row>
    <row r="49080">
      <c r="AI49080" s="80"/>
    </row>
    <row r="49081">
      <c r="AI49081" s="80"/>
    </row>
    <row r="49082">
      <c r="AI49082" s="80"/>
    </row>
    <row r="49083">
      <c r="AI49083" s="80"/>
    </row>
    <row r="49084">
      <c r="AI49084" s="80"/>
    </row>
    <row r="49085">
      <c r="AI49085" s="80"/>
    </row>
    <row r="49086">
      <c r="AI49086" s="80"/>
    </row>
    <row r="49087">
      <c r="AI49087" s="80"/>
    </row>
    <row r="49088">
      <c r="AI49088" s="80"/>
    </row>
    <row r="49089">
      <c r="AI49089" s="80"/>
    </row>
    <row r="49090">
      <c r="AI49090" s="80"/>
    </row>
    <row r="49091">
      <c r="AI49091" s="80"/>
    </row>
    <row r="49092">
      <c r="AI49092" s="80"/>
    </row>
    <row r="49093">
      <c r="AI49093" s="80"/>
    </row>
    <row r="49094">
      <c r="AI49094" s="80"/>
    </row>
    <row r="49095">
      <c r="AI49095" s="80"/>
    </row>
    <row r="49096">
      <c r="AI49096" s="80"/>
    </row>
    <row r="49097">
      <c r="AI49097" s="80"/>
    </row>
    <row r="49098">
      <c r="AI49098" s="80"/>
    </row>
    <row r="49099">
      <c r="AI49099" s="80"/>
    </row>
    <row r="49100">
      <c r="AI49100" s="80"/>
    </row>
    <row r="49101">
      <c r="AI49101" s="80"/>
    </row>
    <row r="49102">
      <c r="AI49102" s="80"/>
    </row>
    <row r="49103">
      <c r="AI49103" s="80"/>
    </row>
    <row r="49104">
      <c r="AI49104" s="80"/>
    </row>
    <row r="49105">
      <c r="AI49105" s="80"/>
    </row>
    <row r="49106">
      <c r="AI49106" s="80"/>
    </row>
    <row r="49107">
      <c r="AI49107" s="80"/>
    </row>
    <row r="49108">
      <c r="AI49108" s="80"/>
    </row>
    <row r="49109">
      <c r="AI49109" s="80"/>
    </row>
    <row r="49110">
      <c r="AI49110" s="80"/>
    </row>
    <row r="49111">
      <c r="AI49111" s="80"/>
    </row>
    <row r="49112">
      <c r="AI49112" s="80"/>
    </row>
    <row r="49113">
      <c r="AI49113" s="80"/>
    </row>
    <row r="49114">
      <c r="AI49114" s="80"/>
    </row>
    <row r="49115">
      <c r="AI49115" s="80"/>
    </row>
    <row r="49116">
      <c r="AI49116" s="80"/>
    </row>
    <row r="49117">
      <c r="AI49117" s="80"/>
    </row>
    <row r="49118">
      <c r="AI49118" s="80"/>
    </row>
    <row r="49119">
      <c r="AI49119" s="80"/>
    </row>
    <row r="49120">
      <c r="AI49120" s="80"/>
    </row>
    <row r="49121">
      <c r="AI49121" s="80"/>
    </row>
    <row r="49122">
      <c r="AI49122" s="80"/>
    </row>
    <row r="49123">
      <c r="AI49123" s="80"/>
    </row>
    <row r="49124">
      <c r="AI49124" s="80"/>
    </row>
    <row r="49125">
      <c r="AI49125" s="80"/>
    </row>
    <row r="49126">
      <c r="AI49126" s="80"/>
    </row>
    <row r="49127">
      <c r="AI49127" s="80"/>
    </row>
    <row r="49128">
      <c r="AI49128" s="80"/>
    </row>
    <row r="49129">
      <c r="AI49129" s="80"/>
    </row>
    <row r="49130">
      <c r="AI49130" s="80"/>
    </row>
    <row r="49131">
      <c r="AI49131" s="80"/>
    </row>
    <row r="49132">
      <c r="AI49132" s="80"/>
    </row>
    <row r="49133">
      <c r="AI49133" s="80"/>
    </row>
    <row r="49134">
      <c r="AI49134" s="80"/>
    </row>
    <row r="49135">
      <c r="AI49135" s="80"/>
    </row>
    <row r="49136">
      <c r="AI49136" s="80"/>
    </row>
    <row r="49137">
      <c r="AI49137" s="80"/>
    </row>
    <row r="49138">
      <c r="AI49138" s="80"/>
    </row>
    <row r="49139">
      <c r="AI49139" s="80"/>
    </row>
    <row r="49140">
      <c r="AI49140" s="80"/>
    </row>
    <row r="49141">
      <c r="AI49141" s="80"/>
    </row>
    <row r="49142">
      <c r="AI49142" s="80"/>
    </row>
    <row r="49143">
      <c r="AI49143" s="80"/>
    </row>
    <row r="49144">
      <c r="AI49144" s="80"/>
    </row>
    <row r="49145">
      <c r="AI49145" s="80"/>
    </row>
    <row r="49146">
      <c r="AI49146" s="80"/>
    </row>
    <row r="49147">
      <c r="AI49147" s="80"/>
    </row>
    <row r="49148">
      <c r="AI49148" s="80"/>
    </row>
    <row r="49149">
      <c r="AI49149" s="80"/>
    </row>
    <row r="49150">
      <c r="AI49150" s="80"/>
    </row>
    <row r="49151">
      <c r="AI49151" s="80"/>
    </row>
    <row r="49152">
      <c r="AI49152" s="80"/>
    </row>
    <row r="49153">
      <c r="AI49153" s="80"/>
    </row>
    <row r="49154">
      <c r="AI49154" s="80"/>
    </row>
    <row r="49155">
      <c r="AI49155" s="80"/>
    </row>
    <row r="49156">
      <c r="AI49156" s="80"/>
    </row>
    <row r="49157">
      <c r="AI49157" s="80"/>
    </row>
    <row r="49158">
      <c r="AI49158" s="80"/>
    </row>
    <row r="49159">
      <c r="AI49159" s="80"/>
    </row>
    <row r="49160">
      <c r="AI49160" s="80"/>
    </row>
    <row r="49161">
      <c r="AI49161" s="80"/>
    </row>
    <row r="49162">
      <c r="AI49162" s="80"/>
    </row>
    <row r="49163">
      <c r="AI49163" s="80"/>
    </row>
    <row r="49164">
      <c r="AI49164" s="80"/>
    </row>
    <row r="49165">
      <c r="AI49165" s="80"/>
    </row>
    <row r="49166">
      <c r="AI49166" s="80"/>
    </row>
    <row r="49167">
      <c r="AI49167" s="80"/>
    </row>
    <row r="49168">
      <c r="AI49168" s="80"/>
    </row>
    <row r="49169">
      <c r="AI49169" s="80"/>
    </row>
    <row r="49170">
      <c r="AI49170" s="80"/>
    </row>
    <row r="49171">
      <c r="AI49171" s="80"/>
    </row>
    <row r="49172">
      <c r="AI49172" s="80"/>
    </row>
    <row r="49173">
      <c r="AI49173" s="80"/>
    </row>
    <row r="49174">
      <c r="AI49174" s="80"/>
    </row>
    <row r="49175">
      <c r="AI49175" s="80"/>
    </row>
    <row r="49176">
      <c r="AI49176" s="80"/>
    </row>
    <row r="49177">
      <c r="AI49177" s="80"/>
    </row>
    <row r="49178">
      <c r="AI49178" s="80"/>
    </row>
    <row r="49179">
      <c r="AI49179" s="80"/>
    </row>
    <row r="49180">
      <c r="AI49180" s="80"/>
    </row>
    <row r="49181">
      <c r="AI49181" s="80"/>
    </row>
    <row r="49182">
      <c r="AI49182" s="80"/>
    </row>
    <row r="49183">
      <c r="AI49183" s="80"/>
    </row>
    <row r="49184">
      <c r="AI49184" s="80"/>
    </row>
    <row r="49185">
      <c r="AI49185" s="80"/>
    </row>
    <row r="49186">
      <c r="AI49186" s="80"/>
    </row>
    <row r="49187">
      <c r="AI49187" s="80"/>
    </row>
    <row r="49188">
      <c r="AI49188" s="80"/>
    </row>
    <row r="49189">
      <c r="AI49189" s="80"/>
    </row>
    <row r="49190">
      <c r="AI49190" s="80"/>
    </row>
    <row r="49191">
      <c r="AI49191" s="80"/>
    </row>
    <row r="49192">
      <c r="AI49192" s="80"/>
    </row>
    <row r="49193">
      <c r="AI49193" s="80"/>
    </row>
    <row r="49194">
      <c r="AI49194" s="80"/>
    </row>
    <row r="49195">
      <c r="AI49195" s="80"/>
    </row>
    <row r="49196">
      <c r="AI49196" s="80"/>
    </row>
    <row r="49197">
      <c r="AI49197" s="80"/>
    </row>
    <row r="49198">
      <c r="AI49198" s="80"/>
    </row>
    <row r="49199">
      <c r="AI49199" s="80"/>
    </row>
    <row r="49200">
      <c r="AI49200" s="80"/>
    </row>
    <row r="49201">
      <c r="AI49201" s="80"/>
    </row>
    <row r="49202">
      <c r="AI49202" s="80"/>
    </row>
    <row r="49203">
      <c r="AI49203" s="80"/>
    </row>
    <row r="49204">
      <c r="AI49204" s="80"/>
    </row>
    <row r="49205">
      <c r="AI49205" s="80"/>
    </row>
    <row r="49206">
      <c r="AI49206" s="80"/>
    </row>
    <row r="49207">
      <c r="AI49207" s="80"/>
    </row>
    <row r="49208">
      <c r="AI49208" s="80"/>
    </row>
    <row r="49209">
      <c r="AI49209" s="80"/>
    </row>
    <row r="49210">
      <c r="AI49210" s="80"/>
    </row>
    <row r="49211">
      <c r="AI49211" s="80"/>
    </row>
    <row r="49212">
      <c r="AI49212" s="80"/>
    </row>
    <row r="49213">
      <c r="AI49213" s="80"/>
    </row>
    <row r="49214">
      <c r="AI49214" s="80"/>
    </row>
    <row r="49215">
      <c r="AI49215" s="80"/>
    </row>
    <row r="49216">
      <c r="AI49216" s="80"/>
    </row>
    <row r="49217">
      <c r="AI49217" s="80"/>
    </row>
    <row r="49218">
      <c r="AI49218" s="80"/>
    </row>
    <row r="49219">
      <c r="AI49219" s="80"/>
    </row>
    <row r="49220">
      <c r="AI49220" s="80"/>
    </row>
    <row r="49221">
      <c r="AI49221" s="80"/>
    </row>
    <row r="49222">
      <c r="AI49222" s="80"/>
    </row>
    <row r="49223">
      <c r="AI49223" s="80"/>
    </row>
    <row r="49224">
      <c r="AI49224" s="80"/>
    </row>
    <row r="49225">
      <c r="AI49225" s="80"/>
    </row>
    <row r="49226">
      <c r="AI49226" s="80"/>
    </row>
    <row r="49227">
      <c r="AI49227" s="80"/>
    </row>
    <row r="49228">
      <c r="AI49228" s="80"/>
    </row>
    <row r="49229">
      <c r="AI49229" s="80"/>
    </row>
    <row r="49230">
      <c r="AI49230" s="80"/>
    </row>
    <row r="49231">
      <c r="AI49231" s="80"/>
    </row>
    <row r="49232">
      <c r="AI49232" s="80"/>
    </row>
    <row r="49233">
      <c r="AI49233" s="80"/>
    </row>
    <row r="49234">
      <c r="AI49234" s="80"/>
    </row>
    <row r="49235">
      <c r="AI49235" s="80"/>
    </row>
    <row r="49236">
      <c r="AI49236" s="80"/>
    </row>
    <row r="49237">
      <c r="AI49237" s="80"/>
    </row>
    <row r="49238">
      <c r="AI49238" s="80"/>
    </row>
    <row r="49239">
      <c r="AI49239" s="80"/>
    </row>
    <row r="49240">
      <c r="AI49240" s="80"/>
    </row>
    <row r="49241">
      <c r="AI49241" s="80"/>
    </row>
    <row r="49242">
      <c r="AI49242" s="80"/>
    </row>
    <row r="49243">
      <c r="AI49243" s="80"/>
    </row>
    <row r="49244">
      <c r="AI49244" s="80"/>
    </row>
    <row r="49245">
      <c r="AI49245" s="80"/>
    </row>
    <row r="49246">
      <c r="AI49246" s="80"/>
    </row>
    <row r="49247">
      <c r="AI49247" s="80"/>
    </row>
    <row r="49248">
      <c r="AI49248" s="80"/>
    </row>
    <row r="49249">
      <c r="AI49249" s="80"/>
    </row>
    <row r="49250">
      <c r="AI49250" s="80"/>
    </row>
    <row r="49251">
      <c r="AI49251" s="80"/>
    </row>
    <row r="49252">
      <c r="AI49252" s="80"/>
    </row>
    <row r="49253">
      <c r="AI49253" s="80"/>
    </row>
    <row r="49254">
      <c r="AI49254" s="80"/>
    </row>
    <row r="49255">
      <c r="AI49255" s="80"/>
    </row>
    <row r="49256">
      <c r="AI49256" s="80"/>
    </row>
    <row r="49257">
      <c r="AI49257" s="80"/>
    </row>
    <row r="49258">
      <c r="AI49258" s="80"/>
    </row>
    <row r="49259">
      <c r="AI49259" s="80"/>
    </row>
    <row r="49260">
      <c r="AI49260" s="80"/>
    </row>
    <row r="49261">
      <c r="AI49261" s="80"/>
    </row>
    <row r="49262">
      <c r="AI49262" s="80"/>
    </row>
    <row r="49263">
      <c r="AI49263" s="80"/>
    </row>
    <row r="49264">
      <c r="AI49264" s="80"/>
    </row>
    <row r="49265">
      <c r="AI49265" s="80"/>
    </row>
    <row r="49266">
      <c r="AI49266" s="80"/>
    </row>
    <row r="49267">
      <c r="AI49267" s="80"/>
    </row>
    <row r="49268">
      <c r="AI49268" s="80"/>
    </row>
    <row r="49269">
      <c r="AI49269" s="80"/>
    </row>
    <row r="49270">
      <c r="AI49270" s="80"/>
    </row>
    <row r="49271">
      <c r="AI49271" s="80"/>
    </row>
    <row r="49272">
      <c r="AI49272" s="80"/>
    </row>
    <row r="49273">
      <c r="AI49273" s="80"/>
    </row>
    <row r="49274">
      <c r="AI49274" s="80"/>
    </row>
    <row r="49275">
      <c r="AI49275" s="80"/>
    </row>
    <row r="49276">
      <c r="AI49276" s="80"/>
    </row>
    <row r="49277">
      <c r="AI49277" s="80"/>
    </row>
    <row r="49278">
      <c r="AI49278" s="80"/>
    </row>
    <row r="49279">
      <c r="AI49279" s="80"/>
    </row>
    <row r="49280">
      <c r="AI49280" s="80"/>
    </row>
    <row r="49281">
      <c r="AI49281" s="80"/>
    </row>
    <row r="49282">
      <c r="AI49282" s="80"/>
    </row>
    <row r="49283">
      <c r="AI49283" s="80"/>
    </row>
    <row r="49284">
      <c r="AI49284" s="80"/>
    </row>
    <row r="49285">
      <c r="AI49285" s="80"/>
    </row>
    <row r="49286">
      <c r="AI49286" s="80"/>
    </row>
    <row r="49287">
      <c r="AI49287" s="80"/>
    </row>
    <row r="49288">
      <c r="AI49288" s="80"/>
    </row>
    <row r="49289">
      <c r="AI49289" s="80"/>
    </row>
    <row r="49290">
      <c r="AI49290" s="80"/>
    </row>
    <row r="49291">
      <c r="AI49291" s="80"/>
    </row>
    <row r="49292">
      <c r="AI49292" s="80"/>
    </row>
    <row r="49293">
      <c r="AI49293" s="80"/>
    </row>
    <row r="49294">
      <c r="AI49294" s="80"/>
    </row>
    <row r="49295">
      <c r="AI49295" s="80"/>
    </row>
    <row r="49296">
      <c r="AI49296" s="80"/>
    </row>
    <row r="49297">
      <c r="AI49297" s="80"/>
    </row>
    <row r="49298">
      <c r="AI49298" s="80"/>
    </row>
    <row r="49299">
      <c r="AI49299" s="80"/>
    </row>
    <row r="49300">
      <c r="AI49300" s="80"/>
    </row>
    <row r="49301">
      <c r="AI49301" s="80"/>
    </row>
    <row r="49302">
      <c r="AI49302" s="80"/>
    </row>
    <row r="49303">
      <c r="AI49303" s="80"/>
    </row>
    <row r="49304">
      <c r="AI49304" s="80"/>
    </row>
    <row r="49305">
      <c r="AI49305" s="80"/>
    </row>
    <row r="49306">
      <c r="AI49306" s="80"/>
    </row>
    <row r="49307">
      <c r="AI49307" s="80"/>
    </row>
    <row r="49308">
      <c r="AI49308" s="80"/>
    </row>
    <row r="49309">
      <c r="AI49309" s="80"/>
    </row>
    <row r="49310">
      <c r="AI49310" s="80"/>
    </row>
    <row r="49311">
      <c r="AI49311" s="80"/>
    </row>
    <row r="49312">
      <c r="AI49312" s="80"/>
    </row>
    <row r="49313">
      <c r="AI49313" s="80"/>
    </row>
    <row r="49314">
      <c r="AI49314" s="80"/>
    </row>
    <row r="49315">
      <c r="AI49315" s="80"/>
    </row>
    <row r="49316">
      <c r="AI49316" s="80"/>
    </row>
    <row r="49317">
      <c r="AI49317" s="80"/>
    </row>
    <row r="49318">
      <c r="AI49318" s="80"/>
    </row>
    <row r="49319">
      <c r="AI49319" s="80"/>
    </row>
    <row r="49320">
      <c r="AI49320" s="80"/>
    </row>
    <row r="49321">
      <c r="AI49321" s="80"/>
    </row>
    <row r="49322">
      <c r="AI49322" s="80"/>
    </row>
    <row r="49323">
      <c r="AI49323" s="80"/>
    </row>
    <row r="49324">
      <c r="AI49324" s="80"/>
    </row>
    <row r="49325">
      <c r="AI49325" s="80"/>
    </row>
    <row r="49326">
      <c r="AI49326" s="80"/>
    </row>
    <row r="49327">
      <c r="AI49327" s="80"/>
    </row>
    <row r="49328">
      <c r="AI49328" s="80"/>
    </row>
    <row r="49329">
      <c r="AI49329" s="80"/>
    </row>
    <row r="49330">
      <c r="AI49330" s="80"/>
    </row>
    <row r="49331">
      <c r="AI49331" s="80"/>
    </row>
    <row r="49332">
      <c r="AI49332" s="80"/>
    </row>
    <row r="49333">
      <c r="AI49333" s="80"/>
    </row>
    <row r="49334">
      <c r="AI49334" s="80"/>
    </row>
    <row r="49335">
      <c r="AI49335" s="80"/>
    </row>
    <row r="49336">
      <c r="AI49336" s="80"/>
    </row>
    <row r="49337">
      <c r="AI49337" s="80"/>
    </row>
    <row r="49338">
      <c r="AI49338" s="80"/>
    </row>
    <row r="49339">
      <c r="AI49339" s="80"/>
    </row>
    <row r="49340">
      <c r="AI49340" s="80"/>
    </row>
    <row r="49341">
      <c r="AI49341" s="80"/>
    </row>
    <row r="49342">
      <c r="AI49342" s="80"/>
    </row>
    <row r="49343">
      <c r="AI49343" s="80"/>
    </row>
    <row r="49344">
      <c r="AI49344" s="80"/>
    </row>
    <row r="49345">
      <c r="AI49345" s="80"/>
    </row>
    <row r="49346">
      <c r="AI49346" s="80"/>
    </row>
    <row r="49347">
      <c r="AI49347" s="80"/>
    </row>
    <row r="49348">
      <c r="AI49348" s="80"/>
    </row>
    <row r="49349">
      <c r="AI49349" s="80"/>
    </row>
    <row r="49350">
      <c r="AI49350" s="80"/>
    </row>
    <row r="49351">
      <c r="AI49351" s="80"/>
    </row>
    <row r="49352">
      <c r="AI49352" s="80"/>
    </row>
    <row r="49353">
      <c r="AI49353" s="80"/>
    </row>
    <row r="49354">
      <c r="AI49354" s="80"/>
    </row>
    <row r="49355">
      <c r="AI49355" s="80"/>
    </row>
    <row r="49356">
      <c r="AI49356" s="80"/>
    </row>
    <row r="49357">
      <c r="AI49357" s="80"/>
    </row>
    <row r="49358">
      <c r="AI49358" s="80"/>
    </row>
    <row r="49359">
      <c r="AI49359" s="80"/>
    </row>
    <row r="49360">
      <c r="AI49360" s="80"/>
    </row>
    <row r="49361">
      <c r="AI49361" s="80"/>
    </row>
    <row r="49362">
      <c r="AI49362" s="80"/>
    </row>
    <row r="49363">
      <c r="AI49363" s="80"/>
    </row>
    <row r="49364">
      <c r="AI49364" s="80"/>
    </row>
    <row r="49365">
      <c r="AI49365" s="80"/>
    </row>
    <row r="49366">
      <c r="AI49366" s="80"/>
    </row>
    <row r="49367">
      <c r="AI49367" s="80"/>
    </row>
    <row r="49368">
      <c r="AI49368" s="80"/>
    </row>
    <row r="49369">
      <c r="AI49369" s="80"/>
    </row>
    <row r="49370">
      <c r="AI49370" s="80"/>
    </row>
    <row r="49371">
      <c r="AI49371" s="80"/>
    </row>
    <row r="49372">
      <c r="AI49372" s="80"/>
    </row>
    <row r="49373">
      <c r="AI49373" s="80"/>
    </row>
    <row r="49374">
      <c r="AI49374" s="80"/>
    </row>
    <row r="49375">
      <c r="AI49375" s="80"/>
    </row>
    <row r="49376">
      <c r="AI49376" s="80"/>
    </row>
    <row r="49377">
      <c r="AI49377" s="80"/>
    </row>
    <row r="49378">
      <c r="AI49378" s="80"/>
    </row>
    <row r="49379">
      <c r="AI49379" s="80"/>
    </row>
    <row r="49380">
      <c r="AI49380" s="80"/>
    </row>
    <row r="49381">
      <c r="AI49381" s="80"/>
    </row>
    <row r="49382">
      <c r="AI49382" s="80"/>
    </row>
    <row r="49383">
      <c r="AI49383" s="80"/>
    </row>
    <row r="49384">
      <c r="AI49384" s="80"/>
    </row>
    <row r="49385">
      <c r="AI49385" s="80"/>
    </row>
    <row r="49386">
      <c r="AI49386" s="80"/>
    </row>
    <row r="49387">
      <c r="AI49387" s="80"/>
    </row>
    <row r="49388">
      <c r="AI49388" s="80"/>
    </row>
    <row r="49389">
      <c r="AI49389" s="80"/>
    </row>
    <row r="49390">
      <c r="AI49390" s="80"/>
    </row>
    <row r="49391">
      <c r="AI49391" s="80"/>
    </row>
    <row r="49392">
      <c r="AI49392" s="80"/>
    </row>
    <row r="49393">
      <c r="AI49393" s="80"/>
    </row>
    <row r="49394">
      <c r="AI49394" s="80"/>
    </row>
    <row r="49395">
      <c r="AI49395" s="80"/>
    </row>
    <row r="49396">
      <c r="AI49396" s="80"/>
    </row>
    <row r="49397">
      <c r="AI49397" s="80"/>
    </row>
    <row r="49398">
      <c r="AI49398" s="80"/>
    </row>
    <row r="49399">
      <c r="AI49399" s="80"/>
    </row>
    <row r="49400">
      <c r="AI49400" s="80"/>
    </row>
    <row r="49401">
      <c r="AI49401" s="80"/>
    </row>
    <row r="49402">
      <c r="AI49402" s="80"/>
    </row>
    <row r="49403">
      <c r="AI49403" s="80"/>
    </row>
    <row r="49404">
      <c r="AI49404" s="80"/>
    </row>
    <row r="49405">
      <c r="AI49405" s="80"/>
    </row>
    <row r="49406">
      <c r="AI49406" s="80"/>
    </row>
    <row r="49407">
      <c r="AI49407" s="80"/>
    </row>
    <row r="49408">
      <c r="AI49408" s="80"/>
    </row>
    <row r="49409">
      <c r="AI49409" s="80"/>
    </row>
    <row r="49410">
      <c r="AI49410" s="80"/>
    </row>
    <row r="49411">
      <c r="AI49411" s="80"/>
    </row>
    <row r="49412">
      <c r="AI49412" s="80"/>
    </row>
    <row r="49413">
      <c r="AI49413" s="80"/>
    </row>
    <row r="49414">
      <c r="AI49414" s="80"/>
    </row>
    <row r="49415">
      <c r="AI49415" s="80"/>
    </row>
    <row r="49416">
      <c r="AI49416" s="80"/>
    </row>
    <row r="49417">
      <c r="AI49417" s="80"/>
    </row>
    <row r="49418">
      <c r="AI49418" s="80"/>
    </row>
    <row r="49419">
      <c r="AI49419" s="80"/>
    </row>
    <row r="49420">
      <c r="AI49420" s="80"/>
    </row>
    <row r="49421">
      <c r="AI49421" s="80"/>
    </row>
    <row r="49422">
      <c r="AI49422" s="80"/>
    </row>
    <row r="49423">
      <c r="AI49423" s="80"/>
    </row>
    <row r="49424">
      <c r="AI49424" s="80"/>
    </row>
    <row r="49425">
      <c r="AI49425" s="80"/>
    </row>
    <row r="49426">
      <c r="AI49426" s="80"/>
    </row>
    <row r="49427">
      <c r="AI49427" s="80"/>
    </row>
    <row r="49428">
      <c r="AI49428" s="80"/>
    </row>
    <row r="49429">
      <c r="AI49429" s="80"/>
    </row>
    <row r="49430">
      <c r="AI49430" s="80"/>
    </row>
    <row r="49431">
      <c r="AI49431" s="80"/>
    </row>
    <row r="49432">
      <c r="AI49432" s="80"/>
    </row>
    <row r="49433">
      <c r="AI49433" s="80"/>
    </row>
    <row r="49434">
      <c r="AI49434" s="80"/>
    </row>
    <row r="49435">
      <c r="AI49435" s="80"/>
    </row>
    <row r="49436">
      <c r="AI49436" s="80"/>
    </row>
    <row r="49437">
      <c r="AI49437" s="80"/>
    </row>
    <row r="49438">
      <c r="AI49438" s="80"/>
    </row>
    <row r="49439">
      <c r="AI49439" s="80"/>
    </row>
    <row r="49440">
      <c r="AI49440" s="80"/>
    </row>
    <row r="49441">
      <c r="AI49441" s="80"/>
    </row>
    <row r="49442">
      <c r="AI49442" s="80"/>
    </row>
    <row r="49443">
      <c r="AI49443" s="80"/>
    </row>
    <row r="49444">
      <c r="AI49444" s="80"/>
    </row>
    <row r="49445">
      <c r="AI49445" s="80"/>
    </row>
    <row r="49446">
      <c r="AI49446" s="80"/>
    </row>
    <row r="49447">
      <c r="AI49447" s="80"/>
    </row>
    <row r="49448">
      <c r="AI49448" s="80"/>
    </row>
    <row r="49449">
      <c r="AI49449" s="80"/>
    </row>
    <row r="49450">
      <c r="AI49450" s="80"/>
    </row>
    <row r="49451">
      <c r="AI49451" s="80"/>
    </row>
    <row r="49452">
      <c r="AI49452" s="80"/>
    </row>
    <row r="49453">
      <c r="AI49453" s="80"/>
    </row>
    <row r="49454">
      <c r="AI49454" s="80"/>
    </row>
    <row r="49455">
      <c r="AI49455" s="80"/>
    </row>
    <row r="49456">
      <c r="AI49456" s="80"/>
    </row>
    <row r="49457">
      <c r="AI49457" s="80"/>
    </row>
    <row r="49458">
      <c r="AI49458" s="80"/>
    </row>
    <row r="49459">
      <c r="AI49459" s="80"/>
    </row>
    <row r="49460">
      <c r="AI49460" s="80"/>
    </row>
    <row r="49461">
      <c r="AI49461" s="80"/>
    </row>
    <row r="49462">
      <c r="AI49462" s="80"/>
    </row>
    <row r="49463">
      <c r="AI49463" s="80"/>
    </row>
    <row r="49464">
      <c r="AI49464" s="80"/>
    </row>
    <row r="49465">
      <c r="AI49465" s="80"/>
    </row>
    <row r="49466">
      <c r="AI49466" s="80"/>
    </row>
    <row r="49467">
      <c r="AI49467" s="80"/>
    </row>
    <row r="49468">
      <c r="AI49468" s="80"/>
    </row>
    <row r="49469">
      <c r="AI49469" s="80"/>
    </row>
    <row r="49470">
      <c r="AI49470" s="80"/>
    </row>
    <row r="49471">
      <c r="AI49471" s="80"/>
    </row>
    <row r="49472">
      <c r="AI49472" s="80"/>
    </row>
    <row r="49473">
      <c r="AI49473" s="80"/>
    </row>
    <row r="49474">
      <c r="AI49474" s="80"/>
    </row>
    <row r="49475">
      <c r="AI49475" s="80"/>
    </row>
    <row r="49476">
      <c r="AI49476" s="80"/>
    </row>
    <row r="49477">
      <c r="AI49477" s="80"/>
    </row>
    <row r="49478">
      <c r="AI49478" s="80"/>
    </row>
    <row r="49479">
      <c r="AI49479" s="80"/>
    </row>
    <row r="49480">
      <c r="AI49480" s="80"/>
    </row>
    <row r="49481">
      <c r="AI49481" s="80"/>
    </row>
    <row r="49482">
      <c r="AI49482" s="80"/>
    </row>
    <row r="49483">
      <c r="AI49483" s="80"/>
    </row>
    <row r="49484">
      <c r="AI49484" s="80"/>
    </row>
    <row r="49485">
      <c r="AI49485" s="80"/>
    </row>
    <row r="49486">
      <c r="AI49486" s="80"/>
    </row>
    <row r="49487">
      <c r="AI49487" s="80"/>
    </row>
    <row r="49488">
      <c r="AI49488" s="80"/>
    </row>
    <row r="49489">
      <c r="AI49489" s="80"/>
    </row>
    <row r="49490">
      <c r="AI49490" s="80"/>
    </row>
    <row r="49491">
      <c r="AI49491" s="80"/>
    </row>
    <row r="49492">
      <c r="AI49492" s="80"/>
    </row>
    <row r="49493">
      <c r="AI49493" s="80"/>
    </row>
    <row r="49494">
      <c r="AI49494" s="80"/>
    </row>
    <row r="49495">
      <c r="AI49495" s="80"/>
    </row>
    <row r="49496">
      <c r="AI49496" s="80"/>
    </row>
    <row r="49497">
      <c r="AI49497" s="80"/>
    </row>
    <row r="49498">
      <c r="AI49498" s="80"/>
    </row>
    <row r="49499">
      <c r="AI49499" s="80"/>
    </row>
    <row r="49500">
      <c r="AI49500" s="80"/>
    </row>
    <row r="49501">
      <c r="AI49501" s="80"/>
    </row>
    <row r="49502">
      <c r="AI49502" s="80"/>
    </row>
    <row r="49503">
      <c r="AI49503" s="80"/>
    </row>
    <row r="49504">
      <c r="AI49504" s="80"/>
    </row>
    <row r="49505">
      <c r="AI49505" s="80"/>
    </row>
    <row r="49506">
      <c r="AI49506" s="80"/>
    </row>
    <row r="49507">
      <c r="AI49507" s="80"/>
    </row>
    <row r="49508">
      <c r="AI49508" s="80"/>
    </row>
    <row r="49509">
      <c r="AI49509" s="80"/>
    </row>
    <row r="49510">
      <c r="AI49510" s="80"/>
    </row>
    <row r="49511">
      <c r="AI49511" s="80"/>
    </row>
    <row r="49512">
      <c r="AI49512" s="80"/>
    </row>
    <row r="49513">
      <c r="AI49513" s="80"/>
    </row>
    <row r="49514">
      <c r="AI49514" s="80"/>
    </row>
    <row r="49515">
      <c r="AI49515" s="80"/>
    </row>
    <row r="49516">
      <c r="AI49516" s="80"/>
    </row>
    <row r="49517">
      <c r="AI49517" s="80"/>
    </row>
    <row r="49518">
      <c r="AI49518" s="80"/>
    </row>
    <row r="49519">
      <c r="AI49519" s="80"/>
    </row>
    <row r="49520">
      <c r="AI49520" s="80"/>
    </row>
    <row r="49521">
      <c r="AI49521" s="80"/>
    </row>
    <row r="49522">
      <c r="AI49522" s="80"/>
    </row>
    <row r="49523">
      <c r="AI49523" s="80"/>
    </row>
    <row r="49524">
      <c r="AI49524" s="80"/>
    </row>
    <row r="49525">
      <c r="AI49525" s="80"/>
    </row>
    <row r="49526">
      <c r="AI49526" s="80"/>
    </row>
    <row r="49527">
      <c r="AI49527" s="80"/>
    </row>
    <row r="49528">
      <c r="AI49528" s="80"/>
    </row>
    <row r="49529">
      <c r="AI49529" s="80"/>
    </row>
    <row r="49530">
      <c r="AI49530" s="80"/>
    </row>
    <row r="49531">
      <c r="AI49531" s="80"/>
    </row>
    <row r="49532">
      <c r="AI49532" s="80"/>
    </row>
    <row r="49533">
      <c r="AI49533" s="80"/>
    </row>
    <row r="49534">
      <c r="AI49534" s="80"/>
    </row>
    <row r="49535">
      <c r="AI49535" s="80"/>
    </row>
    <row r="49536">
      <c r="AI49536" s="80"/>
    </row>
    <row r="49537">
      <c r="AI49537" s="80"/>
    </row>
    <row r="49538">
      <c r="AI49538" s="80"/>
    </row>
    <row r="49539">
      <c r="AI49539" s="80"/>
    </row>
    <row r="49540">
      <c r="AI49540" s="80"/>
    </row>
    <row r="49541">
      <c r="AI49541" s="80"/>
    </row>
    <row r="49542">
      <c r="AI49542" s="80"/>
    </row>
    <row r="49543">
      <c r="AI49543" s="80"/>
    </row>
    <row r="49544">
      <c r="AI49544" s="80"/>
    </row>
    <row r="49545">
      <c r="AI49545" s="80"/>
    </row>
    <row r="49546">
      <c r="AI49546" s="80"/>
    </row>
    <row r="49547">
      <c r="AI49547" s="80"/>
    </row>
    <row r="49548">
      <c r="AI49548" s="80"/>
    </row>
    <row r="49549">
      <c r="AI49549" s="80"/>
    </row>
    <row r="49550">
      <c r="AI49550" s="80"/>
    </row>
    <row r="49551">
      <c r="AI49551" s="80"/>
    </row>
    <row r="49552">
      <c r="AI49552" s="80"/>
    </row>
    <row r="49553">
      <c r="AI49553" s="80"/>
    </row>
    <row r="49554">
      <c r="AI49554" s="80"/>
    </row>
    <row r="49555">
      <c r="AI49555" s="80"/>
    </row>
    <row r="49556">
      <c r="AI49556" s="80"/>
    </row>
    <row r="49557">
      <c r="AI49557" s="80"/>
    </row>
    <row r="49558">
      <c r="AI49558" s="80"/>
    </row>
    <row r="49559">
      <c r="AI49559" s="80"/>
    </row>
    <row r="49560">
      <c r="AI49560" s="80"/>
    </row>
    <row r="49561">
      <c r="AI49561" s="80"/>
    </row>
    <row r="49562">
      <c r="AI49562" s="80"/>
    </row>
    <row r="49563">
      <c r="AI49563" s="80"/>
    </row>
    <row r="49564">
      <c r="AI49564" s="80"/>
    </row>
    <row r="49565">
      <c r="AI49565" s="80"/>
    </row>
    <row r="49566">
      <c r="AI49566" s="80"/>
    </row>
    <row r="49567">
      <c r="AI49567" s="80"/>
    </row>
    <row r="49568">
      <c r="AI49568" s="80"/>
    </row>
    <row r="49569">
      <c r="AI49569" s="80"/>
    </row>
    <row r="49570">
      <c r="AI49570" s="80"/>
    </row>
    <row r="49571">
      <c r="AI49571" s="80"/>
    </row>
    <row r="49572">
      <c r="AI49572" s="80"/>
    </row>
    <row r="49573">
      <c r="AI49573" s="80"/>
    </row>
    <row r="49574">
      <c r="AI49574" s="80"/>
    </row>
    <row r="49575">
      <c r="AI49575" s="80"/>
    </row>
    <row r="49576">
      <c r="AI49576" s="80"/>
    </row>
    <row r="49577">
      <c r="AI49577" s="80"/>
    </row>
    <row r="49578">
      <c r="AI49578" s="80"/>
    </row>
    <row r="49579">
      <c r="AI49579" s="80"/>
    </row>
    <row r="49580">
      <c r="AI49580" s="80"/>
    </row>
    <row r="49581">
      <c r="AI49581" s="80"/>
    </row>
    <row r="49582">
      <c r="AI49582" s="80"/>
    </row>
    <row r="49583">
      <c r="AI49583" s="80"/>
    </row>
    <row r="49584">
      <c r="AI49584" s="80"/>
    </row>
    <row r="49585">
      <c r="AI49585" s="80"/>
    </row>
    <row r="49586">
      <c r="AI49586" s="80"/>
    </row>
    <row r="49587">
      <c r="AI49587" s="80"/>
    </row>
    <row r="49588">
      <c r="AI49588" s="80"/>
    </row>
    <row r="49589">
      <c r="AI49589" s="80"/>
    </row>
    <row r="49590">
      <c r="AI49590" s="80"/>
    </row>
    <row r="49591">
      <c r="AI49591" s="80"/>
    </row>
    <row r="49592">
      <c r="AI49592" s="80"/>
    </row>
    <row r="49593">
      <c r="AI49593" s="80"/>
    </row>
    <row r="49594">
      <c r="AI49594" s="80"/>
    </row>
    <row r="49595">
      <c r="AI49595" s="80"/>
    </row>
    <row r="49596">
      <c r="AI49596" s="80"/>
    </row>
    <row r="49597">
      <c r="AI49597" s="80"/>
    </row>
    <row r="49598">
      <c r="AI49598" s="80"/>
    </row>
    <row r="49599">
      <c r="AI49599" s="80"/>
    </row>
    <row r="49600">
      <c r="AI49600" s="80"/>
    </row>
    <row r="49601">
      <c r="AI49601" s="80"/>
    </row>
    <row r="49602">
      <c r="AI49602" s="80"/>
    </row>
    <row r="49603">
      <c r="AI49603" s="80"/>
    </row>
    <row r="49604">
      <c r="AI49604" s="80"/>
    </row>
    <row r="49605">
      <c r="AI49605" s="80"/>
    </row>
    <row r="49606">
      <c r="AI49606" s="80"/>
    </row>
    <row r="49607">
      <c r="AI49607" s="80"/>
    </row>
    <row r="49608">
      <c r="AI49608" s="80"/>
    </row>
    <row r="49609">
      <c r="AI49609" s="80"/>
    </row>
    <row r="49610">
      <c r="AI49610" s="80"/>
    </row>
    <row r="49611">
      <c r="AI49611" s="80"/>
    </row>
    <row r="49612">
      <c r="AI49612" s="80"/>
    </row>
    <row r="49613">
      <c r="AI49613" s="80"/>
    </row>
    <row r="49614">
      <c r="AI49614" s="80"/>
    </row>
    <row r="49615">
      <c r="AI49615" s="80"/>
    </row>
    <row r="49616">
      <c r="AI49616" s="80"/>
    </row>
    <row r="49617">
      <c r="AI49617" s="80"/>
    </row>
    <row r="49618">
      <c r="AI49618" s="80"/>
    </row>
    <row r="49619">
      <c r="AI49619" s="80"/>
    </row>
    <row r="49620">
      <c r="AI49620" s="80"/>
    </row>
    <row r="49621">
      <c r="AI49621" s="80"/>
    </row>
    <row r="49622">
      <c r="AI49622" s="80"/>
    </row>
    <row r="49623">
      <c r="AI49623" s="80"/>
    </row>
    <row r="49624">
      <c r="AI49624" s="80"/>
    </row>
    <row r="49625">
      <c r="AI49625" s="80"/>
    </row>
    <row r="49626">
      <c r="AI49626" s="80"/>
    </row>
    <row r="49627">
      <c r="AI49627" s="80"/>
    </row>
    <row r="49628">
      <c r="AI49628" s="80"/>
    </row>
    <row r="49629">
      <c r="AI49629" s="80"/>
    </row>
    <row r="49630">
      <c r="AI49630" s="80"/>
    </row>
    <row r="49631">
      <c r="AI49631" s="80"/>
    </row>
    <row r="49632">
      <c r="AI49632" s="80"/>
    </row>
    <row r="49633">
      <c r="AI49633" s="80"/>
    </row>
    <row r="49634">
      <c r="AI49634" s="80"/>
    </row>
    <row r="49635">
      <c r="AI49635" s="80"/>
    </row>
    <row r="49636">
      <c r="AI49636" s="80"/>
    </row>
    <row r="49637">
      <c r="AI49637" s="80"/>
    </row>
    <row r="49638">
      <c r="AI49638" s="80"/>
    </row>
    <row r="49639">
      <c r="AI49639" s="80"/>
    </row>
    <row r="49640">
      <c r="AI49640" s="80"/>
    </row>
    <row r="49641">
      <c r="AI49641" s="80"/>
    </row>
    <row r="49642">
      <c r="AI49642" s="80"/>
    </row>
    <row r="49643">
      <c r="AI49643" s="80"/>
    </row>
    <row r="49644">
      <c r="AI49644" s="80"/>
    </row>
    <row r="49645">
      <c r="AI49645" s="80"/>
    </row>
    <row r="49646">
      <c r="AI49646" s="80"/>
    </row>
    <row r="49647">
      <c r="AI49647" s="80"/>
    </row>
    <row r="49648">
      <c r="AI49648" s="80"/>
    </row>
    <row r="49649">
      <c r="AI49649" s="80"/>
    </row>
    <row r="49650">
      <c r="AI49650" s="80"/>
    </row>
    <row r="49651">
      <c r="AI49651" s="80"/>
    </row>
    <row r="49652">
      <c r="AI49652" s="80"/>
    </row>
    <row r="49653">
      <c r="AI49653" s="80"/>
    </row>
    <row r="49654">
      <c r="AI49654" s="80"/>
    </row>
    <row r="49655">
      <c r="AI49655" s="80"/>
    </row>
    <row r="49656">
      <c r="AI49656" s="80"/>
    </row>
    <row r="49657">
      <c r="AI49657" s="80"/>
    </row>
    <row r="49658">
      <c r="AI49658" s="80"/>
    </row>
    <row r="49659">
      <c r="AI49659" s="80"/>
    </row>
    <row r="49660">
      <c r="AI49660" s="80"/>
    </row>
    <row r="49661">
      <c r="AI49661" s="80"/>
    </row>
    <row r="49662">
      <c r="AI49662" s="80"/>
    </row>
    <row r="49663">
      <c r="AI49663" s="80"/>
    </row>
    <row r="49664">
      <c r="AI49664" s="80"/>
    </row>
    <row r="49665">
      <c r="AI49665" s="80"/>
    </row>
    <row r="49666">
      <c r="AI49666" s="80"/>
    </row>
    <row r="49667">
      <c r="AI49667" s="80"/>
    </row>
    <row r="49668">
      <c r="AI49668" s="80"/>
    </row>
    <row r="49669">
      <c r="AI49669" s="80"/>
    </row>
    <row r="49670">
      <c r="AI49670" s="80"/>
    </row>
    <row r="49671">
      <c r="AI49671" s="80"/>
    </row>
    <row r="49672">
      <c r="AI49672" s="80"/>
    </row>
    <row r="49673">
      <c r="AI49673" s="80"/>
    </row>
    <row r="49674">
      <c r="AI49674" s="80"/>
    </row>
    <row r="49675">
      <c r="AI49675" s="80"/>
    </row>
    <row r="49676">
      <c r="AI49676" s="80"/>
    </row>
    <row r="49677">
      <c r="AI49677" s="80"/>
    </row>
    <row r="49678">
      <c r="AI49678" s="80"/>
    </row>
    <row r="49679">
      <c r="AI49679" s="80"/>
    </row>
    <row r="49680">
      <c r="AI49680" s="80"/>
    </row>
    <row r="49681">
      <c r="AI49681" s="80"/>
    </row>
    <row r="49682">
      <c r="AI49682" s="80"/>
    </row>
    <row r="49683">
      <c r="AI49683" s="80"/>
    </row>
    <row r="49684">
      <c r="AI49684" s="80"/>
    </row>
    <row r="49685">
      <c r="AI49685" s="80"/>
    </row>
    <row r="49686">
      <c r="AI49686" s="80"/>
    </row>
    <row r="49687">
      <c r="AI49687" s="80"/>
    </row>
    <row r="49688">
      <c r="AI49688" s="80"/>
    </row>
    <row r="49689">
      <c r="AI49689" s="80"/>
    </row>
    <row r="49690">
      <c r="AI49690" s="80"/>
    </row>
    <row r="49691">
      <c r="AI49691" s="80"/>
    </row>
    <row r="49692">
      <c r="AI49692" s="80"/>
    </row>
    <row r="49693">
      <c r="AI49693" s="80"/>
    </row>
    <row r="49694">
      <c r="AI49694" s="80"/>
    </row>
    <row r="49695">
      <c r="AI49695" s="80"/>
    </row>
    <row r="49696">
      <c r="AI49696" s="80"/>
    </row>
    <row r="49697">
      <c r="AI49697" s="80"/>
    </row>
    <row r="49698">
      <c r="AI49698" s="80"/>
    </row>
    <row r="49699">
      <c r="AI49699" s="80"/>
    </row>
    <row r="49700">
      <c r="AI49700" s="80"/>
    </row>
    <row r="49701">
      <c r="AI49701" s="80"/>
    </row>
    <row r="49702">
      <c r="AI49702" s="80"/>
    </row>
    <row r="49703">
      <c r="AI49703" s="80"/>
    </row>
    <row r="49704">
      <c r="AI49704" s="80"/>
    </row>
    <row r="49705">
      <c r="AI49705" s="80"/>
    </row>
    <row r="49706">
      <c r="AI49706" s="80"/>
    </row>
    <row r="49707">
      <c r="AI49707" s="80"/>
    </row>
    <row r="49708">
      <c r="AI49708" s="80"/>
    </row>
    <row r="49709">
      <c r="AI49709" s="80"/>
    </row>
    <row r="49710">
      <c r="AI49710" s="80"/>
    </row>
    <row r="49711">
      <c r="AI49711" s="80"/>
    </row>
    <row r="49712">
      <c r="AI49712" s="80"/>
    </row>
    <row r="49713">
      <c r="AI49713" s="80"/>
    </row>
    <row r="49714">
      <c r="AI49714" s="80"/>
    </row>
    <row r="49715">
      <c r="AI49715" s="80"/>
    </row>
    <row r="49716">
      <c r="AI49716" s="80"/>
    </row>
    <row r="49717">
      <c r="AI49717" s="80"/>
    </row>
    <row r="49718">
      <c r="AI49718" s="80"/>
    </row>
    <row r="49719">
      <c r="AI49719" s="80"/>
    </row>
    <row r="49720">
      <c r="AI49720" s="80"/>
    </row>
    <row r="49721">
      <c r="AI49721" s="80"/>
    </row>
    <row r="49722">
      <c r="AI49722" s="80"/>
    </row>
    <row r="49723">
      <c r="AI49723" s="80"/>
    </row>
    <row r="49724">
      <c r="AI49724" s="80"/>
    </row>
    <row r="49725">
      <c r="AI49725" s="80"/>
    </row>
    <row r="49726">
      <c r="AI49726" s="80"/>
    </row>
    <row r="49727">
      <c r="AI49727" s="80"/>
    </row>
    <row r="49728">
      <c r="AI49728" s="80"/>
    </row>
    <row r="49729">
      <c r="AI49729" s="80"/>
    </row>
    <row r="49730">
      <c r="AI49730" s="80"/>
    </row>
    <row r="49731">
      <c r="AI49731" s="80"/>
    </row>
    <row r="49732">
      <c r="AI49732" s="80"/>
    </row>
    <row r="49733">
      <c r="AI49733" s="80"/>
    </row>
    <row r="49734">
      <c r="AI49734" s="80"/>
    </row>
    <row r="49735">
      <c r="AI49735" s="80"/>
    </row>
    <row r="49736">
      <c r="AI49736" s="80"/>
    </row>
    <row r="49737">
      <c r="AI49737" s="80"/>
    </row>
    <row r="49738">
      <c r="AI49738" s="80"/>
    </row>
    <row r="49739">
      <c r="AI49739" s="80"/>
    </row>
    <row r="49740">
      <c r="AI49740" s="80"/>
    </row>
    <row r="49741">
      <c r="AI49741" s="80"/>
    </row>
    <row r="49742">
      <c r="AI49742" s="80"/>
    </row>
    <row r="49743">
      <c r="AI49743" s="80"/>
    </row>
    <row r="49744">
      <c r="AI49744" s="80"/>
    </row>
    <row r="49745">
      <c r="AI49745" s="80"/>
    </row>
    <row r="49746">
      <c r="AI49746" s="80"/>
    </row>
    <row r="49747">
      <c r="AI49747" s="80"/>
    </row>
    <row r="49748">
      <c r="AI49748" s="80"/>
    </row>
    <row r="49749">
      <c r="AI49749" s="80"/>
    </row>
    <row r="49750">
      <c r="AI49750" s="80"/>
    </row>
    <row r="49751">
      <c r="AI49751" s="80"/>
    </row>
    <row r="49752">
      <c r="AI49752" s="80"/>
    </row>
    <row r="49753">
      <c r="AI49753" s="80"/>
    </row>
    <row r="49754">
      <c r="AI49754" s="80"/>
    </row>
    <row r="49755">
      <c r="AI49755" s="80"/>
    </row>
    <row r="49756">
      <c r="AI49756" s="80"/>
    </row>
    <row r="49757">
      <c r="AI49757" s="80"/>
    </row>
    <row r="49758">
      <c r="AI49758" s="80"/>
    </row>
    <row r="49759">
      <c r="AI49759" s="80"/>
    </row>
    <row r="49760">
      <c r="AI49760" s="80"/>
    </row>
    <row r="49761">
      <c r="AI49761" s="80"/>
    </row>
    <row r="49762">
      <c r="AI49762" s="80"/>
    </row>
    <row r="49763">
      <c r="AI49763" s="80"/>
    </row>
    <row r="49764">
      <c r="AI49764" s="80"/>
    </row>
    <row r="49765">
      <c r="AI49765" s="80"/>
    </row>
    <row r="49766">
      <c r="AI49766" s="80"/>
    </row>
    <row r="49767">
      <c r="AI49767" s="80"/>
    </row>
    <row r="49768">
      <c r="AI49768" s="80"/>
    </row>
    <row r="49769">
      <c r="AI49769" s="80"/>
    </row>
    <row r="49770">
      <c r="AI49770" s="80"/>
    </row>
    <row r="49771">
      <c r="AI49771" s="80"/>
    </row>
    <row r="49772">
      <c r="AI49772" s="80"/>
    </row>
    <row r="49773">
      <c r="AI49773" s="80"/>
    </row>
    <row r="49774">
      <c r="AI49774" s="80"/>
    </row>
    <row r="49775">
      <c r="AI49775" s="80"/>
    </row>
    <row r="49776">
      <c r="AI49776" s="80"/>
    </row>
    <row r="49777">
      <c r="AI49777" s="80"/>
    </row>
    <row r="49778">
      <c r="AI49778" s="80"/>
    </row>
    <row r="49779">
      <c r="AI49779" s="80"/>
    </row>
    <row r="49780">
      <c r="AI49780" s="80"/>
    </row>
    <row r="49781">
      <c r="AI49781" s="80"/>
    </row>
    <row r="49782">
      <c r="AI49782" s="80"/>
    </row>
    <row r="49783">
      <c r="AI49783" s="80"/>
    </row>
    <row r="49784">
      <c r="AI49784" s="80"/>
    </row>
    <row r="49785">
      <c r="AI49785" s="80"/>
    </row>
    <row r="49786">
      <c r="AI49786" s="80"/>
    </row>
    <row r="49787">
      <c r="AI49787" s="80"/>
    </row>
    <row r="49788">
      <c r="AI49788" s="80"/>
    </row>
    <row r="49789">
      <c r="AI49789" s="80"/>
    </row>
    <row r="49790">
      <c r="AI49790" s="80"/>
    </row>
    <row r="49791">
      <c r="AI49791" s="80"/>
    </row>
    <row r="49792">
      <c r="AI49792" s="80"/>
    </row>
    <row r="49793">
      <c r="AI49793" s="80"/>
    </row>
    <row r="49794">
      <c r="AI49794" s="80"/>
    </row>
    <row r="49795">
      <c r="AI49795" s="80"/>
    </row>
    <row r="49796">
      <c r="AI49796" s="80"/>
    </row>
    <row r="49797">
      <c r="AI49797" s="80"/>
    </row>
    <row r="49798">
      <c r="AI49798" s="80"/>
    </row>
    <row r="49799">
      <c r="AI49799" s="80"/>
    </row>
    <row r="49800">
      <c r="AI49800" s="80"/>
    </row>
    <row r="49801">
      <c r="AI49801" s="80"/>
    </row>
    <row r="49802">
      <c r="AI49802" s="80"/>
    </row>
    <row r="49803">
      <c r="AI49803" s="80"/>
    </row>
    <row r="49804">
      <c r="AI49804" s="80"/>
    </row>
    <row r="49805">
      <c r="AI49805" s="80"/>
    </row>
    <row r="49806">
      <c r="AI49806" s="80"/>
    </row>
    <row r="49807">
      <c r="AI49807" s="80"/>
    </row>
    <row r="49808">
      <c r="AI49808" s="80"/>
    </row>
    <row r="49809">
      <c r="AI49809" s="80"/>
    </row>
    <row r="49810">
      <c r="AI49810" s="80"/>
    </row>
    <row r="49811">
      <c r="AI49811" s="80"/>
    </row>
    <row r="49812">
      <c r="AI49812" s="80"/>
    </row>
    <row r="49813">
      <c r="AI49813" s="80"/>
    </row>
    <row r="49814">
      <c r="AI49814" s="80"/>
    </row>
    <row r="49815">
      <c r="AI49815" s="80"/>
    </row>
    <row r="49816">
      <c r="AI49816" s="80"/>
    </row>
    <row r="49817">
      <c r="AI49817" s="80"/>
    </row>
    <row r="49818">
      <c r="AI49818" s="80"/>
    </row>
    <row r="49819">
      <c r="AI49819" s="80"/>
    </row>
    <row r="49820">
      <c r="AI49820" s="80"/>
    </row>
    <row r="49821">
      <c r="AI49821" s="80"/>
    </row>
    <row r="49822">
      <c r="AI49822" s="80"/>
    </row>
    <row r="49823">
      <c r="AI49823" s="80"/>
    </row>
    <row r="49824">
      <c r="AI49824" s="80"/>
    </row>
    <row r="49825">
      <c r="AI49825" s="80"/>
    </row>
    <row r="49826">
      <c r="AI49826" s="80"/>
    </row>
    <row r="49827">
      <c r="AI49827" s="80"/>
    </row>
    <row r="49828">
      <c r="AI49828" s="80"/>
    </row>
    <row r="49829">
      <c r="AI49829" s="80"/>
    </row>
    <row r="49830">
      <c r="AI49830" s="80"/>
    </row>
    <row r="49831">
      <c r="AI49831" s="80"/>
    </row>
    <row r="49832">
      <c r="AI49832" s="80"/>
    </row>
    <row r="49833">
      <c r="AI49833" s="80"/>
    </row>
    <row r="49834">
      <c r="AI49834" s="80"/>
    </row>
    <row r="49835">
      <c r="AI49835" s="80"/>
    </row>
    <row r="49836">
      <c r="AI49836" s="80"/>
    </row>
    <row r="49837">
      <c r="AI49837" s="80"/>
    </row>
    <row r="49838">
      <c r="AI49838" s="80"/>
    </row>
    <row r="49839">
      <c r="AI49839" s="80"/>
    </row>
    <row r="49840">
      <c r="AI49840" s="80"/>
    </row>
    <row r="49841">
      <c r="AI49841" s="80"/>
    </row>
    <row r="49842">
      <c r="AI49842" s="80"/>
    </row>
    <row r="49843">
      <c r="AI49843" s="80"/>
    </row>
    <row r="49844">
      <c r="AI49844" s="80"/>
    </row>
    <row r="49845">
      <c r="AI49845" s="80"/>
    </row>
    <row r="49846">
      <c r="AI49846" s="80"/>
    </row>
    <row r="49847">
      <c r="AI49847" s="80"/>
    </row>
    <row r="49848">
      <c r="AI49848" s="80"/>
    </row>
    <row r="49849">
      <c r="AI49849" s="80"/>
    </row>
    <row r="49850">
      <c r="AI49850" s="80"/>
    </row>
    <row r="49851">
      <c r="AI49851" s="80"/>
    </row>
    <row r="49852">
      <c r="AI49852" s="80"/>
    </row>
    <row r="49853">
      <c r="AI49853" s="80"/>
    </row>
    <row r="49854">
      <c r="AI49854" s="80"/>
    </row>
    <row r="49855">
      <c r="AI49855" s="80"/>
    </row>
    <row r="49856">
      <c r="AI49856" s="80"/>
    </row>
    <row r="49857">
      <c r="AI49857" s="80"/>
    </row>
    <row r="49858">
      <c r="AI49858" s="80"/>
    </row>
    <row r="49859">
      <c r="AI49859" s="80"/>
    </row>
    <row r="49860">
      <c r="AI49860" s="80"/>
    </row>
    <row r="49861">
      <c r="AI49861" s="80"/>
    </row>
    <row r="49862">
      <c r="AI49862" s="80"/>
    </row>
    <row r="49863">
      <c r="AI49863" s="80"/>
    </row>
    <row r="49864">
      <c r="AI49864" s="80"/>
    </row>
    <row r="49865">
      <c r="AI49865" s="80"/>
    </row>
    <row r="49866">
      <c r="AI49866" s="80"/>
    </row>
    <row r="49867">
      <c r="AI49867" s="80"/>
    </row>
    <row r="49868">
      <c r="AI49868" s="80"/>
    </row>
    <row r="49869">
      <c r="AI49869" s="80"/>
    </row>
    <row r="49870">
      <c r="AI49870" s="80"/>
    </row>
    <row r="49871">
      <c r="AI49871" s="80"/>
    </row>
    <row r="49872">
      <c r="AI49872" s="80"/>
    </row>
    <row r="49873">
      <c r="AI49873" s="80"/>
    </row>
    <row r="49874">
      <c r="AI49874" s="80"/>
    </row>
    <row r="49875">
      <c r="AI49875" s="80"/>
    </row>
    <row r="49876">
      <c r="AI49876" s="80"/>
    </row>
    <row r="49877">
      <c r="AI49877" s="80"/>
    </row>
    <row r="49878">
      <c r="AI49878" s="80"/>
    </row>
    <row r="49879">
      <c r="AI49879" s="80"/>
    </row>
    <row r="49880">
      <c r="AI49880" s="80"/>
    </row>
    <row r="49881">
      <c r="AI49881" s="80"/>
    </row>
    <row r="49882">
      <c r="AI49882" s="80"/>
    </row>
    <row r="49883">
      <c r="AI49883" s="80"/>
    </row>
    <row r="49884">
      <c r="AI49884" s="80"/>
    </row>
    <row r="49885">
      <c r="AI49885" s="80"/>
    </row>
    <row r="49886">
      <c r="AI49886" s="80"/>
    </row>
    <row r="49887">
      <c r="AI49887" s="80"/>
    </row>
    <row r="49888">
      <c r="AI49888" s="80"/>
    </row>
    <row r="49889">
      <c r="AI49889" s="80"/>
    </row>
    <row r="49890">
      <c r="AI49890" s="80"/>
    </row>
    <row r="49891">
      <c r="AI49891" s="80"/>
    </row>
    <row r="49892">
      <c r="AI49892" s="80"/>
    </row>
    <row r="49893">
      <c r="AI49893" s="80"/>
    </row>
    <row r="49894">
      <c r="AI49894" s="80"/>
    </row>
    <row r="49895">
      <c r="AI49895" s="80"/>
    </row>
    <row r="49896">
      <c r="AI49896" s="80"/>
    </row>
    <row r="49897">
      <c r="AI49897" s="80"/>
    </row>
    <row r="49898">
      <c r="AI49898" s="80"/>
    </row>
    <row r="49899">
      <c r="AI49899" s="80"/>
    </row>
    <row r="49900">
      <c r="AI49900" s="80"/>
    </row>
    <row r="49901">
      <c r="AI49901" s="80"/>
    </row>
    <row r="49902">
      <c r="AI49902" s="80"/>
    </row>
    <row r="49903">
      <c r="AI49903" s="80"/>
    </row>
    <row r="49904">
      <c r="AI49904" s="80"/>
    </row>
    <row r="49905">
      <c r="AI49905" s="80"/>
    </row>
    <row r="49906">
      <c r="AI49906" s="80"/>
    </row>
    <row r="49907">
      <c r="AI49907" s="80"/>
    </row>
    <row r="49908">
      <c r="AI49908" s="80"/>
    </row>
    <row r="49909">
      <c r="AI49909" s="80"/>
    </row>
    <row r="49910">
      <c r="AI49910" s="80"/>
    </row>
    <row r="49911">
      <c r="AI49911" s="80"/>
    </row>
    <row r="49912">
      <c r="AI49912" s="80"/>
    </row>
    <row r="49913">
      <c r="AI49913" s="80"/>
    </row>
    <row r="49914">
      <c r="AI49914" s="80"/>
    </row>
    <row r="49915">
      <c r="AI49915" s="80"/>
    </row>
    <row r="49916">
      <c r="AI49916" s="80"/>
    </row>
    <row r="49917">
      <c r="AI49917" s="80"/>
    </row>
    <row r="49918">
      <c r="AI49918" s="80"/>
    </row>
    <row r="49919">
      <c r="AI49919" s="80"/>
    </row>
    <row r="49920">
      <c r="AI49920" s="80"/>
    </row>
    <row r="49921">
      <c r="AI49921" s="80"/>
    </row>
    <row r="49922">
      <c r="AI49922" s="80"/>
    </row>
    <row r="49923">
      <c r="AI49923" s="80"/>
    </row>
    <row r="49924">
      <c r="AI49924" s="80"/>
    </row>
    <row r="49925">
      <c r="AI49925" s="80"/>
    </row>
    <row r="49926">
      <c r="AI49926" s="80"/>
    </row>
    <row r="49927">
      <c r="AI49927" s="80"/>
    </row>
    <row r="49928">
      <c r="AI49928" s="80"/>
    </row>
    <row r="49929">
      <c r="AI49929" s="80"/>
    </row>
    <row r="49930">
      <c r="AI49930" s="80"/>
    </row>
    <row r="49931">
      <c r="AI49931" s="80"/>
    </row>
    <row r="49932">
      <c r="AI49932" s="80"/>
    </row>
    <row r="49933">
      <c r="AI49933" s="80"/>
    </row>
    <row r="49934">
      <c r="AI49934" s="80"/>
    </row>
    <row r="49935">
      <c r="AI49935" s="80"/>
    </row>
    <row r="49936">
      <c r="AI49936" s="80"/>
    </row>
    <row r="49937">
      <c r="AI49937" s="80"/>
    </row>
    <row r="49938">
      <c r="AI49938" s="80"/>
    </row>
    <row r="49939">
      <c r="AI49939" s="80"/>
    </row>
    <row r="49940">
      <c r="AI49940" s="80"/>
    </row>
    <row r="49941">
      <c r="AI49941" s="80"/>
    </row>
    <row r="49942">
      <c r="AI49942" s="80"/>
    </row>
    <row r="49943">
      <c r="AI49943" s="80"/>
    </row>
    <row r="49944">
      <c r="AI49944" s="80"/>
    </row>
    <row r="49945">
      <c r="AI49945" s="80"/>
    </row>
    <row r="49946">
      <c r="AI49946" s="80"/>
    </row>
    <row r="49947">
      <c r="AI49947" s="80"/>
    </row>
    <row r="49948">
      <c r="AI49948" s="80"/>
    </row>
    <row r="49949">
      <c r="AI49949" s="80"/>
    </row>
    <row r="49950">
      <c r="AI49950" s="80"/>
    </row>
    <row r="49951">
      <c r="AI49951" s="80"/>
    </row>
    <row r="49952">
      <c r="AI49952" s="80"/>
    </row>
    <row r="49953">
      <c r="AI49953" s="80"/>
    </row>
    <row r="49954">
      <c r="AI49954" s="80"/>
    </row>
    <row r="49955">
      <c r="AI49955" s="80"/>
    </row>
    <row r="49956">
      <c r="AI49956" s="80"/>
    </row>
    <row r="49957">
      <c r="AI49957" s="80"/>
    </row>
    <row r="49958">
      <c r="AI49958" s="80"/>
    </row>
    <row r="49959">
      <c r="AI49959" s="80"/>
    </row>
    <row r="49960">
      <c r="AI49960" s="80"/>
    </row>
    <row r="49961">
      <c r="AI49961" s="80"/>
    </row>
    <row r="49962">
      <c r="AI49962" s="80"/>
    </row>
    <row r="49963">
      <c r="AI49963" s="80"/>
    </row>
    <row r="49964">
      <c r="AI49964" s="80"/>
    </row>
    <row r="49965">
      <c r="AI49965" s="80"/>
    </row>
    <row r="49966">
      <c r="AI49966" s="80"/>
    </row>
    <row r="49967">
      <c r="AI49967" s="80"/>
    </row>
    <row r="49968">
      <c r="AI49968" s="80"/>
    </row>
    <row r="49969">
      <c r="AI49969" s="80"/>
    </row>
    <row r="49970">
      <c r="AI49970" s="80"/>
    </row>
    <row r="49971">
      <c r="AI49971" s="80"/>
    </row>
    <row r="49972">
      <c r="AI49972" s="80"/>
    </row>
    <row r="49973">
      <c r="AI49973" s="80"/>
    </row>
    <row r="49974">
      <c r="AI49974" s="80"/>
    </row>
    <row r="49975">
      <c r="AI49975" s="80"/>
    </row>
    <row r="49976">
      <c r="AI49976" s="80"/>
    </row>
    <row r="49977">
      <c r="AI49977" s="80"/>
    </row>
    <row r="49978">
      <c r="AI49978" s="80"/>
    </row>
    <row r="49979">
      <c r="AI49979" s="80"/>
    </row>
    <row r="49980">
      <c r="AI49980" s="80"/>
    </row>
    <row r="49981">
      <c r="AI49981" s="80"/>
    </row>
    <row r="49982">
      <c r="AI49982" s="80"/>
    </row>
    <row r="49983">
      <c r="AI49983" s="80"/>
    </row>
    <row r="49984">
      <c r="AI49984" s="80"/>
    </row>
    <row r="49985">
      <c r="AI49985" s="80"/>
    </row>
    <row r="49986">
      <c r="AI49986" s="80"/>
    </row>
    <row r="49987">
      <c r="AI49987" s="80"/>
    </row>
    <row r="49988">
      <c r="AI49988" s="80"/>
    </row>
    <row r="49989">
      <c r="AI49989" s="80"/>
    </row>
    <row r="49990">
      <c r="AI49990" s="80"/>
    </row>
    <row r="49991">
      <c r="AI49991" s="80"/>
    </row>
    <row r="49992">
      <c r="AI49992" s="80"/>
    </row>
    <row r="49993">
      <c r="AI49993" s="80"/>
    </row>
    <row r="49994">
      <c r="AI49994" s="80"/>
    </row>
    <row r="49995">
      <c r="AI49995" s="80"/>
    </row>
    <row r="49996">
      <c r="AI49996" s="80"/>
    </row>
    <row r="49997">
      <c r="AI49997" s="80"/>
    </row>
    <row r="49998">
      <c r="AI49998" s="80"/>
    </row>
    <row r="49999">
      <c r="AI49999" s="80"/>
    </row>
    <row r="50000">
      <c r="AI50000" s="80"/>
    </row>
    <row r="50001">
      <c r="AI50001" s="80"/>
    </row>
    <row r="50002">
      <c r="AI50002" s="80"/>
    </row>
    <row r="50003">
      <c r="AI50003" s="80"/>
    </row>
    <row r="50004">
      <c r="AI50004" s="80"/>
    </row>
    <row r="50005">
      <c r="AI50005" s="80"/>
    </row>
    <row r="50006">
      <c r="AI50006" s="80"/>
    </row>
    <row r="50007">
      <c r="AI50007" s="80"/>
    </row>
    <row r="50008">
      <c r="AI50008" s="80"/>
    </row>
    <row r="50009">
      <c r="AI50009" s="80"/>
    </row>
    <row r="50010">
      <c r="AI50010" s="80"/>
    </row>
    <row r="50011">
      <c r="AI50011" s="80"/>
    </row>
    <row r="50012">
      <c r="AI50012" s="80"/>
    </row>
    <row r="50013">
      <c r="AI50013" s="80"/>
    </row>
    <row r="50014">
      <c r="AI50014" s="80"/>
    </row>
    <row r="50015">
      <c r="AI50015" s="80"/>
    </row>
    <row r="50016">
      <c r="AI50016" s="80"/>
    </row>
    <row r="50017">
      <c r="AI50017" s="80"/>
    </row>
    <row r="50018">
      <c r="AI50018" s="80"/>
    </row>
    <row r="50019">
      <c r="AI50019" s="80"/>
    </row>
    <row r="50020">
      <c r="AI50020" s="80"/>
    </row>
    <row r="50021">
      <c r="AI50021" s="80"/>
    </row>
    <row r="50022">
      <c r="AI50022" s="80"/>
    </row>
    <row r="50023">
      <c r="AI50023" s="80"/>
    </row>
    <row r="50024">
      <c r="AI50024" s="80"/>
    </row>
    <row r="50025">
      <c r="AI50025" s="80"/>
    </row>
    <row r="50026">
      <c r="AI50026" s="80"/>
    </row>
    <row r="50027">
      <c r="AI50027" s="80"/>
    </row>
    <row r="50028">
      <c r="AI50028" s="80"/>
    </row>
    <row r="50029">
      <c r="AI50029" s="80"/>
    </row>
    <row r="50030">
      <c r="AI50030" s="80"/>
    </row>
    <row r="50031">
      <c r="AI50031" s="80"/>
    </row>
    <row r="50032">
      <c r="AI50032" s="80"/>
    </row>
    <row r="50033">
      <c r="AI50033" s="80"/>
    </row>
    <row r="50034">
      <c r="AI50034" s="80"/>
    </row>
    <row r="50035">
      <c r="AI50035" s="80"/>
    </row>
    <row r="50036">
      <c r="AI50036" s="80"/>
    </row>
    <row r="50037">
      <c r="AI50037" s="80"/>
    </row>
    <row r="50038">
      <c r="AI50038" s="80"/>
    </row>
    <row r="50039">
      <c r="AI50039" s="80"/>
    </row>
    <row r="50040">
      <c r="AI50040" s="80"/>
    </row>
    <row r="50041">
      <c r="AI50041" s="80"/>
    </row>
    <row r="50042">
      <c r="AI50042" s="80"/>
    </row>
    <row r="50043">
      <c r="AI50043" s="80"/>
    </row>
    <row r="50044">
      <c r="AI50044" s="80"/>
    </row>
    <row r="50045">
      <c r="AI50045" s="80"/>
    </row>
    <row r="50046">
      <c r="AI50046" s="80"/>
    </row>
    <row r="50047">
      <c r="AI50047" s="80"/>
    </row>
    <row r="50048">
      <c r="AI50048" s="80"/>
    </row>
    <row r="50049">
      <c r="AI50049" s="80"/>
    </row>
    <row r="50050">
      <c r="AI50050" s="80"/>
    </row>
    <row r="50051">
      <c r="AI50051" s="80"/>
    </row>
    <row r="50052">
      <c r="AI50052" s="80"/>
    </row>
    <row r="50053">
      <c r="AI50053" s="80"/>
    </row>
    <row r="50054">
      <c r="AI50054" s="80"/>
    </row>
    <row r="50055">
      <c r="AI50055" s="80"/>
    </row>
    <row r="50056">
      <c r="AI50056" s="80"/>
    </row>
    <row r="50057">
      <c r="AI50057" s="80"/>
    </row>
    <row r="50058">
      <c r="AI50058" s="80"/>
    </row>
    <row r="50059">
      <c r="AI50059" s="80"/>
    </row>
    <row r="50060">
      <c r="AI50060" s="80"/>
    </row>
    <row r="50061">
      <c r="AI50061" s="80"/>
    </row>
    <row r="50062">
      <c r="AI50062" s="80"/>
    </row>
    <row r="50063">
      <c r="AI50063" s="80"/>
    </row>
    <row r="50064">
      <c r="AI50064" s="80"/>
    </row>
    <row r="50065">
      <c r="AI50065" s="80"/>
    </row>
    <row r="50066">
      <c r="AI50066" s="80"/>
    </row>
    <row r="50067">
      <c r="AI50067" s="80"/>
    </row>
    <row r="50068">
      <c r="AI50068" s="80"/>
    </row>
    <row r="50069">
      <c r="AI50069" s="80"/>
    </row>
    <row r="50070">
      <c r="AI50070" s="80"/>
    </row>
    <row r="50071">
      <c r="AI50071" s="80"/>
    </row>
    <row r="50072">
      <c r="AI50072" s="80"/>
    </row>
    <row r="50073">
      <c r="AI50073" s="80"/>
    </row>
    <row r="50074">
      <c r="AI50074" s="80"/>
    </row>
    <row r="50075">
      <c r="AI50075" s="80"/>
    </row>
    <row r="50076">
      <c r="AI50076" s="80"/>
    </row>
    <row r="50077">
      <c r="AI50077" s="80"/>
    </row>
    <row r="50078">
      <c r="AI50078" s="80"/>
    </row>
    <row r="50079">
      <c r="AI50079" s="80"/>
    </row>
    <row r="50080">
      <c r="AI50080" s="80"/>
    </row>
    <row r="50081">
      <c r="AI50081" s="80"/>
    </row>
    <row r="50082">
      <c r="AI50082" s="80"/>
    </row>
    <row r="50083">
      <c r="AI50083" s="80"/>
    </row>
    <row r="50084">
      <c r="AI50084" s="80"/>
    </row>
    <row r="50085">
      <c r="AI50085" s="80"/>
    </row>
    <row r="50086">
      <c r="AI50086" s="80"/>
    </row>
    <row r="50087">
      <c r="AI50087" s="80"/>
    </row>
    <row r="50088">
      <c r="AI50088" s="80"/>
    </row>
    <row r="50089">
      <c r="AI50089" s="80"/>
    </row>
    <row r="50090">
      <c r="AI50090" s="80"/>
    </row>
    <row r="50091">
      <c r="AI50091" s="80"/>
    </row>
    <row r="50092">
      <c r="AI50092" s="80"/>
    </row>
    <row r="50093">
      <c r="AI50093" s="80"/>
    </row>
    <row r="50094">
      <c r="AI50094" s="80"/>
    </row>
    <row r="50095">
      <c r="AI50095" s="80"/>
    </row>
    <row r="50096">
      <c r="AI50096" s="80"/>
    </row>
    <row r="50097">
      <c r="AI50097" s="80"/>
    </row>
    <row r="50098">
      <c r="AI50098" s="80"/>
    </row>
    <row r="50099">
      <c r="AI50099" s="80"/>
    </row>
    <row r="50100">
      <c r="AI50100" s="80"/>
    </row>
    <row r="50101">
      <c r="AI50101" s="80"/>
    </row>
    <row r="50102">
      <c r="AI50102" s="80"/>
    </row>
    <row r="50103">
      <c r="AI50103" s="80"/>
    </row>
    <row r="50104">
      <c r="AI50104" s="80"/>
    </row>
    <row r="50105">
      <c r="AI50105" s="80"/>
    </row>
    <row r="50106">
      <c r="AI50106" s="80"/>
    </row>
    <row r="50107">
      <c r="AI50107" s="80"/>
    </row>
    <row r="50108">
      <c r="AI50108" s="80"/>
    </row>
    <row r="50109">
      <c r="AI50109" s="80"/>
    </row>
    <row r="50110">
      <c r="AI50110" s="80"/>
    </row>
    <row r="50111">
      <c r="AI50111" s="80"/>
    </row>
    <row r="50112">
      <c r="AI50112" s="80"/>
    </row>
    <row r="50113">
      <c r="AI50113" s="80"/>
    </row>
    <row r="50114">
      <c r="AI50114" s="80"/>
    </row>
    <row r="50115">
      <c r="AI50115" s="80"/>
    </row>
    <row r="50116">
      <c r="AI50116" s="80"/>
    </row>
    <row r="50117">
      <c r="AI50117" s="80"/>
    </row>
    <row r="50118">
      <c r="AI50118" s="80"/>
    </row>
    <row r="50119">
      <c r="AI50119" s="80"/>
    </row>
    <row r="50120">
      <c r="AI50120" s="80"/>
    </row>
    <row r="50121">
      <c r="AI50121" s="80"/>
    </row>
    <row r="50122">
      <c r="AI50122" s="80"/>
    </row>
    <row r="50123">
      <c r="AI50123" s="80"/>
    </row>
    <row r="50124">
      <c r="AI50124" s="80"/>
    </row>
    <row r="50125">
      <c r="AI50125" s="80"/>
    </row>
    <row r="50126">
      <c r="AI50126" s="80"/>
    </row>
    <row r="50127">
      <c r="AI50127" s="80"/>
    </row>
    <row r="50128">
      <c r="AI50128" s="80"/>
    </row>
    <row r="50129">
      <c r="AI50129" s="80"/>
    </row>
    <row r="50130">
      <c r="AI50130" s="80"/>
    </row>
    <row r="50131">
      <c r="AI50131" s="80"/>
    </row>
    <row r="50132">
      <c r="AI50132" s="80"/>
    </row>
    <row r="50133">
      <c r="AI50133" s="80"/>
    </row>
    <row r="50134">
      <c r="AI50134" s="80"/>
    </row>
    <row r="50135">
      <c r="AI50135" s="80"/>
    </row>
    <row r="50136">
      <c r="AI50136" s="80"/>
    </row>
    <row r="50137">
      <c r="AI50137" s="80"/>
    </row>
    <row r="50138">
      <c r="AI50138" s="80"/>
    </row>
    <row r="50139">
      <c r="AI50139" s="80"/>
    </row>
    <row r="50140">
      <c r="AI50140" s="80"/>
    </row>
    <row r="50141">
      <c r="AI50141" s="80"/>
    </row>
    <row r="50142">
      <c r="AI50142" s="80"/>
    </row>
    <row r="50143">
      <c r="AI50143" s="80"/>
    </row>
    <row r="50144">
      <c r="AI50144" s="80"/>
    </row>
    <row r="50145">
      <c r="AI50145" s="80"/>
    </row>
    <row r="50146">
      <c r="AI50146" s="80"/>
    </row>
    <row r="50147">
      <c r="AI50147" s="80"/>
    </row>
    <row r="50148">
      <c r="AI50148" s="80"/>
    </row>
    <row r="50149">
      <c r="AI50149" s="80"/>
    </row>
    <row r="50150">
      <c r="AI50150" s="80"/>
    </row>
    <row r="50151">
      <c r="AI50151" s="80"/>
    </row>
    <row r="50152">
      <c r="AI50152" s="80"/>
    </row>
    <row r="50153">
      <c r="AI50153" s="80"/>
    </row>
    <row r="50154">
      <c r="AI50154" s="80"/>
    </row>
    <row r="50155">
      <c r="AI50155" s="80"/>
    </row>
    <row r="50156">
      <c r="AI50156" s="80"/>
    </row>
    <row r="50157">
      <c r="AI50157" s="80"/>
    </row>
    <row r="50158">
      <c r="AI50158" s="80"/>
    </row>
    <row r="50159">
      <c r="AI50159" s="80"/>
    </row>
    <row r="50160">
      <c r="AI50160" s="80"/>
    </row>
    <row r="50161">
      <c r="AI50161" s="80"/>
    </row>
    <row r="50162">
      <c r="AI50162" s="80"/>
    </row>
    <row r="50163">
      <c r="AI50163" s="80"/>
    </row>
    <row r="50164">
      <c r="AI50164" s="80"/>
    </row>
    <row r="50165">
      <c r="AI50165" s="80"/>
    </row>
    <row r="50166">
      <c r="AI50166" s="80"/>
    </row>
    <row r="50167">
      <c r="AI50167" s="80"/>
    </row>
    <row r="50168">
      <c r="AI50168" s="80"/>
    </row>
    <row r="50169">
      <c r="AI50169" s="80"/>
    </row>
    <row r="50170">
      <c r="AI50170" s="80"/>
    </row>
    <row r="50171">
      <c r="AI50171" s="80"/>
    </row>
    <row r="50172">
      <c r="AI50172" s="80"/>
    </row>
    <row r="50173">
      <c r="AI50173" s="80"/>
    </row>
    <row r="50174">
      <c r="AI50174" s="80"/>
    </row>
    <row r="50175">
      <c r="AI50175" s="80"/>
    </row>
    <row r="50176">
      <c r="AI50176" s="80"/>
    </row>
    <row r="50177">
      <c r="AI50177" s="80"/>
    </row>
    <row r="50178">
      <c r="AI50178" s="80"/>
    </row>
    <row r="50179">
      <c r="AI50179" s="80"/>
    </row>
    <row r="50180">
      <c r="AI50180" s="80"/>
    </row>
    <row r="50181">
      <c r="AI50181" s="80"/>
    </row>
    <row r="50182">
      <c r="AI50182" s="80"/>
    </row>
    <row r="50183">
      <c r="AI50183" s="80"/>
    </row>
    <row r="50184">
      <c r="AI50184" s="80"/>
    </row>
    <row r="50185">
      <c r="AI50185" s="80"/>
    </row>
    <row r="50186">
      <c r="AI50186" s="80"/>
    </row>
    <row r="50187">
      <c r="AI50187" s="80"/>
    </row>
    <row r="50188">
      <c r="AI50188" s="80"/>
    </row>
    <row r="50189">
      <c r="AI50189" s="80"/>
    </row>
    <row r="50190">
      <c r="AI50190" s="80"/>
    </row>
    <row r="50191">
      <c r="AI50191" s="80"/>
    </row>
    <row r="50192">
      <c r="AI50192" s="80"/>
    </row>
    <row r="50193">
      <c r="AI50193" s="80"/>
    </row>
    <row r="50194">
      <c r="AI50194" s="80"/>
    </row>
    <row r="50195">
      <c r="AI50195" s="80"/>
    </row>
    <row r="50196">
      <c r="AI50196" s="80"/>
    </row>
    <row r="50197">
      <c r="AI50197" s="80"/>
    </row>
    <row r="50198">
      <c r="AI50198" s="80"/>
    </row>
    <row r="50199">
      <c r="AI50199" s="80"/>
    </row>
    <row r="50200">
      <c r="AI50200" s="80"/>
    </row>
    <row r="50201">
      <c r="AI50201" s="80"/>
    </row>
    <row r="50202">
      <c r="AI50202" s="80"/>
    </row>
    <row r="50203">
      <c r="AI50203" s="80"/>
    </row>
    <row r="50204">
      <c r="AI50204" s="80"/>
    </row>
    <row r="50205">
      <c r="AI50205" s="80"/>
    </row>
    <row r="50206">
      <c r="AI50206" s="80"/>
    </row>
    <row r="50207">
      <c r="AI50207" s="80"/>
    </row>
    <row r="50208">
      <c r="AI50208" s="80"/>
    </row>
    <row r="50209">
      <c r="AI50209" s="80"/>
    </row>
    <row r="50210">
      <c r="AI50210" s="80"/>
    </row>
    <row r="50211">
      <c r="AI50211" s="80"/>
    </row>
    <row r="50212">
      <c r="AI50212" s="80"/>
    </row>
    <row r="50213">
      <c r="AI50213" s="80"/>
    </row>
    <row r="50214">
      <c r="AI50214" s="80"/>
    </row>
    <row r="50215">
      <c r="AI50215" s="80"/>
    </row>
    <row r="50216">
      <c r="AI50216" s="80"/>
    </row>
    <row r="50217">
      <c r="AI50217" s="80"/>
    </row>
    <row r="50218">
      <c r="AI50218" s="80"/>
    </row>
    <row r="50219">
      <c r="AI50219" s="80"/>
    </row>
    <row r="50220">
      <c r="AI50220" s="80"/>
    </row>
    <row r="50221">
      <c r="AI50221" s="80"/>
    </row>
    <row r="50222">
      <c r="AI50222" s="80"/>
    </row>
    <row r="50223">
      <c r="AI50223" s="80"/>
    </row>
    <row r="50224">
      <c r="AI50224" s="80"/>
    </row>
    <row r="50225">
      <c r="AI50225" s="80"/>
    </row>
    <row r="50226">
      <c r="AI50226" s="80"/>
    </row>
    <row r="50227">
      <c r="AI50227" s="80"/>
    </row>
    <row r="50228">
      <c r="AI50228" s="80"/>
    </row>
    <row r="50229">
      <c r="AI50229" s="80"/>
    </row>
    <row r="50230">
      <c r="AI50230" s="80"/>
    </row>
    <row r="50231">
      <c r="AI50231" s="80"/>
    </row>
    <row r="50232">
      <c r="AI50232" s="80"/>
    </row>
    <row r="50233">
      <c r="AI50233" s="80"/>
    </row>
    <row r="50234">
      <c r="AI50234" s="80"/>
    </row>
    <row r="50235">
      <c r="AI50235" s="80"/>
    </row>
    <row r="50236">
      <c r="AI50236" s="80"/>
    </row>
    <row r="50237">
      <c r="AI50237" s="80"/>
    </row>
    <row r="50238">
      <c r="AI50238" s="80"/>
    </row>
    <row r="50239">
      <c r="AI50239" s="80"/>
    </row>
    <row r="50240">
      <c r="AI50240" s="80"/>
    </row>
    <row r="50241">
      <c r="AI50241" s="80"/>
    </row>
    <row r="50242">
      <c r="AI50242" s="80"/>
    </row>
    <row r="50243">
      <c r="AI50243" s="80"/>
    </row>
    <row r="50244">
      <c r="AI50244" s="80"/>
    </row>
    <row r="50245">
      <c r="AI50245" s="80"/>
    </row>
    <row r="50246">
      <c r="AI50246" s="80"/>
    </row>
    <row r="50247">
      <c r="AI50247" s="80"/>
    </row>
    <row r="50248">
      <c r="AI50248" s="80"/>
    </row>
    <row r="50249">
      <c r="AI50249" s="80"/>
    </row>
    <row r="50250">
      <c r="AI50250" s="80"/>
    </row>
    <row r="50251">
      <c r="AI50251" s="80"/>
    </row>
    <row r="50252">
      <c r="AI50252" s="80"/>
    </row>
    <row r="50253">
      <c r="AI50253" s="80"/>
    </row>
    <row r="50254">
      <c r="AI50254" s="80"/>
    </row>
    <row r="50255">
      <c r="AI50255" s="80"/>
    </row>
    <row r="50256">
      <c r="AI50256" s="80"/>
    </row>
    <row r="50257">
      <c r="AI50257" s="80"/>
    </row>
    <row r="50258">
      <c r="AI50258" s="80"/>
    </row>
    <row r="50259">
      <c r="AI50259" s="80"/>
    </row>
    <row r="50260">
      <c r="AI50260" s="80"/>
    </row>
    <row r="50261">
      <c r="AI50261" s="80"/>
    </row>
    <row r="50262">
      <c r="AI50262" s="80"/>
    </row>
    <row r="50263">
      <c r="AI50263" s="80"/>
    </row>
    <row r="50264">
      <c r="AI50264" s="80"/>
    </row>
    <row r="50265">
      <c r="AI50265" s="80"/>
    </row>
    <row r="50266">
      <c r="AI50266" s="80"/>
    </row>
    <row r="50267">
      <c r="AI50267" s="80"/>
    </row>
    <row r="50268">
      <c r="AI50268" s="80"/>
    </row>
    <row r="50269">
      <c r="AI50269" s="80"/>
    </row>
    <row r="50270">
      <c r="AI50270" s="80"/>
    </row>
    <row r="50271">
      <c r="AI50271" s="80"/>
    </row>
    <row r="50272">
      <c r="AI50272" s="80"/>
    </row>
    <row r="50273">
      <c r="AI50273" s="80"/>
    </row>
    <row r="50274">
      <c r="AI50274" s="80"/>
    </row>
    <row r="50275">
      <c r="AI50275" s="80"/>
    </row>
    <row r="50276">
      <c r="AI50276" s="80"/>
    </row>
    <row r="50277">
      <c r="AI50277" s="80"/>
    </row>
    <row r="50278">
      <c r="AI50278" s="80"/>
    </row>
    <row r="50279">
      <c r="AI50279" s="80"/>
    </row>
    <row r="50280">
      <c r="AI50280" s="80"/>
    </row>
    <row r="50281">
      <c r="AI50281" s="80"/>
    </row>
    <row r="50282">
      <c r="AI50282" s="80"/>
    </row>
    <row r="50283">
      <c r="AI50283" s="80"/>
    </row>
    <row r="50284">
      <c r="AI50284" s="80"/>
    </row>
    <row r="50285">
      <c r="AI50285" s="80"/>
    </row>
    <row r="50286">
      <c r="AI50286" s="80"/>
    </row>
    <row r="50287">
      <c r="AI50287" s="80"/>
    </row>
    <row r="50288">
      <c r="AI50288" s="80"/>
    </row>
    <row r="50289">
      <c r="AI50289" s="80"/>
    </row>
    <row r="50290">
      <c r="AI50290" s="80"/>
    </row>
    <row r="50291">
      <c r="AI50291" s="80"/>
    </row>
    <row r="50292">
      <c r="AI50292" s="80"/>
    </row>
    <row r="50293">
      <c r="AI50293" s="80"/>
    </row>
    <row r="50294">
      <c r="AI50294" s="80"/>
    </row>
    <row r="50295">
      <c r="AI50295" s="80"/>
    </row>
    <row r="50296">
      <c r="AI50296" s="80"/>
    </row>
    <row r="50297">
      <c r="AI50297" s="80"/>
    </row>
    <row r="50298">
      <c r="AI50298" s="80"/>
    </row>
    <row r="50299">
      <c r="AI50299" s="80"/>
    </row>
    <row r="50300">
      <c r="AI50300" s="80"/>
    </row>
    <row r="50301">
      <c r="AI50301" s="80"/>
    </row>
    <row r="50302">
      <c r="AI50302" s="80"/>
    </row>
    <row r="50303">
      <c r="AI50303" s="80"/>
    </row>
    <row r="50304">
      <c r="AI50304" s="80"/>
    </row>
    <row r="50305">
      <c r="AI50305" s="80"/>
    </row>
    <row r="50306">
      <c r="AI50306" s="80"/>
    </row>
    <row r="50307">
      <c r="AI50307" s="80"/>
    </row>
    <row r="50308">
      <c r="AI50308" s="80"/>
    </row>
    <row r="50309">
      <c r="AI50309" s="80"/>
    </row>
    <row r="50310">
      <c r="AI50310" s="80"/>
    </row>
    <row r="50311">
      <c r="AI50311" s="80"/>
    </row>
    <row r="50312">
      <c r="AI50312" s="80"/>
    </row>
    <row r="50313">
      <c r="AI50313" s="80"/>
    </row>
    <row r="50314">
      <c r="AI50314" s="80"/>
    </row>
    <row r="50315">
      <c r="AI50315" s="80"/>
    </row>
    <row r="50316">
      <c r="AI50316" s="80"/>
    </row>
    <row r="50317">
      <c r="AI50317" s="80"/>
    </row>
    <row r="50318">
      <c r="AI50318" s="80"/>
    </row>
    <row r="50319">
      <c r="AI50319" s="80"/>
    </row>
    <row r="50320">
      <c r="AI50320" s="80"/>
    </row>
    <row r="50321">
      <c r="AI50321" s="80"/>
    </row>
    <row r="50322">
      <c r="AI50322" s="80"/>
    </row>
    <row r="50323">
      <c r="AI50323" s="80"/>
    </row>
    <row r="50324">
      <c r="AI50324" s="80"/>
    </row>
    <row r="50325">
      <c r="AI50325" s="80"/>
    </row>
    <row r="50326">
      <c r="AI50326" s="80"/>
    </row>
    <row r="50327">
      <c r="AI50327" s="80"/>
    </row>
    <row r="50328">
      <c r="AI50328" s="80"/>
    </row>
    <row r="50329">
      <c r="AI50329" s="80"/>
    </row>
    <row r="50330">
      <c r="AI50330" s="80"/>
    </row>
    <row r="50331">
      <c r="AI50331" s="80"/>
    </row>
    <row r="50332">
      <c r="AI50332" s="80"/>
    </row>
    <row r="50333">
      <c r="AI50333" s="80"/>
    </row>
    <row r="50334">
      <c r="AI50334" s="80"/>
    </row>
    <row r="50335">
      <c r="AI50335" s="80"/>
    </row>
    <row r="50336">
      <c r="AI50336" s="80"/>
    </row>
    <row r="50337">
      <c r="AI50337" s="80"/>
    </row>
    <row r="50338">
      <c r="AI50338" s="80"/>
    </row>
    <row r="50339">
      <c r="AI50339" s="80"/>
    </row>
    <row r="50340">
      <c r="AI50340" s="80"/>
    </row>
    <row r="50341">
      <c r="AI50341" s="80"/>
    </row>
    <row r="50342">
      <c r="AI50342" s="80"/>
    </row>
    <row r="50343">
      <c r="AI50343" s="80"/>
    </row>
    <row r="50344">
      <c r="AI50344" s="80"/>
    </row>
    <row r="50345">
      <c r="AI50345" s="80"/>
    </row>
    <row r="50346">
      <c r="AI50346" s="80"/>
    </row>
    <row r="50347">
      <c r="AI50347" s="80"/>
    </row>
    <row r="50348">
      <c r="AI50348" s="80"/>
    </row>
    <row r="50349">
      <c r="AI50349" s="80"/>
    </row>
    <row r="50350">
      <c r="AI50350" s="80"/>
    </row>
    <row r="50351">
      <c r="AI50351" s="80"/>
    </row>
    <row r="50352">
      <c r="AI50352" s="80"/>
    </row>
    <row r="50353">
      <c r="AI50353" s="80"/>
    </row>
    <row r="50354">
      <c r="AI50354" s="80"/>
    </row>
    <row r="50355">
      <c r="AI50355" s="80"/>
    </row>
    <row r="50356">
      <c r="AI50356" s="80"/>
    </row>
    <row r="50357">
      <c r="AI50357" s="80"/>
    </row>
    <row r="50358">
      <c r="AI50358" s="80"/>
    </row>
    <row r="50359">
      <c r="AI50359" s="80"/>
    </row>
    <row r="50360">
      <c r="AI50360" s="80"/>
    </row>
    <row r="50361">
      <c r="AI50361" s="80"/>
    </row>
    <row r="50362">
      <c r="AI50362" s="80"/>
    </row>
    <row r="50363">
      <c r="AI50363" s="80"/>
    </row>
    <row r="50364">
      <c r="AI50364" s="80"/>
    </row>
    <row r="50365">
      <c r="AI50365" s="80"/>
    </row>
    <row r="50366">
      <c r="AI50366" s="80"/>
    </row>
    <row r="50367">
      <c r="AI50367" s="80"/>
    </row>
    <row r="50368">
      <c r="AI50368" s="80"/>
    </row>
    <row r="50369">
      <c r="AI50369" s="80"/>
    </row>
    <row r="50370">
      <c r="AI50370" s="80"/>
    </row>
    <row r="50371">
      <c r="AI50371" s="80"/>
    </row>
    <row r="50372">
      <c r="AI50372" s="80"/>
    </row>
    <row r="50373">
      <c r="AI50373" s="80"/>
    </row>
    <row r="50374">
      <c r="AI50374" s="80"/>
    </row>
    <row r="50375">
      <c r="AI50375" s="80"/>
    </row>
    <row r="50376">
      <c r="AI50376" s="80"/>
    </row>
    <row r="50377">
      <c r="AI50377" s="80"/>
    </row>
    <row r="50378">
      <c r="AI50378" s="80"/>
    </row>
    <row r="50379">
      <c r="AI50379" s="80"/>
    </row>
    <row r="50380">
      <c r="AI50380" s="80"/>
    </row>
    <row r="50381">
      <c r="AI50381" s="80"/>
    </row>
    <row r="50382">
      <c r="AI50382" s="80"/>
    </row>
    <row r="50383">
      <c r="AI50383" s="80"/>
    </row>
    <row r="50384">
      <c r="AI50384" s="80"/>
    </row>
    <row r="50385">
      <c r="AI50385" s="80"/>
    </row>
    <row r="50386">
      <c r="AI50386" s="80"/>
    </row>
    <row r="50387">
      <c r="AI50387" s="80"/>
    </row>
    <row r="50388">
      <c r="AI50388" s="80"/>
    </row>
    <row r="50389">
      <c r="AI50389" s="80"/>
    </row>
    <row r="50390">
      <c r="AI50390" s="80"/>
    </row>
    <row r="50391">
      <c r="AI50391" s="80"/>
    </row>
    <row r="50392">
      <c r="AI50392" s="80"/>
    </row>
    <row r="50393">
      <c r="AI50393" s="80"/>
    </row>
    <row r="50394">
      <c r="AI50394" s="80"/>
    </row>
    <row r="50395">
      <c r="AI50395" s="80"/>
    </row>
    <row r="50396">
      <c r="AI50396" s="80"/>
    </row>
    <row r="50397">
      <c r="AI50397" s="80"/>
    </row>
    <row r="50398">
      <c r="AI50398" s="80"/>
    </row>
    <row r="50399">
      <c r="AI50399" s="80"/>
    </row>
    <row r="50400">
      <c r="AI50400" s="80"/>
    </row>
    <row r="50401">
      <c r="AI50401" s="80"/>
    </row>
    <row r="50402">
      <c r="AI50402" s="80"/>
    </row>
    <row r="50403">
      <c r="AI50403" s="80"/>
    </row>
    <row r="50404">
      <c r="AI50404" s="80"/>
    </row>
    <row r="50405">
      <c r="AI50405" s="80"/>
    </row>
    <row r="50406">
      <c r="AI50406" s="80"/>
    </row>
    <row r="50407">
      <c r="AI50407" s="80"/>
    </row>
    <row r="50408">
      <c r="AI50408" s="80"/>
    </row>
    <row r="50409">
      <c r="AI50409" s="80"/>
    </row>
    <row r="50410">
      <c r="AI50410" s="80"/>
    </row>
    <row r="50411">
      <c r="AI50411" s="80"/>
    </row>
    <row r="50412">
      <c r="AI50412" s="80"/>
    </row>
    <row r="50413">
      <c r="AI50413" s="80"/>
    </row>
    <row r="50414">
      <c r="AI50414" s="80"/>
    </row>
    <row r="50415">
      <c r="AI50415" s="80"/>
    </row>
    <row r="50416">
      <c r="AI50416" s="80"/>
    </row>
    <row r="50417">
      <c r="AI50417" s="80"/>
    </row>
    <row r="50418">
      <c r="AI50418" s="80"/>
    </row>
    <row r="50419">
      <c r="AI50419" s="80"/>
    </row>
    <row r="50420">
      <c r="AI50420" s="80"/>
    </row>
    <row r="50421">
      <c r="AI50421" s="80"/>
    </row>
    <row r="50422">
      <c r="AI50422" s="80"/>
    </row>
    <row r="50423">
      <c r="AI50423" s="80"/>
    </row>
    <row r="50424">
      <c r="AI50424" s="80"/>
    </row>
    <row r="50425">
      <c r="AI50425" s="80"/>
    </row>
    <row r="50426">
      <c r="AI50426" s="80"/>
    </row>
    <row r="50427">
      <c r="AI50427" s="80"/>
    </row>
    <row r="50428">
      <c r="AI50428" s="80"/>
    </row>
    <row r="50429">
      <c r="AI50429" s="80"/>
    </row>
    <row r="50430">
      <c r="AI50430" s="80"/>
    </row>
    <row r="50431">
      <c r="AI50431" s="80"/>
    </row>
    <row r="50432">
      <c r="AI50432" s="80"/>
    </row>
    <row r="50433">
      <c r="AI50433" s="80"/>
    </row>
    <row r="50434">
      <c r="AI50434" s="80"/>
    </row>
    <row r="50435">
      <c r="AI50435" s="80"/>
    </row>
    <row r="50436">
      <c r="AI50436" s="80"/>
    </row>
    <row r="50437">
      <c r="AI50437" s="80"/>
    </row>
    <row r="50438">
      <c r="AI50438" s="80"/>
    </row>
    <row r="50439">
      <c r="AI50439" s="80"/>
    </row>
    <row r="50440">
      <c r="AI50440" s="80"/>
    </row>
    <row r="50441">
      <c r="AI50441" s="80"/>
    </row>
    <row r="50442">
      <c r="AI50442" s="80"/>
    </row>
    <row r="50443">
      <c r="AI50443" s="80"/>
    </row>
    <row r="50444">
      <c r="AI50444" s="80"/>
    </row>
    <row r="50445">
      <c r="AI50445" s="80"/>
    </row>
    <row r="50446">
      <c r="AI50446" s="80"/>
    </row>
    <row r="50447">
      <c r="AI50447" s="80"/>
    </row>
    <row r="50448">
      <c r="AI50448" s="80"/>
    </row>
    <row r="50449">
      <c r="AI50449" s="80"/>
    </row>
    <row r="50450">
      <c r="AI50450" s="80"/>
    </row>
    <row r="50451">
      <c r="AI50451" s="80"/>
    </row>
    <row r="50452">
      <c r="AI50452" s="80"/>
    </row>
    <row r="50453">
      <c r="AI50453" s="80"/>
    </row>
    <row r="50454">
      <c r="AI50454" s="80"/>
    </row>
    <row r="50455">
      <c r="AI50455" s="80"/>
    </row>
    <row r="50456">
      <c r="AI50456" s="80"/>
    </row>
    <row r="50457">
      <c r="AI50457" s="80"/>
    </row>
    <row r="50458">
      <c r="AI50458" s="80"/>
    </row>
    <row r="50459">
      <c r="AI50459" s="80"/>
    </row>
    <row r="50460">
      <c r="AI50460" s="80"/>
    </row>
    <row r="50461">
      <c r="AI50461" s="80"/>
    </row>
    <row r="50462">
      <c r="AI50462" s="80"/>
    </row>
    <row r="50463">
      <c r="AI50463" s="80"/>
    </row>
    <row r="50464">
      <c r="AI50464" s="80"/>
    </row>
    <row r="50465">
      <c r="AI50465" s="80"/>
    </row>
    <row r="50466">
      <c r="AI50466" s="80"/>
    </row>
    <row r="50467">
      <c r="AI50467" s="80"/>
    </row>
    <row r="50468">
      <c r="AI50468" s="80"/>
    </row>
    <row r="50469">
      <c r="AI50469" s="80"/>
    </row>
    <row r="50470">
      <c r="AI50470" s="80"/>
    </row>
    <row r="50471">
      <c r="AI50471" s="80"/>
    </row>
    <row r="50472">
      <c r="AI50472" s="80"/>
    </row>
    <row r="50473">
      <c r="AI50473" s="80"/>
    </row>
    <row r="50474">
      <c r="AI50474" s="80"/>
    </row>
    <row r="50475">
      <c r="AI50475" s="80"/>
    </row>
    <row r="50476">
      <c r="AI50476" s="80"/>
    </row>
    <row r="50477">
      <c r="AI50477" s="80"/>
    </row>
    <row r="50478">
      <c r="AI50478" s="80"/>
    </row>
    <row r="50479">
      <c r="AI50479" s="80"/>
    </row>
    <row r="50480">
      <c r="AI50480" s="80"/>
    </row>
    <row r="50481">
      <c r="AI50481" s="80"/>
    </row>
    <row r="50482">
      <c r="AI50482" s="80"/>
    </row>
    <row r="50483">
      <c r="AI50483" s="80"/>
    </row>
    <row r="50484">
      <c r="AI50484" s="80"/>
    </row>
    <row r="50485">
      <c r="AI50485" s="80"/>
    </row>
    <row r="50486">
      <c r="AI50486" s="80"/>
    </row>
    <row r="50487">
      <c r="AI50487" s="80"/>
    </row>
    <row r="50488">
      <c r="AI50488" s="80"/>
    </row>
    <row r="50489">
      <c r="AI50489" s="80"/>
    </row>
    <row r="50490">
      <c r="AI50490" s="80"/>
    </row>
    <row r="50491">
      <c r="AI50491" s="80"/>
    </row>
    <row r="50492">
      <c r="AI50492" s="80"/>
    </row>
    <row r="50493">
      <c r="AI50493" s="80"/>
    </row>
    <row r="50494">
      <c r="AI50494" s="80"/>
    </row>
    <row r="50495">
      <c r="AI50495" s="80"/>
    </row>
    <row r="50496">
      <c r="AI50496" s="80"/>
    </row>
    <row r="50497">
      <c r="AI50497" s="80"/>
    </row>
    <row r="50498">
      <c r="AI50498" s="80"/>
    </row>
    <row r="50499">
      <c r="AI50499" s="80"/>
    </row>
  </sheetData>
  <mergeCells count="2">
    <mergeCell ref="AR5:AU5"/>
    <mergeCell ref="AR6:AR9"/>
  </mergeCells>
  <conditionalFormatting sqref="AM1:AM50499">
    <cfRule type="cellIs" dxfId="0" priority="1" operator="equal">
      <formula>"INACTIVO"</formula>
    </cfRule>
  </conditionalFormatting>
  <conditionalFormatting sqref="AM1:AM50499">
    <cfRule type="cellIs" dxfId="1" priority="2" operator="equal">
      <formula>"ROBLE MORADO"</formula>
    </cfRule>
  </conditionalFormatting>
  <conditionalFormatting sqref="AM1:AM50499">
    <cfRule type="cellIs" dxfId="2" priority="3" operator="equal">
      <formula>"ROBLE ROSADO"</formula>
    </cfRule>
  </conditionalFormatting>
  <conditionalFormatting sqref="AM1:AM50499">
    <cfRule type="cellIs" dxfId="3" priority="4" operator="equal">
      <formula>"ROBLE AMARILLO"</formula>
    </cfRule>
  </conditionalFormatting>
  <printOptions gridLines="1" horizontalCentered="1"/>
  <pageMargins bottom="0.75" footer="0.0" header="0.0" left="0.7" right="0.7" top="0.75"/>
  <pageSetup fitToWidth="0" paperSize="9" cellComments="atEnd" orientation="landscape" pageOrder="overThenDown"/>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9.38"/>
    <col customWidth="1" min="2" max="2" width="17.63"/>
    <col customWidth="1" min="3" max="3" width="25.5"/>
    <col customWidth="1" min="4" max="4" width="29.88"/>
  </cols>
  <sheetData>
    <row r="1">
      <c r="A1" s="51" t="str">
        <f>IFERROR(__xludf.DUMMYFUNCTION("QUERY(IMPORTRANGE(""https://docs.google.com/spreadsheets/d/1Kg38TbjUSEqiy7ZDRST4-4KgMwkxKZb6u3U07Xd7ZKU/edit#gid=1159427671"",""Solicitud de eventos!A:X""),CONCATENATE(""SELECT Col1, Col2, Col4, Col8,Col23""), 1)"),"Id de Solicitud")</f>
        <v>Id de Solicitud</v>
      </c>
      <c r="B1" s="52" t="str">
        <f>IFERROR(__xludf.DUMMYFUNCTION("""COMPUTED_VALUE"""),"Marca temporal")</f>
        <v>Marca temporal</v>
      </c>
      <c r="C1" s="52" t="str">
        <f>IFERROR(__xludf.DUMMYFUNCTION("""COMPUTED_VALUE"""),"Nombre del grupo")</f>
        <v>Nombre del grupo</v>
      </c>
      <c r="D1" s="52" t="str">
        <f>IFERROR(__xludf.DUMMYFUNCTION("""COMPUTED_VALUE"""),"Fecha y hora de inicio del evento")</f>
        <v>Fecha y hora de inicio del evento</v>
      </c>
      <c r="E1" s="52" t="str">
        <f>IFERROR(__xludf.DUMMYFUNCTION("""COMPUTED_VALUE"""),"COMENTARIOS")</f>
        <v>COMENTARIOS</v>
      </c>
      <c r="F1" s="81" t="str">
        <f t="array" ref="F1:F2002">IF((A:A)&lt;&gt;"",IF(ROW(A:A)=1,"Dias de anterioridad",D:D-B:B),"")</f>
        <v>Dias de anterioridad</v>
      </c>
    </row>
    <row r="2">
      <c r="A2" s="52" t="str">
        <f>IFERROR(__xludf.DUMMYFUNCTION("""COMPUTED_VALUE"""),"GUN-10001")</f>
        <v>GUN-10001</v>
      </c>
      <c r="B2" s="50">
        <f>IFERROR(__xludf.DUMMYFUNCTION("""COMPUTED_VALUE"""),44594.612405266205)</f>
        <v>44594.61241</v>
      </c>
      <c r="C2" s="52" t="str">
        <f>IFERROR(__xludf.DUMMYFUNCTION("""COMPUTED_VALUE"""),"CERI")</f>
        <v>CERI</v>
      </c>
      <c r="D2" s="53">
        <f>IFERROR(__xludf.DUMMYFUNCTION("""COMPUTED_VALUE"""),44596.60416666667)</f>
        <v>44596.60417</v>
      </c>
      <c r="E2" s="81" t="str">
        <f>IFERROR(__xludf.DUMMYFUNCTION("""COMPUTED_VALUE"""),"ESTIMADO GRUPO ANEXO APROBACION DE ESPACIO Datos de tu solicitud:
Inicio: 2/4/2022 - 2:30 PM
Fin: 2/4/2022 - 4:30 PM
Espacio: Salón 33G2
Edificio: Bloque G - Ala Oeste
Piso: Bloque G2 - Piso 3")</f>
        <v>ESTIMADO GRUPO ANEXO APROBACION DE ESPACIO Datos de tu solicitud:
Inicio: 2/4/2022 - 2:30 PM
Fin: 2/4/2022 - 4:30 PM
Espacio: Salón 33G2
Edificio: Bloque G - Ala Oeste
Piso: Bloque G2 - Piso 3</v>
      </c>
      <c r="F2" s="81">
        <v>1.9917614004662028</v>
      </c>
    </row>
    <row r="3">
      <c r="A3" s="52" t="str">
        <f>IFERROR(__xludf.DUMMYFUNCTION("""COMPUTED_VALUE"""),"GUN-10002")</f>
        <v>GUN-10002</v>
      </c>
      <c r="B3" s="50">
        <f>IFERROR(__xludf.DUMMYFUNCTION("""COMPUTED_VALUE"""),44594.61748909722)</f>
        <v>44594.61749</v>
      </c>
      <c r="C3" s="52" t="str">
        <f>IFERROR(__xludf.DUMMYFUNCTION("""COMPUTED_VALUE"""),"ACM Student Chapter")</f>
        <v>ACM Student Chapter</v>
      </c>
      <c r="D3" s="53">
        <f>IFERROR(__xludf.DUMMYFUNCTION("""COMPUTED_VALUE"""),44595.64583333333)</f>
        <v>44595.64583</v>
      </c>
      <c r="E3" s="81" t="str">
        <f>IFERROR(__xludf.DUMMYFUNCTION("""COMPUTED_VALUE"""),"Estimado grupo el sistema rechazo la solicitud de espacio")</f>
        <v>Estimado grupo el sistema rechazo la solicitud de espacio</v>
      </c>
      <c r="F3" s="81">
        <v>1.02834423611057</v>
      </c>
    </row>
    <row r="4">
      <c r="A4" s="52" t="str">
        <f>IFERROR(__xludf.DUMMYFUNCTION("""COMPUTED_VALUE"""),"GUN-10003")</f>
        <v>GUN-10003</v>
      </c>
      <c r="B4" s="50">
        <f>IFERROR(__xludf.DUMMYFUNCTION("""COMPUTED_VALUE"""),44595.39408774306)</f>
        <v>44595.39409</v>
      </c>
      <c r="C4" s="52" t="str">
        <f>IFERROR(__xludf.DUMMYFUNCTION("""COMPUTED_VALUE"""),"FEMINUN")</f>
        <v>FEMINUN</v>
      </c>
      <c r="D4" s="53">
        <f>IFERROR(__xludf.DUMMYFUNCTION("""COMPUTED_VALUE"""),44596.58333333333)</f>
        <v>44596.58333</v>
      </c>
      <c r="E4" s="81"/>
      <c r="F4" s="81">
        <v>1.1892455902707297</v>
      </c>
    </row>
    <row r="5">
      <c r="A5" s="52" t="str">
        <f>IFERROR(__xludf.DUMMYFUNCTION("""COMPUTED_VALUE"""),"GUN-10004")</f>
        <v>GUN-10004</v>
      </c>
      <c r="B5" s="50">
        <f>IFERROR(__xludf.DUMMYFUNCTION("""COMPUTED_VALUE"""),9.0)</f>
        <v>9</v>
      </c>
      <c r="C5" s="52" t="str">
        <f>IFERROR(__xludf.DUMMYFUNCTION("""COMPUTED_VALUE"""),"FEMINUN")</f>
        <v>FEMINUN</v>
      </c>
      <c r="D5" s="53">
        <f>IFERROR(__xludf.DUMMYFUNCTION("""COMPUTED_VALUE"""),44596.60416666667)</f>
        <v>44596.60417</v>
      </c>
      <c r="E5" s="81"/>
      <c r="F5" s="81">
        <v>44587.60416666667</v>
      </c>
    </row>
    <row r="6">
      <c r="A6" s="52" t="str">
        <f>IFERROR(__xludf.DUMMYFUNCTION("""COMPUTED_VALUE"""),"GUN-10005")</f>
        <v>GUN-10005</v>
      </c>
      <c r="B6" s="50">
        <f>IFERROR(__xludf.DUMMYFUNCTION("""COMPUTED_VALUE"""),44595.477561203705)</f>
        <v>44595.47756</v>
      </c>
      <c r="C6" s="52" t="str">
        <f>IFERROR(__xludf.DUMMYFUNCTION("""COMPUTED_VALUE"""),"W-STEM")</f>
        <v>W-STEM</v>
      </c>
      <c r="D6" s="53">
        <f>IFERROR(__xludf.DUMMYFUNCTION("""COMPUTED_VALUE"""),44603.64583333333)</f>
        <v>44603.64583</v>
      </c>
      <c r="E6" s="81"/>
      <c r="F6" s="81">
        <v>8.168272129623801</v>
      </c>
    </row>
    <row r="7">
      <c r="A7" s="52" t="str">
        <f>IFERROR(__xludf.DUMMYFUNCTION("""COMPUTED_VALUE"""),"GUN-10006")</f>
        <v>GUN-10006</v>
      </c>
      <c r="B7" s="50">
        <f>IFERROR(__xludf.DUMMYFUNCTION("""COMPUTED_VALUE"""),44595.50978140046)</f>
        <v>44595.50978</v>
      </c>
      <c r="C7" s="52" t="str">
        <f>IFERROR(__xludf.DUMMYFUNCTION("""COMPUTED_VALUE"""),"W-STEM")</f>
        <v>W-STEM</v>
      </c>
      <c r="D7" s="53">
        <f>IFERROR(__xludf.DUMMYFUNCTION("""COMPUTED_VALUE"""),44603.29166666667)</f>
        <v>44603.29167</v>
      </c>
      <c r="E7" s="81"/>
      <c r="F7" s="81">
        <v>7.781885266209429</v>
      </c>
    </row>
    <row r="8">
      <c r="A8" s="52" t="str">
        <f>IFERROR(__xludf.DUMMYFUNCTION("""COMPUTED_VALUE"""),"GUN-10007")</f>
        <v>GUN-10007</v>
      </c>
      <c r="B8" s="50">
        <f>IFERROR(__xludf.DUMMYFUNCTION("""COMPUTED_VALUE"""),44595.681355277775)</f>
        <v>44595.68136</v>
      </c>
      <c r="C8" s="52" t="str">
        <f>IFERROR(__xludf.DUMMYFUNCTION("""COMPUTED_VALUE"""),"CDIEP")</f>
        <v>CDIEP</v>
      </c>
      <c r="D8" s="53">
        <f>IFERROR(__xludf.DUMMYFUNCTION("""COMPUTED_VALUE"""),44607.33333333333)</f>
        <v>44607.33333</v>
      </c>
      <c r="E8" s="81"/>
      <c r="F8" s="81">
        <v>11.651978055553627</v>
      </c>
    </row>
    <row r="9">
      <c r="A9" s="52" t="str">
        <f>IFERROR(__xludf.DUMMYFUNCTION("""COMPUTED_VALUE"""),"GUN-10008")</f>
        <v>GUN-10008</v>
      </c>
      <c r="B9" s="50">
        <f>IFERROR(__xludf.DUMMYFUNCTION("""COMPUTED_VALUE"""),44595.68319408565)</f>
        <v>44595.68319</v>
      </c>
      <c r="C9" s="52" t="str">
        <f>IFERROR(__xludf.DUMMYFUNCTION("""COMPUTED_VALUE"""),"CDIEP")</f>
        <v>CDIEP</v>
      </c>
      <c r="D9" s="53">
        <f>IFERROR(__xludf.DUMMYFUNCTION("""COMPUTED_VALUE"""),44609.33333333333)</f>
        <v>44609.33333</v>
      </c>
      <c r="E9" s="81" t="str">
        <f>IFERROR(__xludf.DUMMYFUNCTION("""COMPUTED_VALUE"""),"ESTIMADO GRUPO INDICAR QUE ESPACIO Y RECURSOS NECESITAN PARA ESTA ACTIVIDAD")</f>
        <v>ESTIMADO GRUPO INDICAR QUE ESPACIO Y RECURSOS NECESITAN PARA ESTA ACTIVIDAD</v>
      </c>
      <c r="F9" s="81">
        <v>13.650139247678453</v>
      </c>
    </row>
    <row r="10">
      <c r="A10" s="52" t="str">
        <f>IFERROR(__xludf.DUMMYFUNCTION("""COMPUTED_VALUE"""),"GUN-10009")</f>
        <v>GUN-10009</v>
      </c>
      <c r="B10" s="50">
        <f>IFERROR(__xludf.DUMMYFUNCTION("""COMPUTED_VALUE"""),44596.37850736111)</f>
        <v>44596.37851</v>
      </c>
      <c r="C10" s="52" t="str">
        <f>IFERROR(__xludf.DUMMYFUNCTION("""COMPUTED_VALUE"""),"FEMINUN")</f>
        <v>FEMINUN</v>
      </c>
      <c r="D10" s="53">
        <f>IFERROR(__xludf.DUMMYFUNCTION("""COMPUTED_VALUE"""),44603.64583333333)</f>
        <v>44603.64583</v>
      </c>
      <c r="E10" s="81"/>
      <c r="F10" s="81">
        <v>7.2673259722214425</v>
      </c>
    </row>
    <row r="11">
      <c r="A11" s="52" t="str">
        <f>IFERROR(__xludf.DUMMYFUNCTION("""COMPUTED_VALUE"""),"GUN-10010")</f>
        <v>GUN-10010</v>
      </c>
      <c r="B11" s="50">
        <f>IFERROR(__xludf.DUMMYFUNCTION("""COMPUTED_VALUE"""),44596.41429226852)</f>
        <v>44596.41429</v>
      </c>
      <c r="C11" s="52" t="str">
        <f>IFERROR(__xludf.DUMMYFUNCTION("""COMPUTED_VALUE"""),"IISE")</f>
        <v>IISE</v>
      </c>
      <c r="D11" s="53">
        <f>IFERROR(__xludf.DUMMYFUNCTION("""COMPUTED_VALUE"""),44607.33333333333)</f>
        <v>44607.33333</v>
      </c>
      <c r="E11" s="81"/>
      <c r="F11" s="81">
        <v>10.91904106480797</v>
      </c>
    </row>
    <row r="12">
      <c r="A12" s="52" t="str">
        <f>IFERROR(__xludf.DUMMYFUNCTION("""COMPUTED_VALUE"""),"GUN-10011")</f>
        <v>GUN-10011</v>
      </c>
      <c r="B12" s="50">
        <f>IFERROR(__xludf.DUMMYFUNCTION("""COMPUTED_VALUE"""),44596.47060956018)</f>
        <v>44596.47061</v>
      </c>
      <c r="C12" s="52" t="str">
        <f>IFERROR(__xludf.DUMMYFUNCTION("""COMPUTED_VALUE"""),"CEIM UNINORTE")</f>
        <v>CEIM UNINORTE</v>
      </c>
      <c r="D12" s="53">
        <f>IFERROR(__xludf.DUMMYFUNCTION("""COMPUTED_VALUE"""),44607.33333333333)</f>
        <v>44607.33333</v>
      </c>
      <c r="E12" s="81" t="str">
        <f>IFERROR(__xludf.DUMMYFUNCTION("""COMPUTED_VALUE"""),"ESTIMADO GRUPO , RECORDAMOS SOLICIAR EN EL LINK DE RECURSOS, EL ESPACIO Y RECURSOS REQUERIDOS PARA LA ACTIVIDAD. ")</f>
        <v>ESTIMADO GRUPO , RECORDAMOS SOLICIAR EN EL LINK DE RECURSOS, EL ESPACIO Y RECURSOS REQUERIDOS PARA LA ACTIVIDAD. </v>
      </c>
      <c r="F12" s="81">
        <v>10.8627237731489</v>
      </c>
    </row>
    <row r="13">
      <c r="A13" s="52" t="str">
        <f>IFERROR(__xludf.DUMMYFUNCTION("""COMPUTED_VALUE"""),"GUN-10012")</f>
        <v>GUN-10012</v>
      </c>
      <c r="B13" s="50">
        <f>IFERROR(__xludf.DUMMYFUNCTION("""COMPUTED_VALUE"""),44596.47223197916)</f>
        <v>44596.47223</v>
      </c>
      <c r="C13" s="52" t="str">
        <f>IFERROR(__xludf.DUMMYFUNCTION("""COMPUTED_VALUE"""),"CEIM UNINORTE")</f>
        <v>CEIM UNINORTE</v>
      </c>
      <c r="D13" s="53">
        <f>IFERROR(__xludf.DUMMYFUNCTION("""COMPUTED_VALUE"""),44599.375)</f>
        <v>44599.375</v>
      </c>
      <c r="E13" s="81"/>
      <c r="F13" s="81">
        <v>2.9027680208382662</v>
      </c>
    </row>
    <row r="14">
      <c r="A14" s="52" t="str">
        <f>IFERROR(__xludf.DUMMYFUNCTION("""COMPUTED_VALUE"""),"GUN-10013")</f>
        <v>GUN-10013</v>
      </c>
      <c r="B14" s="50">
        <f>IFERROR(__xludf.DUMMYFUNCTION("""COMPUTED_VALUE"""),44596.474111284726)</f>
        <v>44596.47411</v>
      </c>
      <c r="C14" s="52" t="str">
        <f>IFERROR(__xludf.DUMMYFUNCTION("""COMPUTED_VALUE"""),"CEIM UNINORTE")</f>
        <v>CEIM UNINORTE</v>
      </c>
      <c r="D14" s="53">
        <f>IFERROR(__xludf.DUMMYFUNCTION("""COMPUTED_VALUE"""),44603.58333333333)</f>
        <v>44603.58333</v>
      </c>
      <c r="E14" s="81"/>
      <c r="F14" s="81">
        <v>7.109222048602533</v>
      </c>
    </row>
    <row r="15">
      <c r="A15" s="52" t="str">
        <f>IFERROR(__xludf.DUMMYFUNCTION("""COMPUTED_VALUE"""),"GUN-10014")</f>
        <v>GUN-10014</v>
      </c>
      <c r="B15" s="50">
        <f>IFERROR(__xludf.DUMMYFUNCTION("""COMPUTED_VALUE"""),44596.495588935184)</f>
        <v>44596.49559</v>
      </c>
      <c r="C15" s="52" t="str">
        <f>IFERROR(__xludf.DUMMYFUNCTION("""COMPUTED_VALUE"""),"PANGEA")</f>
        <v>PANGEA</v>
      </c>
      <c r="D15" s="53">
        <f>IFERROR(__xludf.DUMMYFUNCTION("""COMPUTED_VALUE"""),44596.60416666667)</f>
        <v>44596.60417</v>
      </c>
      <c r="E15" s="81"/>
      <c r="F15" s="81">
        <v>0.10857773148745764</v>
      </c>
    </row>
    <row r="16">
      <c r="A16" s="52" t="str">
        <f>IFERROR(__xludf.DUMMYFUNCTION("""COMPUTED_VALUE"""),"GUN-10015")</f>
        <v>GUN-10015</v>
      </c>
      <c r="B16" s="50">
        <f>IFERROR(__xludf.DUMMYFUNCTION("""COMPUTED_VALUE"""),44596.49889508102)</f>
        <v>44596.4989</v>
      </c>
      <c r="C16" s="52" t="str">
        <f>IFERROR(__xludf.DUMMYFUNCTION("""COMPUTED_VALUE"""),"PANGEA")</f>
        <v>PANGEA</v>
      </c>
      <c r="D16" s="53">
        <f>IFERROR(__xludf.DUMMYFUNCTION("""COMPUTED_VALUE"""),44603.60416666667)</f>
        <v>44603.60417</v>
      </c>
      <c r="E16" s="81"/>
      <c r="F16" s="81">
        <v>7.1052715856494615</v>
      </c>
    </row>
    <row r="17">
      <c r="A17" s="52" t="str">
        <f>IFERROR(__xludf.DUMMYFUNCTION("""COMPUTED_VALUE"""),"GUN-10016")</f>
        <v>GUN-10016</v>
      </c>
      <c r="B17" s="50">
        <f>IFERROR(__xludf.DUMMYFUNCTION("""COMPUTED_VALUE"""),44596.50493668982)</f>
        <v>44596.50494</v>
      </c>
      <c r="C17" s="52" t="str">
        <f>IFERROR(__xludf.DUMMYFUNCTION("""COMPUTED_VALUE"""),"CEIM UNINORTE")</f>
        <v>CEIM UNINORTE</v>
      </c>
      <c r="D17" s="53">
        <f>IFERROR(__xludf.DUMMYFUNCTION("""COMPUTED_VALUE"""),44583.41666666667)</f>
        <v>44583.41667</v>
      </c>
      <c r="E17" s="81"/>
      <c r="F17" s="81">
        <v>-13.088270023145014</v>
      </c>
    </row>
    <row r="18">
      <c r="A18" s="52" t="str">
        <f>IFERROR(__xludf.DUMMYFUNCTION("""COMPUTED_VALUE"""),"GUN-10017")</f>
        <v>GUN-10017</v>
      </c>
      <c r="B18" s="50">
        <f>IFERROR(__xludf.DUMMYFUNCTION("""COMPUTED_VALUE"""),44596.508145300926)</f>
        <v>44596.50815</v>
      </c>
      <c r="C18" s="52" t="str">
        <f>IFERROR(__xludf.DUMMYFUNCTION("""COMPUTED_VALUE"""),"CEIM UNINORTE")</f>
        <v>CEIM UNINORTE</v>
      </c>
      <c r="D18" s="53">
        <f>IFERROR(__xludf.DUMMYFUNCTION("""COMPUTED_VALUE"""),44587.58333333333)</f>
        <v>44587.58333</v>
      </c>
      <c r="E18" s="81"/>
      <c r="F18" s="81">
        <v>-8.924811967597634</v>
      </c>
    </row>
    <row r="19">
      <c r="A19" s="52" t="str">
        <f>IFERROR(__xludf.DUMMYFUNCTION("""COMPUTED_VALUE"""),"GUN-10018")</f>
        <v>GUN-10018</v>
      </c>
      <c r="B19" s="50">
        <f>IFERROR(__xludf.DUMMYFUNCTION("""COMPUTED_VALUE"""),44596.508919872686)</f>
        <v>44596.50892</v>
      </c>
      <c r="C19" s="52" t="str">
        <f>IFERROR(__xludf.DUMMYFUNCTION("""COMPUTED_VALUE"""),"INNOVA UN")</f>
        <v>INNOVA UN</v>
      </c>
      <c r="D19" s="53">
        <f>IFERROR(__xludf.DUMMYFUNCTION("""COMPUTED_VALUE"""),44603.60416666667)</f>
        <v>44603.60417</v>
      </c>
      <c r="E19" s="81"/>
      <c r="F19" s="81">
        <v>7.095246793986007</v>
      </c>
    </row>
    <row r="20">
      <c r="A20" s="52" t="str">
        <f>IFERROR(__xludf.DUMMYFUNCTION("""COMPUTED_VALUE"""),"GUN-10019")</f>
        <v>GUN-10019</v>
      </c>
      <c r="B20" s="50">
        <f>IFERROR(__xludf.DUMMYFUNCTION("""COMPUTED_VALUE"""),44596.50946122685)</f>
        <v>44596.50946</v>
      </c>
      <c r="C20" s="52" t="str">
        <f>IFERROR(__xludf.DUMMYFUNCTION("""COMPUTED_VALUE"""),"CEIM UNINORTE")</f>
        <v>CEIM UNINORTE</v>
      </c>
      <c r="D20" s="53">
        <f>IFERROR(__xludf.DUMMYFUNCTION("""COMPUTED_VALUE"""),44596.5625)</f>
        <v>44596.5625</v>
      </c>
      <c r="E20" s="81"/>
      <c r="F20" s="81">
        <v>0.05303877314872807</v>
      </c>
    </row>
    <row r="21">
      <c r="A21" s="52" t="str">
        <f>IFERROR(__xludf.DUMMYFUNCTION("""COMPUTED_VALUE"""),"GUN-10020")</f>
        <v>GUN-10020</v>
      </c>
      <c r="B21" s="50">
        <f>IFERROR(__xludf.DUMMYFUNCTION("""COMPUTED_VALUE"""),44596.51249140046)</f>
        <v>44596.51249</v>
      </c>
      <c r="C21" s="52" t="str">
        <f>IFERROR(__xludf.DUMMYFUNCTION("""COMPUTED_VALUE"""),"CEIM UNINORTE")</f>
        <v>CEIM UNINORTE</v>
      </c>
      <c r="D21" s="53">
        <f>IFERROR(__xludf.DUMMYFUNCTION("""COMPUTED_VALUE"""),44596.70833333333)</f>
        <v>44596.70833</v>
      </c>
      <c r="E21" s="81"/>
      <c r="F21" s="81">
        <v>0.19584193286573282</v>
      </c>
    </row>
    <row r="22">
      <c r="A22" s="52" t="str">
        <f>IFERROR(__xludf.DUMMYFUNCTION("""COMPUTED_VALUE"""),"GUN-10021")</f>
        <v>GUN-10021</v>
      </c>
      <c r="B22" s="50">
        <f>IFERROR(__xludf.DUMMYFUNCTION("""COMPUTED_VALUE"""),44596.51431711805)</f>
        <v>44596.51432</v>
      </c>
      <c r="C22" s="52" t="str">
        <f>IFERROR(__xludf.DUMMYFUNCTION("""COMPUTED_VALUE"""),"CEIM UNINORTE")</f>
        <v>CEIM UNINORTE</v>
      </c>
      <c r="D22" s="53">
        <f>IFERROR(__xludf.DUMMYFUNCTION("""COMPUTED_VALUE"""),44596.77083333333)</f>
        <v>44596.77083</v>
      </c>
      <c r="E22" s="81"/>
      <c r="F22" s="81">
        <v>0.25651621527504176</v>
      </c>
    </row>
    <row r="23">
      <c r="A23" s="52" t="str">
        <f>IFERROR(__xludf.DUMMYFUNCTION("""COMPUTED_VALUE"""),"GUN-10022")</f>
        <v>GUN-10022</v>
      </c>
      <c r="B23" s="50">
        <f>IFERROR(__xludf.DUMMYFUNCTION("""COMPUTED_VALUE"""),44596.52835228009)</f>
        <v>44596.52835</v>
      </c>
      <c r="C23" s="52" t="str">
        <f>IFERROR(__xludf.DUMMYFUNCTION("""COMPUTED_VALUE"""),"CIRCULO KDHARMA")</f>
        <v>CIRCULO KDHARMA</v>
      </c>
      <c r="D23" s="53">
        <f>IFERROR(__xludf.DUMMYFUNCTION("""COMPUTED_VALUE"""),44604.41666666667)</f>
        <v>44604.41667</v>
      </c>
      <c r="E23" s="81"/>
      <c r="F23" s="81">
        <v>7.888314386582351</v>
      </c>
    </row>
    <row r="24">
      <c r="A24" s="52" t="str">
        <f>IFERROR(__xludf.DUMMYFUNCTION("""COMPUTED_VALUE"""),"GUN-10023")</f>
        <v>GUN-10023</v>
      </c>
      <c r="B24" s="50">
        <f>IFERROR(__xludf.DUMMYFUNCTION("""COMPUTED_VALUE"""),44596.57180171296)</f>
        <v>44596.5718</v>
      </c>
      <c r="C24" s="52" t="str">
        <f>IFERROR(__xludf.DUMMYFUNCTION("""COMPUTED_VALUE"""),"UNINORTE DIVERSO")</f>
        <v>UNINORTE DIVERSO</v>
      </c>
      <c r="D24" s="53">
        <f>IFERROR(__xludf.DUMMYFUNCTION("""COMPUTED_VALUE"""),44607.4375)</f>
        <v>44607.4375</v>
      </c>
      <c r="E24" s="81" t="str">
        <f>IFERROR(__xludf.DUMMYFUNCTION("""COMPUTED_VALUE"""),"ESTIMADO GRUPO , RECORDAMOS SOLICIAR EN EL LINK DE RECURSOS, EL ESPACIO Y RECURSOS REQUERIDOS PARA LA ACTIVIDAD. ")</f>
        <v>ESTIMADO GRUPO , RECORDAMOS SOLICIAR EN EL LINK DE RECURSOS, EL ESPACIO Y RECURSOS REQUERIDOS PARA LA ACTIVIDAD. </v>
      </c>
      <c r="F24" s="81">
        <v>10.865698287037958</v>
      </c>
    </row>
    <row r="25">
      <c r="A25" s="52" t="str">
        <f>IFERROR(__xludf.DUMMYFUNCTION("""COMPUTED_VALUE"""),"GUN-10024")</f>
        <v>GUN-10024</v>
      </c>
      <c r="B25" s="50">
        <f>IFERROR(__xludf.DUMMYFUNCTION("""COMPUTED_VALUE"""),44596.60775630787)</f>
        <v>44596.60776</v>
      </c>
      <c r="C25" s="52" t="str">
        <f>IFERROR(__xludf.DUMMYFUNCTION("""COMPUTED_VALUE"""),"BK2")</f>
        <v>BK2</v>
      </c>
      <c r="D25" s="53"/>
      <c r="E25" s="81" t="str">
        <f>IFERROR(__xludf.DUMMYFUNCTION("""COMPUTED_VALUE"""),"ESTIMADO GRUPO , RECORDAMOS SOLICIAR EN EL LINK DE RECURSOS, EL ESPACIO Y RECURSOS REQUERIDOS PARA LA ACTIVIDAD. ")</f>
        <v>ESTIMADO GRUPO , RECORDAMOS SOLICIAR EN EL LINK DE RECURSOS, EL ESPACIO Y RECURSOS REQUERIDOS PARA LA ACTIVIDAD. </v>
      </c>
      <c r="F25" s="81">
        <v>-44596.60775630787</v>
      </c>
    </row>
    <row r="26">
      <c r="A26" s="52" t="str">
        <f>IFERROR(__xludf.DUMMYFUNCTION("""COMPUTED_VALUE"""),"GUN-10025")</f>
        <v>GUN-10025</v>
      </c>
      <c r="B26" s="50">
        <f>IFERROR(__xludf.DUMMYFUNCTION("""COMPUTED_VALUE"""),44596.626464733796)</f>
        <v>44596.62646</v>
      </c>
      <c r="C26" s="52" t="str">
        <f>IFERROR(__xludf.DUMMYFUNCTION("""COMPUTED_VALUE"""),"IEEE")</f>
        <v>IEEE</v>
      </c>
      <c r="D26" s="53">
        <f>IFERROR(__xludf.DUMMYFUNCTION("""COMPUTED_VALUE"""),44603.60416666667)</f>
        <v>44603.60417</v>
      </c>
      <c r="E26" s="81" t="str">
        <f>IFERROR(__xludf.DUMMYFUNCTION("""COMPUTED_VALUE"""),"ESTIMADO GRUPO , RECORDAMOS SOLICIAR EN EL LINK DE RECURSOS, EL ESPACIO Y RECURSOS REQUERIDOS PARA LA ACTIVIDAD. ")</f>
        <v>ESTIMADO GRUPO , RECORDAMOS SOLICIAR EN EL LINK DE RECURSOS, EL ESPACIO Y RECURSOS REQUERIDOS PARA LA ACTIVIDAD. </v>
      </c>
      <c r="F26" s="81">
        <v>6.977701932875789</v>
      </c>
    </row>
    <row r="27">
      <c r="A27" s="52" t="str">
        <f>IFERROR(__xludf.DUMMYFUNCTION("""COMPUTED_VALUE"""),"GUN-10026")</f>
        <v>GUN-10026</v>
      </c>
      <c r="B27" s="50">
        <f>IFERROR(__xludf.DUMMYFUNCTION("""COMPUTED_VALUE"""),44596.63902347222)</f>
        <v>44596.63902</v>
      </c>
      <c r="C27" s="52" t="str">
        <f>IFERROR(__xludf.DUMMYFUNCTION("""COMPUTED_VALUE"""),"CEO")</f>
        <v>CEO</v>
      </c>
      <c r="D27" s="53">
        <f>IFERROR(__xludf.DUMMYFUNCTION("""COMPUTED_VALUE"""),44618.33333333333)</f>
        <v>44618.33333</v>
      </c>
      <c r="E27" s="81"/>
      <c r="F27" s="81">
        <v>21.694309861108195</v>
      </c>
    </row>
    <row r="28">
      <c r="A28" s="52" t="str">
        <f>IFERROR(__xludf.DUMMYFUNCTION("""COMPUTED_VALUE"""),"GUN-10027")</f>
        <v>GUN-10027</v>
      </c>
      <c r="B28" s="50">
        <f>IFERROR(__xludf.DUMMYFUNCTION("""COMPUTED_VALUE"""),44596.66230614583)</f>
        <v>44596.66231</v>
      </c>
      <c r="C28" s="52" t="str">
        <f>IFERROR(__xludf.DUMMYFUNCTION("""COMPUTED_VALUE"""),"FAUNATICOS")</f>
        <v>FAUNATICOS</v>
      </c>
      <c r="D28" s="53">
        <f>IFERROR(__xludf.DUMMYFUNCTION("""COMPUTED_VALUE"""),44595.70833333333)</f>
        <v>44595.70833</v>
      </c>
      <c r="E28" s="81"/>
      <c r="F28" s="81">
        <v>-0.9539728125018883</v>
      </c>
    </row>
    <row r="29">
      <c r="A29" s="52" t="str">
        <f>IFERROR(__xludf.DUMMYFUNCTION("""COMPUTED_VALUE"""),"GUN-10028")</f>
        <v>GUN-10028</v>
      </c>
      <c r="B29" s="50">
        <f>IFERROR(__xludf.DUMMYFUNCTION("""COMPUTED_VALUE"""),44596.66895951389)</f>
        <v>44596.66896</v>
      </c>
      <c r="C29" s="52" t="str">
        <f>IFERROR(__xludf.DUMMYFUNCTION("""COMPUTED_VALUE"""),"FAUNATICOS")</f>
        <v>FAUNATICOS</v>
      </c>
      <c r="D29" s="53">
        <f>IFERROR(__xludf.DUMMYFUNCTION("""COMPUTED_VALUE"""),44597.70833333333)</f>
        <v>44597.70833</v>
      </c>
      <c r="E29" s="81"/>
      <c r="F29" s="81">
        <v>1.0393738194397883</v>
      </c>
    </row>
    <row r="30">
      <c r="A30" s="52" t="str">
        <f>IFERROR(__xludf.DUMMYFUNCTION("""COMPUTED_VALUE"""),"GUN-10029")</f>
        <v>GUN-10029</v>
      </c>
      <c r="B30" s="50">
        <f>IFERROR(__xludf.DUMMYFUNCTION("""COMPUTED_VALUE"""),44596.67341811343)</f>
        <v>44596.67342</v>
      </c>
      <c r="C30" s="52" t="str">
        <f>IFERROR(__xludf.DUMMYFUNCTION("""COMPUTED_VALUE"""),"FAUNATICOS")</f>
        <v>FAUNATICOS</v>
      </c>
      <c r="D30" s="53">
        <f>IFERROR(__xludf.DUMMYFUNCTION("""COMPUTED_VALUE"""),44597.41666666667)</f>
        <v>44597.41667</v>
      </c>
      <c r="E30" s="81"/>
      <c r="F30" s="81">
        <v>0.7432485532408464</v>
      </c>
    </row>
    <row r="31">
      <c r="A31" s="52" t="str">
        <f>IFERROR(__xludf.DUMMYFUNCTION("""COMPUTED_VALUE"""),"GUN-10030")</f>
        <v>GUN-10030</v>
      </c>
      <c r="B31" s="50">
        <f>IFERROR(__xludf.DUMMYFUNCTION("""COMPUTED_VALUE"""),44596.68827961806)</f>
        <v>44596.68828</v>
      </c>
      <c r="C31" s="52" t="str">
        <f>IFERROR(__xludf.DUMMYFUNCTION("""COMPUTED_VALUE"""),"CAFTA")</f>
        <v>CAFTA</v>
      </c>
      <c r="D31" s="53">
        <f>IFERROR(__xludf.DUMMYFUNCTION("""COMPUTED_VALUE"""),44575.79166666667)</f>
        <v>44575.79167</v>
      </c>
      <c r="E31" s="81"/>
      <c r="F31" s="81">
        <v>-20.896612951386487</v>
      </c>
    </row>
    <row r="32">
      <c r="A32" s="52" t="str">
        <f>IFERROR(__xludf.DUMMYFUNCTION("""COMPUTED_VALUE"""),"GUN-10031")</f>
        <v>GUN-10031</v>
      </c>
      <c r="B32" s="50">
        <f>IFERROR(__xludf.DUMMYFUNCTION("""COMPUTED_VALUE"""),44596.693487696764)</f>
        <v>44596.69349</v>
      </c>
      <c r="C32" s="52" t="str">
        <f>IFERROR(__xludf.DUMMYFUNCTION("""COMPUTED_VALUE"""),"CAFTA")</f>
        <v>CAFTA</v>
      </c>
      <c r="D32" s="53">
        <f>IFERROR(__xludf.DUMMYFUNCTION("""COMPUTED_VALUE"""),44586.79166666667)</f>
        <v>44586.79167</v>
      </c>
      <c r="E32" s="81"/>
      <c r="F32" s="81">
        <v>-9.901821030092833</v>
      </c>
    </row>
    <row r="33">
      <c r="A33" s="52" t="str">
        <f>IFERROR(__xludf.DUMMYFUNCTION("""COMPUTED_VALUE"""),"GUN-10032")</f>
        <v>GUN-10032</v>
      </c>
      <c r="B33" s="50">
        <f>IFERROR(__xludf.DUMMYFUNCTION("""COMPUTED_VALUE"""),44596.831466400465)</f>
        <v>44596.83147</v>
      </c>
      <c r="C33" s="52" t="str">
        <f>IFERROR(__xludf.DUMMYFUNCTION("""COMPUTED_VALUE"""),"W-STEM")</f>
        <v>W-STEM</v>
      </c>
      <c r="D33" s="53">
        <f>IFERROR(__xludf.DUMMYFUNCTION("""COMPUTED_VALUE"""),44583.35416666667)</f>
        <v>44583.35417</v>
      </c>
      <c r="E33" s="81"/>
      <c r="F33" s="81">
        <v>-13.477299733793188</v>
      </c>
    </row>
    <row r="34">
      <c r="A34" s="52" t="str">
        <f>IFERROR(__xludf.DUMMYFUNCTION("""COMPUTED_VALUE"""),"GUN-10033")</f>
        <v>GUN-10033</v>
      </c>
      <c r="B34" s="50">
        <f>IFERROR(__xludf.DUMMYFUNCTION("""COMPUTED_VALUE"""),44596.83636833333)</f>
        <v>44596.83637</v>
      </c>
      <c r="C34" s="52" t="str">
        <f>IFERROR(__xludf.DUMMYFUNCTION("""COMPUTED_VALUE"""),"FELINORTE")</f>
        <v>FELINORTE</v>
      </c>
      <c r="D34" s="53">
        <f>IFERROR(__xludf.DUMMYFUNCTION("""COMPUTED_VALUE"""),44598.6875)</f>
        <v>44598.6875</v>
      </c>
      <c r="E34" s="81"/>
      <c r="F34" s="81">
        <v>1.8511316666699713</v>
      </c>
    </row>
    <row r="35">
      <c r="A35" s="52" t="str">
        <f>IFERROR(__xludf.DUMMYFUNCTION("""COMPUTED_VALUE"""),"GUN-10034")</f>
        <v>GUN-10034</v>
      </c>
      <c r="B35" s="50">
        <f>IFERROR(__xludf.DUMMYFUNCTION("""COMPUTED_VALUE"""),44596.840916712965)</f>
        <v>44596.84092</v>
      </c>
      <c r="C35" s="52" t="str">
        <f>IFERROR(__xludf.DUMMYFUNCTION("""COMPUTED_VALUE"""),"W-STEM")</f>
        <v>W-STEM</v>
      </c>
      <c r="D35" s="53">
        <f>IFERROR(__xludf.DUMMYFUNCTION("""COMPUTED_VALUE"""),44590.47916666667)</f>
        <v>44590.47917</v>
      </c>
      <c r="E35" s="81"/>
      <c r="F35" s="81">
        <v>-6.361750046293309</v>
      </c>
    </row>
    <row r="36">
      <c r="A36" s="52" t="str">
        <f>IFERROR(__xludf.DUMMYFUNCTION("""COMPUTED_VALUE"""),"GUN-10035")</f>
        <v>GUN-10035</v>
      </c>
      <c r="B36" s="50">
        <f>IFERROR(__xludf.DUMMYFUNCTION("""COMPUTED_VALUE"""),44597.34876597222)</f>
        <v>44597.34877</v>
      </c>
      <c r="C36" s="52" t="str">
        <f>IFERROR(__xludf.DUMMYFUNCTION("""COMPUTED_VALUE"""),"CAFTA")</f>
        <v>CAFTA</v>
      </c>
      <c r="D36" s="53">
        <f>IFERROR(__xludf.DUMMYFUNCTION("""COMPUTED_VALUE"""),44597.79166666667)</f>
        <v>44597.79167</v>
      </c>
      <c r="E36" s="81" t="str">
        <f>IFERROR(__xludf.DUMMYFUNCTION("""COMPUTED_VALUE"""),"ESTIMADO GRUPO , RECORDAMOS SOLICIAR EN EL LINK DE RECURSOS, EL ESPACIO Y RECURSOS REQUERIDOS PARA LA ACTIVIDAD. ")</f>
        <v>ESTIMADO GRUPO , RECORDAMOS SOLICIAR EN EL LINK DE RECURSOS, EL ESPACIO Y RECURSOS REQUERIDOS PARA LA ACTIVIDAD. </v>
      </c>
      <c r="F36" s="81">
        <v>0.44290069444832625</v>
      </c>
    </row>
    <row r="37">
      <c r="A37" s="52" t="str">
        <f>IFERROR(__xludf.DUMMYFUNCTION("""COMPUTED_VALUE"""),"GUN-10036")</f>
        <v>GUN-10036</v>
      </c>
      <c r="B37" s="50">
        <f>IFERROR(__xludf.DUMMYFUNCTION("""COMPUTED_VALUE"""),44597.42159025463)</f>
        <v>44597.42159</v>
      </c>
      <c r="C37" s="52" t="str">
        <f>IFERROR(__xludf.DUMMYFUNCTION("""COMPUTED_VALUE"""),"W-STEM")</f>
        <v>W-STEM</v>
      </c>
      <c r="D37" s="53">
        <f>IFERROR(__xludf.DUMMYFUNCTION("""COMPUTED_VALUE"""),44599.1875)</f>
        <v>44599.1875</v>
      </c>
      <c r="E37" s="81"/>
      <c r="F37" s="81">
        <v>1.7659097453724826</v>
      </c>
    </row>
    <row r="38">
      <c r="A38" s="52" t="str">
        <f>IFERROR(__xludf.DUMMYFUNCTION("""COMPUTED_VALUE"""),"GUN-10037")</f>
        <v>GUN-10037</v>
      </c>
      <c r="B38" s="50">
        <f>IFERROR(__xludf.DUMMYFUNCTION("""COMPUTED_VALUE"""),44597.503807824076)</f>
        <v>44597.50381</v>
      </c>
      <c r="C38" s="52" t="str">
        <f>IFERROR(__xludf.DUMMYFUNCTION("""COMPUTED_VALUE"""),"CEIM UNINORTE")</f>
        <v>CEIM UNINORTE</v>
      </c>
      <c r="D38" s="53">
        <f>IFERROR(__xludf.DUMMYFUNCTION("""COMPUTED_VALUE"""),44608.45833333333)</f>
        <v>44608.45833</v>
      </c>
      <c r="E38" s="81" t="str">
        <f>IFERROR(__xludf.DUMMYFUNCTION("""COMPUTED_VALUE"""),"ESTIMADO GRUPO , RECORDAMOS SOLICIAR EN EL LINK DE RECURSOS, EL ESPACIO Y RECURSOS REQUERIDOS PARA LA ACTIVIDAD. ")</f>
        <v>ESTIMADO GRUPO , RECORDAMOS SOLICIAR EN EL LINK DE RECURSOS, EL ESPACIO Y RECURSOS REQUERIDOS PARA LA ACTIVIDAD. </v>
      </c>
      <c r="F38" s="81">
        <v>10.954525509252562</v>
      </c>
    </row>
    <row r="39">
      <c r="A39" s="52" t="str">
        <f>IFERROR(__xludf.DUMMYFUNCTION("""COMPUTED_VALUE"""),"GUN-10038")</f>
        <v>GUN-10038</v>
      </c>
      <c r="B39" s="50">
        <f>IFERROR(__xludf.DUMMYFUNCTION("""COMPUTED_VALUE"""),44597.789263078696)</f>
        <v>44597.78926</v>
      </c>
      <c r="C39" s="52" t="str">
        <f>IFERROR(__xludf.DUMMYFUNCTION("""COMPUTED_VALUE"""),"BK2")</f>
        <v>BK2</v>
      </c>
      <c r="D39" s="53">
        <f>IFERROR(__xludf.DUMMYFUNCTION("""COMPUTED_VALUE"""),44609.08333333333)</f>
        <v>44609.08333</v>
      </c>
      <c r="E39" s="81" t="str">
        <f>IFERROR(__xludf.DUMMYFUNCTION("""COMPUTED_VALUE"""),"ESTIMADO GRUPO , RECORDAMOS SOLICIAR EN EL LINK DE RECURSOS, EL ESPACIO Y RECURSOS REQUERIDOS PARA LA ACTIVIDAD. ")</f>
        <v>ESTIMADO GRUPO , RECORDAMOS SOLICIAR EN EL LINK DE RECURSOS, EL ESPACIO Y RECURSOS REQUERIDOS PARA LA ACTIVIDAD. </v>
      </c>
      <c r="F39" s="81">
        <v>11.29407025463297</v>
      </c>
    </row>
    <row r="40">
      <c r="A40" s="52" t="str">
        <f>IFERROR(__xludf.DUMMYFUNCTION("""COMPUTED_VALUE"""),"GUN-10039")</f>
        <v>GUN-10039</v>
      </c>
      <c r="B40" s="50">
        <f>IFERROR(__xludf.DUMMYFUNCTION("""COMPUTED_VALUE"""),44597.790841215276)</f>
        <v>44597.79084</v>
      </c>
      <c r="C40" s="52" t="str">
        <f>IFERROR(__xludf.DUMMYFUNCTION("""COMPUTED_VALUE"""),"BK2")</f>
        <v>BK2</v>
      </c>
      <c r="D40" s="53">
        <f>IFERROR(__xludf.DUMMYFUNCTION("""COMPUTED_VALUE"""),44597.11111111111)</f>
        <v>44597.11111</v>
      </c>
      <c r="E40" s="81"/>
      <c r="F40" s="81">
        <v>-0.679730104166083</v>
      </c>
    </row>
    <row r="41">
      <c r="A41" s="52" t="str">
        <f>IFERROR(__xludf.DUMMYFUNCTION("""COMPUTED_VALUE"""),"GUN-10040")</f>
        <v>GUN-10040</v>
      </c>
      <c r="B41" s="50">
        <f>IFERROR(__xludf.DUMMYFUNCTION("""COMPUTED_VALUE"""),44597.96718950231)</f>
        <v>44597.96719</v>
      </c>
      <c r="C41" s="52" t="str">
        <f>IFERROR(__xludf.DUMMYFUNCTION("""COMPUTED_VALUE"""),"CEM UNINORTE")</f>
        <v>CEM UNINORTE</v>
      </c>
      <c r="D41" s="53">
        <f>IFERROR(__xludf.DUMMYFUNCTION("""COMPUTED_VALUE"""),44596.75)</f>
        <v>44596.75</v>
      </c>
      <c r="E41" s="81"/>
      <c r="F41" s="81">
        <v>-1.2171895023129764</v>
      </c>
    </row>
    <row r="42">
      <c r="A42" s="52" t="str">
        <f>IFERROR(__xludf.DUMMYFUNCTION("""COMPUTED_VALUE"""),"GUN-10041")</f>
        <v>GUN-10041</v>
      </c>
      <c r="B42" s="50">
        <f>IFERROR(__xludf.DUMMYFUNCTION("""COMPUTED_VALUE"""),44598.33073943287)</f>
        <v>44598.33074</v>
      </c>
      <c r="C42" s="52" t="str">
        <f>IFERROR(__xludf.DUMMYFUNCTION("""COMPUTED_VALUE"""),"W-STEM")</f>
        <v>W-STEM</v>
      </c>
      <c r="D42" s="53">
        <f>IFERROR(__xludf.DUMMYFUNCTION("""COMPUTED_VALUE"""),44610.29166666667)</f>
        <v>44610.29167</v>
      </c>
      <c r="E42" s="81" t="str">
        <f>IFERROR(__xludf.DUMMYFUNCTION("""COMPUTED_VALUE"""),"ESTIMADO GRUPO , RECORDAMOS SOLICIAR EN EL LINK DE RECURSOS, EL ESPACIO Y RECURSOS REQUERIDOS PARA LA ACTIVIDAD. ")</f>
        <v>ESTIMADO GRUPO , RECORDAMOS SOLICIAR EN EL LINK DE RECURSOS, EL ESPACIO Y RECURSOS REQUERIDOS PARA LA ACTIVIDAD. </v>
      </c>
      <c r="F42" s="81">
        <v>11.96092723379843</v>
      </c>
    </row>
    <row r="43">
      <c r="A43" s="52" t="str">
        <f>IFERROR(__xludf.DUMMYFUNCTION("""COMPUTED_VALUE"""),"GUN-10042")</f>
        <v>GUN-10042</v>
      </c>
      <c r="B43" s="50">
        <f>IFERROR(__xludf.DUMMYFUNCTION("""COMPUTED_VALUE"""),44598.530927141204)</f>
        <v>44598.53093</v>
      </c>
      <c r="C43" s="52" t="str">
        <f>IFERROR(__xludf.DUMMYFUNCTION("""COMPUTED_VALUE"""),"CESG UNINORTE")</f>
        <v>CESG UNINORTE</v>
      </c>
      <c r="D43" s="53">
        <f>IFERROR(__xludf.DUMMYFUNCTION("""COMPUTED_VALUE"""),44609.35416666667)</f>
        <v>44609.35417</v>
      </c>
      <c r="E43" s="81" t="str">
        <f>IFERROR(__xludf.DUMMYFUNCTION("""COMPUTED_VALUE"""),"ESTIMADO GRUPO , RECORDAMOS SOLICIAR EN EL LINK DE RECURSOS, EL ESPACIO Y RECURSOS REQUERIDOS PARA LA ACTIVIDAD. ")</f>
        <v>ESTIMADO GRUPO , RECORDAMOS SOLICIAR EN EL LINK DE RECURSOS, EL ESPACIO Y RECURSOS REQUERIDOS PARA LA ACTIVIDAD. </v>
      </c>
      <c r="F43" s="81">
        <v>10.823239525467216</v>
      </c>
    </row>
    <row r="44">
      <c r="A44" s="52" t="str">
        <f>IFERROR(__xludf.DUMMYFUNCTION("""COMPUTED_VALUE"""),"GUN-10043")</f>
        <v>GUN-10043</v>
      </c>
      <c r="B44" s="50">
        <f>IFERROR(__xludf.DUMMYFUNCTION("""COMPUTED_VALUE"""),44598.64351873843)</f>
        <v>44598.64352</v>
      </c>
      <c r="C44" s="52" t="str">
        <f>IFERROR(__xludf.DUMMYFUNCTION("""COMPUTED_VALUE"""),"FAUNATICOS")</f>
        <v>FAUNATICOS</v>
      </c>
      <c r="D44" s="53">
        <f>IFERROR(__xludf.DUMMYFUNCTION("""COMPUTED_VALUE"""),44600.29166666667)</f>
        <v>44600.29167</v>
      </c>
      <c r="E44" s="81"/>
      <c r="F44" s="81">
        <v>1.6481479282447253</v>
      </c>
    </row>
    <row r="45">
      <c r="A45" s="52" t="str">
        <f>IFERROR(__xludf.DUMMYFUNCTION("""COMPUTED_VALUE"""),"GUN-10044")</f>
        <v>GUN-10044</v>
      </c>
      <c r="B45" s="50">
        <f>IFERROR(__xludf.DUMMYFUNCTION("""COMPUTED_VALUE"""),44598.65767620371)</f>
        <v>44598.65768</v>
      </c>
      <c r="C45" s="52" t="str">
        <f>IFERROR(__xludf.DUMMYFUNCTION("""COMPUTED_VALUE"""),"FAUNATICOS")</f>
        <v>FAUNATICOS</v>
      </c>
      <c r="D45" s="53">
        <f>IFERROR(__xludf.DUMMYFUNCTION("""COMPUTED_VALUE"""),44609.60416666667)</f>
        <v>44609.60417</v>
      </c>
      <c r="E45" s="81"/>
      <c r="F45" s="81">
        <v>10.946490462963993</v>
      </c>
    </row>
    <row r="46">
      <c r="A46" s="52" t="str">
        <f>IFERROR(__xludf.DUMMYFUNCTION("""COMPUTED_VALUE"""),"GUN-10045")</f>
        <v>GUN-10045</v>
      </c>
      <c r="B46" s="50">
        <f>IFERROR(__xludf.DUMMYFUNCTION("""COMPUTED_VALUE"""),44599.342629259256)</f>
        <v>44599.34263</v>
      </c>
      <c r="C46" s="52" t="str">
        <f>IFERROR(__xludf.DUMMYFUNCTION("""COMPUTED_VALUE"""),"ACM Student Chapter")</f>
        <v>ACM Student Chapter</v>
      </c>
      <c r="D46" s="53">
        <f>IFERROR(__xludf.DUMMYFUNCTION("""COMPUTED_VALUE"""),44609.4375)</f>
        <v>44609.4375</v>
      </c>
      <c r="E46" s="81"/>
      <c r="F46" s="81">
        <v>10.094870740744227</v>
      </c>
    </row>
    <row r="47">
      <c r="A47" s="52" t="str">
        <f>IFERROR(__xludf.DUMMYFUNCTION("""COMPUTED_VALUE"""),"GUN-10046")</f>
        <v>GUN-10046</v>
      </c>
      <c r="B47" s="50">
        <f>IFERROR(__xludf.DUMMYFUNCTION("""COMPUTED_VALUE"""),44599.35065944444)</f>
        <v>44599.35066</v>
      </c>
      <c r="C47" s="52" t="str">
        <f>IFERROR(__xludf.DUMMYFUNCTION("""COMPUTED_VALUE"""),"INNOVA UN")</f>
        <v>INNOVA UN</v>
      </c>
      <c r="D47" s="53">
        <f>IFERROR(__xludf.DUMMYFUNCTION("""COMPUTED_VALUE"""),44609.4375)</f>
        <v>44609.4375</v>
      </c>
      <c r="E47" s="81"/>
      <c r="F47" s="81">
        <v>10.08684055555932</v>
      </c>
    </row>
    <row r="48">
      <c r="A48" s="52" t="str">
        <f>IFERROR(__xludf.DUMMYFUNCTION("""COMPUTED_VALUE"""),"GUN-10047")</f>
        <v>GUN-10047</v>
      </c>
      <c r="B48" s="50">
        <f>IFERROR(__xludf.DUMMYFUNCTION("""COMPUTED_VALUE"""),44599.39341150463)</f>
        <v>44599.39341</v>
      </c>
      <c r="C48" s="52" t="str">
        <f>IFERROR(__xludf.DUMMYFUNCTION("""COMPUTED_VALUE"""),"CEO")</f>
        <v>CEO</v>
      </c>
      <c r="D48" s="53">
        <f>IFERROR(__xludf.DUMMYFUNCTION("""COMPUTED_VALUE"""),44624.10416666667)</f>
        <v>44624.10417</v>
      </c>
      <c r="E48" s="81" t="str">
        <f>IFERROR(__xludf.DUMMYFUNCTION("""COMPUTED_VALUE"""),"ESTIMADO GRUPO , RECORDAMOS SOLICIAR EN EL LINK DE RECURSOS, EL ESPACIO Y RECURSOS REQUERIDOS PARA LA ACTIVIDAD. ")</f>
        <v>ESTIMADO GRUPO , RECORDAMOS SOLICIAR EN EL LINK DE RECURSOS, EL ESPACIO Y RECURSOS REQUERIDOS PARA LA ACTIVIDAD. </v>
      </c>
      <c r="F48" s="81">
        <v>24.710755162042915</v>
      </c>
    </row>
    <row r="49">
      <c r="A49" s="52" t="str">
        <f>IFERROR(__xludf.DUMMYFUNCTION("""COMPUTED_VALUE"""),"GUN-10048")</f>
        <v>GUN-10048</v>
      </c>
      <c r="B49" s="50">
        <f>IFERROR(__xludf.DUMMYFUNCTION("""COMPUTED_VALUE"""),44599.39730597222)</f>
        <v>44599.39731</v>
      </c>
      <c r="C49" s="52" t="str">
        <f>IFERROR(__xludf.DUMMYFUNCTION("""COMPUTED_VALUE"""),"UNINORTE DIVERSO")</f>
        <v>UNINORTE DIVERSO</v>
      </c>
      <c r="D49" s="53">
        <f>IFERROR(__xludf.DUMMYFUNCTION("""COMPUTED_VALUE"""),44603.41666666667)</f>
        <v>44603.41667</v>
      </c>
      <c r="E49" s="81" t="str">
        <f>IFERROR(__xludf.DUMMYFUNCTION("""COMPUTED_VALUE"""),"ESTIMADO GRUPO LAS REUNONES PARA ACLARAR INQUIETUDES DEBEN HACERSE CON EL EQUIPO DE CULUTRA ACTUAL. LUZ RABELO FINALIZO SUS PRACTICAS")</f>
        <v>ESTIMADO GRUPO LAS REUNONES PARA ACLARAR INQUIETUDES DEBEN HACERSE CON EL EQUIPO DE CULUTRA ACTUAL. LUZ RABELO FINALIZO SUS PRACTICAS</v>
      </c>
      <c r="F49" s="81">
        <v>4.019360694452189</v>
      </c>
    </row>
    <row r="50">
      <c r="A50" s="52" t="str">
        <f>IFERROR(__xludf.DUMMYFUNCTION("""COMPUTED_VALUE"""),"GUN-10049")</f>
        <v>GUN-10049</v>
      </c>
      <c r="B50" s="50">
        <f>IFERROR(__xludf.DUMMYFUNCTION("""COMPUTED_VALUE"""),44599.398668229165)</f>
        <v>44599.39867</v>
      </c>
      <c r="C50" s="52" t="str">
        <f>IFERROR(__xludf.DUMMYFUNCTION("""COMPUTED_VALUE"""),"CEO")</f>
        <v>CEO</v>
      </c>
      <c r="D50" s="53">
        <f>IFERROR(__xludf.DUMMYFUNCTION("""COMPUTED_VALUE"""),44618.33333333333)</f>
        <v>44618.33333</v>
      </c>
      <c r="E50" s="81" t="str">
        <f>IFERROR(__xludf.DUMMYFUNCTION("""COMPUTED_VALUE"""),"ESTIMADO GRUPO , RECORDAMOS SOLICIAR EN EL LINK DE RECURSOS, EL ESPACIO Y RECURSOS REQUERIDOS PARA LA ACTIVIDAD. ")</f>
        <v>ESTIMADO GRUPO , RECORDAMOS SOLICIAR EN EL LINK DE RECURSOS, EL ESPACIO Y RECURSOS REQUERIDOS PARA LA ACTIVIDAD. </v>
      </c>
      <c r="F50" s="81">
        <v>18.934665104163287</v>
      </c>
    </row>
    <row r="51">
      <c r="A51" s="52" t="str">
        <f>IFERROR(__xludf.DUMMYFUNCTION("""COMPUTED_VALUE"""),"GUN-10050")</f>
        <v>GUN-10050</v>
      </c>
      <c r="B51" s="50">
        <f>IFERROR(__xludf.DUMMYFUNCTION("""COMPUTED_VALUE"""),44599.446424490736)</f>
        <v>44599.44642</v>
      </c>
      <c r="C51" s="52" t="str">
        <f>IFERROR(__xludf.DUMMYFUNCTION("""COMPUTED_VALUE"""),"IISE")</f>
        <v>IISE</v>
      </c>
      <c r="D51" s="53">
        <f>IFERROR(__xludf.DUMMYFUNCTION("""COMPUTED_VALUE"""),44593.45833333333)</f>
        <v>44593.45833</v>
      </c>
      <c r="E51" s="81"/>
      <c r="F51" s="81">
        <v>-5.988091157407325</v>
      </c>
    </row>
    <row r="52">
      <c r="A52" s="52" t="str">
        <f>IFERROR(__xludf.DUMMYFUNCTION("""COMPUTED_VALUE"""),"GUN-10051")</f>
        <v>GUN-10051</v>
      </c>
      <c r="B52" s="50">
        <f>IFERROR(__xludf.DUMMYFUNCTION("""COMPUTED_VALUE"""),44599.44764702546)</f>
        <v>44599.44765</v>
      </c>
      <c r="C52" s="52" t="str">
        <f>IFERROR(__xludf.DUMMYFUNCTION("""COMPUTED_VALUE"""),"IISE")</f>
        <v>IISE</v>
      </c>
      <c r="D52" s="53">
        <f>IFERROR(__xludf.DUMMYFUNCTION("""COMPUTED_VALUE"""),44593.58333333333)</f>
        <v>44593.58333</v>
      </c>
      <c r="E52" s="81"/>
      <c r="F52" s="81">
        <v>-5.864313692130963</v>
      </c>
    </row>
    <row r="53">
      <c r="A53" s="52" t="str">
        <f>IFERROR(__xludf.DUMMYFUNCTION("""COMPUTED_VALUE"""),"GUN-10052")</f>
        <v>GUN-10052</v>
      </c>
      <c r="B53" s="50">
        <f>IFERROR(__xludf.DUMMYFUNCTION("""COMPUTED_VALUE"""),44599.46553991899)</f>
        <v>44599.46554</v>
      </c>
      <c r="C53" s="52" t="str">
        <f>IFERROR(__xludf.DUMMYFUNCTION("""COMPUTED_VALUE"""),"CEM UNINORTE")</f>
        <v>CEM UNINORTE</v>
      </c>
      <c r="D53" s="53">
        <f>IFERROR(__xludf.DUMMYFUNCTION("""COMPUTED_VALUE"""),44609.39583333333)</f>
        <v>44609.39583</v>
      </c>
      <c r="E53" s="81" t="str">
        <f>IFERROR(__xludf.DUMMYFUNCTION("""COMPUTED_VALUE"""),"ESTIMADO GRUPO , RECORDAMOS SOLICIAR EN EL LINK DE RECURSOS, EL ESPACIO Y RECURSOS REQUERIDOS PARA LA ACTIVIDAD. ")</f>
        <v>ESTIMADO GRUPO , RECORDAMOS SOLICIAR EN EL LINK DE RECURSOS, EL ESPACIO Y RECURSOS REQUERIDOS PARA LA ACTIVIDAD. </v>
      </c>
      <c r="F53" s="81">
        <v>9.930293414341577</v>
      </c>
    </row>
    <row r="54">
      <c r="A54" s="52" t="str">
        <f>IFERROR(__xludf.DUMMYFUNCTION("""COMPUTED_VALUE"""),"GUN-10053")</f>
        <v>GUN-10053</v>
      </c>
      <c r="B54" s="50">
        <f>IFERROR(__xludf.DUMMYFUNCTION("""COMPUTED_VALUE"""),44599.514362615744)</f>
        <v>44599.51436</v>
      </c>
      <c r="C54" s="52" t="str">
        <f>IFERROR(__xludf.DUMMYFUNCTION("""COMPUTED_VALUE"""),"ANEIC")</f>
        <v>ANEIC</v>
      </c>
      <c r="D54" s="53">
        <f>IFERROR(__xludf.DUMMYFUNCTION("""COMPUTED_VALUE"""),44609.35416666667)</f>
        <v>44609.35417</v>
      </c>
      <c r="E54" s="81"/>
      <c r="F54" s="81">
        <v>9.839804050927341</v>
      </c>
    </row>
    <row r="55">
      <c r="A55" s="52" t="str">
        <f>IFERROR(__xludf.DUMMYFUNCTION("""COMPUTED_VALUE"""),"GUN-10054")</f>
        <v>GUN-10054</v>
      </c>
      <c r="B55" s="50">
        <f>IFERROR(__xludf.DUMMYFUNCTION("""COMPUTED_VALUE"""),44599.54459653935)</f>
        <v>44599.5446</v>
      </c>
      <c r="C55" s="52" t="str">
        <f>IFERROR(__xludf.DUMMYFUNCTION("""COMPUTED_VALUE"""),"PANGEA")</f>
        <v>PANGEA</v>
      </c>
      <c r="D55" s="53">
        <f>IFERROR(__xludf.DUMMYFUNCTION("""COMPUTED_VALUE"""),44609.33333333333)</f>
        <v>44609.33333</v>
      </c>
      <c r="E55" s="81"/>
      <c r="F55" s="81">
        <v>9.788736793976568</v>
      </c>
    </row>
    <row r="56">
      <c r="A56" s="52" t="str">
        <f>IFERROR(__xludf.DUMMYFUNCTION("""COMPUTED_VALUE"""),"GUN-10055")</f>
        <v>GUN-10055</v>
      </c>
      <c r="B56" s="50">
        <f>IFERROR(__xludf.DUMMYFUNCTION("""COMPUTED_VALUE"""),44599.648606967596)</f>
        <v>44599.64861</v>
      </c>
      <c r="C56" s="52" t="str">
        <f>IFERROR(__xludf.DUMMYFUNCTION("""COMPUTED_VALUE"""),"ASTRONORTE")</f>
        <v>ASTRONORTE</v>
      </c>
      <c r="D56" s="53">
        <f>IFERROR(__xludf.DUMMYFUNCTION("""COMPUTED_VALUE"""),44603.4375)</f>
        <v>44603.4375</v>
      </c>
      <c r="E56" s="81"/>
      <c r="F56" s="81">
        <v>3.788893032404303</v>
      </c>
    </row>
    <row r="57">
      <c r="A57" s="52" t="str">
        <f>IFERROR(__xludf.DUMMYFUNCTION("""COMPUTED_VALUE"""),"GUN-10056")</f>
        <v>GUN-10056</v>
      </c>
      <c r="B57" s="50">
        <f>IFERROR(__xludf.DUMMYFUNCTION("""COMPUTED_VALUE"""),44599.72450626157)</f>
        <v>44599.72451</v>
      </c>
      <c r="C57" s="52" t="str">
        <f>IFERROR(__xludf.DUMMYFUNCTION("""COMPUTED_VALUE"""),"CEO")</f>
        <v>CEO</v>
      </c>
      <c r="D57" s="53">
        <f>IFERROR(__xludf.DUMMYFUNCTION("""COMPUTED_VALUE"""),44578.33333333333)</f>
        <v>44578.33333</v>
      </c>
      <c r="E57" s="81"/>
      <c r="F57" s="81">
        <v>-21.39117292824085</v>
      </c>
    </row>
    <row r="58">
      <c r="A58" s="52" t="str">
        <f>IFERROR(__xludf.DUMMYFUNCTION("""COMPUTED_VALUE"""),"GUN-10057")</f>
        <v>GUN-10057</v>
      </c>
      <c r="B58" s="50">
        <f>IFERROR(__xludf.DUMMYFUNCTION("""COMPUTED_VALUE"""),44600.270632268526)</f>
        <v>44600.27063</v>
      </c>
      <c r="C58" s="52" t="str">
        <f>IFERROR(__xludf.DUMMYFUNCTION("""COMPUTED_VALUE"""),"CAFTA")</f>
        <v>CAFTA</v>
      </c>
      <c r="D58" s="53">
        <f>IFERROR(__xludf.DUMMYFUNCTION("""COMPUTED_VALUE"""),44609.33333333333)</f>
        <v>44609.33333</v>
      </c>
      <c r="E58" s="81" t="str">
        <f>IFERROR(__xludf.DUMMYFUNCTION("""COMPUTED_VALUE"""),"ESTIMADO GRUPO , RECORDAMOS SOLICIAR EN EL LINK DE RECURSOS, EL ESPACIO Y RECURSOS REQUERIDOS PARA LA ACTIVIDAD. ")</f>
        <v>ESTIMADO GRUPO , RECORDAMOS SOLICIAR EN EL LINK DE RECURSOS, EL ESPACIO Y RECURSOS REQUERIDOS PARA LA ACTIVIDAD. </v>
      </c>
      <c r="F58" s="81">
        <v>9.06270106480224</v>
      </c>
    </row>
    <row r="59">
      <c r="A59" s="52" t="str">
        <f>IFERROR(__xludf.DUMMYFUNCTION("""COMPUTED_VALUE"""),"GUN-10058")</f>
        <v>GUN-10058</v>
      </c>
      <c r="B59" s="50">
        <f>IFERROR(__xludf.DUMMYFUNCTION("""COMPUTED_VALUE"""),44600.33011869213)</f>
        <v>44600.33012</v>
      </c>
      <c r="C59" s="52" t="str">
        <f>IFERROR(__xludf.DUMMYFUNCTION("""COMPUTED_VALUE"""),"INNOVA UN")</f>
        <v>INNOVA UN</v>
      </c>
      <c r="D59" s="53">
        <f>IFERROR(__xludf.DUMMYFUNCTION("""COMPUTED_VALUE"""),44603.29166666667)</f>
        <v>44603.29167</v>
      </c>
      <c r="E59" s="81" t="str">
        <f>IFERROR(__xludf.DUMMYFUNCTION("""COMPUTED_VALUE"""),"ESTIMADO GRUPO , RECORDAMOS SOLICIAR EN EL LINK DE RECURSOS, EL ESPACIO Y RECURSOS REQUERIDOS PARA LA ACTIVIDAD. ")</f>
        <v>ESTIMADO GRUPO , RECORDAMOS SOLICIAR EN EL LINK DE RECURSOS, EL ESPACIO Y RECURSOS REQUERIDOS PARA LA ACTIVIDAD. </v>
      </c>
      <c r="F59" s="81">
        <v>2.9615479745407356</v>
      </c>
    </row>
    <row r="60">
      <c r="A60" s="52" t="str">
        <f>IFERROR(__xludf.DUMMYFUNCTION("""COMPUTED_VALUE"""),"GUN-10059")</f>
        <v>GUN-10059</v>
      </c>
      <c r="B60" s="50">
        <f>IFERROR(__xludf.DUMMYFUNCTION("""COMPUTED_VALUE"""),44600.38785478009)</f>
        <v>44600.38785</v>
      </c>
      <c r="C60" s="52" t="str">
        <f>IFERROR(__xludf.DUMMYFUNCTION("""COMPUTED_VALUE"""),"GEEUN")</f>
        <v>GEEUN</v>
      </c>
      <c r="D60" s="53">
        <f>IFERROR(__xludf.DUMMYFUNCTION("""COMPUTED_VALUE"""),44609.35416666667)</f>
        <v>44609.35417</v>
      </c>
      <c r="E60" s="81" t="str">
        <f>IFERROR(__xludf.DUMMYFUNCTION("""COMPUTED_VALUE"""),"ESTIMADO GRUPO , RECORDAMOS SOLICIAR EN EL LINK DE RECURSOS, EL ESPACIO Y RECURSOS REQUERIDOS PARA LA ACTIVIDAD. ")</f>
        <v>ESTIMADO GRUPO , RECORDAMOS SOLICIAR EN EL LINK DE RECURSOS, EL ESPACIO Y RECURSOS REQUERIDOS PARA LA ACTIVIDAD. </v>
      </c>
      <c r="F60" s="81">
        <v>8.966311886579206</v>
      </c>
    </row>
    <row r="61">
      <c r="A61" s="52" t="str">
        <f>IFERROR(__xludf.DUMMYFUNCTION("""COMPUTED_VALUE"""),"GUN-10060")</f>
        <v>GUN-10060</v>
      </c>
      <c r="B61" s="50">
        <f>IFERROR(__xludf.DUMMYFUNCTION("""COMPUTED_VALUE"""),44600.44698508101)</f>
        <v>44600.44699</v>
      </c>
      <c r="C61" s="52" t="str">
        <f>IFERROR(__xludf.DUMMYFUNCTION("""COMPUTED_VALUE"""),"GREEN GENERATION")</f>
        <v>GREEN GENERATION</v>
      </c>
      <c r="D61" s="53">
        <f>IFERROR(__xludf.DUMMYFUNCTION("""COMPUTED_VALUE"""),44603.5625)</f>
        <v>44603.5625</v>
      </c>
      <c r="E61" s="81" t="str">
        <f>IFERROR(__xludf.DUMMYFUNCTION("""COMPUTED_VALUE"""),"ESTIMADO GRUPO , RECORDAMOS SOLICIAR EN EL LINK DE RECURSOS, EL ESPACIO Y RECURSOS REQUERIDOS PARA LA ACTIVIDAD. ")</f>
        <v>ESTIMADO GRUPO , RECORDAMOS SOLICIAR EN EL LINK DE RECURSOS, EL ESPACIO Y RECURSOS REQUERIDOS PARA LA ACTIVIDAD. </v>
      </c>
      <c r="F61" s="81">
        <v>3.1155149189871736</v>
      </c>
    </row>
    <row r="62">
      <c r="A62" s="52" t="str">
        <f>IFERROR(__xludf.DUMMYFUNCTION("""COMPUTED_VALUE"""),"GUN-10061")</f>
        <v>GUN-10061</v>
      </c>
      <c r="B62" s="50">
        <f>IFERROR(__xludf.DUMMYFUNCTION("""COMPUTED_VALUE"""),44600.55909347222)</f>
        <v>44600.55909</v>
      </c>
      <c r="C62" s="52" t="str">
        <f>IFERROR(__xludf.DUMMYFUNCTION("""COMPUTED_VALUE"""),"CERI")</f>
        <v>CERI</v>
      </c>
      <c r="D62" s="53">
        <f>IFERROR(__xludf.DUMMYFUNCTION("""COMPUTED_VALUE"""),44609.375)</f>
        <v>44609.375</v>
      </c>
      <c r="E62" s="81" t="str">
        <f>IFERROR(__xludf.DUMMYFUNCTION("""COMPUTED_VALUE"""),"Estimado grupo cordial saludo, el plazo para el envio de la actividad en feria ha caducado razon por la cual esta actividad no sera incluida en la agenda")</f>
        <v>Estimado grupo cordial saludo, el plazo para el envio de la actividad en feria ha caducado razon por la cual esta actividad no sera incluida en la agenda</v>
      </c>
      <c r="F62" s="81">
        <v>8.815906527779589</v>
      </c>
    </row>
    <row r="63">
      <c r="A63" s="52" t="str">
        <f>IFERROR(__xludf.DUMMYFUNCTION("""COMPUTED_VALUE"""),"GUN-10062")</f>
        <v>GUN-10062</v>
      </c>
      <c r="B63" s="50">
        <f>IFERROR(__xludf.DUMMYFUNCTION("""COMPUTED_VALUE"""),44600.603255752314)</f>
        <v>44600.60326</v>
      </c>
      <c r="C63" s="52" t="str">
        <f>IFERROR(__xludf.DUMMYFUNCTION("""COMPUTED_VALUE"""),"FEMINUN")</f>
        <v>FEMINUN</v>
      </c>
      <c r="D63" s="53">
        <f>IFERROR(__xludf.DUMMYFUNCTION("""COMPUTED_VALUE"""),44601.60416666667)</f>
        <v>44601.60417</v>
      </c>
      <c r="E63" s="81"/>
      <c r="F63" s="81">
        <v>1.0009109143575188</v>
      </c>
    </row>
    <row r="64">
      <c r="A64" s="52" t="str">
        <f>IFERROR(__xludf.DUMMYFUNCTION("""COMPUTED_VALUE"""),"GUN-10063")</f>
        <v>GUN-10063</v>
      </c>
      <c r="B64" s="50">
        <f>IFERROR(__xludf.DUMMYFUNCTION("""COMPUTED_VALUE"""),44600.6056753125)</f>
        <v>44600.60568</v>
      </c>
      <c r="C64" s="52" t="str">
        <f>IFERROR(__xludf.DUMMYFUNCTION("""COMPUTED_VALUE"""),"FEMINUN")</f>
        <v>FEMINUN</v>
      </c>
      <c r="D64" s="53">
        <f>IFERROR(__xludf.DUMMYFUNCTION("""COMPUTED_VALUE"""),44603.58333333333)</f>
        <v>44603.58333</v>
      </c>
      <c r="E64" s="81"/>
      <c r="F64" s="81">
        <v>2.9776580208272208</v>
      </c>
    </row>
    <row r="65">
      <c r="A65" s="52" t="str">
        <f>IFERROR(__xludf.DUMMYFUNCTION("""COMPUTED_VALUE"""),"GUN-10064")</f>
        <v>GUN-10064</v>
      </c>
      <c r="B65" s="50">
        <f>IFERROR(__xludf.DUMMYFUNCTION("""COMPUTED_VALUE"""),44600.60819931713)</f>
        <v>44600.6082</v>
      </c>
      <c r="C65" s="52" t="str">
        <f>IFERROR(__xludf.DUMMYFUNCTION("""COMPUTED_VALUE"""),"FEMINUN")</f>
        <v>FEMINUN</v>
      </c>
      <c r="D65" s="53">
        <f>IFERROR(__xludf.DUMMYFUNCTION("""COMPUTED_VALUE"""),44603.60416666667)</f>
        <v>44603.60417</v>
      </c>
      <c r="E65" s="81"/>
      <c r="F65" s="81">
        <v>2.995967349539569</v>
      </c>
    </row>
    <row r="66">
      <c r="A66" s="52" t="str">
        <f>IFERROR(__xludf.DUMMYFUNCTION("""COMPUTED_VALUE"""),"GUN-10065")</f>
        <v>GUN-10065</v>
      </c>
      <c r="B66" s="50">
        <f>IFERROR(__xludf.DUMMYFUNCTION("""COMPUTED_VALUE"""),44600.6187828125)</f>
        <v>44600.61878</v>
      </c>
      <c r="C66" s="52" t="str">
        <f>IFERROR(__xludf.DUMMYFUNCTION("""COMPUTED_VALUE"""),"FEMINUN")</f>
        <v>FEMINUN</v>
      </c>
      <c r="D66" s="53">
        <f>IFERROR(__xludf.DUMMYFUNCTION("""COMPUTED_VALUE"""),44603.5625)</f>
        <v>44603.5625</v>
      </c>
      <c r="E66" s="81"/>
      <c r="F66" s="81">
        <v>2.9437171875033528</v>
      </c>
    </row>
    <row r="67">
      <c r="A67" s="52" t="str">
        <f>IFERROR(__xludf.DUMMYFUNCTION("""COMPUTED_VALUE"""),"GUN-10066")</f>
        <v>GUN-10066</v>
      </c>
      <c r="B67" s="50">
        <f>IFERROR(__xludf.DUMMYFUNCTION("""COMPUTED_VALUE"""),44600.630870891204)</f>
        <v>44600.63087</v>
      </c>
      <c r="C67" s="52" t="str">
        <f>IFERROR(__xludf.DUMMYFUNCTION("""COMPUTED_VALUE"""),"CEO")</f>
        <v>CEO</v>
      </c>
      <c r="D67" s="53">
        <f>IFERROR(__xludf.DUMMYFUNCTION("""COMPUTED_VALUE"""),44607.4375)</f>
        <v>44607.4375</v>
      </c>
      <c r="E67" s="81"/>
      <c r="F67" s="81">
        <v>6.806629108796187</v>
      </c>
    </row>
    <row r="68">
      <c r="A68" s="52" t="str">
        <f>IFERROR(__xludf.DUMMYFUNCTION("""COMPUTED_VALUE"""),"GUN-10067")</f>
        <v>GUN-10067</v>
      </c>
      <c r="B68" s="50">
        <f>IFERROR(__xludf.DUMMYFUNCTION("""COMPUTED_VALUE"""),44600.69689907407)</f>
        <v>44600.6969</v>
      </c>
      <c r="C68" s="52" t="str">
        <f>IFERROR(__xludf.DUMMYFUNCTION("""COMPUTED_VALUE"""),"CERI")</f>
        <v>CERI</v>
      </c>
      <c r="D68" s="53">
        <f>IFERROR(__xludf.DUMMYFUNCTION("""COMPUTED_VALUE"""),44609.375)</f>
        <v>44609.375</v>
      </c>
      <c r="E68" s="81" t="str">
        <f>IFERROR(__xludf.DUMMYFUNCTION("""COMPUTED_VALUE"""),"Estimado grupo cordial saludo, el plazo para el envio de la actividad en feria ha caducado razon por la cual esta actividad no sera incluida en la agenda")</f>
        <v>Estimado grupo cordial saludo, el plazo para el envio de la actividad en feria ha caducado razon por la cual esta actividad no sera incluida en la agenda</v>
      </c>
      <c r="F68" s="81">
        <v>8.678100925928447</v>
      </c>
    </row>
    <row r="69">
      <c r="A69" s="52" t="str">
        <f>IFERROR(__xludf.DUMMYFUNCTION("""COMPUTED_VALUE"""),"GUN-10068")</f>
        <v>GUN-10068</v>
      </c>
      <c r="B69" s="50">
        <f>IFERROR(__xludf.DUMMYFUNCTION("""COMPUTED_VALUE"""),44600.80191357639)</f>
        <v>44600.80191</v>
      </c>
      <c r="C69" s="52" t="str">
        <f>IFERROR(__xludf.DUMMYFUNCTION("""COMPUTED_VALUE"""),"CAFTA")</f>
        <v>CAFTA</v>
      </c>
      <c r="D69" s="53">
        <f>IFERROR(__xludf.DUMMYFUNCTION("""COMPUTED_VALUE"""),44602.45833333333)</f>
        <v>44602.45833</v>
      </c>
      <c r="E69" s="81"/>
      <c r="F69" s="81">
        <v>1.6564197569387034</v>
      </c>
    </row>
    <row r="70">
      <c r="A70" s="52" t="str">
        <f>IFERROR(__xludf.DUMMYFUNCTION("""COMPUTED_VALUE"""),"GUN-10069")</f>
        <v>GUN-10069</v>
      </c>
      <c r="B70" s="50">
        <f>IFERROR(__xludf.DUMMYFUNCTION("""COMPUTED_VALUE"""),44600.92061620371)</f>
        <v>44600.92062</v>
      </c>
      <c r="C70" s="52" t="str">
        <f>IFERROR(__xludf.DUMMYFUNCTION("""COMPUTED_VALUE"""),"CEARQ")</f>
        <v>CEARQ</v>
      </c>
      <c r="D70" s="53">
        <f>IFERROR(__xludf.DUMMYFUNCTION("""COMPUTED_VALUE"""),44607.33333333333)</f>
        <v>44607.33333</v>
      </c>
      <c r="E70" s="81"/>
      <c r="F70" s="81">
        <v>6.412717129620432</v>
      </c>
    </row>
    <row r="71">
      <c r="A71" s="52" t="str">
        <f>IFERROR(__xludf.DUMMYFUNCTION("""COMPUTED_VALUE"""),"GUN-10070")</f>
        <v>GUN-10070</v>
      </c>
      <c r="B71" s="50">
        <f>IFERROR(__xludf.DUMMYFUNCTION("""COMPUTED_VALUE"""),44601.42351078703)</f>
        <v>44601.42351</v>
      </c>
      <c r="C71" s="52" t="str">
        <f>IFERROR(__xludf.DUMMYFUNCTION("""COMPUTED_VALUE"""),"W-STEM")</f>
        <v>W-STEM</v>
      </c>
      <c r="D71" s="53">
        <f>IFERROR(__xludf.DUMMYFUNCTION("""COMPUTED_VALUE"""),44609.1875)</f>
        <v>44609.1875</v>
      </c>
      <c r="E71" s="81"/>
      <c r="F71" s="81">
        <v>7.763989212966408</v>
      </c>
    </row>
    <row r="72">
      <c r="A72" s="52" t="str">
        <f>IFERROR(__xludf.DUMMYFUNCTION("""COMPUTED_VALUE"""),"GUN-10071")</f>
        <v>GUN-10071</v>
      </c>
      <c r="B72" s="50">
        <f>IFERROR(__xludf.DUMMYFUNCTION("""COMPUTED_VALUE"""),44601.43220716435)</f>
        <v>44601.43221</v>
      </c>
      <c r="C72" s="52" t="str">
        <f>IFERROR(__xludf.DUMMYFUNCTION("""COMPUTED_VALUE"""),"CESG UNINORTE")</f>
        <v>CESG UNINORTE</v>
      </c>
      <c r="D72" s="53">
        <f>IFERROR(__xludf.DUMMYFUNCTION("""COMPUTED_VALUE"""),44607.33333333333)</f>
        <v>44607.33333</v>
      </c>
      <c r="E72" s="81"/>
      <c r="F72" s="81">
        <v>5.901126168981136</v>
      </c>
    </row>
    <row r="73">
      <c r="A73" s="52" t="str">
        <f>IFERROR(__xludf.DUMMYFUNCTION("""COMPUTED_VALUE"""),"GUN-10072")</f>
        <v>GUN-10072</v>
      </c>
      <c r="B73" s="50">
        <f>IFERROR(__xludf.DUMMYFUNCTION("""COMPUTED_VALUE"""),44601.64197488426)</f>
        <v>44601.64197</v>
      </c>
      <c r="C73" s="52" t="str">
        <f>IFERROR(__xludf.DUMMYFUNCTION("""COMPUTED_VALUE"""),"BK2")</f>
        <v>BK2</v>
      </c>
      <c r="D73" s="53">
        <f>IFERROR(__xludf.DUMMYFUNCTION("""COMPUTED_VALUE"""),44603.4375)</f>
        <v>44603.4375</v>
      </c>
      <c r="E73" s="81" t="str">
        <f>IFERROR(__xludf.DUMMYFUNCTION("""COMPUTED_VALUE"""),"Estimado grupo la solicitud se encuenta en tramite sin embargo reiteramos que las oslicitudes deben realizarse con una semana de antelacion")</f>
        <v>Estimado grupo la solicitud se encuenta en tramite sin embargo reiteramos que las oslicitudes deben realizarse con una semana de antelacion</v>
      </c>
      <c r="F73" s="81">
        <v>1.7955251157400198</v>
      </c>
    </row>
    <row r="74">
      <c r="A74" s="52" t="str">
        <f>IFERROR(__xludf.DUMMYFUNCTION("""COMPUTED_VALUE"""),"GUN-10073")</f>
        <v>GUN-10073</v>
      </c>
      <c r="B74" s="50">
        <f>IFERROR(__xludf.DUMMYFUNCTION("""COMPUTED_VALUE"""),44601.782733124994)</f>
        <v>44601.78273</v>
      </c>
      <c r="C74" s="52" t="str">
        <f>IFERROR(__xludf.DUMMYFUNCTION("""COMPUTED_VALUE"""),"CEM UNINORTE")</f>
        <v>CEM UNINORTE</v>
      </c>
      <c r="D74" s="53">
        <f>IFERROR(__xludf.DUMMYFUNCTION("""COMPUTED_VALUE"""),44607.33333333333)</f>
        <v>44607.33333</v>
      </c>
      <c r="E74" s="81"/>
      <c r="F74" s="81">
        <v>5.550600208334799</v>
      </c>
    </row>
    <row r="75">
      <c r="A75" s="52" t="str">
        <f>IFERROR(__xludf.DUMMYFUNCTION("""COMPUTED_VALUE"""),"GUN-10074")</f>
        <v>GUN-10074</v>
      </c>
      <c r="B75" s="50">
        <f>IFERROR(__xludf.DUMMYFUNCTION("""COMPUTED_VALUE"""),44601.91707107639)</f>
        <v>44601.91707</v>
      </c>
      <c r="C75" s="52" t="str">
        <f>IFERROR(__xludf.DUMMYFUNCTION("""COMPUTED_VALUE"""),"CEIM UNINORTE")</f>
        <v>CEIM UNINORTE</v>
      </c>
      <c r="D75" s="53">
        <f>IFERROR(__xludf.DUMMYFUNCTION("""COMPUTED_VALUE"""),44609.5)</f>
        <v>44609.5</v>
      </c>
      <c r="E75" s="81"/>
      <c r="F75" s="81">
        <v>7.582928923613508</v>
      </c>
    </row>
    <row r="76">
      <c r="A76" s="52" t="str">
        <f>IFERROR(__xludf.DUMMYFUNCTION("""COMPUTED_VALUE"""),"GUN-10075")</f>
        <v>GUN-10075</v>
      </c>
      <c r="B76" s="50">
        <f>IFERROR(__xludf.DUMMYFUNCTION("""COMPUTED_VALUE"""),44601.919114062504)</f>
        <v>44601.91911</v>
      </c>
      <c r="C76" s="52" t="str">
        <f>IFERROR(__xludf.DUMMYFUNCTION("""COMPUTED_VALUE"""),"CEIM UNINORTE")</f>
        <v>CEIM UNINORTE</v>
      </c>
      <c r="D76" s="53">
        <f>IFERROR(__xludf.DUMMYFUNCTION("""COMPUTED_VALUE"""),44606.39583333333)</f>
        <v>44606.39583</v>
      </c>
      <c r="E76" s="81"/>
      <c r="F76" s="81">
        <v>4.4767192708241055</v>
      </c>
    </row>
    <row r="77">
      <c r="A77" s="52" t="str">
        <f>IFERROR(__xludf.DUMMYFUNCTION("""COMPUTED_VALUE"""),"GUN-10076")</f>
        <v>GUN-10076</v>
      </c>
      <c r="B77" s="50">
        <f>IFERROR(__xludf.DUMMYFUNCTION("""COMPUTED_VALUE"""),44601.92001969907)</f>
        <v>44601.92002</v>
      </c>
      <c r="C77" s="52" t="str">
        <f>IFERROR(__xludf.DUMMYFUNCTION("""COMPUTED_VALUE"""),"CEIM UNINORTE")</f>
        <v>CEIM UNINORTE</v>
      </c>
      <c r="D77" s="53">
        <f>IFERROR(__xludf.DUMMYFUNCTION("""COMPUTED_VALUE"""),44610.60416666667)</f>
        <v>44610.60417</v>
      </c>
      <c r="E77" s="81"/>
      <c r="F77" s="81">
        <v>8.6841469676001</v>
      </c>
    </row>
    <row r="78">
      <c r="A78" s="52" t="str">
        <f>IFERROR(__xludf.DUMMYFUNCTION("""COMPUTED_VALUE"""),"GUN-10077")</f>
        <v>GUN-10077</v>
      </c>
      <c r="B78" s="50">
        <f>IFERROR(__xludf.DUMMYFUNCTION("""COMPUTED_VALUE"""),44601.998341157414)</f>
        <v>44601.99834</v>
      </c>
      <c r="C78" s="52" t="str">
        <f>IFERROR(__xludf.DUMMYFUNCTION("""COMPUTED_VALUE"""),"IEEE")</f>
        <v>IEEE</v>
      </c>
      <c r="D78" s="53">
        <f>IFERROR(__xludf.DUMMYFUNCTION("""COMPUTED_VALUE"""),44608.39583333333)</f>
        <v>44608.39583</v>
      </c>
      <c r="E78" s="81" t="str">
        <f>IFERROR(__xludf.DUMMYFUNCTION("""COMPUTED_VALUE"""),"ESTIMADO GRUPO REQUIEREN ALGUN RECURSO PARA ESTA ACTIVIDAD? SI LA RESPUESTA ESS AFIRMATIVA AGRADECEMOS SOLICITAR LOS RECURSOS")</f>
        <v>ESTIMADO GRUPO REQUIEREN ALGUN RECURSO PARA ESTA ACTIVIDAD? SI LA RESPUESTA ESS AFIRMATIVA AGRADECEMOS SOLICITAR LOS RECURSOS</v>
      </c>
      <c r="F78" s="81">
        <v>6.397492175914522</v>
      </c>
    </row>
    <row r="79">
      <c r="A79" s="52" t="str">
        <f>IFERROR(__xludf.DUMMYFUNCTION("""COMPUTED_VALUE"""),"GUN-10078")</f>
        <v>GUN-10078</v>
      </c>
      <c r="B79" s="50">
        <f>IFERROR(__xludf.DUMMYFUNCTION("""COMPUTED_VALUE"""),44602.330261539355)</f>
        <v>44602.33026</v>
      </c>
      <c r="C79" s="52" t="str">
        <f>IFERROR(__xludf.DUMMYFUNCTION("""COMPUTED_VALUE"""),"IEEE")</f>
        <v>IEEE</v>
      </c>
      <c r="D79" s="53">
        <f>IFERROR(__xludf.DUMMYFUNCTION("""COMPUTED_VALUE"""),44610.10416666667)</f>
        <v>44610.10417</v>
      </c>
      <c r="E79" s="81" t="str">
        <f>IFERROR(__xludf.DUMMYFUNCTION("""COMPUTED_VALUE"""),"ESTIMADO GRUPO REQUIEREN ALGUN RECURSO PARA ESTA ACTIVIDAD? SI LA RESPUESTA ESS AFIRMATIVA AGRADECEMOS SOLICITAR LOS RECURSOS")</f>
        <v>ESTIMADO GRUPO REQUIEREN ALGUN RECURSO PARA ESTA ACTIVIDAD? SI LA RESPUESTA ESS AFIRMATIVA AGRADECEMOS SOLICITAR LOS RECURSOS</v>
      </c>
      <c r="F79" s="81">
        <v>7.773905127316539</v>
      </c>
    </row>
    <row r="80">
      <c r="A80" s="52" t="str">
        <f>IFERROR(__xludf.DUMMYFUNCTION("""COMPUTED_VALUE"""),"GUN-10079")</f>
        <v>GUN-10079</v>
      </c>
      <c r="B80" s="50">
        <f>IFERROR(__xludf.DUMMYFUNCTION("""COMPUTED_VALUE"""),44602.35399346065)</f>
        <v>44602.35399</v>
      </c>
      <c r="C80" s="52" t="str">
        <f>IFERROR(__xludf.DUMMYFUNCTION("""COMPUTED_VALUE"""),"GREEN GENERATION")</f>
        <v>GREEN GENERATION</v>
      </c>
      <c r="D80" s="53">
        <f>IFERROR(__xludf.DUMMYFUNCTION("""COMPUTED_VALUE"""),44608.4375)</f>
        <v>44608.4375</v>
      </c>
      <c r="E80" s="81" t="str">
        <f>IFERROR(__xludf.DUMMYFUNCTION("""COMPUTED_VALUE"""),"ESTIMADO GRUPO REQUIEREN ALGUN RECURSO PARA ESTA ACTIVIDAD? SI LA RESPUESTA ESS AFIRMATIVA AGRADECEMOS SOLICITAR LOS RECURSOS")</f>
        <v>ESTIMADO GRUPO REQUIEREN ALGUN RECURSO PARA ESTA ACTIVIDAD? SI LA RESPUESTA ESS AFIRMATIVA AGRADECEMOS SOLICITAR LOS RECURSOS</v>
      </c>
      <c r="F80" s="81">
        <v>6.083506539347582</v>
      </c>
    </row>
    <row r="81">
      <c r="A81" s="52" t="str">
        <f>IFERROR(__xludf.DUMMYFUNCTION("""COMPUTED_VALUE"""),"GUN-10080")</f>
        <v>GUN-10080</v>
      </c>
      <c r="B81" s="50">
        <f>IFERROR(__xludf.DUMMYFUNCTION("""COMPUTED_VALUE"""),44602.39824763889)</f>
        <v>44602.39825</v>
      </c>
      <c r="C81" s="52" t="str">
        <f>IFERROR(__xludf.DUMMYFUNCTION("""COMPUTED_VALUE"""),"IEEE")</f>
        <v>IEEE</v>
      </c>
      <c r="D81" s="53">
        <f>IFERROR(__xludf.DUMMYFUNCTION("""COMPUTED_VALUE"""),44597.45833333333)</f>
        <v>44597.45833</v>
      </c>
      <c r="E81" s="81"/>
      <c r="F81" s="81">
        <v>-4.939914305563434</v>
      </c>
    </row>
    <row r="82">
      <c r="A82" s="52" t="str">
        <f>IFERROR(__xludf.DUMMYFUNCTION("""COMPUTED_VALUE"""),"GUN-10081")</f>
        <v>GUN-10081</v>
      </c>
      <c r="B82" s="50">
        <f>IFERROR(__xludf.DUMMYFUNCTION("""COMPUTED_VALUE"""),44602.400168576394)</f>
        <v>44602.40017</v>
      </c>
      <c r="C82" s="52" t="str">
        <f>IFERROR(__xludf.DUMMYFUNCTION("""COMPUTED_VALUE"""),"IEEE")</f>
        <v>IEEE</v>
      </c>
      <c r="D82" s="53">
        <f>IFERROR(__xludf.DUMMYFUNCTION("""COMPUTED_VALUE"""),44596.1875)</f>
        <v>44596.1875</v>
      </c>
      <c r="E82" s="81"/>
      <c r="F82" s="81">
        <v>-6.212668576394208</v>
      </c>
    </row>
    <row r="83">
      <c r="A83" s="52" t="str">
        <f>IFERROR(__xludf.DUMMYFUNCTION("""COMPUTED_VALUE"""),"GUN-10082")</f>
        <v>GUN-10082</v>
      </c>
      <c r="B83" s="50">
        <f>IFERROR(__xludf.DUMMYFUNCTION("""COMPUTED_VALUE"""),44602.40220938657)</f>
        <v>44602.40221</v>
      </c>
      <c r="C83" s="52" t="str">
        <f>IFERROR(__xludf.DUMMYFUNCTION("""COMPUTED_VALUE"""),"IEEE")</f>
        <v>IEEE</v>
      </c>
      <c r="D83" s="53">
        <f>IFERROR(__xludf.DUMMYFUNCTION("""COMPUTED_VALUE"""),44597.08333333333)</f>
        <v>44597.08333</v>
      </c>
      <c r="E83" s="81"/>
      <c r="F83" s="81">
        <v>-5.318876053243002</v>
      </c>
    </row>
    <row r="84">
      <c r="A84" s="52" t="str">
        <f>IFERROR(__xludf.DUMMYFUNCTION("""COMPUTED_VALUE"""),"GUN-10083")</f>
        <v>GUN-10083</v>
      </c>
      <c r="B84" s="50">
        <f>IFERROR(__xludf.DUMMYFUNCTION("""COMPUTED_VALUE"""),44602.40583063658)</f>
        <v>44602.40583</v>
      </c>
      <c r="C84" s="52" t="str">
        <f>IFERROR(__xludf.DUMMYFUNCTION("""COMPUTED_VALUE"""),"IEEE")</f>
        <v>IEEE</v>
      </c>
      <c r="D84" s="53">
        <f>IFERROR(__xludf.DUMMYFUNCTION("""COMPUTED_VALUE"""),44597.125)</f>
        <v>44597.125</v>
      </c>
      <c r="E84" s="81"/>
      <c r="F84" s="81">
        <v>-5.280830636576866</v>
      </c>
    </row>
    <row r="85">
      <c r="A85" s="52" t="str">
        <f>IFERROR(__xludf.DUMMYFUNCTION("""COMPUTED_VALUE"""),"GUN-10084")</f>
        <v>GUN-10084</v>
      </c>
      <c r="B85" s="50">
        <f>IFERROR(__xludf.DUMMYFUNCTION("""COMPUTED_VALUE"""),44602.41413362269)</f>
        <v>44602.41413</v>
      </c>
      <c r="C85" s="52" t="str">
        <f>IFERROR(__xludf.DUMMYFUNCTION("""COMPUTED_VALUE"""),"CEIM UNINORTE")</f>
        <v>CEIM UNINORTE</v>
      </c>
      <c r="D85" s="53">
        <f>IFERROR(__xludf.DUMMYFUNCTION("""COMPUTED_VALUE"""),44606.39583333333)</f>
        <v>44606.39583</v>
      </c>
      <c r="E85" s="81"/>
      <c r="F85" s="81">
        <v>3.9816997106390772</v>
      </c>
    </row>
    <row r="86">
      <c r="A86" s="52" t="str">
        <f>IFERROR(__xludf.DUMMYFUNCTION("""COMPUTED_VALUE"""),"GUN-10085")</f>
        <v>GUN-10085</v>
      </c>
      <c r="B86" s="50">
        <f>IFERROR(__xludf.DUMMYFUNCTION("""COMPUTED_VALUE"""),44602.417801539355)</f>
        <v>44602.4178</v>
      </c>
      <c r="C86" s="52" t="str">
        <f>IFERROR(__xludf.DUMMYFUNCTION("""COMPUTED_VALUE"""),"CEIM UNINORTE")</f>
        <v>CEIM UNINORTE</v>
      </c>
      <c r="D86" s="53">
        <f>IFERROR(__xludf.DUMMYFUNCTION("""COMPUTED_VALUE"""),44610.375)</f>
        <v>44610.375</v>
      </c>
      <c r="E86" s="81"/>
      <c r="F86" s="81">
        <v>7.957198460644577</v>
      </c>
    </row>
    <row r="87">
      <c r="A87" s="52" t="str">
        <f>IFERROR(__xludf.DUMMYFUNCTION("""COMPUTED_VALUE"""),"GUN-10086")</f>
        <v>GUN-10086</v>
      </c>
      <c r="B87" s="50">
        <f>IFERROR(__xludf.DUMMYFUNCTION("""COMPUTED_VALUE"""),44602.42523508102)</f>
        <v>44602.42524</v>
      </c>
      <c r="C87" s="52" t="str">
        <f>IFERROR(__xludf.DUMMYFUNCTION("""COMPUTED_VALUE"""),"CEIM UNINORTE")</f>
        <v>CEIM UNINORTE</v>
      </c>
      <c r="D87" s="53">
        <f>IFERROR(__xludf.DUMMYFUNCTION("""COMPUTED_VALUE"""),44606.375)</f>
        <v>44606.375</v>
      </c>
      <c r="E87" s="81"/>
      <c r="F87" s="81">
        <v>3.949764918979781</v>
      </c>
    </row>
    <row r="88">
      <c r="A88" s="52" t="str">
        <f>IFERROR(__xludf.DUMMYFUNCTION("""COMPUTED_VALUE"""),"GUN-10087")</f>
        <v>GUN-10087</v>
      </c>
      <c r="B88" s="50">
        <f>IFERROR(__xludf.DUMMYFUNCTION("""COMPUTED_VALUE"""),44602.426497326385)</f>
        <v>44602.4265</v>
      </c>
      <c r="C88" s="52" t="str">
        <f>IFERROR(__xludf.DUMMYFUNCTION("""COMPUTED_VALUE"""),"CEIM UNINORTE")</f>
        <v>CEIM UNINORTE</v>
      </c>
      <c r="D88" s="53">
        <f>IFERROR(__xludf.DUMMYFUNCTION("""COMPUTED_VALUE"""),44606.5625)</f>
        <v>44606.5625</v>
      </c>
      <c r="E88" s="81" t="str">
        <f>IFERROR(__xludf.DUMMYFUNCTION("""COMPUTED_VALUE"""),"ESTIMADO GRUPO REQUIEREN ALGUN RECURSO PARA ESTA ACTIVIDAD? SI LA RESPUESTA ESS AFIRMATIVA AGRADECEMOS SOLICITAR LOS RECURSOS")</f>
        <v>ESTIMADO GRUPO REQUIEREN ALGUN RECURSO PARA ESTA ACTIVIDAD? SI LA RESPUESTA ESS AFIRMATIVA AGRADECEMOS SOLICITAR LOS RECURSOS</v>
      </c>
      <c r="F88" s="81">
        <v>4.136002673614712</v>
      </c>
    </row>
    <row r="89">
      <c r="A89" s="52" t="str">
        <f>IFERROR(__xludf.DUMMYFUNCTION("""COMPUTED_VALUE"""),"GUN-10088")</f>
        <v>GUN-10088</v>
      </c>
      <c r="B89" s="50">
        <f>IFERROR(__xludf.DUMMYFUNCTION("""COMPUTED_VALUE"""),44602.42816775463)</f>
        <v>44602.42817</v>
      </c>
      <c r="C89" s="52" t="str">
        <f>IFERROR(__xludf.DUMMYFUNCTION("""COMPUTED_VALUE"""),"CEIM UNINORTE")</f>
        <v>CEIM UNINORTE</v>
      </c>
      <c r="D89" s="53">
        <f>IFERROR(__xludf.DUMMYFUNCTION("""COMPUTED_VALUE"""),44610.6875)</f>
        <v>44610.6875</v>
      </c>
      <c r="E89" s="81"/>
      <c r="F89" s="81">
        <v>8.259332245368569</v>
      </c>
    </row>
    <row r="90">
      <c r="A90" s="52" t="str">
        <f>IFERROR(__xludf.DUMMYFUNCTION("""COMPUTED_VALUE"""),"GUN-10089")</f>
        <v>GUN-10089</v>
      </c>
      <c r="B90" s="50">
        <f>IFERROR(__xludf.DUMMYFUNCTION("""COMPUTED_VALUE"""),44602.4343581713)</f>
        <v>44602.43436</v>
      </c>
      <c r="C90" s="52" t="str">
        <f>IFERROR(__xludf.DUMMYFUNCTION("""COMPUTED_VALUE"""),"CEIM UNINORTE")</f>
        <v>CEIM UNINORTE</v>
      </c>
      <c r="D90" s="53">
        <f>IFERROR(__xludf.DUMMYFUNCTION("""COMPUTED_VALUE"""),44610.72916666667)</f>
        <v>44610.72917</v>
      </c>
      <c r="E90" s="81" t="str">
        <f>IFERROR(__xludf.DUMMYFUNCTION("""COMPUTED_VALUE"""),"ESTIMADO GRUPO REQUIEREN ALGUN RECURSO PARA ESTA ACTIVIDAD? SI LA RESPUESTA ESS AFIRMATIVA AGRADECEMOS SOLICITAR LOS RECURSOS")</f>
        <v>ESTIMADO GRUPO REQUIEREN ALGUN RECURSO PARA ESTA ACTIVIDAD? SI LA RESPUESTA ESS AFIRMATIVA AGRADECEMOS SOLICITAR LOS RECURSOS</v>
      </c>
      <c r="F90" s="81">
        <v>8.294808495375037</v>
      </c>
    </row>
    <row r="91">
      <c r="A91" s="52" t="str">
        <f>IFERROR(__xludf.DUMMYFUNCTION("""COMPUTED_VALUE"""),"GUN-10090")</f>
        <v>GUN-10090</v>
      </c>
      <c r="B91" s="50">
        <f>IFERROR(__xludf.DUMMYFUNCTION("""COMPUTED_VALUE"""),44602.45192107639)</f>
        <v>44602.45192</v>
      </c>
      <c r="C91" s="52" t="str">
        <f>IFERROR(__xludf.DUMMYFUNCTION("""COMPUTED_VALUE"""),"CEIM UNINORTE")</f>
        <v>CEIM UNINORTE</v>
      </c>
      <c r="D91" s="53">
        <f>IFERROR(__xludf.DUMMYFUNCTION("""COMPUTED_VALUE"""),44610.77083333333)</f>
        <v>44610.77083</v>
      </c>
      <c r="E91" s="81" t="str">
        <f>IFERROR(__xludf.DUMMYFUNCTION("""COMPUTED_VALUE"""),"ESTIMADO GRUPO REQUIEREN ALGUN RECURSO PARA ESTA ACTIVIDAD? SI LA RESPUESTA ESS AFIRMATIVA AGRADECEMOS SOLICITAR LOS RECURSOS")</f>
        <v>ESTIMADO GRUPO REQUIEREN ALGUN RECURSO PARA ESTA ACTIVIDAD? SI LA RESPUESTA ESS AFIRMATIVA AGRADECEMOS SOLICITAR LOS RECURSOS</v>
      </c>
      <c r="F91" s="81">
        <v>8.318912256938347</v>
      </c>
    </row>
    <row r="92">
      <c r="A92" s="52" t="str">
        <f>IFERROR(__xludf.DUMMYFUNCTION("""COMPUTED_VALUE"""),"GUN-10091")</f>
        <v>GUN-10091</v>
      </c>
      <c r="B92" s="50">
        <f>IFERROR(__xludf.DUMMYFUNCTION("""COMPUTED_VALUE"""),44602.81394918981)</f>
        <v>44602.81395</v>
      </c>
      <c r="C92" s="52" t="str">
        <f>IFERROR(__xludf.DUMMYFUNCTION("""COMPUTED_VALUE"""),"ÁGORA")</f>
        <v>ÁGORA</v>
      </c>
      <c r="D92" s="53">
        <f>IFERROR(__xludf.DUMMYFUNCTION("""COMPUTED_VALUE"""),44607.33333333333)</f>
        <v>44607.33333</v>
      </c>
      <c r="E92" s="81"/>
      <c r="F92" s="81">
        <v>4.519384143517527</v>
      </c>
    </row>
    <row r="93">
      <c r="A93" s="52" t="str">
        <f>IFERROR(__xludf.DUMMYFUNCTION("""COMPUTED_VALUE"""),"GUN-10092")</f>
        <v>GUN-10092</v>
      </c>
      <c r="B93" s="50">
        <f>IFERROR(__xludf.DUMMYFUNCTION("""COMPUTED_VALUE"""),44602.81839753473)</f>
        <v>44602.8184</v>
      </c>
      <c r="C93" s="52" t="str">
        <f>IFERROR(__xludf.DUMMYFUNCTION("""COMPUTED_VALUE"""),"CRU")</f>
        <v>CRU</v>
      </c>
      <c r="D93" s="53">
        <f>IFERROR(__xludf.DUMMYFUNCTION("""COMPUTED_VALUE"""),44609.375)</f>
        <v>44609.375</v>
      </c>
      <c r="E93" s="81"/>
      <c r="F93" s="81">
        <v>6.55660246527259</v>
      </c>
    </row>
    <row r="94">
      <c r="A94" s="52" t="str">
        <f>IFERROR(__xludf.DUMMYFUNCTION("""COMPUTED_VALUE"""),"GUN-10093")</f>
        <v>GUN-10093</v>
      </c>
      <c r="B94" s="50">
        <f>IFERROR(__xludf.DUMMYFUNCTION("""COMPUTED_VALUE"""),44602.95923559028)</f>
        <v>44602.95924</v>
      </c>
      <c r="C94" s="52" t="str">
        <f>IFERROR(__xludf.DUMMYFUNCTION("""COMPUTED_VALUE"""),"IEEE")</f>
        <v>IEEE</v>
      </c>
      <c r="D94" s="53">
        <f>IFERROR(__xludf.DUMMYFUNCTION("""COMPUTED_VALUE"""),44608.39583333333)</f>
        <v>44608.39583</v>
      </c>
      <c r="E94" s="81"/>
      <c r="F94" s="81">
        <v>5.436597743049788</v>
      </c>
    </row>
    <row r="95">
      <c r="A95" s="52" t="str">
        <f>IFERROR(__xludf.DUMMYFUNCTION("""COMPUTED_VALUE"""),"GUN-10094")</f>
        <v>GUN-10094</v>
      </c>
      <c r="B95" s="50">
        <f>IFERROR(__xludf.DUMMYFUNCTION("""COMPUTED_VALUE"""),44602.96047293981)</f>
        <v>44602.96047</v>
      </c>
      <c r="C95" s="52" t="str">
        <f>IFERROR(__xludf.DUMMYFUNCTION("""COMPUTED_VALUE"""),"IEEE")</f>
        <v>IEEE</v>
      </c>
      <c r="D95" s="53">
        <f>IFERROR(__xludf.DUMMYFUNCTION("""COMPUTED_VALUE"""),44609.35416666667)</f>
        <v>44609.35417</v>
      </c>
      <c r="E95" s="81"/>
      <c r="F95" s="81">
        <v>6.3936937268590555</v>
      </c>
    </row>
    <row r="96">
      <c r="A96" s="52" t="str">
        <f>IFERROR(__xludf.DUMMYFUNCTION("""COMPUTED_VALUE"""),"GUN-10095")</f>
        <v>GUN-10095</v>
      </c>
      <c r="B96" s="50">
        <f>IFERROR(__xludf.DUMMYFUNCTION("""COMPUTED_VALUE"""),44603.59640983796)</f>
        <v>44603.59641</v>
      </c>
      <c r="C96" s="52" t="str">
        <f>IFERROR(__xludf.DUMMYFUNCTION("""COMPUTED_VALUE"""),"E-SPORTS")</f>
        <v>E-SPORTS</v>
      </c>
      <c r="D96" s="53">
        <f>IFERROR(__xludf.DUMMYFUNCTION("""COMPUTED_VALUE"""),44603.5625)</f>
        <v>44603.5625</v>
      </c>
      <c r="E96" s="81"/>
      <c r="F96" s="81">
        <v>-0.0339098379627103</v>
      </c>
    </row>
    <row r="97">
      <c r="A97" s="52" t="str">
        <f>IFERROR(__xludf.DUMMYFUNCTION("""COMPUTED_VALUE"""),"GUN-10096")</f>
        <v>GUN-10096</v>
      </c>
      <c r="B97" s="50">
        <f>IFERROR(__xludf.DUMMYFUNCTION("""COMPUTED_VALUE"""),44603.94976028935)</f>
        <v>44603.94976</v>
      </c>
      <c r="C97" s="52" t="str">
        <f>IFERROR(__xludf.DUMMYFUNCTION("""COMPUTED_VALUE"""),"UNINORTE DIVERSO")</f>
        <v>UNINORTE DIVERSO</v>
      </c>
      <c r="D97" s="53">
        <f>IFERROR(__xludf.DUMMYFUNCTION("""COMPUTED_VALUE"""),44604.41666666667)</f>
        <v>44604.41667</v>
      </c>
      <c r="E97" s="81"/>
      <c r="F97" s="81">
        <v>0.4669063773180824</v>
      </c>
    </row>
    <row r="98">
      <c r="A98" s="52" t="str">
        <f>IFERROR(__xludf.DUMMYFUNCTION("""COMPUTED_VALUE"""),"GUN-10097")</f>
        <v>GUN-10097</v>
      </c>
      <c r="B98" s="50">
        <f>IFERROR(__xludf.DUMMYFUNCTION("""COMPUTED_VALUE"""),44603.95794928241)</f>
        <v>44603.95795</v>
      </c>
      <c r="C98" s="52" t="str">
        <f>IFERROR(__xludf.DUMMYFUNCTION("""COMPUTED_VALUE"""),"UNINORTE DIVERSO")</f>
        <v>UNINORTE DIVERSO</v>
      </c>
      <c r="D98" s="53">
        <f>IFERROR(__xludf.DUMMYFUNCTION("""COMPUTED_VALUE"""),44604.41666666667)</f>
        <v>44604.41667</v>
      </c>
      <c r="E98" s="81"/>
      <c r="F98" s="81">
        <v>0.4587173842592165</v>
      </c>
    </row>
    <row r="99">
      <c r="A99" s="52" t="str">
        <f>IFERROR(__xludf.DUMMYFUNCTION("""COMPUTED_VALUE"""),"GUN-10098")</f>
        <v>GUN-10098</v>
      </c>
      <c r="B99" s="50">
        <f>IFERROR(__xludf.DUMMYFUNCTION("""COMPUTED_VALUE"""),44603.97205606481)</f>
        <v>44603.97206</v>
      </c>
      <c r="C99" s="52" t="str">
        <f>IFERROR(__xludf.DUMMYFUNCTION("""COMPUTED_VALUE"""),"FAUNATICOS")</f>
        <v>FAUNATICOS</v>
      </c>
      <c r="D99" s="53">
        <f>IFERROR(__xludf.DUMMYFUNCTION("""COMPUTED_VALUE"""),44604.66666666667)</f>
        <v>44604.66667</v>
      </c>
      <c r="E99" s="81"/>
      <c r="F99" s="81">
        <v>0.6946106018585851</v>
      </c>
    </row>
    <row r="100">
      <c r="A100" s="52" t="str">
        <f>IFERROR(__xludf.DUMMYFUNCTION("""COMPUTED_VALUE"""),"GUN-10099")</f>
        <v>GUN-10099</v>
      </c>
      <c r="B100" s="50">
        <f>IFERROR(__xludf.DUMMYFUNCTION("""COMPUTED_VALUE"""),44603.97447988426)</f>
        <v>44603.97448</v>
      </c>
      <c r="C100" s="52" t="str">
        <f>IFERROR(__xludf.DUMMYFUNCTION("""COMPUTED_VALUE"""),"FAUNATICOS")</f>
        <v>FAUNATICOS</v>
      </c>
      <c r="D100" s="53">
        <f>IFERROR(__xludf.DUMMYFUNCTION("""COMPUTED_VALUE"""),44601.70833333333)</f>
        <v>44601.70833</v>
      </c>
      <c r="E100" s="81"/>
      <c r="F100" s="81">
        <v>-2.2661465509299887</v>
      </c>
    </row>
    <row r="101">
      <c r="A101" s="52" t="str">
        <f>IFERROR(__xludf.DUMMYFUNCTION("""COMPUTED_VALUE"""),"GUN-10100")</f>
        <v>GUN-10100</v>
      </c>
      <c r="B101" s="50">
        <f>IFERROR(__xludf.DUMMYFUNCTION("""COMPUTED_VALUE"""),44603.97676827546)</f>
        <v>44603.97677</v>
      </c>
      <c r="C101" s="52" t="str">
        <f>IFERROR(__xludf.DUMMYFUNCTION("""COMPUTED_VALUE"""),"FAUNATICOS")</f>
        <v>FAUNATICOS</v>
      </c>
      <c r="D101" s="53">
        <f>IFERROR(__xludf.DUMMYFUNCTION("""COMPUTED_VALUE"""),44604.75)</f>
        <v>44604.75</v>
      </c>
      <c r="E101" s="81"/>
      <c r="F101" s="81">
        <v>0.7732317245390732</v>
      </c>
    </row>
    <row r="102">
      <c r="A102" s="52" t="str">
        <f>IFERROR(__xludf.DUMMYFUNCTION("""COMPUTED_VALUE"""),"GUN-10101")</f>
        <v>GUN-10101</v>
      </c>
      <c r="B102" s="50">
        <f>IFERROR(__xludf.DUMMYFUNCTION("""COMPUTED_VALUE"""),44604.67341949075)</f>
        <v>44604.67342</v>
      </c>
      <c r="C102" s="52" t="str">
        <f>IFERROR(__xludf.DUMMYFUNCTION("""COMPUTED_VALUE"""),"PANGEA")</f>
        <v>PANGEA</v>
      </c>
      <c r="D102" s="53">
        <f>IFERROR(__xludf.DUMMYFUNCTION("""COMPUTED_VALUE"""),44610.60416666667)</f>
        <v>44610.60417</v>
      </c>
      <c r="E102" s="81"/>
      <c r="F102" s="81">
        <v>5.930747175923898</v>
      </c>
    </row>
    <row r="103">
      <c r="A103" s="52" t="str">
        <f>IFERROR(__xludf.DUMMYFUNCTION("""COMPUTED_VALUE"""),"GUN-10102")</f>
        <v>GUN-10102</v>
      </c>
      <c r="B103" s="50">
        <f>IFERROR(__xludf.DUMMYFUNCTION("""COMPUTED_VALUE"""),44604.71163337963)</f>
        <v>44604.71163</v>
      </c>
      <c r="C103" s="52" t="str">
        <f>IFERROR(__xludf.DUMMYFUNCTION("""COMPUTED_VALUE"""),"CAFTA")</f>
        <v>CAFTA</v>
      </c>
      <c r="D103" s="53">
        <f>IFERROR(__xludf.DUMMYFUNCTION("""COMPUTED_VALUE"""),44606.5)</f>
        <v>44606.5</v>
      </c>
      <c r="E103" s="81"/>
      <c r="F103" s="81">
        <v>1.7883666203706525</v>
      </c>
    </row>
    <row r="104">
      <c r="A104" s="52" t="str">
        <f>IFERROR(__xludf.DUMMYFUNCTION("""COMPUTED_VALUE"""),"GUN-10103")</f>
        <v>GUN-10103</v>
      </c>
      <c r="B104" s="50">
        <f>IFERROR(__xludf.DUMMYFUNCTION("""COMPUTED_VALUE"""),44604.96427982639)</f>
        <v>44604.96428</v>
      </c>
      <c r="C104" s="52" t="str">
        <f>IFERROR(__xludf.DUMMYFUNCTION("""COMPUTED_VALUE"""),"GEO-ENERGÍA")</f>
        <v>GEO-ENERGÍA</v>
      </c>
      <c r="D104" s="53">
        <f>IFERROR(__xludf.DUMMYFUNCTION("""COMPUTED_VALUE"""),44607.375)</f>
        <v>44607.375</v>
      </c>
      <c r="E104" s="81"/>
      <c r="F104" s="81">
        <v>2.4107201736114803</v>
      </c>
    </row>
    <row r="105">
      <c r="A105" s="52" t="str">
        <f>IFERROR(__xludf.DUMMYFUNCTION("""COMPUTED_VALUE"""),"GUN-10104")</f>
        <v>GUN-10104</v>
      </c>
      <c r="B105" s="50">
        <f>IFERROR(__xludf.DUMMYFUNCTION("""COMPUTED_VALUE"""),44604.99534371528)</f>
        <v>44604.99534</v>
      </c>
      <c r="C105" s="52" t="str">
        <f>IFERROR(__xludf.DUMMYFUNCTION("""COMPUTED_VALUE"""),"CRU")</f>
        <v>CRU</v>
      </c>
      <c r="D105" s="53">
        <f>IFERROR(__xludf.DUMMYFUNCTION("""COMPUTED_VALUE"""),44597.58333333333)</f>
        <v>44597.58333</v>
      </c>
      <c r="E105" s="81"/>
      <c r="F105" s="81">
        <v>-7.412010381951404</v>
      </c>
    </row>
    <row r="106">
      <c r="A106" s="52" t="str">
        <f>IFERROR(__xludf.DUMMYFUNCTION("""COMPUTED_VALUE"""),"GUN-10105")</f>
        <v>GUN-10105</v>
      </c>
      <c r="B106" s="50">
        <f>IFERROR(__xludf.DUMMYFUNCTION("""COMPUTED_VALUE"""),44604.99823869213)</f>
        <v>44604.99824</v>
      </c>
      <c r="C106" s="52" t="str">
        <f>IFERROR(__xludf.DUMMYFUNCTION("""COMPUTED_VALUE"""),"CRU")</f>
        <v>CRU</v>
      </c>
      <c r="D106" s="53">
        <f>IFERROR(__xludf.DUMMYFUNCTION("""COMPUTED_VALUE"""),44603.4375)</f>
        <v>44603.4375</v>
      </c>
      <c r="E106" s="81"/>
      <c r="F106" s="81">
        <v>-1.5607386921328725</v>
      </c>
    </row>
    <row r="107">
      <c r="A107" s="52" t="str">
        <f>IFERROR(__xludf.DUMMYFUNCTION("""COMPUTED_VALUE"""),"GUN-10106")</f>
        <v>GUN-10106</v>
      </c>
      <c r="B107" s="50">
        <f>IFERROR(__xludf.DUMMYFUNCTION("""COMPUTED_VALUE"""),44606.225779375)</f>
        <v>44606.22578</v>
      </c>
      <c r="C107" s="52" t="str">
        <f>IFERROR(__xludf.DUMMYFUNCTION("""COMPUTED_VALUE"""),"CEO")</f>
        <v>CEO</v>
      </c>
      <c r="D107" s="53">
        <f>IFERROR(__xludf.DUMMYFUNCTION("""COMPUTED_VALUE"""),44617.60416666667)</f>
        <v>44617.60417</v>
      </c>
      <c r="E107" s="81"/>
      <c r="F107" s="81">
        <v>11.378387291668332</v>
      </c>
    </row>
    <row r="108">
      <c r="A108" s="52" t="str">
        <f>IFERROR(__xludf.DUMMYFUNCTION("""COMPUTED_VALUE"""),"GUN-10107")</f>
        <v>GUN-10107</v>
      </c>
      <c r="B108" s="50">
        <f>IFERROR(__xludf.DUMMYFUNCTION("""COMPUTED_VALUE"""),44606.22950113426)</f>
        <v>44606.2295</v>
      </c>
      <c r="C108" s="52" t="str">
        <f>IFERROR(__xludf.DUMMYFUNCTION("""COMPUTED_VALUE"""),"CEO")</f>
        <v>CEO</v>
      </c>
      <c r="D108" s="53">
        <f>IFERROR(__xludf.DUMMYFUNCTION("""COMPUTED_VALUE"""),44617.33333333333)</f>
        <v>44617.33333</v>
      </c>
      <c r="E108" s="81"/>
      <c r="F108" s="81">
        <v>11.103832199070894</v>
      </c>
    </row>
    <row r="109">
      <c r="A109" s="52" t="str">
        <f>IFERROR(__xludf.DUMMYFUNCTION("""COMPUTED_VALUE"""),"GUN-10108")</f>
        <v>GUN-10108</v>
      </c>
      <c r="B109" s="50">
        <f>IFERROR(__xludf.DUMMYFUNCTION("""COMPUTED_VALUE"""),44606.23134222222)</f>
        <v>44606.23134</v>
      </c>
      <c r="C109" s="52" t="str">
        <f>IFERROR(__xludf.DUMMYFUNCTION("""COMPUTED_VALUE"""),"CEO")</f>
        <v>CEO</v>
      </c>
      <c r="D109" s="53">
        <f>IFERROR(__xludf.DUMMYFUNCTION("""COMPUTED_VALUE"""),44615.4375)</f>
        <v>44615.4375</v>
      </c>
      <c r="E109" s="81"/>
      <c r="F109" s="81">
        <v>9.206157777778571</v>
      </c>
    </row>
    <row r="110">
      <c r="A110" s="52" t="str">
        <f>IFERROR(__xludf.DUMMYFUNCTION("""COMPUTED_VALUE"""),"GUN-10109")</f>
        <v>GUN-10109</v>
      </c>
      <c r="B110" s="50">
        <f>IFERROR(__xludf.DUMMYFUNCTION("""COMPUTED_VALUE"""),44606.232595775466)</f>
        <v>44606.2326</v>
      </c>
      <c r="C110" s="52" t="str">
        <f>IFERROR(__xludf.DUMMYFUNCTION("""COMPUTED_VALUE"""),"CEO")</f>
        <v>CEO</v>
      </c>
      <c r="D110" s="53">
        <f>IFERROR(__xludf.DUMMYFUNCTION("""COMPUTED_VALUE"""),44622.4375)</f>
        <v>44622.4375</v>
      </c>
      <c r="E110" s="81"/>
      <c r="F110" s="81">
        <v>16.204904224534403</v>
      </c>
    </row>
    <row r="111">
      <c r="A111" s="52" t="str">
        <f>IFERROR(__xludf.DUMMYFUNCTION("""COMPUTED_VALUE"""),"GUN-10110")</f>
        <v>GUN-10110</v>
      </c>
      <c r="B111" s="50">
        <f>IFERROR(__xludf.DUMMYFUNCTION("""COMPUTED_VALUE"""),44606.49063862269)</f>
        <v>44606.49064</v>
      </c>
      <c r="C111" s="52" t="str">
        <f>IFERROR(__xludf.DUMMYFUNCTION("""COMPUTED_VALUE"""),"BOURBAKI")</f>
        <v>BOURBAKI</v>
      </c>
      <c r="D111" s="53">
        <f>IFERROR(__xludf.DUMMYFUNCTION("""COMPUTED_VALUE"""),44609.35416666667)</f>
        <v>44609.35417</v>
      </c>
      <c r="E111" s="81" t="str">
        <f>IFERROR(__xludf.DUMMYFUNCTION("""COMPUTED_VALUE"""),"Estimado grupo para estas emana estaremos realizando solo eventos presenciales para la feria y se habian estipulado unas fechas de plazo para notificar estas actividades y solicitud de recursos")</f>
        <v>Estimado grupo para estas emana estaremos realizando solo eventos presenciales para la feria y se habian estipulado unas fechas de plazo para notificar estas actividades y solicitud de recursos</v>
      </c>
      <c r="F111" s="81">
        <v>2.863528043984843</v>
      </c>
    </row>
    <row r="112">
      <c r="A112" s="52" t="str">
        <f>IFERROR(__xludf.DUMMYFUNCTION("""COMPUTED_VALUE"""),"GUN-10111")</f>
        <v>GUN-10111</v>
      </c>
      <c r="B112" s="50">
        <f>IFERROR(__xludf.DUMMYFUNCTION("""COMPUTED_VALUE"""),44606.49798021991)</f>
        <v>44606.49798</v>
      </c>
      <c r="C112" s="52" t="str">
        <f>IFERROR(__xludf.DUMMYFUNCTION("""COMPUTED_VALUE"""),"CERI")</f>
        <v>CERI</v>
      </c>
      <c r="D112" s="53">
        <f>IFERROR(__xludf.DUMMYFUNCTION("""COMPUTED_VALUE"""),44607.35416666667)</f>
        <v>44607.35417</v>
      </c>
      <c r="E112" s="81"/>
      <c r="F112" s="81">
        <v>0.8561864467628766</v>
      </c>
    </row>
    <row r="113">
      <c r="A113" s="52" t="str">
        <f>IFERROR(__xludf.DUMMYFUNCTION("""COMPUTED_VALUE"""),"GUN-10112")</f>
        <v>GUN-10112</v>
      </c>
      <c r="B113" s="50">
        <f>IFERROR(__xludf.DUMMYFUNCTION("""COMPUTED_VALUE"""),44606.546654467595)</f>
        <v>44606.54665</v>
      </c>
      <c r="C113" s="52" t="str">
        <f>IFERROR(__xludf.DUMMYFUNCTION("""COMPUTED_VALUE"""),"FEMINUN")</f>
        <v>FEMINUN</v>
      </c>
      <c r="D113" s="53">
        <f>IFERROR(__xludf.DUMMYFUNCTION("""COMPUTED_VALUE"""),44606.60416666667)</f>
        <v>44606.60417</v>
      </c>
      <c r="E113" s="81"/>
      <c r="F113" s="81">
        <v>0.0575121990768821</v>
      </c>
    </row>
    <row r="114">
      <c r="A114" s="52" t="str">
        <f>IFERROR(__xludf.DUMMYFUNCTION("""COMPUTED_VALUE"""),"GUN-10113")</f>
        <v>GUN-10113</v>
      </c>
      <c r="B114" s="50">
        <f>IFERROR(__xludf.DUMMYFUNCTION("""COMPUTED_VALUE"""),44606.55117409722)</f>
        <v>44606.55117</v>
      </c>
      <c r="C114" s="52" t="str">
        <f>IFERROR(__xludf.DUMMYFUNCTION("""COMPUTED_VALUE"""),"PARTNERS CAMPUS")</f>
        <v>PARTNERS CAMPUS</v>
      </c>
      <c r="D114" s="53">
        <f>IFERROR(__xludf.DUMMYFUNCTION("""COMPUTED_VALUE"""),44593.09722222222)</f>
        <v>44593.09722</v>
      </c>
      <c r="E114" s="81"/>
      <c r="F114" s="81">
        <v>-13.45395187500253</v>
      </c>
    </row>
    <row r="115">
      <c r="A115" s="52" t="str">
        <f>IFERROR(__xludf.DUMMYFUNCTION("""COMPUTED_VALUE"""),"GUN-10114")</f>
        <v>GUN-10114</v>
      </c>
      <c r="B115" s="50">
        <f>IFERROR(__xludf.DUMMYFUNCTION("""COMPUTED_VALUE"""),44606.55548609953)</f>
        <v>44606.55549</v>
      </c>
      <c r="C115" s="52" t="str">
        <f>IFERROR(__xludf.DUMMYFUNCTION("""COMPUTED_VALUE"""),"PARTNERS CAMPUS")</f>
        <v>PARTNERS CAMPUS</v>
      </c>
      <c r="D115" s="53">
        <f>IFERROR(__xludf.DUMMYFUNCTION("""COMPUTED_VALUE"""),44599.58333333333)</f>
        <v>44599.58333</v>
      </c>
      <c r="E115" s="81"/>
      <c r="F115" s="81">
        <v>-6.97215276620409</v>
      </c>
    </row>
    <row r="116">
      <c r="A116" s="52" t="str">
        <f>IFERROR(__xludf.DUMMYFUNCTION("""COMPUTED_VALUE"""),"GUN-10115")</f>
        <v>GUN-10115</v>
      </c>
      <c r="B116" s="50">
        <f>IFERROR(__xludf.DUMMYFUNCTION("""COMPUTED_VALUE"""),44606.5633918287)</f>
        <v>44606.56339</v>
      </c>
      <c r="C116" s="52" t="str">
        <f>IFERROR(__xludf.DUMMYFUNCTION("""COMPUTED_VALUE"""),"PARTNERS CAMPUS")</f>
        <v>PARTNERS CAMPUS</v>
      </c>
      <c r="D116" s="53">
        <f>IFERROR(__xludf.DUMMYFUNCTION("""COMPUTED_VALUE"""),44604.5)</f>
        <v>44604.5</v>
      </c>
      <c r="E116" s="81"/>
      <c r="F116" s="81">
        <v>-2.0633918286985136</v>
      </c>
    </row>
    <row r="117">
      <c r="A117" s="52" t="str">
        <f>IFERROR(__xludf.DUMMYFUNCTION("""COMPUTED_VALUE"""),"GUN-10116")</f>
        <v>GUN-10116</v>
      </c>
      <c r="B117" s="50">
        <f>IFERROR(__xludf.DUMMYFUNCTION("""COMPUTED_VALUE"""),44606.56804734954)</f>
        <v>44606.56805</v>
      </c>
      <c r="C117" s="52" t="str">
        <f>IFERROR(__xludf.DUMMYFUNCTION("""COMPUTED_VALUE"""),"PARTNERS CAMPUS")</f>
        <v>PARTNERS CAMPUS</v>
      </c>
      <c r="D117" s="53">
        <f>IFERROR(__xludf.DUMMYFUNCTION("""COMPUTED_VALUE"""),44606.625)</f>
        <v>44606.625</v>
      </c>
      <c r="E117" s="81"/>
      <c r="F117" s="81">
        <v>0.05695265046233544</v>
      </c>
    </row>
    <row r="118">
      <c r="A118" s="52" t="str">
        <f>IFERROR(__xludf.DUMMYFUNCTION("""COMPUTED_VALUE"""),"GUN-10117")</f>
        <v>GUN-10117</v>
      </c>
      <c r="B118" s="50">
        <f>IFERROR(__xludf.DUMMYFUNCTION("""COMPUTED_VALUE"""),44606.57607236111)</f>
        <v>44606.57607</v>
      </c>
      <c r="C118" s="52" t="str">
        <f>IFERROR(__xludf.DUMMYFUNCTION("""COMPUTED_VALUE"""),"PARTNERS CAMPUS")</f>
        <v>PARTNERS CAMPUS</v>
      </c>
      <c r="D118" s="53">
        <f>IFERROR(__xludf.DUMMYFUNCTION("""COMPUTED_VALUE"""),44607.33333333333)</f>
        <v>44607.33333</v>
      </c>
      <c r="E118" s="81"/>
      <c r="F118" s="81">
        <v>0.7572609722192283</v>
      </c>
    </row>
    <row r="119">
      <c r="A119" s="52" t="str">
        <f>IFERROR(__xludf.DUMMYFUNCTION("""COMPUTED_VALUE"""),"GUN-10118")</f>
        <v>GUN-10118</v>
      </c>
      <c r="B119" s="50">
        <f>IFERROR(__xludf.DUMMYFUNCTION("""COMPUTED_VALUE"""),44606.57941491898)</f>
        <v>44606.57941</v>
      </c>
      <c r="C119" s="52" t="str">
        <f>IFERROR(__xludf.DUMMYFUNCTION("""COMPUTED_VALUE"""),"PARTNERS CAMPUS")</f>
        <v>PARTNERS CAMPUS</v>
      </c>
      <c r="D119" s="53">
        <f>IFERROR(__xludf.DUMMYFUNCTION("""COMPUTED_VALUE"""),44606.41666666667)</f>
        <v>44606.41667</v>
      </c>
      <c r="E119" s="81"/>
      <c r="F119" s="81">
        <v>-0.16274825231084833</v>
      </c>
    </row>
    <row r="120">
      <c r="A120" s="52" t="str">
        <f>IFERROR(__xludf.DUMMYFUNCTION("""COMPUTED_VALUE"""),"GUN-10119")</f>
        <v>GUN-10119</v>
      </c>
      <c r="B120" s="50">
        <f>IFERROR(__xludf.DUMMYFUNCTION("""COMPUTED_VALUE"""),44606.583745798605)</f>
        <v>44606.58375</v>
      </c>
      <c r="C120" s="52" t="str">
        <f>IFERROR(__xludf.DUMMYFUNCTION("""COMPUTED_VALUE"""),"PARTNERS CAMPUS")</f>
        <v>PARTNERS CAMPUS</v>
      </c>
      <c r="D120" s="53">
        <f>IFERROR(__xludf.DUMMYFUNCTION("""COMPUTED_VALUE"""),44607.33333333333)</f>
        <v>44607.33333</v>
      </c>
      <c r="E120" s="81"/>
      <c r="F120" s="81">
        <v>0.7495875347231049</v>
      </c>
    </row>
    <row r="121">
      <c r="A121" s="52" t="str">
        <f>IFERROR(__xludf.DUMMYFUNCTION("""COMPUTED_VALUE"""),"GUN-10120")</f>
        <v>GUN-10120</v>
      </c>
      <c r="B121" s="50">
        <f>IFERROR(__xludf.DUMMYFUNCTION("""COMPUTED_VALUE"""),44606.58764150463)</f>
        <v>44606.58764</v>
      </c>
      <c r="C121" s="52" t="str">
        <f>IFERROR(__xludf.DUMMYFUNCTION("""COMPUTED_VALUE"""),"PARTNERS CAMPUS")</f>
        <v>PARTNERS CAMPUS</v>
      </c>
      <c r="D121" s="53">
        <f>IFERROR(__xludf.DUMMYFUNCTION("""COMPUTED_VALUE"""),44608.33333333333)</f>
        <v>44608.33333</v>
      </c>
      <c r="E121" s="81"/>
      <c r="F121" s="81">
        <v>1.7456918286989094</v>
      </c>
    </row>
    <row r="122">
      <c r="A122" s="52" t="str">
        <f>IFERROR(__xludf.DUMMYFUNCTION("""COMPUTED_VALUE"""),"GUN-10121")</f>
        <v>GUN-10121</v>
      </c>
      <c r="B122" s="50">
        <f>IFERROR(__xludf.DUMMYFUNCTION("""COMPUTED_VALUE"""),44606.59240231481)</f>
        <v>44606.5924</v>
      </c>
      <c r="C122" s="52" t="str">
        <f>IFERROR(__xludf.DUMMYFUNCTION("""COMPUTED_VALUE"""),"FEMINUN")</f>
        <v>FEMINUN</v>
      </c>
      <c r="D122" s="53">
        <f>IFERROR(__xludf.DUMMYFUNCTION("""COMPUTED_VALUE"""),44608.625)</f>
        <v>44608.625</v>
      </c>
      <c r="E122" s="81"/>
      <c r="F122" s="81">
        <v>2.0325976851891028</v>
      </c>
    </row>
    <row r="123">
      <c r="A123" s="52" t="str">
        <f>IFERROR(__xludf.DUMMYFUNCTION("""COMPUTED_VALUE"""),"GUN-10122")</f>
        <v>GUN-10122</v>
      </c>
      <c r="B123" s="50">
        <f>IFERROR(__xludf.DUMMYFUNCTION("""COMPUTED_VALUE"""),44606.59500934028)</f>
        <v>44606.59501</v>
      </c>
      <c r="C123" s="52" t="str">
        <f>IFERROR(__xludf.DUMMYFUNCTION("""COMPUTED_VALUE"""),"PARTNERS CAMPUS")</f>
        <v>PARTNERS CAMPUS</v>
      </c>
      <c r="D123" s="53">
        <f>IFERROR(__xludf.DUMMYFUNCTION("""COMPUTED_VALUE"""),44609.33333333333)</f>
        <v>44609.33333</v>
      </c>
      <c r="E123" s="81"/>
      <c r="F123" s="81">
        <v>2.738323993049562</v>
      </c>
    </row>
    <row r="124">
      <c r="A124" s="52" t="str">
        <f>IFERROR(__xludf.DUMMYFUNCTION("""COMPUTED_VALUE"""),"GUN-10123")</f>
        <v>GUN-10123</v>
      </c>
      <c r="B124" s="50">
        <f>IFERROR(__xludf.DUMMYFUNCTION("""COMPUTED_VALUE"""),44606.59533267361)</f>
        <v>44606.59533</v>
      </c>
      <c r="C124" s="52" t="str">
        <f>IFERROR(__xludf.DUMMYFUNCTION("""COMPUTED_VALUE"""),"FEMINUN")</f>
        <v>FEMINUN</v>
      </c>
      <c r="D124" s="53">
        <f>IFERROR(__xludf.DUMMYFUNCTION("""COMPUTED_VALUE"""),44610.625)</f>
        <v>44610.625</v>
      </c>
      <c r="E124" s="81"/>
      <c r="F124" s="81">
        <v>4.029667326387425</v>
      </c>
    </row>
    <row r="125">
      <c r="A125" s="52" t="str">
        <f>IFERROR(__xludf.DUMMYFUNCTION("""COMPUTED_VALUE"""),"GUN-10124")</f>
        <v>GUN-10124</v>
      </c>
      <c r="B125" s="50">
        <f>IFERROR(__xludf.DUMMYFUNCTION("""COMPUTED_VALUE"""),44606.59765076389)</f>
        <v>44606.59765</v>
      </c>
      <c r="C125" s="52" t="str">
        <f>IFERROR(__xludf.DUMMYFUNCTION("""COMPUTED_VALUE"""),"PARTNERS CAMPUS")</f>
        <v>PARTNERS CAMPUS</v>
      </c>
      <c r="D125" s="53">
        <f>IFERROR(__xludf.DUMMYFUNCTION("""COMPUTED_VALUE"""),44610.83333333333)</f>
        <v>44610.83333</v>
      </c>
      <c r="E125" s="81"/>
      <c r="F125" s="81">
        <v>4.235682569436904</v>
      </c>
    </row>
    <row r="126">
      <c r="A126" s="52" t="str">
        <f>IFERROR(__xludf.DUMMYFUNCTION("""COMPUTED_VALUE"""),"GUN-10125")</f>
        <v>GUN-10125</v>
      </c>
      <c r="B126" s="50">
        <f>IFERROR(__xludf.DUMMYFUNCTION("""COMPUTED_VALUE"""),44606.59998886574)</f>
        <v>44606.59999</v>
      </c>
      <c r="C126" s="52" t="str">
        <f>IFERROR(__xludf.DUMMYFUNCTION("""COMPUTED_VALUE"""),"PARTNERS CAMPUS")</f>
        <v>PARTNERS CAMPUS</v>
      </c>
      <c r="D126" s="53">
        <f>IFERROR(__xludf.DUMMYFUNCTION("""COMPUTED_VALUE"""),44612.58333333333)</f>
        <v>44612.58333</v>
      </c>
      <c r="E126" s="81"/>
      <c r="F126" s="81">
        <v>5.983344467589632</v>
      </c>
    </row>
    <row r="127">
      <c r="A127" s="52" t="str">
        <f>IFERROR(__xludf.DUMMYFUNCTION("""COMPUTED_VALUE"""),"GUN-10126")</f>
        <v>GUN-10126</v>
      </c>
      <c r="B127" s="50">
        <f>IFERROR(__xludf.DUMMYFUNCTION("""COMPUTED_VALUE"""),44606.60219239583)</f>
        <v>44606.60219</v>
      </c>
      <c r="C127" s="52" t="str">
        <f>IFERROR(__xludf.DUMMYFUNCTION("""COMPUTED_VALUE"""),"PARTNERS CAMPUS")</f>
        <v>PARTNERS CAMPUS</v>
      </c>
      <c r="D127" s="53">
        <f>IFERROR(__xludf.DUMMYFUNCTION("""COMPUTED_VALUE"""),44619.33333333333)</f>
        <v>44619.33333</v>
      </c>
      <c r="E127" s="81"/>
      <c r="F127" s="81">
        <v>12.731140937496093</v>
      </c>
    </row>
    <row r="128">
      <c r="A128" s="52" t="str">
        <f>IFERROR(__xludf.DUMMYFUNCTION("""COMPUTED_VALUE"""),"GUN-10127")</f>
        <v>GUN-10127</v>
      </c>
      <c r="B128" s="50">
        <f>IFERROR(__xludf.DUMMYFUNCTION("""COMPUTED_VALUE"""),44606.606616226854)</f>
        <v>44606.60662</v>
      </c>
      <c r="C128" s="52" t="str">
        <f>IFERROR(__xludf.DUMMYFUNCTION("""COMPUTED_VALUE"""),"PARTNERS CAMPUS")</f>
        <v>PARTNERS CAMPUS</v>
      </c>
      <c r="D128" s="53">
        <f>IFERROR(__xludf.DUMMYFUNCTION("""COMPUTED_VALUE"""),44595.39583333333)</f>
        <v>44595.39583</v>
      </c>
      <c r="E128" s="81"/>
      <c r="F128" s="81">
        <v>-11.210782893525902</v>
      </c>
    </row>
    <row r="129">
      <c r="A129" s="52" t="str">
        <f>IFERROR(__xludf.DUMMYFUNCTION("""COMPUTED_VALUE"""),"GUN-10128")</f>
        <v>GUN-10128</v>
      </c>
      <c r="B129" s="50">
        <f>IFERROR(__xludf.DUMMYFUNCTION("""COMPUTED_VALUE"""),44606.609217916666)</f>
        <v>44606.60922</v>
      </c>
      <c r="C129" s="52" t="str">
        <f>IFERROR(__xludf.DUMMYFUNCTION("""COMPUTED_VALUE"""),"PARTNERS CAMPUS")</f>
        <v>PARTNERS CAMPUS</v>
      </c>
      <c r="D129" s="53">
        <f>IFERROR(__xludf.DUMMYFUNCTION("""COMPUTED_VALUE"""),44599.5625)</f>
        <v>44599.5625</v>
      </c>
      <c r="E129" s="81"/>
      <c r="F129" s="81">
        <v>-7.046717916666239</v>
      </c>
    </row>
    <row r="130">
      <c r="A130" s="52" t="str">
        <f>IFERROR(__xludf.DUMMYFUNCTION("""COMPUTED_VALUE"""),"GUN-10129")</f>
        <v>GUN-10129</v>
      </c>
      <c r="B130" s="50">
        <f>IFERROR(__xludf.DUMMYFUNCTION("""COMPUTED_VALUE"""),44606.61083371528)</f>
        <v>44606.61083</v>
      </c>
      <c r="C130" s="52" t="str">
        <f>IFERROR(__xludf.DUMMYFUNCTION("""COMPUTED_VALUE"""),"PARTNERS CAMPUS")</f>
        <v>PARTNERS CAMPUS</v>
      </c>
      <c r="D130" s="53">
        <f>IFERROR(__xludf.DUMMYFUNCTION("""COMPUTED_VALUE"""),44599.77083333333)</f>
        <v>44599.77083</v>
      </c>
      <c r="E130" s="81"/>
      <c r="F130" s="81">
        <v>-6.8400003819479025</v>
      </c>
    </row>
    <row r="131">
      <c r="A131" s="52" t="str">
        <f>IFERROR(__xludf.DUMMYFUNCTION("""COMPUTED_VALUE"""),"GUN-10130")</f>
        <v>GUN-10130</v>
      </c>
      <c r="B131" s="50">
        <f>IFERROR(__xludf.DUMMYFUNCTION("""COMPUTED_VALUE"""),44606.630231388895)</f>
        <v>44606.63023</v>
      </c>
      <c r="C131" s="52" t="str">
        <f>IFERROR(__xludf.DUMMYFUNCTION("""COMPUTED_VALUE"""),"CEO")</f>
        <v>CEO</v>
      </c>
      <c r="D131" s="53">
        <f>IFERROR(__xludf.DUMMYFUNCTION("""COMPUTED_VALUE"""),44614.4375)</f>
        <v>44614.4375</v>
      </c>
      <c r="E131" s="81"/>
      <c r="F131" s="81">
        <v>7.807268611104519</v>
      </c>
    </row>
    <row r="132">
      <c r="A132" s="52" t="str">
        <f>IFERROR(__xludf.DUMMYFUNCTION("""COMPUTED_VALUE"""),"GUN-10131")</f>
        <v>GUN-10131</v>
      </c>
      <c r="B132" s="50">
        <f>IFERROR(__xludf.DUMMYFUNCTION("""COMPUTED_VALUE"""),44606.85512450232)</f>
        <v>44606.85512</v>
      </c>
      <c r="C132" s="52" t="str">
        <f>IFERROR(__xludf.DUMMYFUNCTION("""COMPUTED_VALUE"""),"GEN'S")</f>
        <v>GEN'S</v>
      </c>
      <c r="D132" s="53">
        <f>IFERROR(__xludf.DUMMYFUNCTION("""COMPUTED_VALUE"""),44610.1875)</f>
        <v>44610.1875</v>
      </c>
      <c r="E132" s="81" t="str">
        <f>IFERROR(__xludf.DUMMYFUNCTION("""COMPUTED_VALUE"""),"ESTIMADO GRUPO REQUIEREN ALGUN RECURSO PARA LA ACTIVIDAD? INDICAR CUAL A TRAVES DEL LINK DE RECURSOS")</f>
        <v>ESTIMADO GRUPO REQUIEREN ALGUN RECURSO PARA LA ACTIVIDAD? INDICAR CUAL A TRAVES DEL LINK DE RECURSOS</v>
      </c>
      <c r="F132" s="81">
        <v>3.332375497680914</v>
      </c>
    </row>
    <row r="133">
      <c r="A133" s="52" t="str">
        <f>IFERROR(__xludf.DUMMYFUNCTION("""COMPUTED_VALUE"""),"GUN-10132")</f>
        <v>GUN-10132</v>
      </c>
      <c r="B133" s="50">
        <f>IFERROR(__xludf.DUMMYFUNCTION("""COMPUTED_VALUE"""),44607.44710099536)</f>
        <v>44607.4471</v>
      </c>
      <c r="C133" s="52" t="str">
        <f>IFERROR(__xludf.DUMMYFUNCTION("""COMPUTED_VALUE"""),"CERI")</f>
        <v>CERI</v>
      </c>
      <c r="D133" s="53">
        <f>IFERROR(__xludf.DUMMYFUNCTION("""COMPUTED_VALUE"""),44613.6875)</f>
        <v>44613.6875</v>
      </c>
      <c r="E133" s="81"/>
      <c r="F133" s="81">
        <v>6.240399004636856</v>
      </c>
    </row>
    <row r="134">
      <c r="A134" s="52" t="str">
        <f>IFERROR(__xludf.DUMMYFUNCTION("""COMPUTED_VALUE"""),"GUN-10133")</f>
        <v>GUN-10133</v>
      </c>
      <c r="B134" s="50">
        <f>IFERROR(__xludf.DUMMYFUNCTION("""COMPUTED_VALUE"""),44607.724950648146)</f>
        <v>44607.72495</v>
      </c>
      <c r="C134" s="52" t="str">
        <f>IFERROR(__xludf.DUMMYFUNCTION("""COMPUTED_VALUE"""),"CEIM UNINORTE")</f>
        <v>CEIM UNINORTE</v>
      </c>
      <c r="D134" s="53">
        <f>IFERROR(__xludf.DUMMYFUNCTION("""COMPUTED_VALUE"""),44618.375)</f>
        <v>44618.375</v>
      </c>
      <c r="E134" s="81" t="str">
        <f>IFERROR(__xludf.DUMMYFUNCTION("""COMPUTED_VALUE"""),"ESTIMADO GRUPO REQUIEREN ALGUN RECURSO PARA LA ACTIVIDAD? INDICAR CUAL A TRAVES DEL LINK DE RECURSOS")</f>
        <v>ESTIMADO GRUPO REQUIEREN ALGUN RECURSO PARA LA ACTIVIDAD? INDICAR CUAL A TRAVES DEL LINK DE RECURSOS</v>
      </c>
      <c r="F134" s="81">
        <v>10.65004935185425</v>
      </c>
    </row>
    <row r="135">
      <c r="A135" s="52" t="str">
        <f>IFERROR(__xludf.DUMMYFUNCTION("""COMPUTED_VALUE"""),"GUN-10134")</f>
        <v>GUN-10134</v>
      </c>
      <c r="B135" s="50">
        <f>IFERROR(__xludf.DUMMYFUNCTION("""COMPUTED_VALUE"""),44608.37528662037)</f>
        <v>44608.37529</v>
      </c>
      <c r="C135" s="52" t="str">
        <f>IFERROR(__xludf.DUMMYFUNCTION("""COMPUTED_VALUE"""),"BOURBAKI")</f>
        <v>BOURBAKI</v>
      </c>
      <c r="D135" s="53">
        <f>IFERROR(__xludf.DUMMYFUNCTION("""COMPUTED_VALUE"""),44616.39583333333)</f>
        <v>44616.39583</v>
      </c>
      <c r="E135" s="81" t="str">
        <f>IFERROR(__xludf.DUMMYFUNCTION("""COMPUTED_VALUE"""),"vESTIMADO GRUPO REQUIEREN ALGUN RECURSO PARA LA ACTIVIDAD? INDICAR CUAL A TRAVES DEL LINK DE RECURSOS")</f>
        <v>vESTIMADO GRUPO REQUIEREN ALGUN RECURSO PARA LA ACTIVIDAD? INDICAR CUAL A TRAVES DEL LINK DE RECURSOS</v>
      </c>
      <c r="F135" s="81">
        <v>8.020546712956275</v>
      </c>
    </row>
    <row r="136">
      <c r="A136" s="52" t="str">
        <f>IFERROR(__xludf.DUMMYFUNCTION("""COMPUTED_VALUE"""),"GUN-10135")</f>
        <v>GUN-10135</v>
      </c>
      <c r="B136" s="50">
        <f>IFERROR(__xludf.DUMMYFUNCTION("""COMPUTED_VALUE"""),44608.92353157407)</f>
        <v>44608.92353</v>
      </c>
      <c r="C136" s="52" t="str">
        <f>IFERROR(__xludf.DUMMYFUNCTION("""COMPUTED_VALUE"""),"CEIM UNINORTE")</f>
        <v>CEIM UNINORTE</v>
      </c>
      <c r="D136" s="53">
        <f>IFERROR(__xludf.DUMMYFUNCTION("""COMPUTED_VALUE"""),44617.72916666667)</f>
        <v>44617.72917</v>
      </c>
      <c r="E136" s="81" t="str">
        <f>IFERROR(__xludf.DUMMYFUNCTION("""COMPUTED_VALUE"""),"ESTIMADO GRUPO REQUIEREN ALGUN RECURSO PARA LA ACTIVIDAD? INDICAR CUAL A TRAVES DEL LINK DE RECURSOS")</f>
        <v>ESTIMADO GRUPO REQUIEREN ALGUN RECURSO PARA LA ACTIVIDAD? INDICAR CUAL A TRAVES DEL LINK DE RECURSOS</v>
      </c>
      <c r="F136" s="81">
        <v>8.805635092598095</v>
      </c>
    </row>
    <row r="137">
      <c r="A137" s="52" t="str">
        <f>IFERROR(__xludf.DUMMYFUNCTION("""COMPUTED_VALUE"""),"GUN-10136")</f>
        <v>GUN-10136</v>
      </c>
      <c r="B137" s="50">
        <f>IFERROR(__xludf.DUMMYFUNCTION("""COMPUTED_VALUE"""),44608.92463908565)</f>
        <v>44608.92464</v>
      </c>
      <c r="C137" s="52" t="str">
        <f>IFERROR(__xludf.DUMMYFUNCTION("""COMPUTED_VALUE"""),"CEIM UNINORTE")</f>
        <v>CEIM UNINORTE</v>
      </c>
      <c r="D137" s="53">
        <f>IFERROR(__xludf.DUMMYFUNCTION("""COMPUTED_VALUE"""),44613.39583333333)</f>
        <v>44613.39583</v>
      </c>
      <c r="E137" s="81"/>
      <c r="F137" s="81">
        <v>4.471194247678795</v>
      </c>
    </row>
    <row r="138">
      <c r="A138" s="52" t="str">
        <f>IFERROR(__xludf.DUMMYFUNCTION("""COMPUTED_VALUE"""),"GUN-10137")</f>
        <v>GUN-10137</v>
      </c>
      <c r="B138" s="50">
        <f>IFERROR(__xludf.DUMMYFUNCTION("""COMPUTED_VALUE"""),44608.92592648148)</f>
        <v>44608.92593</v>
      </c>
      <c r="C138" s="52" t="str">
        <f>IFERROR(__xludf.DUMMYFUNCTION("""COMPUTED_VALUE"""),"CEIM UNINORTE")</f>
        <v>CEIM UNINORTE</v>
      </c>
      <c r="D138" s="53">
        <f>IFERROR(__xludf.DUMMYFUNCTION("""COMPUTED_VALUE"""),44614.375)</f>
        <v>44614.375</v>
      </c>
      <c r="E138" s="81"/>
      <c r="F138" s="81">
        <v>5.4490735185172525</v>
      </c>
    </row>
    <row r="139">
      <c r="A139" s="52" t="str">
        <f>IFERROR(__xludf.DUMMYFUNCTION("""COMPUTED_VALUE"""),"GUN-10138")</f>
        <v>GUN-10138</v>
      </c>
      <c r="B139" s="50">
        <f>IFERROR(__xludf.DUMMYFUNCTION("""COMPUTED_VALUE"""),44608.97301252314)</f>
        <v>44608.97301</v>
      </c>
      <c r="C139" s="52" t="str">
        <f>IFERROR(__xludf.DUMMYFUNCTION("""COMPUTED_VALUE"""),"UNINORTE DIVERSO")</f>
        <v>UNINORTE DIVERSO</v>
      </c>
      <c r="D139" s="53">
        <f>IFERROR(__xludf.DUMMYFUNCTION("""COMPUTED_VALUE"""),44615.52083333333)</f>
        <v>44615.52083</v>
      </c>
      <c r="E139" s="81"/>
      <c r="F139" s="81">
        <v>6.5478208101849305</v>
      </c>
    </row>
    <row r="140">
      <c r="A140" s="52" t="str">
        <f>IFERROR(__xludf.DUMMYFUNCTION("""COMPUTED_VALUE"""),"GUN-10139")</f>
        <v>GUN-10139</v>
      </c>
      <c r="B140" s="50">
        <f>IFERROR(__xludf.DUMMYFUNCTION("""COMPUTED_VALUE"""),44609.31340153935)</f>
        <v>44609.3134</v>
      </c>
      <c r="C140" s="52" t="str">
        <f>IFERROR(__xludf.DUMMYFUNCTION("""COMPUTED_VALUE"""),"CEIM UNINORTE")</f>
        <v>CEIM UNINORTE</v>
      </c>
      <c r="D140" s="53">
        <f>IFERROR(__xludf.DUMMYFUNCTION("""COMPUTED_VALUE"""),44616.60416666667)</f>
        <v>44616.60417</v>
      </c>
      <c r="E140" s="81"/>
      <c r="F140" s="81">
        <v>7.290765127319901</v>
      </c>
    </row>
    <row r="141">
      <c r="A141" s="52" t="str">
        <f>IFERROR(__xludf.DUMMYFUNCTION("""COMPUTED_VALUE"""),"GUN-10140")</f>
        <v>GUN-10140</v>
      </c>
      <c r="B141" s="50">
        <f>IFERROR(__xludf.DUMMYFUNCTION("""COMPUTED_VALUE"""),44609.31438333334)</f>
        <v>44609.31438</v>
      </c>
      <c r="C141" s="52" t="str">
        <f>IFERROR(__xludf.DUMMYFUNCTION("""COMPUTED_VALUE"""),"CEIM UNINORTE")</f>
        <v>CEIM UNINORTE</v>
      </c>
      <c r="D141" s="53">
        <f>IFERROR(__xludf.DUMMYFUNCTION("""COMPUTED_VALUE"""),44613.5625)</f>
        <v>44613.5625</v>
      </c>
      <c r="E141" s="81"/>
      <c r="F141" s="81">
        <v>4.248116666662099</v>
      </c>
    </row>
    <row r="142">
      <c r="A142" s="52" t="str">
        <f>IFERROR(__xludf.DUMMYFUNCTION("""COMPUTED_VALUE"""),"GUN-10141")</f>
        <v>GUN-10141</v>
      </c>
      <c r="B142" s="50">
        <f>IFERROR(__xludf.DUMMYFUNCTION("""COMPUTED_VALUE"""),44609.32074037036)</f>
        <v>44609.32074</v>
      </c>
      <c r="C142" s="52" t="str">
        <f>IFERROR(__xludf.DUMMYFUNCTION("""COMPUTED_VALUE"""),"CEIM UNINORTE")</f>
        <v>CEIM UNINORTE</v>
      </c>
      <c r="D142" s="53">
        <f>IFERROR(__xludf.DUMMYFUNCTION("""COMPUTED_VALUE"""),44617.77083333333)</f>
        <v>44617.77083</v>
      </c>
      <c r="E142" s="81"/>
      <c r="F142" s="81">
        <v>8.450092962964845</v>
      </c>
    </row>
    <row r="143">
      <c r="A143" s="52" t="str">
        <f>IFERROR(__xludf.DUMMYFUNCTION("""COMPUTED_VALUE"""),"GUN-10142")</f>
        <v>GUN-10142</v>
      </c>
      <c r="B143" s="50">
        <f>IFERROR(__xludf.DUMMYFUNCTION("""COMPUTED_VALUE"""),44609.34698011575)</f>
        <v>44609.34698</v>
      </c>
      <c r="C143" s="52" t="str">
        <f>IFERROR(__xludf.DUMMYFUNCTION("""COMPUTED_VALUE"""),"INNOVA UN")</f>
        <v>INNOVA UN</v>
      </c>
      <c r="D143" s="53">
        <f>IFERROR(__xludf.DUMMYFUNCTION("""COMPUTED_VALUE"""),44610.27083333333)</f>
        <v>44610.27083</v>
      </c>
      <c r="E143" s="81" t="str">
        <f>IFERROR(__xludf.DUMMYFUNCTION("""COMPUTED_VALUE"""),"ESTIMADO GRUPO REQUIEREN ALGUN RECURSO PARA LA ACTIVIDAD? INDICAR CUAL A TRAVES DEL LINK DE RECURSOS")</f>
        <v>ESTIMADO GRUPO REQUIEREN ALGUN RECURSO PARA LA ACTIVIDAD? INDICAR CUAL A TRAVES DEL LINK DE RECURSOS</v>
      </c>
      <c r="F143" s="81">
        <v>0.9238532175804721</v>
      </c>
    </row>
    <row r="144">
      <c r="A144" s="52" t="str">
        <f>IFERROR(__xludf.DUMMYFUNCTION("""COMPUTED_VALUE"""),"GUN-10143")</f>
        <v>GUN-10143</v>
      </c>
      <c r="B144" s="50">
        <f>IFERROR(__xludf.DUMMYFUNCTION("""COMPUTED_VALUE"""),44609.37145627315)</f>
        <v>44609.37146</v>
      </c>
      <c r="C144" s="52" t="str">
        <f>IFERROR(__xludf.DUMMYFUNCTION("""COMPUTED_VALUE"""),"CEIM UNINORTE")</f>
        <v>CEIM UNINORTE</v>
      </c>
      <c r="D144" s="53">
        <f>IFERROR(__xludf.DUMMYFUNCTION("""COMPUTED_VALUE"""),44615.33333333333)</f>
        <v>44615.33333</v>
      </c>
      <c r="E144" s="81"/>
      <c r="F144" s="81">
        <v>5.961877060180996</v>
      </c>
    </row>
    <row r="145">
      <c r="A145" s="52" t="str">
        <f>IFERROR(__xludf.DUMMYFUNCTION("""COMPUTED_VALUE"""),"GUN-10144")</f>
        <v>GUN-10144</v>
      </c>
      <c r="B145" s="50">
        <f>IFERROR(__xludf.DUMMYFUNCTION("""COMPUTED_VALUE"""),44609.415806192126)</f>
        <v>44609.41581</v>
      </c>
      <c r="C145" s="52" t="str">
        <f>IFERROR(__xludf.DUMMYFUNCTION("""COMPUTED_VALUE"""),"VOLTA")</f>
        <v>VOLTA</v>
      </c>
      <c r="D145" s="53">
        <f>IFERROR(__xludf.DUMMYFUNCTION("""COMPUTED_VALUE"""),44609.39583333333)</f>
        <v>44609.39583</v>
      </c>
      <c r="E145" s="81"/>
      <c r="F145" s="81">
        <v>-0.01997285879770061</v>
      </c>
    </row>
    <row r="146">
      <c r="A146" s="52" t="str">
        <f>IFERROR(__xludf.DUMMYFUNCTION("""COMPUTED_VALUE"""),"GUN-10145")</f>
        <v>GUN-10145</v>
      </c>
      <c r="B146" s="50">
        <f>IFERROR(__xludf.DUMMYFUNCTION("""COMPUTED_VALUE"""),44609.46915427084)</f>
        <v>44609.46915</v>
      </c>
      <c r="C146" s="52" t="str">
        <f>IFERROR(__xludf.DUMMYFUNCTION("""COMPUTED_VALUE"""),"CEIM UNINORTE")</f>
        <v>CEIM UNINORTE</v>
      </c>
      <c r="D146" s="53">
        <f>IFERROR(__xludf.DUMMYFUNCTION("""COMPUTED_VALUE"""),44613.64583333333)</f>
        <v>44613.64583</v>
      </c>
      <c r="E146" s="81" t="str">
        <f>IFERROR(__xludf.DUMMYFUNCTION("""COMPUTED_VALUE"""),"ESTIMADO GRUPO REQUIEREN ALGUN RECURSO PARA LA ACTIVIDAD? INDICAR CUAL A TRAVES DEL LINK DE RECURSOS")</f>
        <v>ESTIMADO GRUPO REQUIEREN ALGUN RECURSO PARA LA ACTIVIDAD? INDICAR CUAL A TRAVES DEL LINK DE RECURSOS</v>
      </c>
      <c r="F146" s="81">
        <v>4.176679062489711</v>
      </c>
    </row>
    <row r="147">
      <c r="A147" s="52" t="str">
        <f>IFERROR(__xludf.DUMMYFUNCTION("""COMPUTED_VALUE"""),"GUN-10146")</f>
        <v>GUN-10146</v>
      </c>
      <c r="B147" s="50">
        <f>IFERROR(__xludf.DUMMYFUNCTION("""COMPUTED_VALUE"""),44609.66319946759)</f>
        <v>44609.6632</v>
      </c>
      <c r="C147" s="52" t="str">
        <f>IFERROR(__xludf.DUMMYFUNCTION("""COMPUTED_VALUE"""),"FEMINUN")</f>
        <v>FEMINUN</v>
      </c>
      <c r="D147" s="53">
        <f>IFERROR(__xludf.DUMMYFUNCTION("""COMPUTED_VALUE"""),44613.52083333333)</f>
        <v>44613.52083</v>
      </c>
      <c r="E147" s="81"/>
      <c r="F147" s="81">
        <v>3.857633865736716</v>
      </c>
    </row>
    <row r="148">
      <c r="A148" s="52" t="str">
        <f>IFERROR(__xludf.DUMMYFUNCTION("""COMPUTED_VALUE"""),"GUN-10147")</f>
        <v>GUN-10147</v>
      </c>
      <c r="B148" s="50">
        <f>IFERROR(__xludf.DUMMYFUNCTION("""COMPUTED_VALUE"""),44609.66487521991)</f>
        <v>44609.66488</v>
      </c>
      <c r="C148" s="52" t="str">
        <f>IFERROR(__xludf.DUMMYFUNCTION("""COMPUTED_VALUE"""),"FEMINUN")</f>
        <v>FEMINUN</v>
      </c>
      <c r="D148" s="53">
        <f>IFERROR(__xludf.DUMMYFUNCTION("""COMPUTED_VALUE"""),44615.60416666667)</f>
        <v>44615.60417</v>
      </c>
      <c r="E148" s="81"/>
      <c r="F148" s="81">
        <v>5.9392914467607625</v>
      </c>
    </row>
    <row r="149">
      <c r="A149" s="52" t="str">
        <f>IFERROR(__xludf.DUMMYFUNCTION("""COMPUTED_VALUE"""),"GUN-10148")</f>
        <v>GUN-10148</v>
      </c>
      <c r="B149" s="50">
        <f>IFERROR(__xludf.DUMMYFUNCTION("""COMPUTED_VALUE"""),44609.79206981481)</f>
        <v>44609.79207</v>
      </c>
      <c r="C149" s="52" t="str">
        <f>IFERROR(__xludf.DUMMYFUNCTION("""COMPUTED_VALUE"""),"PANGEA")</f>
        <v>PANGEA</v>
      </c>
      <c r="D149" s="53">
        <f>IFERROR(__xludf.DUMMYFUNCTION("""COMPUTED_VALUE"""),44617.60416666667)</f>
        <v>44617.60417</v>
      </c>
      <c r="E149" s="81"/>
      <c r="F149" s="81">
        <v>7.812096851863316</v>
      </c>
    </row>
    <row r="150">
      <c r="A150" s="52" t="str">
        <f>IFERROR(__xludf.DUMMYFUNCTION("""COMPUTED_VALUE"""),"GUN-10149")</f>
        <v>GUN-10149</v>
      </c>
      <c r="B150" s="50">
        <f>IFERROR(__xludf.DUMMYFUNCTION("""COMPUTED_VALUE"""),44609.81389459491)</f>
        <v>44609.81389</v>
      </c>
      <c r="C150" s="52" t="str">
        <f>IFERROR(__xludf.DUMMYFUNCTION("""COMPUTED_VALUE"""),"PANGEA")</f>
        <v>PANGEA</v>
      </c>
      <c r="D150" s="53">
        <f>IFERROR(__xludf.DUMMYFUNCTION("""COMPUTED_VALUE"""),44625.375)</f>
        <v>44625.375</v>
      </c>
      <c r="E150" s="81"/>
      <c r="F150" s="81">
        <v>15.56110540508962</v>
      </c>
    </row>
    <row r="151">
      <c r="A151" s="52" t="str">
        <f>IFERROR(__xludf.DUMMYFUNCTION("""COMPUTED_VALUE"""),"GUN-10150")</f>
        <v>GUN-10150</v>
      </c>
      <c r="B151" s="50">
        <f>IFERROR(__xludf.DUMMYFUNCTION("""COMPUTED_VALUE"""),44609.966116041665)</f>
        <v>44609.96612</v>
      </c>
      <c r="C151" s="52" t="str">
        <f>IFERROR(__xludf.DUMMYFUNCTION("""COMPUTED_VALUE"""),"CEARQ")</f>
        <v>CEARQ</v>
      </c>
      <c r="D151" s="53">
        <f>IFERROR(__xludf.DUMMYFUNCTION("""COMPUTED_VALUE"""),44621.54166666667)</f>
        <v>44621.54167</v>
      </c>
      <c r="E151" s="81" t="str">
        <f>IFERROR(__xludf.DUMMYFUNCTION("""COMPUTED_VALUE"""),"ESTIMADO GRUPO ME GUSTARIA CONVERSAR CON USTEDES SOBRE ESTE EVENTO. AGRADECEMOS INDICAR DISPONIBLIDAD")</f>
        <v>ESTIMADO GRUPO ME GUSTARIA CONVERSAR CON USTEDES SOBRE ESTE EVENTO. AGRADECEMOS INDICAR DISPONIBLIDAD</v>
      </c>
      <c r="F151" s="81">
        <v>11.575550625006144</v>
      </c>
    </row>
    <row r="152">
      <c r="A152" s="52" t="str">
        <f>IFERROR(__xludf.DUMMYFUNCTION("""COMPUTED_VALUE"""),"GUN-10151")</f>
        <v>GUN-10151</v>
      </c>
      <c r="B152" s="50">
        <f>IFERROR(__xludf.DUMMYFUNCTION("""COMPUTED_VALUE"""),44609.97118086806)</f>
        <v>44609.97118</v>
      </c>
      <c r="C152" s="52" t="str">
        <f>IFERROR(__xludf.DUMMYFUNCTION("""COMPUTED_VALUE"""),"W-STEM")</f>
        <v>W-STEM</v>
      </c>
      <c r="D152" s="53">
        <f>IFERROR(__xludf.DUMMYFUNCTION("""COMPUTED_VALUE"""),44615.375)</f>
        <v>44615.375</v>
      </c>
      <c r="E152" s="81"/>
      <c r="F152" s="81">
        <v>5.403819131941418</v>
      </c>
    </row>
    <row r="153">
      <c r="A153" s="52" t="str">
        <f>IFERROR(__xludf.DUMMYFUNCTION("""COMPUTED_VALUE"""),"GUN-10152")</f>
        <v>GUN-10152</v>
      </c>
      <c r="B153" s="50">
        <f>IFERROR(__xludf.DUMMYFUNCTION("""COMPUTED_VALUE"""),44609.972557361114)</f>
        <v>44609.97256</v>
      </c>
      <c r="C153" s="52" t="str">
        <f>IFERROR(__xludf.DUMMYFUNCTION("""COMPUTED_VALUE"""),"W-STEM")</f>
        <v>W-STEM</v>
      </c>
      <c r="D153" s="53">
        <f>IFERROR(__xludf.DUMMYFUNCTION("""COMPUTED_VALUE"""),44618.35416666667)</f>
        <v>44618.35417</v>
      </c>
      <c r="E153" s="81" t="str">
        <f>IFERROR(__xludf.DUMMYFUNCTION("""COMPUTED_VALUE"""),"ESTIMADO GRUPO REQUIEREN ALGUN RECURSO PARA LA ACTIVIDAD? INDICAR CUAL A TRAVES DEL LINK DE RECURSOS")</f>
        <v>ESTIMADO GRUPO REQUIEREN ALGUN RECURSO PARA LA ACTIVIDAD? INDICAR CUAL A TRAVES DEL LINK DE RECURSOS</v>
      </c>
      <c r="F153" s="81">
        <v>8.381609305557504</v>
      </c>
    </row>
    <row r="154">
      <c r="A154" s="52" t="str">
        <f>IFERROR(__xludf.DUMMYFUNCTION("""COMPUTED_VALUE"""),"GUN-10153")</f>
        <v>GUN-10153</v>
      </c>
      <c r="B154" s="50">
        <f>IFERROR(__xludf.DUMMYFUNCTION("""COMPUTED_VALUE"""),44610.33648155093)</f>
        <v>44610.33648</v>
      </c>
      <c r="C154" s="52" t="str">
        <f>IFERROR(__xludf.DUMMYFUNCTION("""COMPUTED_VALUE"""),"RAMEN Y TALK")</f>
        <v>RAMEN Y TALK</v>
      </c>
      <c r="D154" s="53">
        <f>IFERROR(__xludf.DUMMYFUNCTION("""COMPUTED_VALUE"""),-612819.5625)</f>
        <v>-612819.5625</v>
      </c>
      <c r="E154" s="81" t="str">
        <f>IFERROR(__xludf.DUMMYFUNCTION("""COMPUTED_VALUE"""),"ESTIMADO GRUPO REQUIEREN ALGUN RECURSO PARA LA ACTIVIDAD? INDICAR CUAL A TRAVES DEL LINK DE RECURSOS")</f>
        <v>ESTIMADO GRUPO REQUIEREN ALGUN RECURSO PARA LA ACTIVIDAD? INDICAR CUAL A TRAVES DEL LINK DE RECURSOS</v>
      </c>
      <c r="F154" s="81">
        <v>-657429.8989815509</v>
      </c>
    </row>
    <row r="155">
      <c r="A155" s="52" t="str">
        <f>IFERROR(__xludf.DUMMYFUNCTION("""COMPUTED_VALUE"""),"GUN-10154")</f>
        <v>GUN-10154</v>
      </c>
      <c r="B155" s="50">
        <f>IFERROR(__xludf.DUMMYFUNCTION("""COMPUTED_VALUE"""),44610.41228262732)</f>
        <v>44610.41228</v>
      </c>
      <c r="C155" s="52" t="str">
        <f>IFERROR(__xludf.DUMMYFUNCTION("""COMPUTED_VALUE"""),"FEMINUN")</f>
        <v>FEMINUN</v>
      </c>
      <c r="D155" s="53">
        <f>IFERROR(__xludf.DUMMYFUNCTION("""COMPUTED_VALUE"""),44617.60416666667)</f>
        <v>44617.60417</v>
      </c>
      <c r="E155" s="81" t="str">
        <f>IFERROR(__xludf.DUMMYFUNCTION("""COMPUTED_VALUE"""),"ESTIMADO GRUPO REQUIEREN ALGUN RECURSO PARA LA ACTIVIDAD? INDICAR CUAL A TRAVES DEL LINK DE RECURSOS")</f>
        <v>ESTIMADO GRUPO REQUIEREN ALGUN RECURSO PARA LA ACTIVIDAD? INDICAR CUAL A TRAVES DEL LINK DE RECURSOS</v>
      </c>
      <c r="F155" s="81">
        <v>7.191884039348224</v>
      </c>
    </row>
    <row r="156">
      <c r="A156" s="52" t="str">
        <f>IFERROR(__xludf.DUMMYFUNCTION("""COMPUTED_VALUE"""),"GUN-10155")</f>
        <v>GUN-10155</v>
      </c>
      <c r="B156" s="50">
        <f>IFERROR(__xludf.DUMMYFUNCTION("""COMPUTED_VALUE"""),44610.427074050924)</f>
        <v>44610.42707</v>
      </c>
      <c r="C156" s="52" t="str">
        <f>IFERROR(__xludf.DUMMYFUNCTION("""COMPUTED_VALUE"""),"FEMINUN")</f>
        <v>FEMINUN</v>
      </c>
      <c r="D156" s="53">
        <f>IFERROR(__xludf.DUMMYFUNCTION("""COMPUTED_VALUE"""),44610.625)</f>
        <v>44610.625</v>
      </c>
      <c r="E156" s="81"/>
      <c r="F156" s="81">
        <v>0.197925949076307</v>
      </c>
    </row>
    <row r="157">
      <c r="A157" s="52" t="str">
        <f>IFERROR(__xludf.DUMMYFUNCTION("""COMPUTED_VALUE"""),"GUN-10156")</f>
        <v>GUN-10156</v>
      </c>
      <c r="B157" s="50">
        <f>IFERROR(__xludf.DUMMYFUNCTION("""COMPUTED_VALUE"""),44610.43036190972)</f>
        <v>44610.43036</v>
      </c>
      <c r="C157" s="52" t="str">
        <f>IFERROR(__xludf.DUMMYFUNCTION("""COMPUTED_VALUE"""),"FEMINUN")</f>
        <v>FEMINUN</v>
      </c>
      <c r="D157" s="53">
        <f>IFERROR(__xludf.DUMMYFUNCTION("""COMPUTED_VALUE"""),44616.625)</f>
        <v>44616.625</v>
      </c>
      <c r="E157" s="81"/>
      <c r="F157" s="81">
        <v>6.194638090280932</v>
      </c>
    </row>
    <row r="158">
      <c r="A158" s="52" t="str">
        <f>IFERROR(__xludf.DUMMYFUNCTION("""COMPUTED_VALUE"""),"GUN-10157")</f>
        <v>GUN-10157</v>
      </c>
      <c r="B158" s="50">
        <f>IFERROR(__xludf.DUMMYFUNCTION("""COMPUTED_VALUE"""),44610.432535162035)</f>
        <v>44610.43254</v>
      </c>
      <c r="C158" s="52" t="str">
        <f>IFERROR(__xludf.DUMMYFUNCTION("""COMPUTED_VALUE"""),"FEMINUN")</f>
        <v>FEMINUN</v>
      </c>
      <c r="D158" s="53">
        <f>IFERROR(__xludf.DUMMYFUNCTION("""COMPUTED_VALUE"""),44617.625)</f>
        <v>44617.625</v>
      </c>
      <c r="E158" s="81"/>
      <c r="F158" s="81">
        <v>7.192464837964508</v>
      </c>
    </row>
    <row r="159">
      <c r="A159" s="52" t="str">
        <f>IFERROR(__xludf.DUMMYFUNCTION("""COMPUTED_VALUE"""),"GUN-10158")</f>
        <v>GUN-10158</v>
      </c>
      <c r="B159" s="50">
        <f>IFERROR(__xludf.DUMMYFUNCTION("""COMPUTED_VALUE"""),44610.493757199074)</f>
        <v>44610.49376</v>
      </c>
      <c r="C159" s="52" t="str">
        <f>IFERROR(__xludf.DUMMYFUNCTION("""COMPUTED_VALUE"""),"AIESEC")</f>
        <v>AIESEC</v>
      </c>
      <c r="D159" s="53">
        <f>IFERROR(__xludf.DUMMYFUNCTION("""COMPUTED_VALUE"""),44618.54166666667)</f>
        <v>44618.54167</v>
      </c>
      <c r="E159" s="81" t="str">
        <f>IFERROR(__xludf.DUMMYFUNCTION("""COMPUTED_VALUE"""),"ESTIMADO GRUPO REQUIEREN ALGUN RECURSO PARA LA ACTIVIDAD? INDICAR CUAL A TRAVES DEL LINK DE RECURSOS")</f>
        <v>ESTIMADO GRUPO REQUIEREN ALGUN RECURSO PARA LA ACTIVIDAD? INDICAR CUAL A TRAVES DEL LINK DE RECURSOS</v>
      </c>
      <c r="F159" s="81">
        <v>8.047909467597492</v>
      </c>
    </row>
    <row r="160">
      <c r="A160" s="52" t="str">
        <f>IFERROR(__xludf.DUMMYFUNCTION("""COMPUTED_VALUE"""),"GUN-10159")</f>
        <v>GUN-10159</v>
      </c>
      <c r="B160" s="50">
        <f>IFERROR(__xludf.DUMMYFUNCTION("""COMPUTED_VALUE"""),44610.580053935184)</f>
        <v>44610.58005</v>
      </c>
      <c r="C160" s="52" t="str">
        <f>IFERROR(__xludf.DUMMYFUNCTION("""COMPUTED_VALUE"""),"UNINORTE DIVERSO")</f>
        <v>UNINORTE DIVERSO</v>
      </c>
      <c r="D160" s="53">
        <f>IFERROR(__xludf.DUMMYFUNCTION("""COMPUTED_VALUE"""),44617.52083333333)</f>
        <v>44617.52083</v>
      </c>
      <c r="E160" s="81"/>
      <c r="F160" s="81">
        <v>6.940779398144514</v>
      </c>
    </row>
    <row r="161">
      <c r="A161" s="52" t="str">
        <f>IFERROR(__xludf.DUMMYFUNCTION("""COMPUTED_VALUE"""),"GUN-10160")</f>
        <v>GUN-10160</v>
      </c>
      <c r="B161" s="50">
        <f>IFERROR(__xludf.DUMMYFUNCTION("""COMPUTED_VALUE"""),44610.5988416088)</f>
        <v>44610.59884</v>
      </c>
      <c r="C161" s="52" t="str">
        <f>IFERROR(__xludf.DUMMYFUNCTION("""COMPUTED_VALUE"""),"E-SPORTS")</f>
        <v>E-SPORTS</v>
      </c>
      <c r="D161" s="53">
        <f>IFERROR(__xludf.DUMMYFUNCTION("""COMPUTED_VALUE"""),44610.52083333333)</f>
        <v>44610.52083</v>
      </c>
      <c r="E161" s="81"/>
      <c r="F161" s="81">
        <v>-0.07800827547180234</v>
      </c>
    </row>
    <row r="162">
      <c r="A162" s="52" t="str">
        <f>IFERROR(__xludf.DUMMYFUNCTION("""COMPUTED_VALUE"""),"GUN-10161")</f>
        <v>GUN-10161</v>
      </c>
      <c r="B162" s="50">
        <f>IFERROR(__xludf.DUMMYFUNCTION("""COMPUTED_VALUE"""),44611.45280550926)</f>
        <v>44611.45281</v>
      </c>
      <c r="C162" s="52" t="str">
        <f>IFERROR(__xludf.DUMMYFUNCTION("""COMPUTED_VALUE"""),"ZARATUSTRA")</f>
        <v>ZARATUSTRA</v>
      </c>
      <c r="D162" s="53">
        <f>IFERROR(__xludf.DUMMYFUNCTION("""COMPUTED_VALUE"""),44617.60416666667)</f>
        <v>44617.60417</v>
      </c>
      <c r="E162" s="81"/>
      <c r="F162" s="81">
        <v>6.151361157411884</v>
      </c>
    </row>
    <row r="163">
      <c r="A163" s="52" t="str">
        <f>IFERROR(__xludf.DUMMYFUNCTION("""COMPUTED_VALUE"""),"GUN-10162")</f>
        <v>GUN-10162</v>
      </c>
      <c r="B163" s="50">
        <f>IFERROR(__xludf.DUMMYFUNCTION("""COMPUTED_VALUE"""),44611.70757167824)</f>
        <v>44611.70757</v>
      </c>
      <c r="C163" s="52" t="str">
        <f>IFERROR(__xludf.DUMMYFUNCTION("""COMPUTED_VALUE"""),"BOURBAKI")</f>
        <v>BOURBAKI</v>
      </c>
      <c r="D163" s="53">
        <f>IFERROR(__xludf.DUMMYFUNCTION("""COMPUTED_VALUE"""),44617.6875)</f>
        <v>44617.6875</v>
      </c>
      <c r="E163" s="81"/>
      <c r="F163" s="81">
        <v>5.979928321758052</v>
      </c>
    </row>
    <row r="164">
      <c r="A164" s="52" t="str">
        <f>IFERROR(__xludf.DUMMYFUNCTION("""COMPUTED_VALUE"""),"GUN-10163")</f>
        <v>GUN-10163</v>
      </c>
      <c r="B164" s="50">
        <f>IFERROR(__xludf.DUMMYFUNCTION("""COMPUTED_VALUE"""),44612.03233638889)</f>
        <v>44612.03234</v>
      </c>
      <c r="C164" s="52" t="str">
        <f>IFERROR(__xludf.DUMMYFUNCTION("""COMPUTED_VALUE"""),"GEO-ENERGÍA")</f>
        <v>GEO-ENERGÍA</v>
      </c>
      <c r="D164" s="53">
        <f>IFERROR(__xludf.DUMMYFUNCTION("""COMPUTED_VALUE"""),44618.375)</f>
        <v>44618.375</v>
      </c>
      <c r="E164" s="81"/>
      <c r="F164" s="81">
        <v>6.3426636111107655</v>
      </c>
    </row>
    <row r="165">
      <c r="A165" s="52" t="str">
        <f>IFERROR(__xludf.DUMMYFUNCTION("""COMPUTED_VALUE"""),"GUN-10164")</f>
        <v>GUN-10164</v>
      </c>
      <c r="B165" s="50">
        <f>IFERROR(__xludf.DUMMYFUNCTION("""COMPUTED_VALUE"""),44612.91846960648)</f>
        <v>44612.91847</v>
      </c>
      <c r="C165" s="52" t="str">
        <f>IFERROR(__xludf.DUMMYFUNCTION("""COMPUTED_VALUE"""),"ÁGORA")</f>
        <v>ÁGORA</v>
      </c>
      <c r="D165" s="53">
        <f>IFERROR(__xludf.DUMMYFUNCTION("""COMPUTED_VALUE"""),44620.70833333333)</f>
        <v>44620.70833</v>
      </c>
      <c r="E165" s="81" t="str">
        <f>IFERROR(__xludf.DUMMYFUNCTION("""COMPUTED_VALUE"""),"ESTIMADO GRUPO REQUIEREN ALGUN RECURSO PARA LA ACTIVIDAD? INDICAR CUAL A TRAVES DEL LINK DE RECURSOS")</f>
        <v>ESTIMADO GRUPO REQUIEREN ALGUN RECURSO PARA LA ACTIVIDAD? INDICAR CUAL A TRAVES DEL LINK DE RECURSOS</v>
      </c>
      <c r="F165" s="81">
        <v>7.789863726851763</v>
      </c>
    </row>
    <row r="166">
      <c r="A166" s="52" t="str">
        <f>IFERROR(__xludf.DUMMYFUNCTION("""COMPUTED_VALUE"""),"GUN-10165")</f>
        <v>GUN-10165</v>
      </c>
      <c r="B166" s="50">
        <f>IFERROR(__xludf.DUMMYFUNCTION("""COMPUTED_VALUE"""),44612.92479074074)</f>
        <v>44612.92479</v>
      </c>
      <c r="C166" s="52" t="str">
        <f>IFERROR(__xludf.DUMMYFUNCTION("""COMPUTED_VALUE"""),"ÁGORA")</f>
        <v>ÁGORA</v>
      </c>
      <c r="D166" s="53">
        <f>IFERROR(__xludf.DUMMYFUNCTION("""COMPUTED_VALUE"""),44622.33333333333)</f>
        <v>44622.33333</v>
      </c>
      <c r="E166" s="81" t="str">
        <f>IFERROR(__xludf.DUMMYFUNCTION("""COMPUTED_VALUE"""),"ESTIMADO GRUPO REQUIEREN ALGUN RECURSO PARA LA ACTIVIDAD? INDICAR CUAL A TRAVES DEL LINK DE RECURSOS")</f>
        <v>ESTIMADO GRUPO REQUIEREN ALGUN RECURSO PARA LA ACTIVIDAD? INDICAR CUAL A TRAVES DEL LINK DE RECURSOS</v>
      </c>
      <c r="F166" s="81">
        <v>9.408542592587764</v>
      </c>
    </row>
    <row r="167">
      <c r="A167" s="52" t="str">
        <f>IFERROR(__xludf.DUMMYFUNCTION("""COMPUTED_VALUE"""),"GUN-10166")</f>
        <v>GUN-10166</v>
      </c>
      <c r="B167" s="50">
        <f>IFERROR(__xludf.DUMMYFUNCTION("""COMPUTED_VALUE"""),44613.473870891205)</f>
        <v>44613.47387</v>
      </c>
      <c r="C167" s="52" t="str">
        <f>IFERROR(__xludf.DUMMYFUNCTION("""COMPUTED_VALUE"""),"IISE")</f>
        <v>IISE</v>
      </c>
      <c r="D167" s="53">
        <f>IFERROR(__xludf.DUMMYFUNCTION("""COMPUTED_VALUE"""),44617.64583333333)</f>
        <v>44617.64583</v>
      </c>
      <c r="E167" s="81"/>
      <c r="F167" s="81">
        <v>4.171962442123913</v>
      </c>
    </row>
    <row r="168">
      <c r="A168" s="52" t="str">
        <f>IFERROR(__xludf.DUMMYFUNCTION("""COMPUTED_VALUE"""),"GUN-10167")</f>
        <v>GUN-10167</v>
      </c>
      <c r="B168" s="50">
        <f>IFERROR(__xludf.DUMMYFUNCTION("""COMPUTED_VALUE"""),44613.55158746528)</f>
        <v>44613.55159</v>
      </c>
      <c r="C168" s="52" t="str">
        <f>IFERROR(__xludf.DUMMYFUNCTION("""COMPUTED_VALUE"""),"FEMINUN")</f>
        <v>FEMINUN</v>
      </c>
      <c r="D168" s="53">
        <f>IFERROR(__xludf.DUMMYFUNCTION("""COMPUTED_VALUE"""),44620.625)</f>
        <v>44620.625</v>
      </c>
      <c r="E168" s="81"/>
      <c r="F168" s="81">
        <v>7.073412534722593</v>
      </c>
    </row>
    <row r="169">
      <c r="A169" s="52" t="str">
        <f>IFERROR(__xludf.DUMMYFUNCTION("""COMPUTED_VALUE"""),"GUN-10168")</f>
        <v>GUN-10168</v>
      </c>
      <c r="B169" s="50">
        <f>IFERROR(__xludf.DUMMYFUNCTION("""COMPUTED_VALUE"""),44613.554734548605)</f>
        <v>44613.55473</v>
      </c>
      <c r="C169" s="52" t="str">
        <f>IFERROR(__xludf.DUMMYFUNCTION("""COMPUTED_VALUE"""),"FEMINUN")</f>
        <v>FEMINUN</v>
      </c>
      <c r="D169" s="53">
        <f>IFERROR(__xludf.DUMMYFUNCTION("""COMPUTED_VALUE"""),44622.625)</f>
        <v>44622.625</v>
      </c>
      <c r="E169" s="81"/>
      <c r="F169" s="81">
        <v>9.070265451395244</v>
      </c>
    </row>
    <row r="170">
      <c r="A170" s="52" t="str">
        <f>IFERROR(__xludf.DUMMYFUNCTION("""COMPUTED_VALUE"""),"GUN-10169")</f>
        <v>GUN-10169</v>
      </c>
      <c r="B170" s="50">
        <f>IFERROR(__xludf.DUMMYFUNCTION("""COMPUTED_VALUE"""),44613.55689149306)</f>
        <v>44613.55689</v>
      </c>
      <c r="C170" s="52" t="str">
        <f>IFERROR(__xludf.DUMMYFUNCTION("""COMPUTED_VALUE"""),"FEMINUN")</f>
        <v>FEMINUN</v>
      </c>
      <c r="D170" s="53">
        <f>IFERROR(__xludf.DUMMYFUNCTION("""COMPUTED_VALUE"""),44624.625)</f>
        <v>44624.625</v>
      </c>
      <c r="E170" s="81"/>
      <c r="F170" s="81">
        <v>11.068108506937278</v>
      </c>
    </row>
    <row r="171">
      <c r="A171" s="52" t="str">
        <f>IFERROR(__xludf.DUMMYFUNCTION("""COMPUTED_VALUE"""),"GUN-10170")</f>
        <v>GUN-10170</v>
      </c>
      <c r="B171" s="50">
        <f>IFERROR(__xludf.DUMMYFUNCTION("""COMPUTED_VALUE"""),44613.73228380787)</f>
        <v>44613.73228</v>
      </c>
      <c r="C171" s="52" t="str">
        <f>IFERROR(__xludf.DUMMYFUNCTION("""COMPUTED_VALUE"""),"IISE")</f>
        <v>IISE</v>
      </c>
      <c r="D171" s="53">
        <f>IFERROR(__xludf.DUMMYFUNCTION("""COMPUTED_VALUE"""),44618.54166666667)</f>
        <v>44618.54167</v>
      </c>
      <c r="E171" s="81"/>
      <c r="F171" s="81">
        <v>4.809382858802564</v>
      </c>
    </row>
    <row r="172">
      <c r="A172" s="52" t="str">
        <f>IFERROR(__xludf.DUMMYFUNCTION("""COMPUTED_VALUE"""),"GUN-10171")</f>
        <v>GUN-10171</v>
      </c>
      <c r="B172" s="50">
        <f>IFERROR(__xludf.DUMMYFUNCTION("""COMPUTED_VALUE"""),44613.88449788195)</f>
        <v>44613.8845</v>
      </c>
      <c r="C172" s="52" t="str">
        <f>IFERROR(__xludf.DUMMYFUNCTION("""COMPUTED_VALUE"""),"CEO")</f>
        <v>CEO</v>
      </c>
      <c r="D172" s="53">
        <f>IFERROR(__xludf.DUMMYFUNCTION("""COMPUTED_VALUE"""),44621.47916666667)</f>
        <v>44621.47917</v>
      </c>
      <c r="E172" s="81"/>
      <c r="F172" s="81">
        <v>7.59466878472449</v>
      </c>
    </row>
    <row r="173">
      <c r="A173" s="52" t="str">
        <f>IFERROR(__xludf.DUMMYFUNCTION("""COMPUTED_VALUE"""),"GUN-10172")</f>
        <v>GUN-10172</v>
      </c>
      <c r="B173" s="50">
        <f>IFERROR(__xludf.DUMMYFUNCTION("""COMPUTED_VALUE"""),44613.88970493056)</f>
        <v>44613.8897</v>
      </c>
      <c r="C173" s="52" t="str">
        <f>IFERROR(__xludf.DUMMYFUNCTION("""COMPUTED_VALUE"""),"CEO")</f>
        <v>CEO</v>
      </c>
      <c r="D173" s="53">
        <f>IFERROR(__xludf.DUMMYFUNCTION("""COMPUTED_VALUE"""),44628.47916666667)</f>
        <v>44628.47917</v>
      </c>
      <c r="E173" s="81"/>
      <c r="F173" s="81">
        <v>14.589461736111843</v>
      </c>
    </row>
    <row r="174">
      <c r="A174" s="52" t="str">
        <f>IFERROR(__xludf.DUMMYFUNCTION("""COMPUTED_VALUE"""),"GUN-10173")</f>
        <v>GUN-10173</v>
      </c>
      <c r="B174" s="50">
        <f>IFERROR(__xludf.DUMMYFUNCTION("""COMPUTED_VALUE"""),44613.891355081025)</f>
        <v>44613.89136</v>
      </c>
      <c r="C174" s="52" t="str">
        <f>IFERROR(__xludf.DUMMYFUNCTION("""COMPUTED_VALUE"""),"CEO")</f>
        <v>CEO</v>
      </c>
      <c r="D174" s="53">
        <f>IFERROR(__xludf.DUMMYFUNCTION("""COMPUTED_VALUE"""),44614.4375)</f>
        <v>44614.4375</v>
      </c>
      <c r="E174" s="81"/>
      <c r="F174" s="81">
        <v>0.5461449189751875</v>
      </c>
    </row>
    <row r="175">
      <c r="A175" s="52" t="str">
        <f>IFERROR(__xludf.DUMMYFUNCTION("""COMPUTED_VALUE"""),"GUN-10174")</f>
        <v>GUN-10174</v>
      </c>
      <c r="B175" s="50">
        <f>IFERROR(__xludf.DUMMYFUNCTION("""COMPUTED_VALUE"""),44613.89221466435)</f>
        <v>44613.89221</v>
      </c>
      <c r="C175" s="52" t="str">
        <f>IFERROR(__xludf.DUMMYFUNCTION("""COMPUTED_VALUE"""),"CEO")</f>
        <v>CEO</v>
      </c>
      <c r="D175" s="53">
        <f>IFERROR(__xludf.DUMMYFUNCTION("""COMPUTED_VALUE"""),44621.4375)</f>
        <v>44621.4375</v>
      </c>
      <c r="E175" s="81"/>
      <c r="F175" s="81">
        <v>7.54528533564735</v>
      </c>
    </row>
    <row r="176">
      <c r="A176" s="52" t="str">
        <f>IFERROR(__xludf.DUMMYFUNCTION("""COMPUTED_VALUE"""),"GUN-10175")</f>
        <v>GUN-10175</v>
      </c>
      <c r="B176" s="50">
        <f>IFERROR(__xludf.DUMMYFUNCTION("""COMPUTED_VALUE"""),44613.8934091088)</f>
        <v>44613.89341</v>
      </c>
      <c r="C176" s="52" t="str">
        <f>IFERROR(__xludf.DUMMYFUNCTION("""COMPUTED_VALUE"""),"CEO")</f>
        <v>CEO</v>
      </c>
      <c r="D176" s="53">
        <f>IFERROR(__xludf.DUMMYFUNCTION("""COMPUTED_VALUE"""),44628.4375)</f>
        <v>44628.4375</v>
      </c>
      <c r="E176" s="81"/>
      <c r="F176" s="81">
        <v>14.54409089119872</v>
      </c>
    </row>
    <row r="177">
      <c r="A177" s="52" t="str">
        <f>IFERROR(__xludf.DUMMYFUNCTION("""COMPUTED_VALUE"""),"GUN-10176")</f>
        <v>GUN-10176</v>
      </c>
      <c r="B177" s="50">
        <f>IFERROR(__xludf.DUMMYFUNCTION("""COMPUTED_VALUE"""),44613.89464717593)</f>
        <v>44613.89465</v>
      </c>
      <c r="C177" s="52" t="str">
        <f>IFERROR(__xludf.DUMMYFUNCTION("""COMPUTED_VALUE"""),"CEO")</f>
        <v>CEO</v>
      </c>
      <c r="D177" s="53">
        <f>IFERROR(__xludf.DUMMYFUNCTION("""COMPUTED_VALUE"""),44635.47916666667)</f>
        <v>44635.47917</v>
      </c>
      <c r="E177" s="81"/>
      <c r="F177" s="81">
        <v>21.58451949074515</v>
      </c>
    </row>
    <row r="178">
      <c r="A178" s="52" t="str">
        <f>IFERROR(__xludf.DUMMYFUNCTION("""COMPUTED_VALUE"""),"GUN-10177")</f>
        <v>GUN-10177</v>
      </c>
      <c r="B178" s="50">
        <f>IFERROR(__xludf.DUMMYFUNCTION("""COMPUTED_VALUE"""),44613.89539646991)</f>
        <v>44613.8954</v>
      </c>
      <c r="C178" s="52" t="str">
        <f>IFERROR(__xludf.DUMMYFUNCTION("""COMPUTED_VALUE"""),"CEO")</f>
        <v>CEO</v>
      </c>
      <c r="D178" s="53">
        <f>IFERROR(__xludf.DUMMYFUNCTION("""COMPUTED_VALUE"""),44635.4375)</f>
        <v>44635.4375</v>
      </c>
      <c r="E178" s="81"/>
      <c r="F178" s="81">
        <v>21.542103530089662</v>
      </c>
    </row>
    <row r="179">
      <c r="A179" s="52" t="str">
        <f>IFERROR(__xludf.DUMMYFUNCTION("""COMPUTED_VALUE"""),"GUN-10178")</f>
        <v>GUN-10178</v>
      </c>
      <c r="B179" s="50">
        <f>IFERROR(__xludf.DUMMYFUNCTION("""COMPUTED_VALUE"""),44614.33005295139)</f>
        <v>44614.33005</v>
      </c>
      <c r="C179" s="52" t="str">
        <f>IFERROR(__xludf.DUMMYFUNCTION("""COMPUTED_VALUE"""),"CEIM UNINORTE")</f>
        <v>CEIM UNINORTE</v>
      </c>
      <c r="D179" s="53">
        <f>IFERROR(__xludf.DUMMYFUNCTION("""COMPUTED_VALUE"""),44642.58333333333)</f>
        <v>44642.58333</v>
      </c>
      <c r="E179" s="81"/>
      <c r="F179" s="81">
        <v>28.253280381941295</v>
      </c>
    </row>
    <row r="180">
      <c r="A180" s="52" t="str">
        <f>IFERROR(__xludf.DUMMYFUNCTION("""COMPUTED_VALUE"""),"GUN-10179")</f>
        <v>GUN-10179</v>
      </c>
      <c r="B180" s="50">
        <f>IFERROR(__xludf.DUMMYFUNCTION("""COMPUTED_VALUE"""),44614.418274097225)</f>
        <v>44614.41827</v>
      </c>
      <c r="C180" s="52" t="str">
        <f>IFERROR(__xludf.DUMMYFUNCTION("""COMPUTED_VALUE"""),"FEMINUN")</f>
        <v>FEMINUN</v>
      </c>
      <c r="D180" s="53">
        <f>IFERROR(__xludf.DUMMYFUNCTION("""COMPUTED_VALUE"""),44614.66666666667)</f>
        <v>44614.66667</v>
      </c>
      <c r="E180" s="81"/>
      <c r="F180" s="81">
        <v>0.24839256944687804</v>
      </c>
    </row>
    <row r="181">
      <c r="A181" s="52" t="str">
        <f>IFERROR(__xludf.DUMMYFUNCTION("""COMPUTED_VALUE"""),"GUN-10180")</f>
        <v>GUN-10180</v>
      </c>
      <c r="B181" s="50">
        <f>IFERROR(__xludf.DUMMYFUNCTION("""COMPUTED_VALUE"""),44614.47727915509)</f>
        <v>44614.47728</v>
      </c>
      <c r="C181" s="52" t="str">
        <f>IFERROR(__xludf.DUMMYFUNCTION("""COMPUTED_VALUE"""),"GREEN GENERATION")</f>
        <v>GREEN GENERATION</v>
      </c>
      <c r="D181" s="53">
        <f>IFERROR(__xludf.DUMMYFUNCTION("""COMPUTED_VALUE"""),44617.5625)</f>
        <v>44617.5625</v>
      </c>
      <c r="E181" s="81"/>
      <c r="F181" s="81">
        <v>3.085220844906871</v>
      </c>
    </row>
    <row r="182">
      <c r="A182" s="52" t="str">
        <f>IFERROR(__xludf.DUMMYFUNCTION("""COMPUTED_VALUE"""),"GUN-10181")</f>
        <v>GUN-10181</v>
      </c>
      <c r="B182" s="50">
        <f>IFERROR(__xludf.DUMMYFUNCTION("""COMPUTED_VALUE"""),44614.98826126157)</f>
        <v>44614.98826</v>
      </c>
      <c r="C182" s="52" t="str">
        <f>IFERROR(__xludf.DUMMYFUNCTION("""COMPUTED_VALUE"""),"FAUNATICOS")</f>
        <v>FAUNATICOS</v>
      </c>
      <c r="D182" s="53">
        <f>IFERROR(__xludf.DUMMYFUNCTION("""COMPUTED_VALUE"""),44613.5625)</f>
        <v>44613.5625</v>
      </c>
      <c r="E182" s="81"/>
      <c r="F182" s="81">
        <v>-1.4257612615692778</v>
      </c>
    </row>
    <row r="183">
      <c r="A183" s="52" t="str">
        <f>IFERROR(__xludf.DUMMYFUNCTION("""COMPUTED_VALUE"""),"GUN-10182")</f>
        <v>GUN-10182</v>
      </c>
      <c r="B183" s="50">
        <f>IFERROR(__xludf.DUMMYFUNCTION("""COMPUTED_VALUE"""),44614.98981924768)</f>
        <v>44614.98982</v>
      </c>
      <c r="C183" s="52" t="str">
        <f>IFERROR(__xludf.DUMMYFUNCTION("""COMPUTED_VALUE"""),"FAUNATICOS")</f>
        <v>FAUNATICOS</v>
      </c>
      <c r="D183" s="53">
        <f>IFERROR(__xludf.DUMMYFUNCTION("""COMPUTED_VALUE"""),44620.54166666667)</f>
        <v>44620.54167</v>
      </c>
      <c r="E183" s="81"/>
      <c r="F183" s="81">
        <v>5.551847418988473</v>
      </c>
    </row>
    <row r="184">
      <c r="A184" s="52" t="str">
        <f>IFERROR(__xludf.DUMMYFUNCTION("""COMPUTED_VALUE"""),"GUN-10183")</f>
        <v>GUN-10183</v>
      </c>
      <c r="B184" s="50">
        <f>IFERROR(__xludf.DUMMYFUNCTION("""COMPUTED_VALUE"""),44615.61084528935)</f>
        <v>44615.61085</v>
      </c>
      <c r="C184" s="52" t="str">
        <f>IFERROR(__xludf.DUMMYFUNCTION("""COMPUTED_VALUE"""),"CIRCULO KDHARMA")</f>
        <v>CIRCULO KDHARMA</v>
      </c>
      <c r="D184" s="53">
        <f>IFERROR(__xludf.DUMMYFUNCTION("""COMPUTED_VALUE"""),44625.375)</f>
        <v>44625.375</v>
      </c>
      <c r="E184" s="81" t="str">
        <f>IFERROR(__xludf.DUMMYFUNCTION("""COMPUTED_VALUE"""),"ESTIMADO GRUPO REQUIEREN ALGUN RECURSO PARA LA ACTIVIDAD? INDICAR CUAL A TRAVES DEL LINK DE RECURSOS")</f>
        <v>ESTIMADO GRUPO REQUIEREN ALGUN RECURSO PARA LA ACTIVIDAD? INDICAR CUAL A TRAVES DEL LINK DE RECURSOS</v>
      </c>
      <c r="F184" s="81">
        <v>9.764154710646835</v>
      </c>
    </row>
    <row r="185">
      <c r="A185" s="52" t="str">
        <f>IFERROR(__xludf.DUMMYFUNCTION("""COMPUTED_VALUE"""),"GUN-10184")</f>
        <v>GUN-10184</v>
      </c>
      <c r="B185" s="50">
        <f>IFERROR(__xludf.DUMMYFUNCTION("""COMPUTED_VALUE"""),44615.674552557866)</f>
        <v>44615.67455</v>
      </c>
      <c r="C185" s="52" t="str">
        <f>IFERROR(__xludf.DUMMYFUNCTION("""COMPUTED_VALUE"""),"CERI")</f>
        <v>CERI</v>
      </c>
      <c r="D185" s="53">
        <f>IFERROR(__xludf.DUMMYFUNCTION("""COMPUTED_VALUE"""),44620.6875)</f>
        <v>44620.6875</v>
      </c>
      <c r="E185" s="81"/>
      <c r="F185" s="81">
        <v>5.012947442133736</v>
      </c>
    </row>
    <row r="186">
      <c r="A186" s="52" t="str">
        <f>IFERROR(__xludf.DUMMYFUNCTION("""COMPUTED_VALUE"""),"GUN-10185")</f>
        <v>GUN-10185</v>
      </c>
      <c r="B186" s="50">
        <f>IFERROR(__xludf.DUMMYFUNCTION("""COMPUTED_VALUE"""),44615.70686842593)</f>
        <v>44615.70687</v>
      </c>
      <c r="C186" s="52" t="str">
        <f>IFERROR(__xludf.DUMMYFUNCTION("""COMPUTED_VALUE"""),"CERI")</f>
        <v>CERI</v>
      </c>
      <c r="D186" s="53">
        <f>IFERROR(__xludf.DUMMYFUNCTION("""COMPUTED_VALUE"""),44622.60416666667)</f>
        <v>44622.60417</v>
      </c>
      <c r="E186" s="81" t="str">
        <f>IFERROR(__xludf.DUMMYFUNCTION("""COMPUTED_VALUE"""),"ESTIMADO GRUPO REQUIEREN ALGUN RECURSO PARA LA ACTIVIDAD? INDICAR CUAL A TRAVES DEL LINK DE RECURSOS")</f>
        <v>ESTIMADO GRUPO REQUIEREN ALGUN RECURSO PARA LA ACTIVIDAD? INDICAR CUAL A TRAVES DEL LINK DE RECURSOS</v>
      </c>
      <c r="F186" s="81">
        <v>6.897298240743112</v>
      </c>
    </row>
    <row r="187">
      <c r="A187" s="52" t="str">
        <f>IFERROR(__xludf.DUMMYFUNCTION("""COMPUTED_VALUE"""),"GUN-10186")</f>
        <v>GUN-10186</v>
      </c>
      <c r="B187" s="50">
        <f>IFERROR(__xludf.DUMMYFUNCTION("""COMPUTED_VALUE"""),44616.28590072917)</f>
        <v>44616.2859</v>
      </c>
      <c r="C187" s="52" t="str">
        <f>IFERROR(__xludf.DUMMYFUNCTION("""COMPUTED_VALUE"""),"CEIM UNINORTE")</f>
        <v>CEIM UNINORTE</v>
      </c>
      <c r="D187" s="53">
        <f>IFERROR(__xludf.DUMMYFUNCTION("""COMPUTED_VALUE"""),44620.5625)</f>
        <v>44620.5625</v>
      </c>
      <c r="E187" s="81"/>
      <c r="F187" s="81">
        <v>4.276599270830047</v>
      </c>
    </row>
    <row r="188">
      <c r="A188" s="52" t="str">
        <f>IFERROR(__xludf.DUMMYFUNCTION("""COMPUTED_VALUE"""),"GUN-10187")</f>
        <v>GUN-10187</v>
      </c>
      <c r="B188" s="50">
        <f>IFERROR(__xludf.DUMMYFUNCTION("""COMPUTED_VALUE"""),44616.28723855324)</f>
        <v>44616.28724</v>
      </c>
      <c r="C188" s="52" t="str">
        <f>IFERROR(__xludf.DUMMYFUNCTION("""COMPUTED_VALUE"""),"CEIM UNINORTE")</f>
        <v>CEIM UNINORTE</v>
      </c>
      <c r="D188" s="53">
        <f>IFERROR(__xludf.DUMMYFUNCTION("""COMPUTED_VALUE"""),44620.58333333333)</f>
        <v>44620.58333</v>
      </c>
      <c r="E188" s="81"/>
      <c r="F188" s="81">
        <v>4.296094780089334</v>
      </c>
    </row>
    <row r="189">
      <c r="A189" s="52" t="str">
        <f>IFERROR(__xludf.DUMMYFUNCTION("""COMPUTED_VALUE"""),"GUN-10188")</f>
        <v>GUN-10188</v>
      </c>
      <c r="B189" s="50">
        <f>IFERROR(__xludf.DUMMYFUNCTION("""COMPUTED_VALUE"""),44616.28920042824)</f>
        <v>44616.2892</v>
      </c>
      <c r="C189" s="52" t="str">
        <f>IFERROR(__xludf.DUMMYFUNCTION("""COMPUTED_VALUE"""),"CEIM UNINORTE")</f>
        <v>CEIM UNINORTE</v>
      </c>
      <c r="D189" s="53">
        <f>IFERROR(__xludf.DUMMYFUNCTION("""COMPUTED_VALUE"""),44624.33333333333)</f>
        <v>44624.33333</v>
      </c>
      <c r="E189" s="81"/>
      <c r="F189" s="81">
        <v>8.04413290508819</v>
      </c>
    </row>
    <row r="190">
      <c r="A190" s="52" t="str">
        <f>IFERROR(__xludf.DUMMYFUNCTION("""COMPUTED_VALUE"""),"GUN-10189")</f>
        <v>GUN-10189</v>
      </c>
      <c r="B190" s="50">
        <f>IFERROR(__xludf.DUMMYFUNCTION("""COMPUTED_VALUE"""),44616.29224364583)</f>
        <v>44616.29224</v>
      </c>
      <c r="C190" s="52" t="str">
        <f>IFERROR(__xludf.DUMMYFUNCTION("""COMPUTED_VALUE"""),"CEIM UNINORTE")</f>
        <v>CEIM UNINORTE</v>
      </c>
      <c r="D190" s="53">
        <f>IFERROR(__xludf.DUMMYFUNCTION("""COMPUTED_VALUE"""),44624.77083333333)</f>
        <v>44624.77083</v>
      </c>
      <c r="E190" s="81" t="str">
        <f>IFERROR(__xludf.DUMMYFUNCTION("""COMPUTED_VALUE"""),"ESTIMADO GRUPO REQUIEREN ALGUN RECURSO PARA LA ACTIVIDAD? INDICAR CUAL A TRAVES DEL LINK DE RECURSOS")</f>
        <v>ESTIMADO GRUPO REQUIEREN ALGUN RECURSO PARA LA ACTIVIDAD? INDICAR CUAL A TRAVES DEL LINK DE RECURSOS</v>
      </c>
      <c r="F190" s="81">
        <v>8.478589687496424</v>
      </c>
    </row>
    <row r="191">
      <c r="A191" s="52" t="str">
        <f>IFERROR(__xludf.DUMMYFUNCTION("""COMPUTED_VALUE"""),"GUN-10190")</f>
        <v>GUN-10190</v>
      </c>
      <c r="B191" s="50">
        <f>IFERROR(__xludf.DUMMYFUNCTION("""COMPUTED_VALUE"""),44616.345244791664)</f>
        <v>44616.34524</v>
      </c>
      <c r="C191" s="52" t="str">
        <f>IFERROR(__xludf.DUMMYFUNCTION("""COMPUTED_VALUE"""),"CEIM UNINORTE")</f>
        <v>CEIM UNINORTE</v>
      </c>
      <c r="D191" s="53">
        <f>IFERROR(__xludf.DUMMYFUNCTION("""COMPUTED_VALUE"""),44620.5625)</f>
        <v>44620.5625</v>
      </c>
      <c r="E191" s="81" t="str">
        <f>IFERROR(__xludf.DUMMYFUNCTION("""COMPUTED_VALUE"""),"ESTIMADO GRUPO REQUIEREN ALGUN RECURSO PARA LA ACTIVIDAD? INDICAR CUAL A TRAVES DEL LINK DE RECURSOS")</f>
        <v>ESTIMADO GRUPO REQUIEREN ALGUN RECURSO PARA LA ACTIVIDAD? INDICAR CUAL A TRAVES DEL LINK DE RECURSOS</v>
      </c>
      <c r="F191" s="81">
        <v>4.2172552083357004</v>
      </c>
    </row>
    <row r="192">
      <c r="A192" s="52" t="str">
        <f>IFERROR(__xludf.DUMMYFUNCTION("""COMPUTED_VALUE"""),"GUN-10191")</f>
        <v>GUN-10191</v>
      </c>
      <c r="B192" s="50">
        <f>IFERROR(__xludf.DUMMYFUNCTION("""COMPUTED_VALUE"""),44616.34598636574)</f>
        <v>44616.34599</v>
      </c>
      <c r="C192" s="52" t="str">
        <f>IFERROR(__xludf.DUMMYFUNCTION("""COMPUTED_VALUE"""),"CEIM UNINORTE")</f>
        <v>CEIM UNINORTE</v>
      </c>
      <c r="D192" s="53">
        <f>IFERROR(__xludf.DUMMYFUNCTION("""COMPUTED_VALUE"""),44624.72916666667)</f>
        <v>44624.72917</v>
      </c>
      <c r="E192" s="81" t="str">
        <f>IFERROR(__xludf.DUMMYFUNCTION("""COMPUTED_VALUE"""),"ESTIMADO GRUPO REQUIEREN ALGUN RECURSO PARA LA ACTIVIDAD? INDICAR CUAL A TRAVES DEL LINK DE RECURSOS")</f>
        <v>ESTIMADO GRUPO REQUIEREN ALGUN RECURSO PARA LA ACTIVIDAD? INDICAR CUAL A TRAVES DEL LINK DE RECURSOS</v>
      </c>
      <c r="F192" s="81">
        <v>8.38318030093069</v>
      </c>
    </row>
    <row r="193">
      <c r="A193" s="52" t="str">
        <f>IFERROR(__xludf.DUMMYFUNCTION("""COMPUTED_VALUE"""),"GUN-10192")</f>
        <v>GUN-10192</v>
      </c>
      <c r="B193" s="50">
        <f>IFERROR(__xludf.DUMMYFUNCTION("""COMPUTED_VALUE"""),44616.34661231482)</f>
        <v>44616.34661</v>
      </c>
      <c r="C193" s="52" t="str">
        <f>IFERROR(__xludf.DUMMYFUNCTION("""COMPUTED_VALUE"""),"CEIM UNINORTE")</f>
        <v>CEIM UNINORTE</v>
      </c>
      <c r="D193" s="53">
        <f>IFERROR(__xludf.DUMMYFUNCTION("""COMPUTED_VALUE"""),44620.39583333333)</f>
        <v>44620.39583</v>
      </c>
      <c r="E193" s="81"/>
      <c r="F193" s="81">
        <v>4.049221018511162</v>
      </c>
    </row>
    <row r="194">
      <c r="A194" s="52" t="str">
        <f>IFERROR(__xludf.DUMMYFUNCTION("""COMPUTED_VALUE"""),"GUN-10193")</f>
        <v>GUN-10193</v>
      </c>
      <c r="B194" s="50">
        <f>IFERROR(__xludf.DUMMYFUNCTION("""COMPUTED_VALUE"""),44616.411446736114)</f>
        <v>44616.41145</v>
      </c>
      <c r="C194" s="52" t="str">
        <f>IFERROR(__xludf.DUMMYFUNCTION("""COMPUTED_VALUE"""),"ACM Student Chapter")</f>
        <v>ACM Student Chapter</v>
      </c>
      <c r="D194" s="53">
        <f>IFERROR(__xludf.DUMMYFUNCTION("""COMPUTED_VALUE"""),44620.1875)</f>
        <v>44620.1875</v>
      </c>
      <c r="E194" s="81" t="str">
        <f>IFERROR(__xludf.DUMMYFUNCTION("""COMPUTED_VALUE"""),"ESTIMADO GRUPO REQUIEREN ALGUN RECURSO PARA LA ACTIVIDAD? INDICAR CUAL A TRAVES DEL LINK DE RECURSOS")</f>
        <v>ESTIMADO GRUPO REQUIEREN ALGUN RECURSO PARA LA ACTIVIDAD? INDICAR CUAL A TRAVES DEL LINK DE RECURSOS</v>
      </c>
      <c r="F194" s="81">
        <v>3.776053263885842</v>
      </c>
    </row>
    <row r="195">
      <c r="A195" s="52" t="str">
        <f>IFERROR(__xludf.DUMMYFUNCTION("""COMPUTED_VALUE"""),"GUN-10194")</f>
        <v>GUN-10194</v>
      </c>
      <c r="B195" s="50">
        <f>IFERROR(__xludf.DUMMYFUNCTION("""COMPUTED_VALUE"""),44616.41575951389)</f>
        <v>44616.41576</v>
      </c>
      <c r="C195" s="52" t="str">
        <f>IFERROR(__xludf.DUMMYFUNCTION("""COMPUTED_VALUE"""),"ACM Student Chapter")</f>
        <v>ACM Student Chapter</v>
      </c>
      <c r="D195" s="53">
        <f>IFERROR(__xludf.DUMMYFUNCTION("""COMPUTED_VALUE"""),44624.6875)</f>
        <v>44624.6875</v>
      </c>
      <c r="E195" s="81" t="str">
        <f>IFERROR(__xludf.DUMMYFUNCTION("""COMPUTED_VALUE"""),"ESTIMADO GRUPO REQUIEREN ALGUN RECURSO PARA LA ACTIVIDAD? INDICAR CUAL A TRAVES DEL LINK DE RECURSOS")</f>
        <v>ESTIMADO GRUPO REQUIEREN ALGUN RECURSO PARA LA ACTIVIDAD? INDICAR CUAL A TRAVES DEL LINK DE RECURSOS</v>
      </c>
      <c r="F195" s="81">
        <v>8.271740486110502</v>
      </c>
    </row>
    <row r="196">
      <c r="A196" s="52" t="str">
        <f>IFERROR(__xludf.DUMMYFUNCTION("""COMPUTED_VALUE"""),"GUN-10195")</f>
        <v>GUN-10195</v>
      </c>
      <c r="B196" s="50">
        <f>IFERROR(__xludf.DUMMYFUNCTION("""COMPUTED_VALUE"""),44616.45143447917)</f>
        <v>44616.45143</v>
      </c>
      <c r="C196" s="52" t="str">
        <f>IFERROR(__xludf.DUMMYFUNCTION("""COMPUTED_VALUE"""),"ACM Student Chapter")</f>
        <v>ACM Student Chapter</v>
      </c>
      <c r="D196" s="53">
        <f>IFERROR(__xludf.DUMMYFUNCTION("""COMPUTED_VALUE"""),44622.64583333333)</f>
        <v>44622.64583</v>
      </c>
      <c r="E196" s="81" t="str">
        <f>IFERROR(__xludf.DUMMYFUNCTION("""COMPUTED_VALUE"""),"ESTIMADO GRUPO REQUIEREN ALGUN RECURSO PARA LA ACTIVIDAD? INDICAR CUAL A TRAVES DEL LINK DE RECURSOS")</f>
        <v>ESTIMADO GRUPO REQUIEREN ALGUN RECURSO PARA LA ACTIVIDAD? INDICAR CUAL A TRAVES DEL LINK DE RECURSOS</v>
      </c>
      <c r="F196" s="81">
        <v>6.194398854160681</v>
      </c>
    </row>
    <row r="197">
      <c r="A197" s="52" t="str">
        <f>IFERROR(__xludf.DUMMYFUNCTION("""COMPUTED_VALUE"""),"GUN-10196")</f>
        <v>GUN-10196</v>
      </c>
      <c r="B197" s="50">
        <f>IFERROR(__xludf.DUMMYFUNCTION("""COMPUTED_VALUE"""),44616.45392239583)</f>
        <v>44616.45392</v>
      </c>
      <c r="C197" s="52" t="str">
        <f>IFERROR(__xludf.DUMMYFUNCTION("""COMPUTED_VALUE"""),"CEIM UNINORTE")</f>
        <v>CEIM UNINORTE</v>
      </c>
      <c r="D197" s="53">
        <f>IFERROR(__xludf.DUMMYFUNCTION("""COMPUTED_VALUE"""),44623.375)</f>
        <v>44623.375</v>
      </c>
      <c r="E197" s="81"/>
      <c r="F197" s="81">
        <v>6.921077604172751</v>
      </c>
    </row>
    <row r="198">
      <c r="A198" s="52" t="str">
        <f>IFERROR(__xludf.DUMMYFUNCTION("""COMPUTED_VALUE"""),"GUN-10197")</f>
        <v>GUN-10197</v>
      </c>
      <c r="B198" s="50">
        <f>IFERROR(__xludf.DUMMYFUNCTION("""COMPUTED_VALUE"""),44616.497659201385)</f>
        <v>44616.49766</v>
      </c>
      <c r="C198" s="52" t="str">
        <f>IFERROR(__xludf.DUMMYFUNCTION("""COMPUTED_VALUE"""),"INNOVA UN")</f>
        <v>INNOVA UN</v>
      </c>
      <c r="D198" s="53">
        <f>IFERROR(__xludf.DUMMYFUNCTION("""COMPUTED_VALUE"""),44620.6875)</f>
        <v>44620.6875</v>
      </c>
      <c r="E198" s="81" t="str">
        <f>IFERROR(__xludf.DUMMYFUNCTION("""COMPUTED_VALUE"""),"ESTIMADO GRUPO REQUIEREN ALGUN RECURSO PARA LA ACTIVIDAD? INDICAR CUAL A TRAVES DEL LINK DE RECURSOS")</f>
        <v>ESTIMADO GRUPO REQUIEREN ALGUN RECURSO PARA LA ACTIVIDAD? INDICAR CUAL A TRAVES DEL LINK DE RECURSOS</v>
      </c>
      <c r="F198" s="81">
        <v>4.189840798615478</v>
      </c>
    </row>
    <row r="199">
      <c r="A199" s="52" t="str">
        <f>IFERROR(__xludf.DUMMYFUNCTION("""COMPUTED_VALUE"""),"GUN-10198")</f>
        <v>GUN-10198</v>
      </c>
      <c r="B199" s="50">
        <f>IFERROR(__xludf.DUMMYFUNCTION("""COMPUTED_VALUE"""),44616.73334041667)</f>
        <v>44616.73334</v>
      </c>
      <c r="C199" s="52" t="str">
        <f>IFERROR(__xludf.DUMMYFUNCTION("""COMPUTED_VALUE"""),"CESG UNINORTE")</f>
        <v>CESG UNINORTE</v>
      </c>
      <c r="D199" s="53">
        <f>IFERROR(__xludf.DUMMYFUNCTION("""COMPUTED_VALUE"""),44624.625)</f>
        <v>44624.625</v>
      </c>
      <c r="E199" s="81" t="str">
        <f>IFERROR(__xludf.DUMMYFUNCTION("""COMPUTED_VALUE"""),"ESTIMADO GRUPO REQUIEREN ALGUN RECURSO PARA LA ACTIVIDAD? INDICAR CUAL A TRAVES DEL LINK DE RECURSOS")</f>
        <v>ESTIMADO GRUPO REQUIEREN ALGUN RECURSO PARA LA ACTIVIDAD? INDICAR CUAL A TRAVES DEL LINK DE RECURSOS</v>
      </c>
      <c r="F199" s="81">
        <v>7.891659583328874</v>
      </c>
    </row>
    <row r="200">
      <c r="A200" s="52" t="str">
        <f>IFERROR(__xludf.DUMMYFUNCTION("""COMPUTED_VALUE"""),"GUN-10199")</f>
        <v>GUN-10199</v>
      </c>
      <c r="B200" s="50">
        <f>IFERROR(__xludf.DUMMYFUNCTION("""COMPUTED_VALUE"""),44616.750918101854)</f>
        <v>44616.75092</v>
      </c>
      <c r="C200" s="52" t="str">
        <f>IFERROR(__xludf.DUMMYFUNCTION("""COMPUTED_VALUE"""),"CESG UNINORTE")</f>
        <v>CESG UNINORTE</v>
      </c>
      <c r="D200" s="53">
        <f>IFERROR(__xludf.DUMMYFUNCTION("""COMPUTED_VALUE"""),44625.4375)</f>
        <v>44625.4375</v>
      </c>
      <c r="E200" s="81"/>
      <c r="F200" s="81">
        <v>8.68658189814596</v>
      </c>
    </row>
    <row r="201">
      <c r="A201" s="52" t="str">
        <f>IFERROR(__xludf.DUMMYFUNCTION("""COMPUTED_VALUE"""),"GUN-10200")</f>
        <v>GUN-10200</v>
      </c>
      <c r="B201" s="50">
        <f>IFERROR(__xludf.DUMMYFUNCTION("""COMPUTED_VALUE"""),44616.839945370375)</f>
        <v>44616.83995</v>
      </c>
      <c r="C201" s="52" t="str">
        <f>IFERROR(__xludf.DUMMYFUNCTION("""COMPUTED_VALUE"""),"JUVENTUDES CRITICAS")</f>
        <v>JUVENTUDES CRITICAS</v>
      </c>
      <c r="D201" s="53">
        <f>IFERROR(__xludf.DUMMYFUNCTION("""COMPUTED_VALUE"""),44610.6875)</f>
        <v>44610.6875</v>
      </c>
      <c r="E201" s="81"/>
      <c r="F201" s="81">
        <v>-6.152445370375062</v>
      </c>
    </row>
    <row r="202">
      <c r="A202" s="52" t="str">
        <f>IFERROR(__xludf.DUMMYFUNCTION("""COMPUTED_VALUE"""),"GUN-10201")</f>
        <v>GUN-10201</v>
      </c>
      <c r="B202" s="50">
        <f>IFERROR(__xludf.DUMMYFUNCTION("""COMPUTED_VALUE"""),44616.92556564815)</f>
        <v>44616.92557</v>
      </c>
      <c r="C202" s="52" t="str">
        <f>IFERROR(__xludf.DUMMYFUNCTION("""COMPUTED_VALUE"""),"CAFTA")</f>
        <v>CAFTA</v>
      </c>
      <c r="D202" s="53">
        <f>IFERROR(__xludf.DUMMYFUNCTION("""COMPUTED_VALUE"""),44621.4375)</f>
        <v>44621.4375</v>
      </c>
      <c r="E202" s="81"/>
      <c r="F202" s="81">
        <v>4.5119343518526875</v>
      </c>
    </row>
    <row r="203">
      <c r="A203" s="52" t="str">
        <f>IFERROR(__xludf.DUMMYFUNCTION("""COMPUTED_VALUE"""),"GUN-10202")</f>
        <v>GUN-10202</v>
      </c>
      <c r="B203" s="50">
        <f>IFERROR(__xludf.DUMMYFUNCTION("""COMPUTED_VALUE"""),44617.04307488426)</f>
        <v>44617.04307</v>
      </c>
      <c r="C203" s="52" t="str">
        <f>IFERROR(__xludf.DUMMYFUNCTION("""COMPUTED_VALUE"""),"E-SPORTS")</f>
        <v>E-SPORTS</v>
      </c>
      <c r="D203" s="53">
        <f>IFERROR(__xludf.DUMMYFUNCTION("""COMPUTED_VALUE"""),44624.375)</f>
        <v>44624.375</v>
      </c>
      <c r="E203" s="81"/>
      <c r="F203" s="81">
        <v>7.331925115737249</v>
      </c>
    </row>
    <row r="204">
      <c r="A204" s="52" t="str">
        <f>IFERROR(__xludf.DUMMYFUNCTION("""COMPUTED_VALUE"""),"GUN-10203")</f>
        <v>GUN-10203</v>
      </c>
      <c r="B204" s="50">
        <f>IFERROR(__xludf.DUMMYFUNCTION("""COMPUTED_VALUE"""),44617.39589206019)</f>
        <v>44617.39589</v>
      </c>
      <c r="C204" s="52" t="str">
        <f>IFERROR(__xludf.DUMMYFUNCTION("""COMPUTED_VALUE"""),"LINGUA")</f>
        <v>LINGUA</v>
      </c>
      <c r="D204" s="53">
        <f>IFERROR(__xludf.DUMMYFUNCTION("""COMPUTED_VALUE"""),44630.14583333333)</f>
        <v>44630.14583</v>
      </c>
      <c r="E204" s="81"/>
      <c r="F204" s="81">
        <v>12.749941273141303</v>
      </c>
    </row>
    <row r="205">
      <c r="A205" s="52" t="str">
        <f>IFERROR(__xludf.DUMMYFUNCTION("""COMPUTED_VALUE"""),"GUN-10204")</f>
        <v>GUN-10204</v>
      </c>
      <c r="B205" s="50">
        <f>IFERROR(__xludf.DUMMYFUNCTION("""COMPUTED_VALUE"""),44617.40060349537)</f>
        <v>44617.4006</v>
      </c>
      <c r="C205" s="52" t="str">
        <f>IFERROR(__xludf.DUMMYFUNCTION("""COMPUTED_VALUE"""),"LINGUA")</f>
        <v>LINGUA</v>
      </c>
      <c r="D205" s="53">
        <f>IFERROR(__xludf.DUMMYFUNCTION("""COMPUTED_VALUE"""),44618.64583333333)</f>
        <v>44618.64583</v>
      </c>
      <c r="E205" s="81"/>
      <c r="F205" s="81">
        <v>1.245229837957595</v>
      </c>
    </row>
    <row r="206">
      <c r="A206" s="52" t="str">
        <f>IFERROR(__xludf.DUMMYFUNCTION("""COMPUTED_VALUE"""),"GUN-10205")</f>
        <v>GUN-10205</v>
      </c>
      <c r="B206" s="50">
        <f>IFERROR(__xludf.DUMMYFUNCTION("""COMPUTED_VALUE"""),44617.4176809375)</f>
        <v>44617.41768</v>
      </c>
      <c r="C206" s="52" t="str">
        <f>IFERROR(__xludf.DUMMYFUNCTION("""COMPUTED_VALUE"""),"UNINORTE DIVERSO")</f>
        <v>UNINORTE DIVERSO</v>
      </c>
      <c r="D206" s="53">
        <f>IFERROR(__xludf.DUMMYFUNCTION("""COMPUTED_VALUE"""),44624.52083333333)</f>
        <v>44624.52083</v>
      </c>
      <c r="E206" s="81"/>
      <c r="F206" s="81">
        <v>7.103152395829966</v>
      </c>
    </row>
    <row r="207">
      <c r="A207" s="52" t="str">
        <f>IFERROR(__xludf.DUMMYFUNCTION("""COMPUTED_VALUE"""),"GUN-10206")</f>
        <v>GUN-10206</v>
      </c>
      <c r="B207" s="50">
        <f>IFERROR(__xludf.DUMMYFUNCTION("""COMPUTED_VALUE"""),44617.41938255787)</f>
        <v>44617.41938</v>
      </c>
      <c r="C207" s="52" t="str">
        <f>IFERROR(__xludf.DUMMYFUNCTION("""COMPUTED_VALUE"""),"FELINORTE")</f>
        <v>FELINORTE</v>
      </c>
      <c r="D207" s="53">
        <f>IFERROR(__xludf.DUMMYFUNCTION("""COMPUTED_VALUE"""),44620.58333333333)</f>
        <v>44620.58333</v>
      </c>
      <c r="E207" s="81"/>
      <c r="F207" s="81">
        <v>3.163950775458943</v>
      </c>
    </row>
    <row r="208">
      <c r="A208" s="52" t="str">
        <f>IFERROR(__xludf.DUMMYFUNCTION("""COMPUTED_VALUE"""),"GUN-10207")</f>
        <v>GUN-10207</v>
      </c>
      <c r="B208" s="50">
        <f>IFERROR(__xludf.DUMMYFUNCTION("""COMPUTED_VALUE"""),44617.43366158565)</f>
        <v>44617.43366</v>
      </c>
      <c r="C208" s="52" t="str">
        <f>IFERROR(__xludf.DUMMYFUNCTION("""COMPUTED_VALUE"""),"FELINORTE")</f>
        <v>FELINORTE</v>
      </c>
      <c r="D208" s="53">
        <f>IFERROR(__xludf.DUMMYFUNCTION("""COMPUTED_VALUE"""),44620.54166666667)</f>
        <v>44620.54167</v>
      </c>
      <c r="E208" s="81"/>
      <c r="F208" s="81">
        <v>3.1080050810196553</v>
      </c>
    </row>
    <row r="209">
      <c r="A209" s="52" t="str">
        <f>IFERROR(__xludf.DUMMYFUNCTION("""COMPUTED_VALUE"""),"GUN-10208")</f>
        <v>GUN-10208</v>
      </c>
      <c r="B209" s="50">
        <f>IFERROR(__xludf.DUMMYFUNCTION("""COMPUTED_VALUE"""),44617.43940269676)</f>
        <v>44617.4394</v>
      </c>
      <c r="C209" s="52" t="str">
        <f>IFERROR(__xludf.DUMMYFUNCTION("""COMPUTED_VALUE"""),"FELINORTE")</f>
        <v>FELINORTE</v>
      </c>
      <c r="D209" s="53">
        <f>IFERROR(__xludf.DUMMYFUNCTION("""COMPUTED_VALUE"""),44624.625)</f>
        <v>44624.625</v>
      </c>
      <c r="E209" s="81"/>
      <c r="F209" s="81">
        <v>7.185597303243412</v>
      </c>
    </row>
    <row r="210">
      <c r="A210" s="52" t="str">
        <f>IFERROR(__xludf.DUMMYFUNCTION("""COMPUTED_VALUE"""),"GUN-10209")</f>
        <v>GUN-10209</v>
      </c>
      <c r="B210" s="50">
        <f>IFERROR(__xludf.DUMMYFUNCTION("""COMPUTED_VALUE"""),44617.4411971412)</f>
        <v>44617.4412</v>
      </c>
      <c r="C210" s="52" t="str">
        <f>IFERROR(__xludf.DUMMYFUNCTION("""COMPUTED_VALUE"""),"ANEIC")</f>
        <v>ANEIC</v>
      </c>
      <c r="D210" s="53">
        <f>IFERROR(__xludf.DUMMYFUNCTION("""COMPUTED_VALUE"""),44625.25)</f>
        <v>44625.25</v>
      </c>
      <c r="E210" s="81"/>
      <c r="F210" s="81">
        <v>7.808802858802665</v>
      </c>
    </row>
    <row r="211">
      <c r="A211" s="52" t="str">
        <f>IFERROR(__xludf.DUMMYFUNCTION("""COMPUTED_VALUE"""),"GUN-10210")</f>
        <v>GUN-10210</v>
      </c>
      <c r="B211" s="50">
        <f>IFERROR(__xludf.DUMMYFUNCTION("""COMPUTED_VALUE"""),44617.44122072917)</f>
        <v>44617.44122</v>
      </c>
      <c r="C211" s="52" t="str">
        <f>IFERROR(__xludf.DUMMYFUNCTION("""COMPUTED_VALUE"""),"FELINORTE")</f>
        <v>FELINORTE</v>
      </c>
      <c r="D211" s="53">
        <f>IFERROR(__xludf.DUMMYFUNCTION("""COMPUTED_VALUE"""),44625.66666666667)</f>
        <v>44625.66667</v>
      </c>
      <c r="E211" s="81"/>
      <c r="F211" s="81">
        <v>8.225445937503537</v>
      </c>
    </row>
    <row r="212">
      <c r="A212" s="52" t="str">
        <f>IFERROR(__xludf.DUMMYFUNCTION("""COMPUTED_VALUE"""),"GUN-10211")</f>
        <v>GUN-10211</v>
      </c>
      <c r="B212" s="50">
        <f>IFERROR(__xludf.DUMMYFUNCTION("""COMPUTED_VALUE"""),44617.452787118054)</f>
        <v>44617.45279</v>
      </c>
      <c r="C212" s="52" t="str">
        <f>IFERROR(__xludf.DUMMYFUNCTION("""COMPUTED_VALUE"""),"ALFA Y OMEGA")</f>
        <v>ALFA Y OMEGA</v>
      </c>
      <c r="D212" s="53">
        <f>IFERROR(__xludf.DUMMYFUNCTION("""COMPUTED_VALUE"""),44623.6875)</f>
        <v>44623.6875</v>
      </c>
      <c r="E212" s="81"/>
      <c r="F212" s="81">
        <v>6.2347128819455975</v>
      </c>
    </row>
    <row r="213">
      <c r="A213" s="52" t="str">
        <f>IFERROR(__xludf.DUMMYFUNCTION("""COMPUTED_VALUE"""),"GUN-10212")</f>
        <v>GUN-10212</v>
      </c>
      <c r="B213" s="50">
        <f>IFERROR(__xludf.DUMMYFUNCTION("""COMPUTED_VALUE"""),44617.45343210648)</f>
        <v>44617.45343</v>
      </c>
      <c r="C213" s="52" t="str">
        <f>IFERROR(__xludf.DUMMYFUNCTION("""COMPUTED_VALUE"""),"FELINORTE")</f>
        <v>FELINORTE</v>
      </c>
      <c r="D213" s="53">
        <f>IFERROR(__xludf.DUMMYFUNCTION("""COMPUTED_VALUE"""),44624.60416666667)</f>
        <v>44624.60417</v>
      </c>
      <c r="E213" s="81"/>
      <c r="F213" s="81">
        <v>7.1507345601930865</v>
      </c>
    </row>
    <row r="214">
      <c r="A214" s="52" t="str">
        <f>IFERROR(__xludf.DUMMYFUNCTION("""COMPUTED_VALUE"""),"GUN-10213")</f>
        <v>GUN-10213</v>
      </c>
      <c r="B214" s="50">
        <f>IFERROR(__xludf.DUMMYFUNCTION("""COMPUTED_VALUE"""),44617.454702939816)</f>
        <v>44617.4547</v>
      </c>
      <c r="C214" s="52" t="str">
        <f>IFERROR(__xludf.DUMMYFUNCTION("""COMPUTED_VALUE"""),"FELINORTE")</f>
        <v>FELINORTE</v>
      </c>
      <c r="D214" s="53">
        <f>IFERROR(__xludf.DUMMYFUNCTION("""COMPUTED_VALUE"""),44625.6875)</f>
        <v>44625.6875</v>
      </c>
      <c r="E214" s="81"/>
      <c r="F214" s="81">
        <v>8.232797060183657</v>
      </c>
    </row>
    <row r="215">
      <c r="A215" s="52" t="str">
        <f>IFERROR(__xludf.DUMMYFUNCTION("""COMPUTED_VALUE"""),"GUN-10214")</f>
        <v>GUN-10214</v>
      </c>
      <c r="B215" s="50">
        <f>IFERROR(__xludf.DUMMYFUNCTION("""COMPUTED_VALUE"""),44617.46059376157)</f>
        <v>44617.46059</v>
      </c>
      <c r="C215" s="52" t="str">
        <f>IFERROR(__xludf.DUMMYFUNCTION("""COMPUTED_VALUE"""),"FEMINUN")</f>
        <v>FEMINUN</v>
      </c>
      <c r="D215" s="53">
        <f>IFERROR(__xludf.DUMMYFUNCTION("""COMPUTED_VALUE"""),44617.375)</f>
        <v>44617.375</v>
      </c>
      <c r="E215" s="81"/>
      <c r="F215" s="81">
        <v>-0.08559376157063525</v>
      </c>
    </row>
    <row r="216">
      <c r="A216" s="52" t="str">
        <f>IFERROR(__xludf.DUMMYFUNCTION("""COMPUTED_VALUE"""),"GUN-10215")</f>
        <v>GUN-10215</v>
      </c>
      <c r="B216" s="50">
        <f>IFERROR(__xludf.DUMMYFUNCTION("""COMPUTED_VALUE"""),44617.47565842592)</f>
        <v>44617.47566</v>
      </c>
      <c r="C216" s="52" t="str">
        <f>IFERROR(__xludf.DUMMYFUNCTION("""COMPUTED_VALUE"""),"GEN'S")</f>
        <v>GEN'S</v>
      </c>
      <c r="D216" s="53">
        <f>IFERROR(__xludf.DUMMYFUNCTION("""COMPUTED_VALUE"""),44624.6875)</f>
        <v>44624.6875</v>
      </c>
      <c r="E216" s="81"/>
      <c r="F216" s="81">
        <v>7.211841574076971</v>
      </c>
    </row>
    <row r="217">
      <c r="A217" s="52" t="str">
        <f>IFERROR(__xludf.DUMMYFUNCTION("""COMPUTED_VALUE"""),"GUN-10216")</f>
        <v>GUN-10216</v>
      </c>
      <c r="B217" s="50">
        <f>IFERROR(__xludf.DUMMYFUNCTION("""COMPUTED_VALUE"""),44617.887143252316)</f>
        <v>44617.88714</v>
      </c>
      <c r="C217" s="52" t="str">
        <f>IFERROR(__xludf.DUMMYFUNCTION("""COMPUTED_VALUE"""),"CERI")</f>
        <v>CERI</v>
      </c>
      <c r="D217" s="53">
        <f>IFERROR(__xludf.DUMMYFUNCTION("""COMPUTED_VALUE"""),44628.14583333333)</f>
        <v>44628.14583</v>
      </c>
      <c r="E217" s="81"/>
      <c r="F217" s="81">
        <v>10.258690081012901</v>
      </c>
    </row>
    <row r="218">
      <c r="A218" s="52" t="str">
        <f>IFERROR(__xludf.DUMMYFUNCTION("""COMPUTED_VALUE"""),"GUN-10217")</f>
        <v>GUN-10217</v>
      </c>
      <c r="B218" s="50">
        <f>IFERROR(__xludf.DUMMYFUNCTION("""COMPUTED_VALUE"""),44618.59101996528)</f>
        <v>44618.59102</v>
      </c>
      <c r="C218" s="52" t="str">
        <f>IFERROR(__xludf.DUMMYFUNCTION("""COMPUTED_VALUE"""),"PANGEA")</f>
        <v>PANGEA</v>
      </c>
      <c r="D218" s="53">
        <f>IFERROR(__xludf.DUMMYFUNCTION("""COMPUTED_VALUE"""),44624.60416666667)</f>
        <v>44624.60417</v>
      </c>
      <c r="E218" s="81"/>
      <c r="F218" s="81">
        <v>6.013146701392543</v>
      </c>
    </row>
    <row r="219">
      <c r="A219" s="52" t="str">
        <f>IFERROR(__xludf.DUMMYFUNCTION("""COMPUTED_VALUE"""),"GUN-10218")</f>
        <v>GUN-10218</v>
      </c>
      <c r="B219" s="50">
        <f>IFERROR(__xludf.DUMMYFUNCTION("""COMPUTED_VALUE"""),44618.94780650463)</f>
        <v>44618.94781</v>
      </c>
      <c r="C219" s="52" t="str">
        <f>IFERROR(__xludf.DUMMYFUNCTION("""COMPUTED_VALUE"""),"COMITÉ JURIDICO")</f>
        <v>COMITÉ JURIDICO</v>
      </c>
      <c r="D219" s="53">
        <f>IFERROR(__xludf.DUMMYFUNCTION("""COMPUTED_VALUE"""),44589.10416666667)</f>
        <v>44589.10417</v>
      </c>
      <c r="E219" s="81"/>
      <c r="F219" s="81">
        <v>-29.84363983795629</v>
      </c>
    </row>
    <row r="220">
      <c r="A220" s="52" t="str">
        <f>IFERROR(__xludf.DUMMYFUNCTION("""COMPUTED_VALUE"""),"GUN-10219")</f>
        <v>GUN-10219</v>
      </c>
      <c r="B220" s="50">
        <f>IFERROR(__xludf.DUMMYFUNCTION("""COMPUTED_VALUE"""),44618.95027645834)</f>
        <v>44618.95028</v>
      </c>
      <c r="C220" s="52" t="str">
        <f>IFERROR(__xludf.DUMMYFUNCTION("""COMPUTED_VALUE"""),"COMITÉ JURIDICO")</f>
        <v>COMITÉ JURIDICO</v>
      </c>
      <c r="D220" s="53">
        <f>IFERROR(__xludf.DUMMYFUNCTION("""COMPUTED_VALUE"""),44603.14583333333)</f>
        <v>44603.14583</v>
      </c>
      <c r="E220" s="81"/>
      <c r="F220" s="81">
        <v>-15.80444312500913</v>
      </c>
    </row>
    <row r="221">
      <c r="A221" s="52" t="str">
        <f>IFERROR(__xludf.DUMMYFUNCTION("""COMPUTED_VALUE"""),"GUN-10220")</f>
        <v>GUN-10220</v>
      </c>
      <c r="B221" s="50">
        <f>IFERROR(__xludf.DUMMYFUNCTION("""COMPUTED_VALUE"""),44618.95185767361)</f>
        <v>44618.95186</v>
      </c>
      <c r="C221" s="52" t="str">
        <f>IFERROR(__xludf.DUMMYFUNCTION("""COMPUTED_VALUE"""),"COMITÉ JURIDICO")</f>
        <v>COMITÉ JURIDICO</v>
      </c>
      <c r="D221" s="53">
        <f>IFERROR(__xludf.DUMMYFUNCTION("""COMPUTED_VALUE"""),44607.33333333333)</f>
        <v>44607.33333</v>
      </c>
      <c r="E221" s="81"/>
      <c r="F221" s="81">
        <v>-11.618524340279691</v>
      </c>
    </row>
    <row r="222">
      <c r="A222" s="52" t="str">
        <f>IFERROR(__xludf.DUMMYFUNCTION("""COMPUTED_VALUE"""),"GUN-10221")</f>
        <v>GUN-10221</v>
      </c>
      <c r="B222" s="50">
        <f>IFERROR(__xludf.DUMMYFUNCTION("""COMPUTED_VALUE"""),44618.95330123843)</f>
        <v>44618.9533</v>
      </c>
      <c r="C222" s="52" t="str">
        <f>IFERROR(__xludf.DUMMYFUNCTION("""COMPUTED_VALUE"""),"COMITÉ JURIDICO")</f>
        <v>COMITÉ JURIDICO</v>
      </c>
      <c r="D222" s="53">
        <f>IFERROR(__xludf.DUMMYFUNCTION("""COMPUTED_VALUE"""),44616.52083333333)</f>
        <v>44616.52083</v>
      </c>
      <c r="E222" s="81"/>
      <c r="F222" s="81">
        <v>-2.432467905098747</v>
      </c>
    </row>
    <row r="223">
      <c r="A223" s="52" t="str">
        <f>IFERROR(__xludf.DUMMYFUNCTION("""COMPUTED_VALUE"""),"GUN-10222")</f>
        <v>GUN-10222</v>
      </c>
      <c r="B223" s="50">
        <f>IFERROR(__xludf.DUMMYFUNCTION("""COMPUTED_VALUE"""),44620.114500752316)</f>
        <v>44620.1145</v>
      </c>
      <c r="C223" s="52" t="str">
        <f>IFERROR(__xludf.DUMMYFUNCTION("""COMPUTED_VALUE"""),"W-STEM")</f>
        <v>W-STEM</v>
      </c>
      <c r="D223" s="53">
        <f>IFERROR(__xludf.DUMMYFUNCTION("""COMPUTED_VALUE"""),44628.60416666667)</f>
        <v>44628.60417</v>
      </c>
      <c r="E223" s="81"/>
      <c r="F223" s="81">
        <v>8.48966591435601</v>
      </c>
    </row>
    <row r="224">
      <c r="A224" s="52" t="str">
        <f>IFERROR(__xludf.DUMMYFUNCTION("""COMPUTED_VALUE"""),"GUN-10223")</f>
        <v>GUN-10223</v>
      </c>
      <c r="B224" s="50">
        <f>IFERROR(__xludf.DUMMYFUNCTION("""COMPUTED_VALUE"""),44620.329646388884)</f>
        <v>44620.32965</v>
      </c>
      <c r="C224" s="52" t="str">
        <f>IFERROR(__xludf.DUMMYFUNCTION("""COMPUTED_VALUE"""),"COMITÉ JURIDICO")</f>
        <v>COMITÉ JURIDICO</v>
      </c>
      <c r="D224" s="53">
        <f>IFERROR(__xludf.DUMMYFUNCTION("""COMPUTED_VALUE"""),44624.60416666667)</f>
        <v>44624.60417</v>
      </c>
      <c r="E224" s="81"/>
      <c r="F224" s="81">
        <v>4.274520277787815</v>
      </c>
    </row>
    <row r="225">
      <c r="A225" s="52" t="str">
        <f>IFERROR(__xludf.DUMMYFUNCTION("""COMPUTED_VALUE"""),"GUN-10224")</f>
        <v>GUN-10224</v>
      </c>
      <c r="B225" s="50">
        <f>IFERROR(__xludf.DUMMYFUNCTION("""COMPUTED_VALUE"""),44620.36756644676)</f>
        <v>44620.36757</v>
      </c>
      <c r="C225" s="52" t="str">
        <f>IFERROR(__xludf.DUMMYFUNCTION("""COMPUTED_VALUE"""),"IEEE")</f>
        <v>IEEE</v>
      </c>
      <c r="D225" s="53">
        <f>IFERROR(__xludf.DUMMYFUNCTION("""COMPUTED_VALUE"""),44628.60416666667)</f>
        <v>44628.60417</v>
      </c>
      <c r="E225" s="81"/>
      <c r="F225" s="81">
        <v>8.236600219912361</v>
      </c>
    </row>
    <row r="226">
      <c r="A226" s="52" t="str">
        <f>IFERROR(__xludf.DUMMYFUNCTION("""COMPUTED_VALUE"""),"GUN-10225")</f>
        <v>GUN-10225</v>
      </c>
      <c r="B226" s="50">
        <f>IFERROR(__xludf.DUMMYFUNCTION("""COMPUTED_VALUE"""),44620.4059005787)</f>
        <v>44620.4059</v>
      </c>
      <c r="C226" s="52" t="str">
        <f>IFERROR(__xludf.DUMMYFUNCTION("""COMPUTED_VALUE"""),"ASTRONORTE")</f>
        <v>ASTRONORTE</v>
      </c>
      <c r="D226" s="53">
        <f>IFERROR(__xludf.DUMMYFUNCTION("""COMPUTED_VALUE"""),44631.75)</f>
        <v>44631.75</v>
      </c>
      <c r="E226" s="81" t="str">
        <f>IFERROR(__xludf.DUMMYFUNCTION("""COMPUTED_VALUE"""),"ESTIMADO GRUPO LA ZONA QUE REQUIEREN ES EL TEATRINO? ME GUSTARIA REUNIRNME CON USTEDES PARA ACLARAR DETALLES DE LA ACTIVIDAD. QUEDO ATENTA A SU DISPONIBILIDAD")</f>
        <v>ESTIMADO GRUPO LA ZONA QUE REQUIEREN ES EL TEATRINO? ME GUSTARIA REUNIRNME CON USTEDES PARA ACLARAR DETALLES DE LA ACTIVIDAD. QUEDO ATENTA A SU DISPONIBILIDAD</v>
      </c>
      <c r="F226" s="81">
        <v>11.344099421301507</v>
      </c>
    </row>
    <row r="227">
      <c r="A227" s="52" t="str">
        <f>IFERROR(__xludf.DUMMYFUNCTION("""COMPUTED_VALUE"""),"GUN-10226")</f>
        <v>GUN-10226</v>
      </c>
      <c r="B227" s="50">
        <f>IFERROR(__xludf.DUMMYFUNCTION("""COMPUTED_VALUE"""),44620.432299803244)</f>
        <v>44620.4323</v>
      </c>
      <c r="C227" s="52" t="str">
        <f>IFERROR(__xludf.DUMMYFUNCTION("""COMPUTED_VALUE"""),"CEIM UNINORTE")</f>
        <v>CEIM UNINORTE</v>
      </c>
      <c r="D227" s="53">
        <f>IFERROR(__xludf.DUMMYFUNCTION("""COMPUTED_VALUE"""),44600.52083333333)</f>
        <v>44600.52083</v>
      </c>
      <c r="E227" s="81"/>
      <c r="F227" s="81">
        <v>-19.911466469915467</v>
      </c>
    </row>
    <row r="228">
      <c r="A228" s="52" t="str">
        <f>IFERROR(__xludf.DUMMYFUNCTION("""COMPUTED_VALUE"""),"GUN-10227")</f>
        <v>GUN-10227</v>
      </c>
      <c r="B228" s="50">
        <f>IFERROR(__xludf.DUMMYFUNCTION("""COMPUTED_VALUE"""),44620.43901769676)</f>
        <v>44620.43902</v>
      </c>
      <c r="C228" s="52" t="str">
        <f>IFERROR(__xludf.DUMMYFUNCTION("""COMPUTED_VALUE"""),"CEIM UNINORTE")</f>
        <v>CEIM UNINORTE</v>
      </c>
      <c r="D228" s="53">
        <f>IFERROR(__xludf.DUMMYFUNCTION("""COMPUTED_VALUE"""),44600.60416666667)</f>
        <v>44600.60417</v>
      </c>
      <c r="E228" s="81"/>
      <c r="F228" s="81">
        <v>-19.8348510300857</v>
      </c>
    </row>
    <row r="229">
      <c r="A229" s="52" t="str">
        <f>IFERROR(__xludf.DUMMYFUNCTION("""COMPUTED_VALUE"""),"GUN-10228")</f>
        <v>GUN-10228</v>
      </c>
      <c r="B229" s="50">
        <f>IFERROR(__xludf.DUMMYFUNCTION("""COMPUTED_VALUE"""),44620.44971405092)</f>
        <v>44620.44971</v>
      </c>
      <c r="C229" s="52" t="str">
        <f>IFERROR(__xludf.DUMMYFUNCTION("""COMPUTED_VALUE"""),"INNOVA UN")</f>
        <v>INNOVA UN</v>
      </c>
      <c r="D229" s="53">
        <f>IFERROR(__xludf.DUMMYFUNCTION("""COMPUTED_VALUE"""),44629.6875)</f>
        <v>44629.6875</v>
      </c>
      <c r="E229" s="81"/>
      <c r="F229" s="81">
        <v>9.237785949080717</v>
      </c>
    </row>
    <row r="230">
      <c r="A230" s="52" t="str">
        <f>IFERROR(__xludf.DUMMYFUNCTION("""COMPUTED_VALUE"""),"GUN-10229")</f>
        <v>GUN-10229</v>
      </c>
      <c r="B230" s="50">
        <f>IFERROR(__xludf.DUMMYFUNCTION("""COMPUTED_VALUE"""),44620.45287072917)</f>
        <v>44620.45287</v>
      </c>
      <c r="C230" s="52" t="str">
        <f>IFERROR(__xludf.DUMMYFUNCTION("""COMPUTED_VALUE"""),"GREEN GENERATION")</f>
        <v>GREEN GENERATION</v>
      </c>
      <c r="D230" s="53">
        <f>IFERROR(__xludf.DUMMYFUNCTION("""COMPUTED_VALUE"""),44628.60416666667)</f>
        <v>44628.60417</v>
      </c>
      <c r="E230" s="81"/>
      <c r="F230" s="81">
        <v>8.151295937503164</v>
      </c>
    </row>
    <row r="231">
      <c r="A231" s="52" t="str">
        <f>IFERROR(__xludf.DUMMYFUNCTION("""COMPUTED_VALUE"""),"GUN-10230")</f>
        <v>GUN-10230</v>
      </c>
      <c r="B231" s="50">
        <f>IFERROR(__xludf.DUMMYFUNCTION("""COMPUTED_VALUE"""),44620.5584075)</f>
        <v>44620.55841</v>
      </c>
      <c r="C231" s="52" t="str">
        <f>IFERROR(__xludf.DUMMYFUNCTION("""COMPUTED_VALUE"""),"CDIEP")</f>
        <v>CDIEP</v>
      </c>
      <c r="D231" s="53">
        <f>IFERROR(__xludf.DUMMYFUNCTION("""COMPUTED_VALUE"""),44628.3125)</f>
        <v>44628.3125</v>
      </c>
      <c r="E231" s="81"/>
      <c r="F231" s="81">
        <v>7.754092499999388</v>
      </c>
    </row>
    <row r="232">
      <c r="A232" s="52" t="str">
        <f>IFERROR(__xludf.DUMMYFUNCTION("""COMPUTED_VALUE"""),"GUN-10231")</f>
        <v>GUN-10231</v>
      </c>
      <c r="B232" s="50">
        <f>IFERROR(__xludf.DUMMYFUNCTION("""COMPUTED_VALUE"""),44620.568558402774)</f>
        <v>44620.56856</v>
      </c>
      <c r="C232" s="52" t="str">
        <f>IFERROR(__xludf.DUMMYFUNCTION("""COMPUTED_VALUE"""),"FEMINUN")</f>
        <v>FEMINUN</v>
      </c>
      <c r="D232" s="53">
        <f>IFERROR(__xludf.DUMMYFUNCTION("""COMPUTED_VALUE"""),44629.60416666667)</f>
        <v>44629.60417</v>
      </c>
      <c r="E232" s="81"/>
      <c r="F232" s="81">
        <v>9.035608263897302</v>
      </c>
    </row>
    <row r="233">
      <c r="A233" s="52" t="str">
        <f>IFERROR(__xludf.DUMMYFUNCTION("""COMPUTED_VALUE"""),"GUN-10232")</f>
        <v>GUN-10232</v>
      </c>
      <c r="B233" s="50">
        <f>IFERROR(__xludf.DUMMYFUNCTION("""COMPUTED_VALUE"""),44620.57018872685)</f>
        <v>44620.57019</v>
      </c>
      <c r="C233" s="52" t="str">
        <f>IFERROR(__xludf.DUMMYFUNCTION("""COMPUTED_VALUE"""),"FEMINUN")</f>
        <v>FEMINUN</v>
      </c>
      <c r="D233" s="53">
        <f>IFERROR(__xludf.DUMMYFUNCTION("""COMPUTED_VALUE"""),44620.75)</f>
        <v>44620.75</v>
      </c>
      <c r="E233" s="81"/>
      <c r="F233" s="81">
        <v>0.1798112731485162</v>
      </c>
    </row>
    <row r="234">
      <c r="A234" s="52" t="str">
        <f>IFERROR(__xludf.DUMMYFUNCTION("""COMPUTED_VALUE"""),"GUN-10233")</f>
        <v>GUN-10233</v>
      </c>
      <c r="B234" s="50">
        <f>IFERROR(__xludf.DUMMYFUNCTION("""COMPUTED_VALUE"""),44620.59624584491)</f>
        <v>44620.59625</v>
      </c>
      <c r="C234" s="52" t="str">
        <f>IFERROR(__xludf.DUMMYFUNCTION("""COMPUTED_VALUE"""),"FEMINUN")</f>
        <v>FEMINUN</v>
      </c>
      <c r="D234" s="53">
        <f>IFERROR(__xludf.DUMMYFUNCTION("""COMPUTED_VALUE"""),44628.64583333333)</f>
        <v>44628.64583</v>
      </c>
      <c r="E234" s="81"/>
      <c r="F234" s="81">
        <v>8.049587488421821</v>
      </c>
    </row>
    <row r="235">
      <c r="A235" s="52" t="str">
        <f>IFERROR(__xludf.DUMMYFUNCTION("""COMPUTED_VALUE"""),"GUN-10234")</f>
        <v>GUN-10234</v>
      </c>
      <c r="B235" s="50">
        <f>IFERROR(__xludf.DUMMYFUNCTION("""COMPUTED_VALUE"""),44620.69387025463)</f>
        <v>44620.69387</v>
      </c>
      <c r="C235" s="52" t="str">
        <f>IFERROR(__xludf.DUMMYFUNCTION("""COMPUTED_VALUE"""),"PARTNERS CAMPUS")</f>
        <v>PARTNERS CAMPUS</v>
      </c>
      <c r="D235" s="53">
        <f>IFERROR(__xludf.DUMMYFUNCTION("""COMPUTED_VALUE"""),44628.60416666667)</f>
        <v>44628.60417</v>
      </c>
      <c r="E235" s="81"/>
      <c r="F235" s="81">
        <v>7.910296412039315</v>
      </c>
    </row>
    <row r="236">
      <c r="A236" s="52" t="str">
        <f>IFERROR(__xludf.DUMMYFUNCTION("""COMPUTED_VALUE"""),"GUN-10235")</f>
        <v>GUN-10235</v>
      </c>
      <c r="B236" s="50">
        <f>IFERROR(__xludf.DUMMYFUNCTION("""COMPUTED_VALUE"""),44620.73591480324)</f>
        <v>44620.73591</v>
      </c>
      <c r="C236" s="52" t="str">
        <f>IFERROR(__xludf.DUMMYFUNCTION("""COMPUTED_VALUE"""),"FELINORTE")</f>
        <v>FELINORTE</v>
      </c>
      <c r="D236" s="53">
        <f>IFERROR(__xludf.DUMMYFUNCTION("""COMPUTED_VALUE"""),44629.66666666667)</f>
        <v>44629.66667</v>
      </c>
      <c r="E236" s="81"/>
      <c r="F236" s="81">
        <v>8.930751863430487</v>
      </c>
    </row>
    <row r="237">
      <c r="A237" s="52" t="str">
        <f>IFERROR(__xludf.DUMMYFUNCTION("""COMPUTED_VALUE"""),"GUN-10236")</f>
        <v>GUN-10236</v>
      </c>
      <c r="B237" s="50">
        <f>IFERROR(__xludf.DUMMYFUNCTION("""COMPUTED_VALUE"""),44620.777989236114)</f>
        <v>44620.77799</v>
      </c>
      <c r="C237" s="52" t="str">
        <f>IFERROR(__xludf.DUMMYFUNCTION("""COMPUTED_VALUE"""),"IISE")</f>
        <v>IISE</v>
      </c>
      <c r="D237" s="53">
        <f>IFERROR(__xludf.DUMMYFUNCTION("""COMPUTED_VALUE"""),44627.72916666667)</f>
        <v>44627.72917</v>
      </c>
      <c r="E237" s="81"/>
      <c r="F237" s="81">
        <v>6.951177430557436</v>
      </c>
    </row>
    <row r="238">
      <c r="A238" s="52" t="str">
        <f>IFERROR(__xludf.DUMMYFUNCTION("""COMPUTED_VALUE"""),"GUN-10237")</f>
        <v>GUN-10237</v>
      </c>
      <c r="B238" s="50">
        <f>IFERROR(__xludf.DUMMYFUNCTION("""COMPUTED_VALUE"""),44620.79425850695)</f>
        <v>44620.79426</v>
      </c>
      <c r="C238" s="52" t="str">
        <f>IFERROR(__xludf.DUMMYFUNCTION("""COMPUTED_VALUE"""),"COMITÉ JURIDICO")</f>
        <v>COMITÉ JURIDICO</v>
      </c>
      <c r="D238" s="53">
        <f>IFERROR(__xludf.DUMMYFUNCTION("""COMPUTED_VALUE"""),44623.52083333333)</f>
        <v>44623.52083</v>
      </c>
      <c r="E238" s="81" t="str">
        <f>IFERROR(__xludf.DUMMYFUNCTION("""COMPUTED_VALUE"""),"ESTIMADO GRUPO REQUIEREN ALGUN RECURSO PARA LA ACTIVIDAD? INDICAR CUAL A TRAVES DEL LINK DE RECURSOS")</f>
        <v>ESTIMADO GRUPO REQUIEREN ALGUN RECURSO PARA LA ACTIVIDAD? INDICAR CUAL A TRAVES DEL LINK DE RECURSOS</v>
      </c>
      <c r="F238" s="81">
        <v>2.726574826381693</v>
      </c>
    </row>
    <row r="239">
      <c r="A239" s="52" t="str">
        <f>IFERROR(__xludf.DUMMYFUNCTION("""COMPUTED_VALUE"""),"GUN-10238")</f>
        <v>GUN-10238</v>
      </c>
      <c r="B239" s="50">
        <f>IFERROR(__xludf.DUMMYFUNCTION("""COMPUTED_VALUE"""),44620.79550834491)</f>
        <v>44620.79551</v>
      </c>
      <c r="C239" s="52" t="str">
        <f>IFERROR(__xludf.DUMMYFUNCTION("""COMPUTED_VALUE"""),"COMITÉ JURIDICO")</f>
        <v>COMITÉ JURIDICO</v>
      </c>
      <c r="D239" s="53">
        <f>IFERROR(__xludf.DUMMYFUNCTION("""COMPUTED_VALUE"""),44623.52083333333)</f>
        <v>44623.52083</v>
      </c>
      <c r="E239" s="81"/>
      <c r="F239" s="81">
        <v>2.725324988416105</v>
      </c>
    </row>
    <row r="240">
      <c r="A240" s="52" t="str">
        <f>IFERROR(__xludf.DUMMYFUNCTION("""COMPUTED_VALUE"""),"GUN-10239")</f>
        <v>GUN-10239</v>
      </c>
      <c r="B240" s="50">
        <f>IFERROR(__xludf.DUMMYFUNCTION("""COMPUTED_VALUE"""),44620.97525111111)</f>
        <v>44620.97525</v>
      </c>
      <c r="C240" s="52" t="str">
        <f>IFERROR(__xludf.DUMMYFUNCTION("""COMPUTED_VALUE"""),"BOURBAKI")</f>
        <v>BOURBAKI</v>
      </c>
      <c r="D240" s="53">
        <f>IFERROR(__xludf.DUMMYFUNCTION("""COMPUTED_VALUE"""),44629.6875)</f>
        <v>44629.6875</v>
      </c>
      <c r="E240" s="81"/>
      <c r="F240" s="81">
        <v>8.712248888892645</v>
      </c>
    </row>
    <row r="241">
      <c r="A241" s="52" t="str">
        <f>IFERROR(__xludf.DUMMYFUNCTION("""COMPUTED_VALUE"""),"GUN-10240")</f>
        <v>GUN-10240</v>
      </c>
      <c r="B241" s="50">
        <f>IFERROR(__xludf.DUMMYFUNCTION("""COMPUTED_VALUE"""),44620.989143680556)</f>
        <v>44620.98914</v>
      </c>
      <c r="C241" s="52" t="str">
        <f>IFERROR(__xludf.DUMMYFUNCTION("""COMPUTED_VALUE"""),"ANEIC")</f>
        <v>ANEIC</v>
      </c>
      <c r="D241" s="53">
        <f>IFERROR(__xludf.DUMMYFUNCTION("""COMPUTED_VALUE"""),44628.10416666667)</f>
        <v>44628.10417</v>
      </c>
      <c r="E241" s="81"/>
      <c r="F241" s="81">
        <v>7.115022986115946</v>
      </c>
    </row>
    <row r="242">
      <c r="A242" s="52" t="str">
        <f>IFERROR(__xludf.DUMMYFUNCTION("""COMPUTED_VALUE"""),"GUN-10241")</f>
        <v>GUN-10241</v>
      </c>
      <c r="B242" s="50">
        <f>IFERROR(__xludf.DUMMYFUNCTION("""COMPUTED_VALUE"""),44621.56162179398)</f>
        <v>44621.56162</v>
      </c>
      <c r="C242" s="52" t="str">
        <f>IFERROR(__xludf.DUMMYFUNCTION("""COMPUTED_VALUE"""),"FEMINUN")</f>
        <v>FEMINUN</v>
      </c>
      <c r="D242" s="53">
        <f>IFERROR(__xludf.DUMMYFUNCTION("""COMPUTED_VALUE"""),44627.72916666667)</f>
        <v>44627.72917</v>
      </c>
      <c r="E242" s="81"/>
      <c r="F242" s="81">
        <v>6.167544872689177</v>
      </c>
    </row>
    <row r="243">
      <c r="A243" s="52" t="str">
        <f>IFERROR(__xludf.DUMMYFUNCTION("""COMPUTED_VALUE"""),"GUN-10242")</f>
        <v>GUN-10242</v>
      </c>
      <c r="B243" s="50">
        <f>IFERROR(__xludf.DUMMYFUNCTION("""COMPUTED_VALUE"""),44621.58805283564)</f>
        <v>44621.58805</v>
      </c>
      <c r="C243" s="52" t="str">
        <f>IFERROR(__xludf.DUMMYFUNCTION("""COMPUTED_VALUE"""),"ASTRONORTE")</f>
        <v>ASTRONORTE</v>
      </c>
      <c r="D243" s="53">
        <f>IFERROR(__xludf.DUMMYFUNCTION("""COMPUTED_VALUE"""),44629.72916666667)</f>
        <v>44629.72917</v>
      </c>
      <c r="E243" s="81"/>
      <c r="F243" s="81">
        <v>8.141113831028633</v>
      </c>
    </row>
    <row r="244">
      <c r="A244" s="52" t="str">
        <f>IFERROR(__xludf.DUMMYFUNCTION("""COMPUTED_VALUE"""),"GUN-10243")</f>
        <v>GUN-10243</v>
      </c>
      <c r="B244" s="50">
        <f>IFERROR(__xludf.DUMMYFUNCTION("""COMPUTED_VALUE"""),44621.58959910879)</f>
        <v>44621.5896</v>
      </c>
      <c r="C244" s="52" t="str">
        <f>IFERROR(__xludf.DUMMYFUNCTION("""COMPUTED_VALUE"""),"IEEE")</f>
        <v>IEEE</v>
      </c>
      <c r="D244" s="53">
        <f>IFERROR(__xludf.DUMMYFUNCTION("""COMPUTED_VALUE"""),44631.10416666667)</f>
        <v>44631.10417</v>
      </c>
      <c r="E244" s="81" t="str">
        <f>IFERROR(__xludf.DUMMYFUNCTION("""COMPUTED_VALUE"""),"ESTIMADO GRUPO REQUIEREN ALGUN RECURSO PARA LA ACTIVIDAD? INDICAR CUAL A TRAVES DEL LINK DE RECURSOS")</f>
        <v>ESTIMADO GRUPO REQUIEREN ALGUN RECURSO PARA LA ACTIVIDAD? INDICAR CUAL A TRAVES DEL LINK DE RECURSOS</v>
      </c>
      <c r="F244" s="81">
        <v>9.514567557882401</v>
      </c>
    </row>
    <row r="245">
      <c r="A245" s="52" t="str">
        <f>IFERROR(__xludf.DUMMYFUNCTION("""COMPUTED_VALUE"""),"GUN-10244")</f>
        <v>GUN-10244</v>
      </c>
      <c r="B245" s="50">
        <f>IFERROR(__xludf.DUMMYFUNCTION("""COMPUTED_VALUE"""),44621.61835866899)</f>
        <v>44621.61836</v>
      </c>
      <c r="C245" s="52" t="str">
        <f>IFERROR(__xludf.DUMMYFUNCTION("""COMPUTED_VALUE"""),"IEEE")</f>
        <v>IEEE</v>
      </c>
      <c r="D245" s="53">
        <f>IFERROR(__xludf.DUMMYFUNCTION("""COMPUTED_VALUE"""),44631.10416666667)</f>
        <v>44631.10417</v>
      </c>
      <c r="E245" s="81" t="str">
        <f>IFERROR(__xludf.DUMMYFUNCTION("""COMPUTED_VALUE"""),"ESTIMADO GRUPO REQUIEREN ALGUN RECURSO PARA LA ACTIVIDAD? INDICAR CUAL A TRAVES DEL LINK DE RECURSOS")</f>
        <v>ESTIMADO GRUPO REQUIEREN ALGUN RECURSO PARA LA ACTIVIDAD? INDICAR CUAL A TRAVES DEL LINK DE RECURSOS</v>
      </c>
      <c r="F245" s="81">
        <v>9.485807997683878</v>
      </c>
    </row>
    <row r="246">
      <c r="A246" s="52" t="str">
        <f>IFERROR(__xludf.DUMMYFUNCTION("""COMPUTED_VALUE"""),"GUN-10245")</f>
        <v>GUN-10245</v>
      </c>
      <c r="B246" s="50">
        <f>IFERROR(__xludf.DUMMYFUNCTION("""COMPUTED_VALUE"""),44621.660606770834)</f>
        <v>44621.66061</v>
      </c>
      <c r="C246" s="52" t="str">
        <f>IFERROR(__xludf.DUMMYFUNCTION("""COMPUTED_VALUE"""),"ÁGORA")</f>
        <v>ÁGORA</v>
      </c>
      <c r="D246" s="53">
        <f>IFERROR(__xludf.DUMMYFUNCTION("""COMPUTED_VALUE"""),44631.4375)</f>
        <v>44631.4375</v>
      </c>
      <c r="E246" s="81" t="str">
        <f>IFERROR(__xludf.DUMMYFUNCTION("""COMPUTED_VALUE"""),"ESTIMADO GRUPO REQUIEREN ALGUN RECURSO PARA LA ACTIVIDAD? INDICAR CUAL A TRAVES DEL LINK DE RECURSOS")</f>
        <v>ESTIMADO GRUPO REQUIEREN ALGUN RECURSO PARA LA ACTIVIDAD? INDICAR CUAL A TRAVES DEL LINK DE RECURSOS</v>
      </c>
      <c r="F246" s="81">
        <v>9.77689322916558</v>
      </c>
    </row>
    <row r="247">
      <c r="A247" s="52" t="str">
        <f>IFERROR(__xludf.DUMMYFUNCTION("""COMPUTED_VALUE"""),"GUN-10246")</f>
        <v>GUN-10246</v>
      </c>
      <c r="B247" s="50">
        <f>IFERROR(__xludf.DUMMYFUNCTION("""COMPUTED_VALUE"""),44621.66410457176)</f>
        <v>44621.6641</v>
      </c>
      <c r="C247" s="52" t="str">
        <f>IFERROR(__xludf.DUMMYFUNCTION("""COMPUTED_VALUE"""),"ÁGORA")</f>
        <v>ÁGORA</v>
      </c>
      <c r="D247" s="53">
        <f>IFERROR(__xludf.DUMMYFUNCTION("""COMPUTED_VALUE"""),44629.33333333333)</f>
        <v>44629.33333</v>
      </c>
      <c r="E247" s="81" t="str">
        <f>IFERROR(__xludf.DUMMYFUNCTION("""COMPUTED_VALUE"""),"ESTIMADO GRUPO REQUIEREN ALGUN RECURSO PARA LA ACTIVIDAD? INDICAR CUAL A TRAVES DEL LINK DE RECURSOS")</f>
        <v>ESTIMADO GRUPO REQUIEREN ALGUN RECURSO PARA LA ACTIVIDAD? INDICAR CUAL A TRAVES DEL LINK DE RECURSOS</v>
      </c>
      <c r="F247" s="81">
        <v>7.669228761566046</v>
      </c>
    </row>
    <row r="248">
      <c r="A248" s="52" t="str">
        <f>IFERROR(__xludf.DUMMYFUNCTION("""COMPUTED_VALUE"""),"GUN-10247")</f>
        <v>GUN-10247</v>
      </c>
      <c r="B248" s="50">
        <f>IFERROR(__xludf.DUMMYFUNCTION("""COMPUTED_VALUE"""),44621.92509322916)</f>
        <v>44621.92509</v>
      </c>
      <c r="C248" s="52" t="str">
        <f>IFERROR(__xludf.DUMMYFUNCTION("""COMPUTED_VALUE"""),"VOLTA")</f>
        <v>VOLTA</v>
      </c>
      <c r="D248" s="53">
        <f>IFERROR(__xludf.DUMMYFUNCTION("""COMPUTED_VALUE"""),44621.64583333333)</f>
        <v>44621.64583</v>
      </c>
      <c r="E248" s="81" t="str">
        <f>IFERROR(__xludf.DUMMYFUNCTION("""COMPUTED_VALUE"""),"ESTIMADO GRUPO REQUIEREN ALGUN RECURSO PARA LA ACTIVIDAD? INDICAR CUAL A TRAVES DEL LINK DE RECURSOS")</f>
        <v>ESTIMADO GRUPO REQUIEREN ALGUN RECURSO PARA LA ACTIVIDAD? INDICAR CUAL A TRAVES DEL LINK DE RECURSOS</v>
      </c>
      <c r="F248" s="81">
        <v>-0.27925989583309274</v>
      </c>
    </row>
    <row r="249">
      <c r="A249" s="52" t="str">
        <f>IFERROR(__xludf.DUMMYFUNCTION("""COMPUTED_VALUE"""),"GUN-10248")</f>
        <v>GUN-10248</v>
      </c>
      <c r="B249" s="50">
        <f>IFERROR(__xludf.DUMMYFUNCTION("""COMPUTED_VALUE"""),44621.97073652778)</f>
        <v>44621.97074</v>
      </c>
      <c r="C249" s="52" t="str">
        <f>IFERROR(__xludf.DUMMYFUNCTION("""COMPUTED_VALUE"""),"CESG UNINORTE")</f>
        <v>CESG UNINORTE</v>
      </c>
      <c r="D249" s="53">
        <f>IFERROR(__xludf.DUMMYFUNCTION("""COMPUTED_VALUE"""),44629.60416666667)</f>
        <v>44629.60417</v>
      </c>
      <c r="E249" s="81"/>
      <c r="F249" s="81">
        <v>7.633430138892436</v>
      </c>
    </row>
    <row r="250">
      <c r="A250" s="52" t="str">
        <f>IFERROR(__xludf.DUMMYFUNCTION("""COMPUTED_VALUE"""),"GUN-10249")</f>
        <v>GUN-10249</v>
      </c>
      <c r="B250" s="50">
        <f>IFERROR(__xludf.DUMMYFUNCTION("""COMPUTED_VALUE"""),44622.39386050926)</f>
        <v>44622.39386</v>
      </c>
      <c r="C250" s="52" t="str">
        <f>IFERROR(__xludf.DUMMYFUNCTION("""COMPUTED_VALUE"""),"CIRCULO KDHARMA")</f>
        <v>CIRCULO KDHARMA</v>
      </c>
      <c r="D250" s="53">
        <f>IFERROR(__xludf.DUMMYFUNCTION("""COMPUTED_VALUE"""),44632.41666666667)</f>
        <v>44632.41667</v>
      </c>
      <c r="E250" s="81"/>
      <c r="F250" s="81">
        <v>10.022806157408922</v>
      </c>
    </row>
    <row r="251">
      <c r="A251" s="52" t="str">
        <f>IFERROR(__xludf.DUMMYFUNCTION("""COMPUTED_VALUE"""),"GUN-10250")</f>
        <v>GUN-10250</v>
      </c>
      <c r="B251" s="50">
        <f>IFERROR(__xludf.DUMMYFUNCTION("""COMPUTED_VALUE"""),44622.43958578703)</f>
        <v>44622.43959</v>
      </c>
      <c r="C251" s="52" t="str">
        <f>IFERROR(__xludf.DUMMYFUNCTION("""COMPUTED_VALUE"""),"BOURBAKI")</f>
        <v>BOURBAKI</v>
      </c>
      <c r="D251" s="53">
        <f>IFERROR(__xludf.DUMMYFUNCTION("""COMPUTED_VALUE"""),44628.4375)</f>
        <v>44628.4375</v>
      </c>
      <c r="E251" s="81"/>
      <c r="F251" s="81">
        <v>5.997914212966862</v>
      </c>
    </row>
    <row r="252">
      <c r="A252" s="52" t="str">
        <f>IFERROR(__xludf.DUMMYFUNCTION("""COMPUTED_VALUE"""),"GUN-10251")</f>
        <v>GUN-10251</v>
      </c>
      <c r="B252" s="50">
        <f>IFERROR(__xludf.DUMMYFUNCTION("""COMPUTED_VALUE"""),44622.445063935185)</f>
        <v>44622.44506</v>
      </c>
      <c r="C252" s="52" t="str">
        <f>IFERROR(__xludf.DUMMYFUNCTION("""COMPUTED_VALUE"""),"VOLTA")</f>
        <v>VOLTA</v>
      </c>
      <c r="D252" s="53">
        <f>IFERROR(__xludf.DUMMYFUNCTION("""COMPUTED_VALUE"""),44630.4375)</f>
        <v>44630.4375</v>
      </c>
      <c r="E252" s="81"/>
      <c r="F252" s="81">
        <v>7.992436064814683</v>
      </c>
    </row>
    <row r="253">
      <c r="A253" s="52" t="str">
        <f>IFERROR(__xludf.DUMMYFUNCTION("""COMPUTED_VALUE"""),"GUN-10252")</f>
        <v>GUN-10252</v>
      </c>
      <c r="B253" s="50">
        <f>IFERROR(__xludf.DUMMYFUNCTION("""COMPUTED_VALUE"""),44622.45064945602)</f>
        <v>44622.45065</v>
      </c>
      <c r="C253" s="52" t="str">
        <f>IFERROR(__xludf.DUMMYFUNCTION("""COMPUTED_VALUE"""),"VOLTA")</f>
        <v>VOLTA</v>
      </c>
      <c r="D253" s="53">
        <f>IFERROR(__xludf.DUMMYFUNCTION("""COMPUTED_VALUE"""),44631.39583333333)</f>
        <v>44631.39583</v>
      </c>
      <c r="E253" s="81"/>
      <c r="F253" s="81">
        <v>8.945183877309319</v>
      </c>
    </row>
    <row r="254">
      <c r="A254" s="52" t="str">
        <f>IFERROR(__xludf.DUMMYFUNCTION("""COMPUTED_VALUE"""),"GUN-10253")</f>
        <v>GUN-10253</v>
      </c>
      <c r="B254" s="50">
        <f>IFERROR(__xludf.DUMMYFUNCTION("""COMPUTED_VALUE"""),44622.5308044676)</f>
        <v>44622.5308</v>
      </c>
      <c r="C254" s="52" t="str">
        <f>IFERROR(__xludf.DUMMYFUNCTION("""COMPUTED_VALUE"""),"FEMINUN")</f>
        <v>FEMINUN</v>
      </c>
      <c r="D254" s="53">
        <f>IFERROR(__xludf.DUMMYFUNCTION("""COMPUTED_VALUE"""),44627.625)</f>
        <v>44627.625</v>
      </c>
      <c r="E254" s="81"/>
      <c r="F254" s="81">
        <v>5.0941955324015</v>
      </c>
    </row>
    <row r="255">
      <c r="A255" s="52" t="str">
        <f>IFERROR(__xludf.DUMMYFUNCTION("""COMPUTED_VALUE"""),"GUN-10254")</f>
        <v>GUN-10254</v>
      </c>
      <c r="B255" s="50">
        <f>IFERROR(__xludf.DUMMYFUNCTION("""COMPUTED_VALUE"""),44622.654716342586)</f>
        <v>44622.65472</v>
      </c>
      <c r="C255" s="52" t="str">
        <f>IFERROR(__xludf.DUMMYFUNCTION("""COMPUTED_VALUE"""),"CEO")</f>
        <v>CEO</v>
      </c>
      <c r="D255" s="53">
        <f>IFERROR(__xludf.DUMMYFUNCTION("""COMPUTED_VALUE"""),44635.47916666667)</f>
        <v>44635.47917</v>
      </c>
      <c r="E255" s="81"/>
      <c r="F255" s="81">
        <v>12.824450324085774</v>
      </c>
    </row>
    <row r="256">
      <c r="A256" s="52" t="str">
        <f>IFERROR(__xludf.DUMMYFUNCTION("""COMPUTED_VALUE"""),"GUN-10255")</f>
        <v>GUN-10255</v>
      </c>
      <c r="B256" s="50">
        <f>IFERROR(__xludf.DUMMYFUNCTION("""COMPUTED_VALUE"""),44622.66864938657)</f>
        <v>44622.66865</v>
      </c>
      <c r="C256" s="52" t="str">
        <f>IFERROR(__xludf.DUMMYFUNCTION("""COMPUTED_VALUE"""),"CEO")</f>
        <v>CEO</v>
      </c>
      <c r="D256" s="53">
        <f>IFERROR(__xludf.DUMMYFUNCTION("""COMPUTED_VALUE"""),44652.60416666667)</f>
        <v>44652.60417</v>
      </c>
      <c r="E256" s="81"/>
      <c r="F256" s="81">
        <v>29.935517280100612</v>
      </c>
    </row>
    <row r="257">
      <c r="A257" s="52" t="str">
        <f>IFERROR(__xludf.DUMMYFUNCTION("""COMPUTED_VALUE"""),"GUN-10256")</f>
        <v>GUN-10256</v>
      </c>
      <c r="B257" s="50">
        <f>IFERROR(__xludf.DUMMYFUNCTION("""COMPUTED_VALUE"""),44622.7663043287)</f>
        <v>44622.7663</v>
      </c>
      <c r="C257" s="52" t="str">
        <f>IFERROR(__xludf.DUMMYFUNCTION("""COMPUTED_VALUE"""),"IISE")</f>
        <v>IISE</v>
      </c>
      <c r="D257" s="53">
        <f>IFERROR(__xludf.DUMMYFUNCTION("""COMPUTED_VALUE"""),44631.66666666667)</f>
        <v>44631.66667</v>
      </c>
      <c r="E257" s="81"/>
      <c r="F257" s="81">
        <v>8.900362337968545</v>
      </c>
    </row>
    <row r="258">
      <c r="A258" s="52" t="str">
        <f>IFERROR(__xludf.DUMMYFUNCTION("""COMPUTED_VALUE"""),"GUN-10257")</f>
        <v>GUN-10257</v>
      </c>
      <c r="B258" s="50">
        <f>IFERROR(__xludf.DUMMYFUNCTION("""COMPUTED_VALUE"""),44622.80380354167)</f>
        <v>44622.8038</v>
      </c>
      <c r="C258" s="52" t="str">
        <f>IFERROR(__xludf.DUMMYFUNCTION("""COMPUTED_VALUE"""),"FELINORTE")</f>
        <v>FELINORTE</v>
      </c>
      <c r="D258" s="53">
        <f>IFERROR(__xludf.DUMMYFUNCTION("""COMPUTED_VALUE"""),44627.54166666667)</f>
        <v>44627.54167</v>
      </c>
      <c r="E258" s="81"/>
      <c r="F258" s="81">
        <v>4.737863125003059</v>
      </c>
    </row>
    <row r="259">
      <c r="A259" s="52" t="str">
        <f>IFERROR(__xludf.DUMMYFUNCTION("""COMPUTED_VALUE"""),"GUN-10258")</f>
        <v>GUN-10258</v>
      </c>
      <c r="B259" s="50">
        <f>IFERROR(__xludf.DUMMYFUNCTION("""COMPUTED_VALUE"""),44622.80782306713)</f>
        <v>44622.80782</v>
      </c>
      <c r="C259" s="52" t="str">
        <f>IFERROR(__xludf.DUMMYFUNCTION("""COMPUTED_VALUE"""),"FELINORTE")</f>
        <v>FELINORTE</v>
      </c>
      <c r="D259" s="53">
        <f>IFERROR(__xludf.DUMMYFUNCTION("""COMPUTED_VALUE"""),44631.64583333333)</f>
        <v>44631.64583</v>
      </c>
      <c r="E259" s="81"/>
      <c r="F259" s="81">
        <v>8.83801026619767</v>
      </c>
    </row>
    <row r="260">
      <c r="A260" s="52" t="str">
        <f>IFERROR(__xludf.DUMMYFUNCTION("""COMPUTED_VALUE"""),"GUN-10259")</f>
        <v>GUN-10259</v>
      </c>
      <c r="B260" s="50">
        <f>IFERROR(__xludf.DUMMYFUNCTION("""COMPUTED_VALUE"""),44622.88496988426)</f>
        <v>44622.88497</v>
      </c>
      <c r="C260" s="52" t="str">
        <f>IFERROR(__xludf.DUMMYFUNCTION("""COMPUTED_VALUE"""),"BOURBAKI")</f>
        <v>BOURBAKI</v>
      </c>
      <c r="D260" s="53">
        <f>IFERROR(__xludf.DUMMYFUNCTION("""COMPUTED_VALUE"""),44630.4375)</f>
        <v>44630.4375</v>
      </c>
      <c r="E260" s="81"/>
      <c r="F260" s="81">
        <v>7.552530115739501</v>
      </c>
    </row>
    <row r="261">
      <c r="A261" s="52" t="str">
        <f>IFERROR(__xludf.DUMMYFUNCTION("""COMPUTED_VALUE"""),"GUN-10260")</f>
        <v>GUN-10260</v>
      </c>
      <c r="B261" s="50">
        <f>IFERROR(__xludf.DUMMYFUNCTION("""COMPUTED_VALUE"""),44623.28339094908)</f>
        <v>44623.28339</v>
      </c>
      <c r="C261" s="52" t="str">
        <f>IFERROR(__xludf.DUMMYFUNCTION("""COMPUTED_VALUE"""),"CEIM UNINORTE")</f>
        <v>CEIM UNINORTE</v>
      </c>
      <c r="D261" s="53">
        <f>IFERROR(__xludf.DUMMYFUNCTION("""COMPUTED_VALUE"""),44628.33333333333)</f>
        <v>44628.33333</v>
      </c>
      <c r="E261" s="81"/>
      <c r="F261" s="81">
        <v>5.049942384248425</v>
      </c>
    </row>
    <row r="262">
      <c r="A262" s="52" t="str">
        <f>IFERROR(__xludf.DUMMYFUNCTION("""COMPUTED_VALUE"""),"GUN-10261")</f>
        <v>GUN-10261</v>
      </c>
      <c r="B262" s="50">
        <f>IFERROR(__xludf.DUMMYFUNCTION("""COMPUTED_VALUE"""),44623.284205254626)</f>
        <v>44623.28421</v>
      </c>
      <c r="C262" s="52" t="str">
        <f>IFERROR(__xludf.DUMMYFUNCTION("""COMPUTED_VALUE"""),"CEIM UNINORTE")</f>
        <v>CEIM UNINORTE</v>
      </c>
      <c r="D262" s="53">
        <f>IFERROR(__xludf.DUMMYFUNCTION("""COMPUTED_VALUE"""),44631.6875)</f>
        <v>44631.6875</v>
      </c>
      <c r="E262" s="81"/>
      <c r="F262" s="81">
        <v>8.403294745374296</v>
      </c>
    </row>
    <row r="263">
      <c r="A263" s="52" t="str">
        <f>IFERROR(__xludf.DUMMYFUNCTION("""COMPUTED_VALUE"""),"GUN-10262")</f>
        <v>GUN-10262</v>
      </c>
      <c r="B263" s="50">
        <f>IFERROR(__xludf.DUMMYFUNCTION("""COMPUTED_VALUE"""),44623.28514202546)</f>
        <v>44623.28514</v>
      </c>
      <c r="C263" s="52" t="str">
        <f>IFERROR(__xludf.DUMMYFUNCTION("""COMPUTED_VALUE"""),"CEIM UNINORTE")</f>
        <v>CEIM UNINORTE</v>
      </c>
      <c r="D263" s="53">
        <f>IFERROR(__xludf.DUMMYFUNCTION("""COMPUTED_VALUE"""),44631.77083333333)</f>
        <v>44631.77083</v>
      </c>
      <c r="E263" s="81"/>
      <c r="F263" s="81">
        <v>8.485691307869274</v>
      </c>
    </row>
    <row r="264">
      <c r="A264" s="52" t="str">
        <f>IFERROR(__xludf.DUMMYFUNCTION("""COMPUTED_VALUE"""),"GUN-10263")</f>
        <v>GUN-10263</v>
      </c>
      <c r="B264" s="50">
        <f>IFERROR(__xludf.DUMMYFUNCTION("""COMPUTED_VALUE"""),44623.32440189815)</f>
        <v>44623.3244</v>
      </c>
      <c r="C264" s="52" t="str">
        <f>IFERROR(__xludf.DUMMYFUNCTION("""COMPUTED_VALUE"""),"CEIM UNINORTE")</f>
        <v>CEIM UNINORTE</v>
      </c>
      <c r="D264" s="53">
        <f>IFERROR(__xludf.DUMMYFUNCTION("""COMPUTED_VALUE"""),44627.5625)</f>
        <v>44627.5625</v>
      </c>
      <c r="E264" s="81"/>
      <c r="F264" s="81">
        <v>4.238098101850483</v>
      </c>
    </row>
    <row r="265">
      <c r="A265" s="52" t="str">
        <f>IFERROR(__xludf.DUMMYFUNCTION("""COMPUTED_VALUE"""),"GUN-10264")</f>
        <v>GUN-10264</v>
      </c>
      <c r="B265" s="50">
        <f>IFERROR(__xludf.DUMMYFUNCTION("""COMPUTED_VALUE"""),44623.36648581019)</f>
        <v>44623.36649</v>
      </c>
      <c r="C265" s="52" t="str">
        <f>IFERROR(__xludf.DUMMYFUNCTION("""COMPUTED_VALUE"""),"GEN'S")</f>
        <v>GEN'S</v>
      </c>
      <c r="D265" s="53">
        <f>IFERROR(__xludf.DUMMYFUNCTION("""COMPUTED_VALUE"""),44631.6875)</f>
        <v>44631.6875</v>
      </c>
      <c r="E265" s="81"/>
      <c r="F265" s="81">
        <v>8.32101418980892</v>
      </c>
    </row>
    <row r="266">
      <c r="A266" s="52" t="str">
        <f>IFERROR(__xludf.DUMMYFUNCTION("""COMPUTED_VALUE"""),"GUN-10265")</f>
        <v>GUN-10265</v>
      </c>
      <c r="B266" s="50">
        <f>IFERROR(__xludf.DUMMYFUNCTION("""COMPUTED_VALUE"""),44623.46296561343)</f>
        <v>44623.46297</v>
      </c>
      <c r="C266" s="52" t="str">
        <f>IFERROR(__xludf.DUMMYFUNCTION("""COMPUTED_VALUE"""),"UNINORTE DIVERSO")</f>
        <v>UNINORTE DIVERSO</v>
      </c>
      <c r="D266" s="53">
        <f>IFERROR(__xludf.DUMMYFUNCTION("""COMPUTED_VALUE"""),44624.52083333333)</f>
        <v>44624.52083</v>
      </c>
      <c r="E266" s="81"/>
      <c r="F266" s="81">
        <v>1.057867719900969</v>
      </c>
    </row>
    <row r="267">
      <c r="A267" s="52" t="str">
        <f>IFERROR(__xludf.DUMMYFUNCTION("""COMPUTED_VALUE"""),"GUN-10266")</f>
        <v>GUN-10266</v>
      </c>
      <c r="B267" s="50">
        <f>IFERROR(__xludf.DUMMYFUNCTION("""COMPUTED_VALUE"""),44623.47905421296)</f>
        <v>44623.47905</v>
      </c>
      <c r="C267" s="52" t="str">
        <f>IFERROR(__xludf.DUMMYFUNCTION("""COMPUTED_VALUE"""),"CEO")</f>
        <v>CEO</v>
      </c>
      <c r="D267" s="53">
        <f>IFERROR(__xludf.DUMMYFUNCTION("""COMPUTED_VALUE"""),44631.60416666667)</f>
        <v>44631.60417</v>
      </c>
      <c r="E267" s="81"/>
      <c r="F267" s="81">
        <v>8.125112453708425</v>
      </c>
    </row>
    <row r="268">
      <c r="A268" s="52" t="str">
        <f>IFERROR(__xludf.DUMMYFUNCTION("""COMPUTED_VALUE"""),"GUN-10267")</f>
        <v>GUN-10267</v>
      </c>
      <c r="B268" s="50">
        <f>IFERROR(__xludf.DUMMYFUNCTION("""COMPUTED_VALUE"""),44623.48281774305)</f>
        <v>44623.48282</v>
      </c>
      <c r="C268" s="52" t="str">
        <f>IFERROR(__xludf.DUMMYFUNCTION("""COMPUTED_VALUE"""),"CEO")</f>
        <v>CEO</v>
      </c>
      <c r="D268" s="53">
        <f>IFERROR(__xludf.DUMMYFUNCTION("""COMPUTED_VALUE"""),44642.47916666667)</f>
        <v>44642.47917</v>
      </c>
      <c r="E268" s="81"/>
      <c r="F268" s="81">
        <v>18.996348923617916</v>
      </c>
    </row>
    <row r="269">
      <c r="A269" s="52" t="str">
        <f>IFERROR(__xludf.DUMMYFUNCTION("""COMPUTED_VALUE"""),"GUN-10268")</f>
        <v>GUN-10268</v>
      </c>
      <c r="B269" s="50">
        <f>IFERROR(__xludf.DUMMYFUNCTION("""COMPUTED_VALUE"""),44623.48412385416)</f>
        <v>44623.48412</v>
      </c>
      <c r="C269" s="52" t="str">
        <f>IFERROR(__xludf.DUMMYFUNCTION("""COMPUTED_VALUE"""),"CEO")</f>
        <v>CEO</v>
      </c>
      <c r="D269" s="53">
        <f>IFERROR(__xludf.DUMMYFUNCTION("""COMPUTED_VALUE"""),44642.4375)</f>
        <v>44642.4375</v>
      </c>
      <c r="E269" s="81"/>
      <c r="F269" s="81">
        <v>18.953376145836955</v>
      </c>
    </row>
    <row r="270">
      <c r="A270" s="52" t="str">
        <f>IFERROR(__xludf.DUMMYFUNCTION("""COMPUTED_VALUE"""),"GUN-10269")</f>
        <v>GUN-10269</v>
      </c>
      <c r="B270" s="50">
        <f>IFERROR(__xludf.DUMMYFUNCTION("""COMPUTED_VALUE"""),44623.48537423611)</f>
        <v>44623.48537</v>
      </c>
      <c r="C270" s="52" t="str">
        <f>IFERROR(__xludf.DUMMYFUNCTION("""COMPUTED_VALUE"""),"CEO")</f>
        <v>CEO</v>
      </c>
      <c r="D270" s="53">
        <f>IFERROR(__xludf.DUMMYFUNCTION("""COMPUTED_VALUE"""),44649.47916666667)</f>
        <v>44649.47917</v>
      </c>
      <c r="E270" s="81"/>
      <c r="F270" s="81">
        <v>25.99379243056319</v>
      </c>
    </row>
    <row r="271">
      <c r="A271" s="52" t="str">
        <f>IFERROR(__xludf.DUMMYFUNCTION("""COMPUTED_VALUE"""),"GUN-10270")</f>
        <v>GUN-10270</v>
      </c>
      <c r="B271" s="50">
        <f>IFERROR(__xludf.DUMMYFUNCTION("""COMPUTED_VALUE"""),44623.48676931713)</f>
        <v>44623.48677</v>
      </c>
      <c r="C271" s="52" t="str">
        <f>IFERROR(__xludf.DUMMYFUNCTION("""COMPUTED_VALUE"""),"CEO")</f>
        <v>CEO</v>
      </c>
      <c r="D271" s="53">
        <f>IFERROR(__xludf.DUMMYFUNCTION("""COMPUTED_VALUE"""),44649.4375)</f>
        <v>44649.4375</v>
      </c>
      <c r="E271" s="81"/>
      <c r="F271" s="81">
        <v>25.950730682867288</v>
      </c>
    </row>
    <row r="272">
      <c r="A272" s="52" t="str">
        <f>IFERROR(__xludf.DUMMYFUNCTION("""COMPUTED_VALUE"""),"GUN-10271")</f>
        <v>GUN-10271</v>
      </c>
      <c r="B272" s="50">
        <f>IFERROR(__xludf.DUMMYFUNCTION("""COMPUTED_VALUE"""),44623.49454497686)</f>
        <v>44623.49454</v>
      </c>
      <c r="C272" s="52" t="str">
        <f>IFERROR(__xludf.DUMMYFUNCTION("""COMPUTED_VALUE"""),"CEO")</f>
        <v>CEO</v>
      </c>
      <c r="D272" s="53">
        <f>IFERROR(__xludf.DUMMYFUNCTION("""COMPUTED_VALUE"""),44630.5625)</f>
        <v>44630.5625</v>
      </c>
      <c r="E272" s="81"/>
      <c r="F272" s="81">
        <v>7.0679550231434405</v>
      </c>
    </row>
    <row r="273">
      <c r="A273" s="52" t="str">
        <f>IFERROR(__xludf.DUMMYFUNCTION("""COMPUTED_VALUE"""),"GUN-10272")</f>
        <v>GUN-10272</v>
      </c>
      <c r="B273" s="50">
        <f>IFERROR(__xludf.DUMMYFUNCTION("""COMPUTED_VALUE"""),44623.496830173615)</f>
        <v>44623.49683</v>
      </c>
      <c r="C273" s="52" t="str">
        <f>IFERROR(__xludf.DUMMYFUNCTION("""COMPUTED_VALUE"""),"GEN'S")</f>
        <v>GEN'S</v>
      </c>
      <c r="D273" s="53">
        <f>IFERROR(__xludf.DUMMYFUNCTION("""COMPUTED_VALUE"""),44629.39583333333)</f>
        <v>44629.39583</v>
      </c>
      <c r="E273" s="81"/>
      <c r="F273" s="81">
        <v>5.899003159713175</v>
      </c>
    </row>
    <row r="274">
      <c r="A274" s="52" t="str">
        <f>IFERROR(__xludf.DUMMYFUNCTION("""COMPUTED_VALUE"""),"GUN-10273")</f>
        <v>GUN-10273</v>
      </c>
      <c r="B274" s="50">
        <f>IFERROR(__xludf.DUMMYFUNCTION("""COMPUTED_VALUE"""),44623.51443635417)</f>
        <v>44623.51444</v>
      </c>
      <c r="C274" s="52" t="str">
        <f>IFERROR(__xludf.DUMMYFUNCTION("""COMPUTED_VALUE"""),"INNOVA UN")</f>
        <v>INNOVA UN</v>
      </c>
      <c r="D274" s="53">
        <f>IFERROR(__xludf.DUMMYFUNCTION("""COMPUTED_VALUE"""),44628.4375)</f>
        <v>44628.4375</v>
      </c>
      <c r="E274" s="81"/>
      <c r="F274" s="81">
        <v>4.923063645830553</v>
      </c>
    </row>
    <row r="275">
      <c r="A275" s="52" t="str">
        <f>IFERROR(__xludf.DUMMYFUNCTION("""COMPUTED_VALUE"""),"GUN-10274")</f>
        <v>GUN-10274</v>
      </c>
      <c r="B275" s="50">
        <f>IFERROR(__xludf.DUMMYFUNCTION("""COMPUTED_VALUE"""),44623.547246030095)</f>
        <v>44623.54725</v>
      </c>
      <c r="C275" s="52" t="str">
        <f>IFERROR(__xludf.DUMMYFUNCTION("""COMPUTED_VALUE"""),"COMITÉ JURIDICO")</f>
        <v>COMITÉ JURIDICO</v>
      </c>
      <c r="D275" s="53">
        <f>IFERROR(__xludf.DUMMYFUNCTION("""COMPUTED_VALUE"""),44627.72916666667)</f>
        <v>44627.72917</v>
      </c>
      <c r="E275" s="81"/>
      <c r="F275" s="81">
        <v>4.181920636576251</v>
      </c>
    </row>
    <row r="276">
      <c r="A276" s="52" t="str">
        <f>IFERROR(__xludf.DUMMYFUNCTION("""COMPUTED_VALUE"""),"GUN-10275")</f>
        <v>GUN-10275</v>
      </c>
      <c r="B276" s="50">
        <f>IFERROR(__xludf.DUMMYFUNCTION("""COMPUTED_VALUE"""),44623.566216446765)</f>
        <v>44623.56622</v>
      </c>
      <c r="C276" s="52" t="str">
        <f>IFERROR(__xludf.DUMMYFUNCTION("""COMPUTED_VALUE"""),"COMITÉ JURIDICO")</f>
        <v>COMITÉ JURIDICO</v>
      </c>
      <c r="D276" s="53">
        <f>IFERROR(__xludf.DUMMYFUNCTION("""COMPUTED_VALUE"""),44623.52083333333)</f>
        <v>44623.52083</v>
      </c>
      <c r="E276" s="81"/>
      <c r="F276" s="81">
        <v>-0.04538311343640089</v>
      </c>
    </row>
    <row r="277">
      <c r="A277" s="52" t="str">
        <f>IFERROR(__xludf.DUMMYFUNCTION("""COMPUTED_VALUE"""),"GUN-10276")</f>
        <v>GUN-10276</v>
      </c>
      <c r="B277" s="50">
        <f>IFERROR(__xludf.DUMMYFUNCTION("""COMPUTED_VALUE"""),44623.60929591436)</f>
        <v>44623.6093</v>
      </c>
      <c r="C277" s="52" t="str">
        <f>IFERROR(__xludf.DUMMYFUNCTION("""COMPUTED_VALUE"""),"EQUN")</f>
        <v>EQUN</v>
      </c>
      <c r="D277" s="53">
        <f>IFERROR(__xludf.DUMMYFUNCTION("""COMPUTED_VALUE"""),44630.33333333333)</f>
        <v>44630.33333</v>
      </c>
      <c r="E277" s="81"/>
      <c r="F277" s="81">
        <v>6.72403741897142</v>
      </c>
    </row>
    <row r="278">
      <c r="A278" s="52" t="str">
        <f>IFERROR(__xludf.DUMMYFUNCTION("""COMPUTED_VALUE"""),"GUN-10277")</f>
        <v>GUN-10277</v>
      </c>
      <c r="B278" s="50">
        <f>IFERROR(__xludf.DUMMYFUNCTION("""COMPUTED_VALUE"""),44623.61033564815)</f>
        <v>44623.61034</v>
      </c>
      <c r="C278" s="52" t="str">
        <f>IFERROR(__xludf.DUMMYFUNCTION("""COMPUTED_VALUE"""),"EQUN")</f>
        <v>EQUN</v>
      </c>
      <c r="D278" s="53">
        <f>IFERROR(__xludf.DUMMYFUNCTION("""COMPUTED_VALUE"""),44624.58333333333)</f>
        <v>44624.58333</v>
      </c>
      <c r="E278" s="81"/>
      <c r="F278" s="81">
        <v>0.9729976851813262</v>
      </c>
    </row>
    <row r="279">
      <c r="A279" s="52" t="str">
        <f>IFERROR(__xludf.DUMMYFUNCTION("""COMPUTED_VALUE"""),"GUN-10278")</f>
        <v>GUN-10278</v>
      </c>
      <c r="B279" s="50">
        <f>IFERROR(__xludf.DUMMYFUNCTION("""COMPUTED_VALUE"""),44623.65268722222)</f>
        <v>44623.65269</v>
      </c>
      <c r="C279" s="52" t="str">
        <f>IFERROR(__xludf.DUMMYFUNCTION("""COMPUTED_VALUE"""),"CERI")</f>
        <v>CERI</v>
      </c>
      <c r="D279" s="53">
        <f>IFERROR(__xludf.DUMMYFUNCTION("""COMPUTED_VALUE"""),44631.4375)</f>
        <v>44631.4375</v>
      </c>
      <c r="E279" s="81"/>
      <c r="F279" s="81">
        <v>7.784812777783372</v>
      </c>
    </row>
    <row r="280">
      <c r="A280" s="52" t="str">
        <f>IFERROR(__xludf.DUMMYFUNCTION("""COMPUTED_VALUE"""),"GUN-10279")</f>
        <v>GUN-10279</v>
      </c>
      <c r="B280" s="50">
        <f>IFERROR(__xludf.DUMMYFUNCTION("""COMPUTED_VALUE"""),44623.65587574075)</f>
        <v>44623.65588</v>
      </c>
      <c r="C280" s="52" t="str">
        <f>IFERROR(__xludf.DUMMYFUNCTION("""COMPUTED_VALUE"""),"CEO")</f>
        <v>CEO</v>
      </c>
      <c r="D280" s="53">
        <f>IFERROR(__xludf.DUMMYFUNCTION("""COMPUTED_VALUE"""),44637.5625)</f>
        <v>44637.5625</v>
      </c>
      <c r="E280" s="81"/>
      <c r="F280" s="81">
        <v>13.906624259252567</v>
      </c>
    </row>
    <row r="281">
      <c r="A281" s="52" t="str">
        <f>IFERROR(__xludf.DUMMYFUNCTION("""COMPUTED_VALUE"""),"GUN-10280")</f>
        <v>GUN-10280</v>
      </c>
      <c r="B281" s="50">
        <f>IFERROR(__xludf.DUMMYFUNCTION("""COMPUTED_VALUE"""),44623.6887125463)</f>
        <v>44623.68871</v>
      </c>
      <c r="C281" s="52" t="str">
        <f>IFERROR(__xludf.DUMMYFUNCTION("""COMPUTED_VALUE"""),"CERI")</f>
        <v>CERI</v>
      </c>
      <c r="D281" s="53">
        <f>IFERROR(__xludf.DUMMYFUNCTION("""COMPUTED_VALUE"""),44627.25)</f>
        <v>44627.25</v>
      </c>
      <c r="E281" s="81"/>
      <c r="F281" s="81">
        <v>3.5612874536964227</v>
      </c>
    </row>
    <row r="282">
      <c r="A282" s="52" t="str">
        <f>IFERROR(__xludf.DUMMYFUNCTION("""COMPUTED_VALUE"""),"GUN-10281")</f>
        <v>GUN-10281</v>
      </c>
      <c r="B282" s="50">
        <f>IFERROR(__xludf.DUMMYFUNCTION("""COMPUTED_VALUE"""),44623.68930646991)</f>
        <v>44623.68931</v>
      </c>
      <c r="C282" s="52" t="str">
        <f>IFERROR(__xludf.DUMMYFUNCTION("""COMPUTED_VALUE"""),"JUVENTUDES CRITICAS")</f>
        <v>JUVENTUDES CRITICAS</v>
      </c>
      <c r="D282" s="53">
        <f>IFERROR(__xludf.DUMMYFUNCTION("""COMPUTED_VALUE"""),44628.60416666667)</f>
        <v>44628.60417</v>
      </c>
      <c r="E282" s="81"/>
      <c r="F282" s="81">
        <v>4.914860196760856</v>
      </c>
    </row>
    <row r="283">
      <c r="A283" s="52" t="str">
        <f>IFERROR(__xludf.DUMMYFUNCTION("""COMPUTED_VALUE"""),"GUN-10282")</f>
        <v>GUN-10282</v>
      </c>
      <c r="B283" s="50">
        <f>IFERROR(__xludf.DUMMYFUNCTION("""COMPUTED_VALUE"""),44623.692056087966)</f>
        <v>44623.69206</v>
      </c>
      <c r="C283" s="52" t="str">
        <f>IFERROR(__xludf.DUMMYFUNCTION("""COMPUTED_VALUE"""),"UNINORTE DIVERSO")</f>
        <v>UNINORTE DIVERSO</v>
      </c>
      <c r="D283" s="53">
        <f>IFERROR(__xludf.DUMMYFUNCTION("""COMPUTED_VALUE"""),44630.52083333333)</f>
        <v>44630.52083</v>
      </c>
      <c r="E283" s="81"/>
      <c r="F283" s="81">
        <v>6.828777245362289</v>
      </c>
    </row>
    <row r="284">
      <c r="A284" s="52" t="str">
        <f>IFERROR(__xludf.DUMMYFUNCTION("""COMPUTED_VALUE"""),"GUN-10283")</f>
        <v>GUN-10283</v>
      </c>
      <c r="B284" s="50">
        <f>IFERROR(__xludf.DUMMYFUNCTION("""COMPUTED_VALUE"""),44623.703777372684)</f>
        <v>44623.70378</v>
      </c>
      <c r="C284" s="52" t="str">
        <f>IFERROR(__xludf.DUMMYFUNCTION("""COMPUTED_VALUE"""),"JUVENTUDES CRITICAS")</f>
        <v>JUVENTUDES CRITICAS</v>
      </c>
      <c r="D284" s="53">
        <f>IFERROR(__xludf.DUMMYFUNCTION("""COMPUTED_VALUE"""),44627.39583333333)</f>
        <v>44627.39583</v>
      </c>
      <c r="E284" s="81"/>
      <c r="F284" s="81">
        <v>3.692055960644211</v>
      </c>
    </row>
    <row r="285">
      <c r="A285" s="52" t="str">
        <f>IFERROR(__xludf.DUMMYFUNCTION("""COMPUTED_VALUE"""),"GUN-10284")</f>
        <v>GUN-10284</v>
      </c>
      <c r="B285" s="50">
        <f>IFERROR(__xludf.DUMMYFUNCTION("""COMPUTED_VALUE"""),44623.70450383101)</f>
        <v>44623.7045</v>
      </c>
      <c r="C285" s="52" t="str">
        <f>IFERROR(__xludf.DUMMYFUNCTION("""COMPUTED_VALUE"""),"INNOVA UN")</f>
        <v>INNOVA UN</v>
      </c>
      <c r="D285" s="53">
        <f>IFERROR(__xludf.DUMMYFUNCTION("""COMPUTED_VALUE"""),44631.10416666667)</f>
        <v>44631.10417</v>
      </c>
      <c r="E285" s="81"/>
      <c r="F285" s="81">
        <v>7.399662835661729</v>
      </c>
    </row>
    <row r="286">
      <c r="A286" s="52" t="str">
        <f>IFERROR(__xludf.DUMMYFUNCTION("""COMPUTED_VALUE"""),"GUN-10285")</f>
        <v>GUN-10285</v>
      </c>
      <c r="B286" s="50">
        <f>IFERROR(__xludf.DUMMYFUNCTION("""COMPUTED_VALUE"""),44623.705486273146)</f>
        <v>44623.70549</v>
      </c>
      <c r="C286" s="52" t="str">
        <f>IFERROR(__xludf.DUMMYFUNCTION("""COMPUTED_VALUE"""),"JUVENTUDES CRITICAS")</f>
        <v>JUVENTUDES CRITICAS</v>
      </c>
      <c r="D286" s="53">
        <f>IFERROR(__xludf.DUMMYFUNCTION("""COMPUTED_VALUE"""),44627.39583333333)</f>
        <v>44627.39583</v>
      </c>
      <c r="E286" s="81"/>
      <c r="F286" s="81">
        <v>3.6903470601828303</v>
      </c>
    </row>
    <row r="287">
      <c r="A287" s="52" t="str">
        <f>IFERROR(__xludf.DUMMYFUNCTION("""COMPUTED_VALUE"""),"GUN-10286")</f>
        <v>GUN-10286</v>
      </c>
      <c r="B287" s="50">
        <f>IFERROR(__xludf.DUMMYFUNCTION("""COMPUTED_VALUE"""),44623.72417869212)</f>
        <v>44623.72418</v>
      </c>
      <c r="C287" s="52" t="str">
        <f>IFERROR(__xludf.DUMMYFUNCTION("""COMPUTED_VALUE"""),"CAFTA")</f>
        <v>CAFTA</v>
      </c>
      <c r="D287" s="53">
        <f>IFERROR(__xludf.DUMMYFUNCTION("""COMPUTED_VALUE"""),44630.5625)</f>
        <v>44630.5625</v>
      </c>
      <c r="E287" s="81"/>
      <c r="F287" s="81">
        <v>6.838321307877777</v>
      </c>
    </row>
    <row r="288">
      <c r="A288" s="52" t="str">
        <f>IFERROR(__xludf.DUMMYFUNCTION("""COMPUTED_VALUE"""),"GUN-10287")</f>
        <v>GUN-10287</v>
      </c>
      <c r="B288" s="50">
        <f>IFERROR(__xludf.DUMMYFUNCTION("""COMPUTED_VALUE"""),44623.738390081024)</f>
        <v>44623.73839</v>
      </c>
      <c r="C288" s="52" t="str">
        <f>IFERROR(__xludf.DUMMYFUNCTION("""COMPUTED_VALUE"""),"JUVENTUDES CRITICAS")</f>
        <v>JUVENTUDES CRITICAS</v>
      </c>
      <c r="D288" s="53">
        <f>IFERROR(__xludf.DUMMYFUNCTION("""COMPUTED_VALUE"""),44630.39583333333)</f>
        <v>44630.39583</v>
      </c>
      <c r="E288" s="81"/>
      <c r="F288" s="81">
        <v>6.657443252304802</v>
      </c>
    </row>
    <row r="289">
      <c r="A289" s="52" t="str">
        <f>IFERROR(__xludf.DUMMYFUNCTION("""COMPUTED_VALUE"""),"GUN-10288")</f>
        <v>GUN-10288</v>
      </c>
      <c r="B289" s="50">
        <f>IFERROR(__xludf.DUMMYFUNCTION("""COMPUTED_VALUE"""),44623.7387384838)</f>
        <v>44623.73874</v>
      </c>
      <c r="C289" s="52" t="str">
        <f>IFERROR(__xludf.DUMMYFUNCTION("""COMPUTED_VALUE"""),"CAFTA")</f>
        <v>CAFTA</v>
      </c>
      <c r="D289" s="53">
        <f>IFERROR(__xludf.DUMMYFUNCTION("""COMPUTED_VALUE"""),44632.60416666667)</f>
        <v>44632.60417</v>
      </c>
      <c r="E289" s="81"/>
      <c r="F289" s="81">
        <v>8.865428182871256</v>
      </c>
    </row>
    <row r="290">
      <c r="A290" s="52" t="str">
        <f>IFERROR(__xludf.DUMMYFUNCTION("""COMPUTED_VALUE"""),"GUN-10289")</f>
        <v>GUN-10289</v>
      </c>
      <c r="B290" s="50">
        <f>IFERROR(__xludf.DUMMYFUNCTION("""COMPUTED_VALUE"""),44623.748770439815)</f>
        <v>44623.74877</v>
      </c>
      <c r="C290" s="52" t="str">
        <f>IFERROR(__xludf.DUMMYFUNCTION("""COMPUTED_VALUE"""),"GREEN GENERATION")</f>
        <v>GREEN GENERATION</v>
      </c>
      <c r="D290" s="53">
        <f>IFERROR(__xludf.DUMMYFUNCTION("""COMPUTED_VALUE"""),44627.39583333333)</f>
        <v>44627.39583</v>
      </c>
      <c r="E290" s="81"/>
      <c r="F290" s="81">
        <v>3.6470628935130662</v>
      </c>
    </row>
    <row r="291">
      <c r="A291" s="52" t="str">
        <f>IFERROR(__xludf.DUMMYFUNCTION("""COMPUTED_VALUE"""),"GUN-10290")</f>
        <v>GUN-10290</v>
      </c>
      <c r="B291" s="50">
        <f>IFERROR(__xludf.DUMMYFUNCTION("""COMPUTED_VALUE"""),44623.75028515046)</f>
        <v>44623.75029</v>
      </c>
      <c r="C291" s="52" t="str">
        <f>IFERROR(__xludf.DUMMYFUNCTION("""COMPUTED_VALUE"""),"UNINORTE DIVERSO")</f>
        <v>UNINORTE DIVERSO</v>
      </c>
      <c r="D291" s="53">
        <f>IFERROR(__xludf.DUMMYFUNCTION("""COMPUTED_VALUE"""),44630.375)</f>
        <v>44630.375</v>
      </c>
      <c r="E291" s="81"/>
      <c r="F291" s="81">
        <v>6.624714849538577</v>
      </c>
    </row>
    <row r="292">
      <c r="A292" s="52" t="str">
        <f>IFERROR(__xludf.DUMMYFUNCTION("""COMPUTED_VALUE"""),"GUN-10291")</f>
        <v>GUN-10291</v>
      </c>
      <c r="B292" s="50">
        <f>IFERROR(__xludf.DUMMYFUNCTION("""COMPUTED_VALUE"""),44623.764712013886)</f>
        <v>44623.76471</v>
      </c>
      <c r="C292" s="52" t="str">
        <f>IFERROR(__xludf.DUMMYFUNCTION("""COMPUTED_VALUE"""),"UNINORTE DIVERSO")</f>
        <v>UNINORTE DIVERSO</v>
      </c>
      <c r="D292" s="53">
        <f>IFERROR(__xludf.DUMMYFUNCTION("""COMPUTED_VALUE"""),44627.39583333333)</f>
        <v>44627.39583</v>
      </c>
      <c r="E292" s="81" t="str">
        <f>IFERROR(__xludf.DUMMYFUNCTION("""COMPUTED_VALUE"""),"AGRADECEMOS INDICAR QUE RECURSOS NECESITAN PARA LA ACTIVIDAD Y QUE ESPACIO")</f>
        <v>AGRADECEMOS INDICAR QUE RECURSOS NECESITAN PARA LA ACTIVIDAD Y QUE ESPACIO</v>
      </c>
      <c r="F292" s="81">
        <v>3.6311213194421725</v>
      </c>
    </row>
    <row r="293">
      <c r="A293" s="52" t="str">
        <f>IFERROR(__xludf.DUMMYFUNCTION("""COMPUTED_VALUE"""),"GUN-10292")</f>
        <v>GUN-10292</v>
      </c>
      <c r="B293" s="50">
        <f>IFERROR(__xludf.DUMMYFUNCTION("""COMPUTED_VALUE"""),44623.776513321754)</f>
        <v>44623.77651</v>
      </c>
      <c r="C293" s="52" t="str">
        <f>IFERROR(__xludf.DUMMYFUNCTION("""COMPUTED_VALUE"""),"CERI")</f>
        <v>CERI</v>
      </c>
      <c r="D293" s="53">
        <f>IFERROR(__xludf.DUMMYFUNCTION("""COMPUTED_VALUE"""),44630.375)</f>
        <v>44630.375</v>
      </c>
      <c r="E293" s="81"/>
      <c r="F293" s="81">
        <v>6.598486678245536</v>
      </c>
    </row>
    <row r="294">
      <c r="A294" s="52" t="str">
        <f>IFERROR(__xludf.DUMMYFUNCTION("""COMPUTED_VALUE"""),"GUN-10293")</f>
        <v>GUN-10293</v>
      </c>
      <c r="B294" s="50">
        <f>IFERROR(__xludf.DUMMYFUNCTION("""COMPUTED_VALUE"""),44623.82684916667)</f>
        <v>44623.82685</v>
      </c>
      <c r="C294" s="52" t="str">
        <f>IFERROR(__xludf.DUMMYFUNCTION("""COMPUTED_VALUE"""),"CEM UNINORTE")</f>
        <v>CEM UNINORTE</v>
      </c>
      <c r="D294" s="53">
        <f>IFERROR(__xludf.DUMMYFUNCTION("""COMPUTED_VALUE"""),44631.75)</f>
        <v>44631.75</v>
      </c>
      <c r="E294" s="81"/>
      <c r="F294" s="81">
        <v>7.923150833332329</v>
      </c>
    </row>
    <row r="295">
      <c r="A295" s="52" t="str">
        <f>IFERROR(__xludf.DUMMYFUNCTION("""COMPUTED_VALUE"""),"GUN-10294")</f>
        <v>GUN-10294</v>
      </c>
      <c r="B295" s="50">
        <f>IFERROR(__xludf.DUMMYFUNCTION("""COMPUTED_VALUE"""),44624.48827055556)</f>
        <v>44624.48827</v>
      </c>
      <c r="C295" s="52" t="str">
        <f>IFERROR(__xludf.DUMMYFUNCTION("""COMPUTED_VALUE"""),"CDIEP")</f>
        <v>CDIEP</v>
      </c>
      <c r="D295" s="53">
        <f>IFERROR(__xludf.DUMMYFUNCTION("""COMPUTED_VALUE"""),44631.60416666667)</f>
        <v>44631.60417</v>
      </c>
      <c r="E295" s="81"/>
      <c r="F295" s="81">
        <v>7.115896111114125</v>
      </c>
    </row>
    <row r="296">
      <c r="A296" s="52" t="str">
        <f>IFERROR(__xludf.DUMMYFUNCTION("""COMPUTED_VALUE"""),"GUN-10295")</f>
        <v>GUN-10295</v>
      </c>
      <c r="B296" s="50">
        <f>IFERROR(__xludf.DUMMYFUNCTION("""COMPUTED_VALUE"""),44624.545906921296)</f>
        <v>44624.54591</v>
      </c>
      <c r="C296" s="52" t="str">
        <f>IFERROR(__xludf.DUMMYFUNCTION("""COMPUTED_VALUE"""),"COMITÉ JURIDICO")</f>
        <v>COMITÉ JURIDICO</v>
      </c>
      <c r="D296" s="53">
        <f>IFERROR(__xludf.DUMMYFUNCTION("""COMPUTED_VALUE"""),44627.39583333333)</f>
        <v>44627.39583</v>
      </c>
      <c r="E296" s="81"/>
      <c r="F296" s="81">
        <v>2.8499264120328007</v>
      </c>
    </row>
    <row r="297">
      <c r="A297" s="52" t="str">
        <f>IFERROR(__xludf.DUMMYFUNCTION("""COMPUTED_VALUE"""),"GUN-10296")</f>
        <v>GUN-10296</v>
      </c>
      <c r="B297" s="50">
        <f>IFERROR(__xludf.DUMMYFUNCTION("""COMPUTED_VALUE"""),44624.5709133912)</f>
        <v>44624.57091</v>
      </c>
      <c r="C297" s="52" t="str">
        <f>IFERROR(__xludf.DUMMYFUNCTION("""COMPUTED_VALUE"""),"E-SPORTS")</f>
        <v>E-SPORTS</v>
      </c>
      <c r="D297" s="53">
        <f>IFERROR(__xludf.DUMMYFUNCTION("""COMPUTED_VALUE"""),44624.02083333333)</f>
        <v>44624.02083</v>
      </c>
      <c r="E297" s="81" t="str">
        <f>IFERROR(__xludf.DUMMYFUNCTION("""COMPUTED_VALUE"""),"ESTIMADO GRUPO REQUIEREN ALGUN RECURSO PARA LA ACTIVIDAD? INDICAR CUAL A TRAVES DEL LINK DE RECURSOS")</f>
        <v>ESTIMADO GRUPO REQUIEREN ALGUN RECURSO PARA LA ACTIVIDAD? INDICAR CUAL A TRAVES DEL LINK DE RECURSOS</v>
      </c>
      <c r="F297" s="81">
        <v>-0.5500800578738563</v>
      </c>
    </row>
    <row r="298">
      <c r="A298" s="52" t="str">
        <f>IFERROR(__xludf.DUMMYFUNCTION("""COMPUTED_VALUE"""),"GUN-10297")</f>
        <v>GUN-10297</v>
      </c>
      <c r="B298" s="50">
        <f>IFERROR(__xludf.DUMMYFUNCTION("""COMPUTED_VALUE"""),44624.57684761574)</f>
        <v>44624.57685</v>
      </c>
      <c r="C298" s="52" t="str">
        <f>IFERROR(__xludf.DUMMYFUNCTION("""COMPUTED_VALUE"""),"E-SPORTS")</f>
        <v>E-SPORTS</v>
      </c>
      <c r="D298" s="53">
        <f>IFERROR(__xludf.DUMMYFUNCTION("""COMPUTED_VALUE"""),44624.52083333333)</f>
        <v>44624.52083</v>
      </c>
      <c r="E298" s="81" t="str">
        <f>IFERROR(__xludf.DUMMYFUNCTION("""COMPUTED_VALUE"""),"ESTIMADO GRUPO REQUIEREN ALGUN RECURSO PARA LA ACTIVIDAD? INDICAR CUAL A TRAVES DEL LINK DE RECURSOS")</f>
        <v>ESTIMADO GRUPO REQUIEREN ALGUN RECURSO PARA LA ACTIVIDAD? INDICAR CUAL A TRAVES DEL LINK DE RECURSOS</v>
      </c>
      <c r="F298" s="81">
        <v>-0.056014282410615124</v>
      </c>
    </row>
    <row r="299">
      <c r="A299" s="52" t="str">
        <f>IFERROR(__xludf.DUMMYFUNCTION("""COMPUTED_VALUE"""),"GUN-10298")</f>
        <v>GUN-10298</v>
      </c>
      <c r="B299" s="50">
        <f>IFERROR(__xludf.DUMMYFUNCTION("""COMPUTED_VALUE"""),44624.581622708334)</f>
        <v>44624.58162</v>
      </c>
      <c r="C299" s="52" t="str">
        <f>IFERROR(__xludf.DUMMYFUNCTION("""COMPUTED_VALUE"""),"FEMINUN")</f>
        <v>FEMINUN</v>
      </c>
      <c r="D299" s="53">
        <f>IFERROR(__xludf.DUMMYFUNCTION("""COMPUTED_VALUE"""),44630.375)</f>
        <v>44630.375</v>
      </c>
      <c r="E299" s="81"/>
      <c r="F299" s="81">
        <v>5.79337729166582</v>
      </c>
    </row>
    <row r="300">
      <c r="A300" s="52" t="str">
        <f>IFERROR(__xludf.DUMMYFUNCTION("""COMPUTED_VALUE"""),"GUN-10299")</f>
        <v>GUN-10299</v>
      </c>
      <c r="B300" s="50">
        <f>IFERROR(__xludf.DUMMYFUNCTION("""COMPUTED_VALUE"""),44624.582845578705)</f>
        <v>44624.58285</v>
      </c>
      <c r="C300" s="52" t="str">
        <f>IFERROR(__xludf.DUMMYFUNCTION("""COMPUTED_VALUE"""),"FEMINUN")</f>
        <v>FEMINUN</v>
      </c>
      <c r="D300" s="53">
        <f>IFERROR(__xludf.DUMMYFUNCTION("""COMPUTED_VALUE"""),44625.60416666667)</f>
        <v>44625.60417</v>
      </c>
      <c r="E300" s="81"/>
      <c r="F300" s="81">
        <v>1.0213210879664985</v>
      </c>
    </row>
    <row r="301">
      <c r="A301" s="52" t="str">
        <f>IFERROR(__xludf.DUMMYFUNCTION("""COMPUTED_VALUE"""),"GUN-10300")</f>
        <v>GUN-10300</v>
      </c>
      <c r="B301" s="50">
        <f>IFERROR(__xludf.DUMMYFUNCTION("""COMPUTED_VALUE"""),44624.592944814816)</f>
        <v>44624.59294</v>
      </c>
      <c r="C301" s="52" t="str">
        <f>IFERROR(__xludf.DUMMYFUNCTION("""COMPUTED_VALUE"""),"FEMINUN")</f>
        <v>FEMINUN</v>
      </c>
      <c r="D301" s="53">
        <f>IFERROR(__xludf.DUMMYFUNCTION("""COMPUTED_VALUE"""),44631.4375)</f>
        <v>44631.4375</v>
      </c>
      <c r="E301" s="81" t="str">
        <f>IFERROR(__xludf.DUMMYFUNCTION("""COMPUTED_VALUE"""),"ESTIMADO GRUPO REQUIEREN ALGUN RECURSO PARA LA ACTIVIDAD? INDICAR CUAL A TRAVES DEL LINK DE RECURSOS")</f>
        <v>ESTIMADO GRUPO REQUIEREN ALGUN RECURSO PARA LA ACTIVIDAD? INDICAR CUAL A TRAVES DEL LINK DE RECURSOS</v>
      </c>
      <c r="F301" s="81">
        <v>6.844555185183708</v>
      </c>
    </row>
    <row r="302">
      <c r="A302" s="52" t="str">
        <f>IFERROR(__xludf.DUMMYFUNCTION("""COMPUTED_VALUE"""),"GUN-10301")</f>
        <v>GUN-10301</v>
      </c>
      <c r="B302" s="50">
        <f>IFERROR(__xludf.DUMMYFUNCTION("""COMPUTED_VALUE"""),44624.59339174768)</f>
        <v>44624.59339</v>
      </c>
      <c r="C302" s="52" t="str">
        <f>IFERROR(__xludf.DUMMYFUNCTION("""COMPUTED_VALUE"""),"E-SPORTS")</f>
        <v>E-SPORTS</v>
      </c>
      <c r="D302" s="53">
        <f>IFERROR(__xludf.DUMMYFUNCTION("""COMPUTED_VALUE"""),44631.375)</f>
        <v>44631.375</v>
      </c>
      <c r="E302" s="81"/>
      <c r="F302" s="81">
        <v>6.781608252320439</v>
      </c>
    </row>
    <row r="303">
      <c r="A303" s="52" t="str">
        <f>IFERROR(__xludf.DUMMYFUNCTION("""COMPUTED_VALUE"""),"GUN-10302")</f>
        <v>GUN-10302</v>
      </c>
      <c r="B303" s="50">
        <f>IFERROR(__xludf.DUMMYFUNCTION("""COMPUTED_VALUE"""),44624.618743217594)</f>
        <v>44624.61874</v>
      </c>
      <c r="C303" s="52" t="str">
        <f>IFERROR(__xludf.DUMMYFUNCTION("""COMPUTED_VALUE"""),"FEMINUN")</f>
        <v>FEMINUN</v>
      </c>
      <c r="D303" s="53">
        <f>IFERROR(__xludf.DUMMYFUNCTION("""COMPUTED_VALUE"""),44627.35416666667)</f>
        <v>44627.35417</v>
      </c>
      <c r="E303" s="81"/>
      <c r="F303" s="81">
        <v>2.7354234490776435</v>
      </c>
    </row>
    <row r="304">
      <c r="A304" s="52" t="str">
        <f>IFERROR(__xludf.DUMMYFUNCTION("""COMPUTED_VALUE"""),"GUN-10303")</f>
        <v>GUN-10303</v>
      </c>
      <c r="B304" s="50">
        <f>IFERROR(__xludf.DUMMYFUNCTION("""COMPUTED_VALUE"""),44624.62200296297)</f>
        <v>44624.622</v>
      </c>
      <c r="C304" s="52" t="str">
        <f>IFERROR(__xludf.DUMMYFUNCTION("""COMPUTED_VALUE"""),"BK2")</f>
        <v>BK2</v>
      </c>
      <c r="D304" s="53">
        <f>IFERROR(__xludf.DUMMYFUNCTION("""COMPUTED_VALUE"""),44624.25)</f>
        <v>44624.25</v>
      </c>
      <c r="E304" s="81"/>
      <c r="F304" s="81">
        <v>-0.37200296296941815</v>
      </c>
    </row>
    <row r="305">
      <c r="A305" s="52" t="str">
        <f>IFERROR(__xludf.DUMMYFUNCTION("""COMPUTED_VALUE"""),"GUN-10304")</f>
        <v>GUN-10304</v>
      </c>
      <c r="B305" s="50">
        <f>IFERROR(__xludf.DUMMYFUNCTION("""COMPUTED_VALUE"""),44624.62542571759)</f>
        <v>44624.62543</v>
      </c>
      <c r="C305" s="52" t="str">
        <f>IFERROR(__xludf.DUMMYFUNCTION("""COMPUTED_VALUE"""),"ACM Student Chapter")</f>
        <v>ACM Student Chapter</v>
      </c>
      <c r="D305" s="53">
        <f>IFERROR(__xludf.DUMMYFUNCTION("""COMPUTED_VALUE"""),44627.6875)</f>
        <v>44627.6875</v>
      </c>
      <c r="E305" s="81" t="str">
        <f>IFERROR(__xludf.DUMMYFUNCTION("""COMPUTED_VALUE"""),"ESTIMADO GRUPO REQUIEREN ALGUN RECURSO PARA LA ACTIVIDAD? INDICAR CUAL A TRAVES DEL LINK DE RECURSOS")</f>
        <v>ESTIMADO GRUPO REQUIEREN ALGUN RECURSO PARA LA ACTIVIDAD? INDICAR CUAL A TRAVES DEL LINK DE RECURSOS</v>
      </c>
      <c r="F305" s="81">
        <v>3.0620742824103218</v>
      </c>
    </row>
    <row r="306">
      <c r="A306" s="52" t="str">
        <f>IFERROR(__xludf.DUMMYFUNCTION("""COMPUTED_VALUE"""),"GUN-10305")</f>
        <v>GUN-10305</v>
      </c>
      <c r="B306" s="50">
        <f>IFERROR(__xludf.DUMMYFUNCTION("""COMPUTED_VALUE"""),44625.37996464121)</f>
        <v>44625.37996</v>
      </c>
      <c r="C306" s="52" t="str">
        <f>IFERROR(__xludf.DUMMYFUNCTION("""COMPUTED_VALUE"""),"COMITÉ JURIDICO")</f>
        <v>COMITÉ JURIDICO</v>
      </c>
      <c r="D306" s="53">
        <f>IFERROR(__xludf.DUMMYFUNCTION("""COMPUTED_VALUE"""),44627.72916666667)</f>
        <v>44627.72917</v>
      </c>
      <c r="E306" s="81"/>
      <c r="F306" s="81">
        <v>2.3492020254634554</v>
      </c>
    </row>
    <row r="307">
      <c r="A307" s="52" t="str">
        <f>IFERROR(__xludf.DUMMYFUNCTION("""COMPUTED_VALUE"""),"GUN-10306")</f>
        <v>GUN-10306</v>
      </c>
      <c r="B307" s="50">
        <f>IFERROR(__xludf.DUMMYFUNCTION("""COMPUTED_VALUE"""),44625.808668564816)</f>
        <v>44625.80867</v>
      </c>
      <c r="C307" s="52" t="str">
        <f>IFERROR(__xludf.DUMMYFUNCTION("""COMPUTED_VALUE"""),"PANGEA")</f>
        <v>PANGEA</v>
      </c>
      <c r="D307" s="53">
        <f>IFERROR(__xludf.DUMMYFUNCTION("""COMPUTED_VALUE"""),44631.60416666667)</f>
        <v>44631.60417</v>
      </c>
      <c r="E307" s="81"/>
      <c r="F307" s="81">
        <v>5.795498101855628</v>
      </c>
    </row>
    <row r="308">
      <c r="A308" s="52" t="str">
        <f>IFERROR(__xludf.DUMMYFUNCTION("""COMPUTED_VALUE"""),"GUN-10307")</f>
        <v>GUN-10307</v>
      </c>
      <c r="B308" s="50">
        <f>IFERROR(__xludf.DUMMYFUNCTION("""COMPUTED_VALUE"""),44626.803389340275)</f>
        <v>44626.80339</v>
      </c>
      <c r="C308" s="52" t="str">
        <f>IFERROR(__xludf.DUMMYFUNCTION("""COMPUTED_VALUE"""),"IEEE")</f>
        <v>IEEE</v>
      </c>
      <c r="D308" s="53">
        <f>IFERROR(__xludf.DUMMYFUNCTION("""COMPUTED_VALUE"""),44603.60416666667)</f>
        <v>44603.60417</v>
      </c>
      <c r="E308" s="81"/>
      <c r="F308" s="81">
        <v>-23.1992226736038</v>
      </c>
    </row>
    <row r="309">
      <c r="A309" s="52" t="str">
        <f>IFERROR(__xludf.DUMMYFUNCTION("""COMPUTED_VALUE"""),"GUN-10308")</f>
        <v>GUN-10308</v>
      </c>
      <c r="B309" s="50">
        <f>IFERROR(__xludf.DUMMYFUNCTION("""COMPUTED_VALUE"""),44626.805669664354)</f>
        <v>44626.80567</v>
      </c>
      <c r="C309" s="52" t="str">
        <f>IFERROR(__xludf.DUMMYFUNCTION("""COMPUTED_VALUE"""),"IEEE")</f>
        <v>IEEE</v>
      </c>
      <c r="D309" s="53">
        <f>IFERROR(__xludf.DUMMYFUNCTION("""COMPUTED_VALUE"""),44610.60416666667)</f>
        <v>44610.60417</v>
      </c>
      <c r="E309" s="81"/>
      <c r="F309" s="81">
        <v>-16.201502997682837</v>
      </c>
    </row>
    <row r="310">
      <c r="A310" s="52" t="str">
        <f>IFERROR(__xludf.DUMMYFUNCTION("""COMPUTED_VALUE"""),"GUN-10309")</f>
        <v>GUN-10309</v>
      </c>
      <c r="B310" s="50">
        <f>IFERROR(__xludf.DUMMYFUNCTION("""COMPUTED_VALUE"""),44626.808761782406)</f>
        <v>44626.80876</v>
      </c>
      <c r="C310" s="52" t="str">
        <f>IFERROR(__xludf.DUMMYFUNCTION("""COMPUTED_VALUE"""),"IEEE")</f>
        <v>IEEE</v>
      </c>
      <c r="D310" s="53">
        <f>IFERROR(__xludf.DUMMYFUNCTION("""COMPUTED_VALUE"""),44617.60416666667)</f>
        <v>44617.60417</v>
      </c>
      <c r="E310" s="81"/>
      <c r="F310" s="81">
        <v>-9.204595115734264</v>
      </c>
    </row>
    <row r="311">
      <c r="A311" s="52" t="str">
        <f>IFERROR(__xludf.DUMMYFUNCTION("""COMPUTED_VALUE"""),"GUN-10310")</f>
        <v>GUN-10310</v>
      </c>
      <c r="B311" s="50">
        <f>IFERROR(__xludf.DUMMYFUNCTION("""COMPUTED_VALUE"""),44626.80977452546)</f>
        <v>44626.80977</v>
      </c>
      <c r="C311" s="52" t="str">
        <f>IFERROR(__xludf.DUMMYFUNCTION("""COMPUTED_VALUE"""),"IEEE")</f>
        <v>IEEE</v>
      </c>
      <c r="D311" s="53">
        <f>IFERROR(__xludf.DUMMYFUNCTION("""COMPUTED_VALUE"""),44617.60416666667)</f>
        <v>44617.60417</v>
      </c>
      <c r="E311" s="81"/>
      <c r="F311" s="81">
        <v>-9.205607858792064</v>
      </c>
    </row>
    <row r="312">
      <c r="A312" s="52" t="str">
        <f>IFERROR(__xludf.DUMMYFUNCTION("""COMPUTED_VALUE"""),"GUN-10311")</f>
        <v>GUN-10311</v>
      </c>
      <c r="B312" s="50">
        <f>IFERROR(__xludf.DUMMYFUNCTION("""COMPUTED_VALUE"""),44626.81560616898)</f>
        <v>44626.81561</v>
      </c>
      <c r="C312" s="52" t="str">
        <f>IFERROR(__xludf.DUMMYFUNCTION("""COMPUTED_VALUE"""),"IEEE")</f>
        <v>IEEE</v>
      </c>
      <c r="D312" s="53">
        <f>IFERROR(__xludf.DUMMYFUNCTION("""COMPUTED_VALUE"""),44616.39583333333)</f>
        <v>44616.39583</v>
      </c>
      <c r="E312" s="81"/>
      <c r="F312" s="81">
        <v>-10.419772835652111</v>
      </c>
    </row>
    <row r="313">
      <c r="A313" s="52" t="str">
        <f>IFERROR(__xludf.DUMMYFUNCTION("""COMPUTED_VALUE"""),"GUN-10312")</f>
        <v>GUN-10312</v>
      </c>
      <c r="B313" s="50">
        <f>IFERROR(__xludf.DUMMYFUNCTION("""COMPUTED_VALUE"""),44626.827585706014)</f>
        <v>44626.82759</v>
      </c>
      <c r="C313" s="52" t="str">
        <f>IFERROR(__xludf.DUMMYFUNCTION("""COMPUTED_VALUE"""),"IEEE")</f>
        <v>IEEE</v>
      </c>
      <c r="D313" s="53">
        <f>IFERROR(__xludf.DUMMYFUNCTION("""COMPUTED_VALUE"""),44607.6875)</f>
        <v>44607.6875</v>
      </c>
      <c r="E313" s="81"/>
      <c r="F313" s="81">
        <v>-19.14008570601436</v>
      </c>
    </row>
    <row r="314">
      <c r="A314" s="52" t="str">
        <f>IFERROR(__xludf.DUMMYFUNCTION("""COMPUTED_VALUE"""),"GUN-10313")</f>
        <v>GUN-10313</v>
      </c>
      <c r="B314" s="50">
        <f>IFERROR(__xludf.DUMMYFUNCTION("""COMPUTED_VALUE"""),44626.82989884259)</f>
        <v>44626.8299</v>
      </c>
      <c r="C314" s="52" t="str">
        <f>IFERROR(__xludf.DUMMYFUNCTION("""COMPUTED_VALUE"""),"IEEE")</f>
        <v>IEEE</v>
      </c>
      <c r="D314" s="53">
        <f>IFERROR(__xludf.DUMMYFUNCTION("""COMPUTED_VALUE"""),44593.3125)</f>
        <v>44593.3125</v>
      </c>
      <c r="E314" s="81"/>
      <c r="F314" s="81">
        <v>-33.51739884258859</v>
      </c>
    </row>
    <row r="315">
      <c r="A315" s="52" t="str">
        <f>IFERROR(__xludf.DUMMYFUNCTION("""COMPUTED_VALUE"""),"GUN-10314")</f>
        <v>GUN-10314</v>
      </c>
      <c r="B315" s="50">
        <f>IFERROR(__xludf.DUMMYFUNCTION("""COMPUTED_VALUE"""),44626.832350787045)</f>
        <v>44626.83235</v>
      </c>
      <c r="C315" s="52" t="str">
        <f>IFERROR(__xludf.DUMMYFUNCTION("""COMPUTED_VALUE"""),"IEEE")</f>
        <v>IEEE</v>
      </c>
      <c r="D315" s="53">
        <f>IFERROR(__xludf.DUMMYFUNCTION("""COMPUTED_VALUE"""),44593.51388888889)</f>
        <v>44593.51389</v>
      </c>
      <c r="E315" s="81"/>
      <c r="F315" s="81">
        <v>-33.318461898154055</v>
      </c>
    </row>
    <row r="316">
      <c r="A316" s="52" t="str">
        <f>IFERROR(__xludf.DUMMYFUNCTION("""COMPUTED_VALUE"""),"GUN-10315")</f>
        <v>GUN-10315</v>
      </c>
      <c r="B316" s="50">
        <f>IFERROR(__xludf.DUMMYFUNCTION("""COMPUTED_VALUE"""),44627.4064552662)</f>
        <v>44627.40646</v>
      </c>
      <c r="C316" s="52" t="str">
        <f>IFERROR(__xludf.DUMMYFUNCTION("""COMPUTED_VALUE"""),"GREEN GENERATION")</f>
        <v>GREEN GENERATION</v>
      </c>
      <c r="D316" s="53">
        <f>IFERROR(__xludf.DUMMYFUNCTION("""COMPUTED_VALUE"""),44627.41666666667)</f>
        <v>44627.41667</v>
      </c>
      <c r="E316" s="81"/>
      <c r="F316" s="81">
        <v>0.010211400469415821</v>
      </c>
    </row>
    <row r="317">
      <c r="A317" s="52" t="str">
        <f>IFERROR(__xludf.DUMMYFUNCTION("""COMPUTED_VALUE"""),"GUN-10316")</f>
        <v>GUN-10316</v>
      </c>
      <c r="B317" s="50">
        <f>IFERROR(__xludf.DUMMYFUNCTION("""COMPUTED_VALUE"""),44627.820254872684)</f>
        <v>44627.82025</v>
      </c>
      <c r="C317" s="52" t="str">
        <f>IFERROR(__xludf.DUMMYFUNCTION("""COMPUTED_VALUE"""),"W-STEM")</f>
        <v>W-STEM</v>
      </c>
      <c r="D317" s="53">
        <f>IFERROR(__xludf.DUMMYFUNCTION("""COMPUTED_VALUE"""),44632.04166666667)</f>
        <v>44632.04167</v>
      </c>
      <c r="E317" s="81"/>
      <c r="F317" s="81">
        <v>4.2214117939874995</v>
      </c>
    </row>
    <row r="318">
      <c r="A318" s="52" t="str">
        <f>IFERROR(__xludf.DUMMYFUNCTION("""COMPUTED_VALUE"""),"GUN-10317")</f>
        <v>GUN-10317</v>
      </c>
      <c r="B318" s="50">
        <f>IFERROR(__xludf.DUMMYFUNCTION("""COMPUTED_VALUE"""),44629.48613690973)</f>
        <v>44629.48614</v>
      </c>
      <c r="C318" s="52" t="str">
        <f>IFERROR(__xludf.DUMMYFUNCTION("""COMPUTED_VALUE"""),"UNINORTE DIVERSO")</f>
        <v>UNINORTE DIVERSO</v>
      </c>
      <c r="D318" s="53">
        <f>IFERROR(__xludf.DUMMYFUNCTION("""COMPUTED_VALUE"""),44631.52083333333)</f>
        <v>44631.52083</v>
      </c>
      <c r="E318" s="81"/>
      <c r="F318" s="81">
        <v>2.0346964236014173</v>
      </c>
    </row>
    <row r="319">
      <c r="A319" s="52" t="str">
        <f>IFERROR(__xludf.DUMMYFUNCTION("""COMPUTED_VALUE"""),"GUN-10318")</f>
        <v>GUN-10318</v>
      </c>
      <c r="B319" s="50">
        <f>IFERROR(__xludf.DUMMYFUNCTION("""COMPUTED_VALUE"""),44629.49304833333)</f>
        <v>44629.49305</v>
      </c>
      <c r="C319" s="52" t="str">
        <f>IFERROR(__xludf.DUMMYFUNCTION("""COMPUTED_VALUE"""),"COMITÉ JURIDICO")</f>
        <v>COMITÉ JURIDICO</v>
      </c>
      <c r="D319" s="53">
        <f>IFERROR(__xludf.DUMMYFUNCTION("""COMPUTED_VALUE"""),44637.52083333333)</f>
        <v>44637.52083</v>
      </c>
      <c r="E319" s="81"/>
      <c r="F319" s="81">
        <v>8.027784999998403</v>
      </c>
    </row>
    <row r="320">
      <c r="A320" s="52" t="str">
        <f>IFERROR(__xludf.DUMMYFUNCTION("""COMPUTED_VALUE"""),"GUN-10319")</f>
        <v>GUN-10319</v>
      </c>
      <c r="B320" s="50">
        <f>IFERROR(__xludf.DUMMYFUNCTION("""COMPUTED_VALUE"""),44629.549139178234)</f>
        <v>44629.54914</v>
      </c>
      <c r="C320" s="52" t="str">
        <f>IFERROR(__xludf.DUMMYFUNCTION("""COMPUTED_VALUE"""),"FEMINUN")</f>
        <v>FEMINUN</v>
      </c>
      <c r="D320" s="53">
        <f>IFERROR(__xludf.DUMMYFUNCTION("""COMPUTED_VALUE"""),44632.41666666667)</f>
        <v>44632.41667</v>
      </c>
      <c r="E320" s="81"/>
      <c r="F320" s="81">
        <v>2.86752748843719</v>
      </c>
    </row>
    <row r="321">
      <c r="A321" s="52" t="str">
        <f>IFERROR(__xludf.DUMMYFUNCTION("""COMPUTED_VALUE"""),"GUN-10320")</f>
        <v>GUN-10320</v>
      </c>
      <c r="B321" s="50">
        <f>IFERROR(__xludf.DUMMYFUNCTION("""COMPUTED_VALUE"""),44629.558483576395)</f>
        <v>44629.55848</v>
      </c>
      <c r="C321" s="52" t="str">
        <f>IFERROR(__xludf.DUMMYFUNCTION("""COMPUTED_VALUE"""),"FEMINUN")</f>
        <v>FEMINUN</v>
      </c>
      <c r="D321" s="53">
        <f>IFERROR(__xludf.DUMMYFUNCTION("""COMPUTED_VALUE"""),44636.6875)</f>
        <v>44636.6875</v>
      </c>
      <c r="E321" s="81"/>
      <c r="F321" s="81">
        <v>7.129016423605208</v>
      </c>
    </row>
    <row r="322">
      <c r="A322" s="52" t="str">
        <f>IFERROR(__xludf.DUMMYFUNCTION("""COMPUTED_VALUE"""),"GUN-10321")</f>
        <v>GUN-10321</v>
      </c>
      <c r="B322" s="50">
        <f>IFERROR(__xludf.DUMMYFUNCTION("""COMPUTED_VALUE"""),44629.55995203704)</f>
        <v>44629.55995</v>
      </c>
      <c r="C322" s="52" t="str">
        <f>IFERROR(__xludf.DUMMYFUNCTION("""COMPUTED_VALUE"""),"FEMINUN")</f>
        <v>FEMINUN</v>
      </c>
      <c r="D322" s="53">
        <f>IFERROR(__xludf.DUMMYFUNCTION("""COMPUTED_VALUE"""),44638.60416666667)</f>
        <v>44638.60417</v>
      </c>
      <c r="E322" s="81"/>
      <c r="F322" s="81">
        <v>9.044214629633643</v>
      </c>
    </row>
    <row r="323">
      <c r="A323" s="52" t="str">
        <f>IFERROR(__xludf.DUMMYFUNCTION("""COMPUTED_VALUE"""),"GUN-10322")</f>
        <v>GUN-10322</v>
      </c>
      <c r="B323" s="50">
        <f>IFERROR(__xludf.DUMMYFUNCTION("""COMPUTED_VALUE"""),44629.75817015046)</f>
        <v>44629.75817</v>
      </c>
      <c r="C323" s="52" t="str">
        <f>IFERROR(__xludf.DUMMYFUNCTION("""COMPUTED_VALUE"""),"BK2")</f>
        <v>BK2</v>
      </c>
      <c r="D323" s="53">
        <f>IFERROR(__xludf.DUMMYFUNCTION("""COMPUTED_VALUE"""),44638.42708333333)</f>
        <v>44638.42708</v>
      </c>
      <c r="E323" s="81"/>
      <c r="F323" s="81">
        <v>8.668913182867982</v>
      </c>
    </row>
    <row r="324">
      <c r="A324" s="52" t="str">
        <f>IFERROR(__xludf.DUMMYFUNCTION("""COMPUTED_VALUE"""),"GUN-10323")</f>
        <v>GUN-10323</v>
      </c>
      <c r="B324" s="50">
        <f>IFERROR(__xludf.DUMMYFUNCTION("""COMPUTED_VALUE"""),44629.76540484954)</f>
        <v>44629.7654</v>
      </c>
      <c r="C324" s="52" t="str">
        <f>IFERROR(__xludf.DUMMYFUNCTION("""COMPUTED_VALUE"""),"BK2")</f>
        <v>BK2</v>
      </c>
      <c r="D324" s="53">
        <f>IFERROR(__xludf.DUMMYFUNCTION("""COMPUTED_VALUE"""),44631.4375)</f>
        <v>44631.4375</v>
      </c>
      <c r="E324" s="81"/>
      <c r="F324" s="81">
        <v>1.6720951504612458</v>
      </c>
    </row>
    <row r="325">
      <c r="A325" s="52" t="str">
        <f>IFERROR(__xludf.DUMMYFUNCTION("""COMPUTED_VALUE"""),"GUN-10324")</f>
        <v>GUN-10324</v>
      </c>
      <c r="B325" s="50">
        <f>IFERROR(__xludf.DUMMYFUNCTION("""COMPUTED_VALUE"""),44629.80860327546)</f>
        <v>44629.8086</v>
      </c>
      <c r="C325" s="52" t="str">
        <f>IFERROR(__xludf.DUMMYFUNCTION("""COMPUTED_VALUE"""),"UNINORTE DIVERSO")</f>
        <v>UNINORTE DIVERSO</v>
      </c>
      <c r="D325" s="53">
        <f>IFERROR(__xludf.DUMMYFUNCTION("""COMPUTED_VALUE"""),44638.52083333333)</f>
        <v>44638.52083</v>
      </c>
      <c r="E325" s="81"/>
      <c r="F325" s="81">
        <v>8.712230057870329</v>
      </c>
    </row>
    <row r="326">
      <c r="A326" s="52" t="str">
        <f>IFERROR(__xludf.DUMMYFUNCTION("""COMPUTED_VALUE"""),"GUN-10325")</f>
        <v>GUN-10325</v>
      </c>
      <c r="B326" s="50">
        <f>IFERROR(__xludf.DUMMYFUNCTION("""COMPUTED_VALUE"""),44629.809908842595)</f>
        <v>44629.80991</v>
      </c>
      <c r="C326" s="52" t="str">
        <f>IFERROR(__xludf.DUMMYFUNCTION("""COMPUTED_VALUE"""),"UNINORTE DIVERSO")</f>
        <v>UNINORTE DIVERSO</v>
      </c>
      <c r="D326" s="53">
        <f>IFERROR(__xludf.DUMMYFUNCTION("""COMPUTED_VALUE"""),44645.52083333333)</f>
        <v>44645.52083</v>
      </c>
      <c r="E326" s="81"/>
      <c r="F326" s="81">
        <v>15.710924490733305</v>
      </c>
    </row>
    <row r="327">
      <c r="A327" s="52" t="str">
        <f>IFERROR(__xludf.DUMMYFUNCTION("""COMPUTED_VALUE"""),"GUN-10326")</f>
        <v>GUN-10326</v>
      </c>
      <c r="B327" s="50">
        <f>IFERROR(__xludf.DUMMYFUNCTION("""COMPUTED_VALUE"""),44629.81100498842)</f>
        <v>44629.811</v>
      </c>
      <c r="C327" s="52" t="str">
        <f>IFERROR(__xludf.DUMMYFUNCTION("""COMPUTED_VALUE"""),"UNINORTE DIVERSO")</f>
        <v>UNINORTE DIVERSO</v>
      </c>
      <c r="D327" s="53">
        <f>IFERROR(__xludf.DUMMYFUNCTION("""COMPUTED_VALUE"""),44652.52083333333)</f>
        <v>44652.52083</v>
      </c>
      <c r="E327" s="81"/>
      <c r="F327" s="81">
        <v>22.7098283449086</v>
      </c>
    </row>
    <row r="328">
      <c r="A328" s="52" t="str">
        <f>IFERROR(__xludf.DUMMYFUNCTION("""COMPUTED_VALUE"""),"GUN-10327")</f>
        <v>GUN-10327</v>
      </c>
      <c r="B328" s="50">
        <f>IFERROR(__xludf.DUMMYFUNCTION("""COMPUTED_VALUE"""),44629.812576400465)</f>
        <v>44629.81258</v>
      </c>
      <c r="C328" s="52" t="str">
        <f>IFERROR(__xludf.DUMMYFUNCTION("""COMPUTED_VALUE"""),"UNINORTE DIVERSO")</f>
        <v>UNINORTE DIVERSO</v>
      </c>
      <c r="D328" s="53">
        <f>IFERROR(__xludf.DUMMYFUNCTION("""COMPUTED_VALUE"""),44659.52083333333)</f>
        <v>44659.52083</v>
      </c>
      <c r="E328" s="81"/>
      <c r="F328" s="81">
        <v>29.70825693286315</v>
      </c>
    </row>
    <row r="329">
      <c r="A329" s="52" t="str">
        <f>IFERROR(__xludf.DUMMYFUNCTION("""COMPUTED_VALUE"""),"GUN-10328")</f>
        <v>GUN-10328</v>
      </c>
      <c r="B329" s="50">
        <f>IFERROR(__xludf.DUMMYFUNCTION("""COMPUTED_VALUE"""),44629.81460861111)</f>
        <v>44629.81461</v>
      </c>
      <c r="C329" s="52" t="str">
        <f>IFERROR(__xludf.DUMMYFUNCTION("""COMPUTED_VALUE"""),"UNINORTE DIVERSO")</f>
        <v>UNINORTE DIVERSO</v>
      </c>
      <c r="D329" s="53">
        <f>IFERROR(__xludf.DUMMYFUNCTION("""COMPUTED_VALUE"""),44666.52083333333)</f>
        <v>44666.52083</v>
      </c>
      <c r="E329" s="81"/>
      <c r="F329" s="81">
        <v>36.70622472222021</v>
      </c>
    </row>
    <row r="330">
      <c r="A330" s="52" t="str">
        <f>IFERROR(__xludf.DUMMYFUNCTION("""COMPUTED_VALUE"""),"GUN-10329")</f>
        <v>GUN-10329</v>
      </c>
      <c r="B330" s="50">
        <f>IFERROR(__xludf.DUMMYFUNCTION("""COMPUTED_VALUE"""),44629.815835787034)</f>
        <v>44629.81584</v>
      </c>
      <c r="C330" s="52" t="str">
        <f>IFERROR(__xludf.DUMMYFUNCTION("""COMPUTED_VALUE"""),"UNINORTE DIVERSO")</f>
        <v>UNINORTE DIVERSO</v>
      </c>
      <c r="D330" s="53">
        <f>IFERROR(__xludf.DUMMYFUNCTION("""COMPUTED_VALUE"""),44673.52083333333)</f>
        <v>44673.52083</v>
      </c>
      <c r="E330" s="81"/>
      <c r="F330" s="81">
        <v>43.70499754629418</v>
      </c>
    </row>
    <row r="331">
      <c r="A331" s="52" t="str">
        <f>IFERROR(__xludf.DUMMYFUNCTION("""COMPUTED_VALUE"""),"GUN-10330")</f>
        <v>GUN-10330</v>
      </c>
      <c r="B331" s="50">
        <f>IFERROR(__xludf.DUMMYFUNCTION("""COMPUTED_VALUE"""),44629.81791112269)</f>
        <v>44629.81791</v>
      </c>
      <c r="C331" s="52" t="str">
        <f>IFERROR(__xludf.DUMMYFUNCTION("""COMPUTED_VALUE"""),"UNINORTE DIVERSO")</f>
        <v>UNINORTE DIVERSO</v>
      </c>
      <c r="D331" s="53">
        <f>IFERROR(__xludf.DUMMYFUNCTION("""COMPUTED_VALUE"""),44680.52083333333)</f>
        <v>44680.52083</v>
      </c>
      <c r="E331" s="81"/>
      <c r="F331" s="81">
        <v>50.702922210635734</v>
      </c>
    </row>
    <row r="332">
      <c r="A332" s="52" t="str">
        <f>IFERROR(__xludf.DUMMYFUNCTION("""COMPUTED_VALUE"""),"GUN-10331")</f>
        <v>GUN-10331</v>
      </c>
      <c r="B332" s="50">
        <f>IFERROR(__xludf.DUMMYFUNCTION("""COMPUTED_VALUE"""),44629.8239674537)</f>
        <v>44629.82397</v>
      </c>
      <c r="C332" s="52" t="str">
        <f>IFERROR(__xludf.DUMMYFUNCTION("""COMPUTED_VALUE"""),"UNINORTE DIVERSO")</f>
        <v>UNINORTE DIVERSO</v>
      </c>
      <c r="D332" s="53">
        <f>IFERROR(__xludf.DUMMYFUNCTION("""COMPUTED_VALUE"""),44636.52083333333)</f>
        <v>44636.52083</v>
      </c>
      <c r="E332" s="81"/>
      <c r="F332" s="81">
        <v>6.696865879624966</v>
      </c>
    </row>
    <row r="333">
      <c r="A333" s="52" t="str">
        <f>IFERROR(__xludf.DUMMYFUNCTION("""COMPUTED_VALUE"""),"GUN-10332")</f>
        <v>GUN-10332</v>
      </c>
      <c r="B333" s="50">
        <f>IFERROR(__xludf.DUMMYFUNCTION("""COMPUTED_VALUE"""),44629.82474921296)</f>
        <v>44629.82475</v>
      </c>
      <c r="C333" s="52" t="str">
        <f>IFERROR(__xludf.DUMMYFUNCTION("""COMPUTED_VALUE"""),"UNINORTE DIVERSO")</f>
        <v>UNINORTE DIVERSO</v>
      </c>
      <c r="D333" s="53">
        <f>IFERROR(__xludf.DUMMYFUNCTION("""COMPUTED_VALUE"""),44643.52083333333)</f>
        <v>44643.52083</v>
      </c>
      <c r="E333" s="81"/>
      <c r="F333" s="81">
        <v>13.69608412036905</v>
      </c>
    </row>
    <row r="334">
      <c r="A334" s="52" t="str">
        <f>IFERROR(__xludf.DUMMYFUNCTION("""COMPUTED_VALUE"""),"GUN-10333")</f>
        <v>GUN-10333</v>
      </c>
      <c r="B334" s="50">
        <f>IFERROR(__xludf.DUMMYFUNCTION("""COMPUTED_VALUE"""),44629.82603903935)</f>
        <v>44629.82604</v>
      </c>
      <c r="C334" s="52" t="str">
        <f>IFERROR(__xludf.DUMMYFUNCTION("""COMPUTED_VALUE"""),"UNINORTE DIVERSO")</f>
        <v>UNINORTE DIVERSO</v>
      </c>
      <c r="D334" s="53">
        <f>IFERROR(__xludf.DUMMYFUNCTION("""COMPUTED_VALUE"""),44650.52083333333)</f>
        <v>44650.52083</v>
      </c>
      <c r="E334" s="81"/>
      <c r="F334" s="81">
        <v>20.69479429398052</v>
      </c>
    </row>
    <row r="335">
      <c r="A335" s="52" t="str">
        <f>IFERROR(__xludf.DUMMYFUNCTION("""COMPUTED_VALUE"""),"GUN-10334")</f>
        <v>GUN-10334</v>
      </c>
      <c r="B335" s="50">
        <f>IFERROR(__xludf.DUMMYFUNCTION("""COMPUTED_VALUE"""),44629.827147708325)</f>
        <v>44629.82715</v>
      </c>
      <c r="C335" s="52" t="str">
        <f>IFERROR(__xludf.DUMMYFUNCTION("""COMPUTED_VALUE"""),"UNINORTE DIVERSO")</f>
        <v>UNINORTE DIVERSO</v>
      </c>
      <c r="D335" s="53">
        <f>IFERROR(__xludf.DUMMYFUNCTION("""COMPUTED_VALUE"""),44657.52083333333)</f>
        <v>44657.52083</v>
      </c>
      <c r="E335" s="81"/>
      <c r="F335" s="81">
        <v>27.693685625003127</v>
      </c>
    </row>
    <row r="336">
      <c r="A336" s="52" t="str">
        <f>IFERROR(__xludf.DUMMYFUNCTION("""COMPUTED_VALUE"""),"GUN-10335")</f>
        <v>GUN-10335</v>
      </c>
      <c r="B336" s="50">
        <f>IFERROR(__xludf.DUMMYFUNCTION("""COMPUTED_VALUE"""),44629.82790153936)</f>
        <v>44629.8279</v>
      </c>
      <c r="C336" s="52" t="str">
        <f>IFERROR(__xludf.DUMMYFUNCTION("""COMPUTED_VALUE"""),"UNINORTE DIVERSO")</f>
        <v>UNINORTE DIVERSO</v>
      </c>
      <c r="D336" s="53">
        <f>IFERROR(__xludf.DUMMYFUNCTION("""COMPUTED_VALUE"""),44664.52083333333)</f>
        <v>44664.52083</v>
      </c>
      <c r="E336" s="81"/>
      <c r="F336" s="81">
        <v>34.69293179397209</v>
      </c>
    </row>
    <row r="337">
      <c r="A337" s="52" t="str">
        <f>IFERROR(__xludf.DUMMYFUNCTION("""COMPUTED_VALUE"""),"GUN-10336")</f>
        <v>GUN-10336</v>
      </c>
      <c r="B337" s="50">
        <f>IFERROR(__xludf.DUMMYFUNCTION("""COMPUTED_VALUE"""),44629.82876554398)</f>
        <v>44629.82877</v>
      </c>
      <c r="C337" s="52" t="str">
        <f>IFERROR(__xludf.DUMMYFUNCTION("""COMPUTED_VALUE"""),"UNINORTE DIVERSO")</f>
        <v>UNINORTE DIVERSO</v>
      </c>
      <c r="D337" s="53">
        <f>IFERROR(__xludf.DUMMYFUNCTION("""COMPUTED_VALUE"""),44671.52083333333)</f>
        <v>44671.52083</v>
      </c>
      <c r="E337" s="81"/>
      <c r="F337" s="81">
        <v>41.6920677893504</v>
      </c>
    </row>
    <row r="338">
      <c r="A338" s="52" t="str">
        <f>IFERROR(__xludf.DUMMYFUNCTION("""COMPUTED_VALUE"""),"GUN-10337")</f>
        <v>GUN-10337</v>
      </c>
      <c r="B338" s="50">
        <f>IFERROR(__xludf.DUMMYFUNCTION("""COMPUTED_VALUE"""),44629.8297022801)</f>
        <v>44629.8297</v>
      </c>
      <c r="C338" s="52" t="str">
        <f>IFERROR(__xludf.DUMMYFUNCTION("""COMPUTED_VALUE"""),"UNINORTE DIVERSO")</f>
        <v>UNINORTE DIVERSO</v>
      </c>
      <c r="D338" s="53">
        <f>IFERROR(__xludf.DUMMYFUNCTION("""COMPUTED_VALUE"""),44678.52083333333)</f>
        <v>44678.52083</v>
      </c>
      <c r="E338" s="81"/>
      <c r="F338" s="81">
        <v>48.69113105323049</v>
      </c>
    </row>
    <row r="339">
      <c r="A339" s="52" t="str">
        <f>IFERROR(__xludf.DUMMYFUNCTION("""COMPUTED_VALUE"""),"GUN-10338")</f>
        <v>GUN-10338</v>
      </c>
      <c r="B339" s="50">
        <f>IFERROR(__xludf.DUMMYFUNCTION("""COMPUTED_VALUE"""),44629.87667922454)</f>
        <v>44629.87668</v>
      </c>
      <c r="C339" s="52" t="str">
        <f>IFERROR(__xludf.DUMMYFUNCTION("""COMPUTED_VALUE"""),"CERI")</f>
        <v>CERI</v>
      </c>
      <c r="D339" s="53">
        <f>IFERROR(__xludf.DUMMYFUNCTION("""COMPUTED_VALUE"""),44637.64583333333)</f>
        <v>44637.64583</v>
      </c>
      <c r="E339" s="81"/>
      <c r="F339" s="81">
        <v>7.769154108791554</v>
      </c>
    </row>
    <row r="340">
      <c r="A340" s="52" t="str">
        <f>IFERROR(__xludf.DUMMYFUNCTION("""COMPUTED_VALUE"""),"GUN-10339")</f>
        <v>GUN-10339</v>
      </c>
      <c r="B340" s="50">
        <f>IFERROR(__xludf.DUMMYFUNCTION("""COMPUTED_VALUE"""),44629.94412056713)</f>
        <v>44629.94412</v>
      </c>
      <c r="C340" s="52" t="str">
        <f>IFERROR(__xludf.DUMMYFUNCTION("""COMPUTED_VALUE"""),"BOURBAKI")</f>
        <v>BOURBAKI</v>
      </c>
      <c r="D340" s="53">
        <f>IFERROR(__xludf.DUMMYFUNCTION("""COMPUTED_VALUE"""),44635.4375)</f>
        <v>44635.4375</v>
      </c>
      <c r="E340" s="81"/>
      <c r="F340" s="81">
        <v>5.493379432868096</v>
      </c>
    </row>
    <row r="341">
      <c r="A341" s="52" t="str">
        <f>IFERROR(__xludf.DUMMYFUNCTION("""COMPUTED_VALUE"""),"GUN-10340")</f>
        <v>GUN-10340</v>
      </c>
      <c r="B341" s="50">
        <f>IFERROR(__xludf.DUMMYFUNCTION("""COMPUTED_VALUE"""),44629.94954633102)</f>
        <v>44629.94955</v>
      </c>
      <c r="C341" s="52" t="str">
        <f>IFERROR(__xludf.DUMMYFUNCTION("""COMPUTED_VALUE"""),"BOURBAKI")</f>
        <v>BOURBAKI</v>
      </c>
      <c r="D341" s="53">
        <f>IFERROR(__xludf.DUMMYFUNCTION("""COMPUTED_VALUE"""),44637.4375)</f>
        <v>44637.4375</v>
      </c>
      <c r="E341" s="81"/>
      <c r="F341" s="81">
        <v>7.487953668976843</v>
      </c>
    </row>
    <row r="342">
      <c r="A342" s="52" t="str">
        <f>IFERROR(__xludf.DUMMYFUNCTION("""COMPUTED_VALUE"""),"GUN-10341")</f>
        <v>GUN-10341</v>
      </c>
      <c r="B342" s="50">
        <f>IFERROR(__xludf.DUMMYFUNCTION("""COMPUTED_VALUE"""),44629.99360092592)</f>
        <v>44629.9936</v>
      </c>
      <c r="C342" s="52" t="str">
        <f>IFERROR(__xludf.DUMMYFUNCTION("""COMPUTED_VALUE"""),"ANEIC")</f>
        <v>ANEIC</v>
      </c>
      <c r="D342" s="53">
        <f>IFERROR(__xludf.DUMMYFUNCTION("""COMPUTED_VALUE"""),44634.33333333333)</f>
        <v>44634.33333</v>
      </c>
      <c r="E342" s="81"/>
      <c r="F342" s="81">
        <v>4.339732407410338</v>
      </c>
    </row>
    <row r="343">
      <c r="A343" s="52" t="str">
        <f>IFERROR(__xludf.DUMMYFUNCTION("""COMPUTED_VALUE"""),"GUN-10342")</f>
        <v>GUN-10342</v>
      </c>
      <c r="B343" s="50">
        <f>IFERROR(__xludf.DUMMYFUNCTION("""COMPUTED_VALUE"""),44630.35216340278)</f>
        <v>44630.35216</v>
      </c>
      <c r="C343" s="52" t="str">
        <f>IFERROR(__xludf.DUMMYFUNCTION("""COMPUTED_VALUE"""),"CERI")</f>
        <v>CERI</v>
      </c>
      <c r="D343" s="53">
        <f>IFERROR(__xludf.DUMMYFUNCTION("""COMPUTED_VALUE"""),44634.64583333333)</f>
        <v>44634.64583</v>
      </c>
      <c r="E343" s="81"/>
      <c r="F343" s="81">
        <v>4.293669930550095</v>
      </c>
    </row>
    <row r="344">
      <c r="A344" s="52" t="str">
        <f>IFERROR(__xludf.DUMMYFUNCTION("""COMPUTED_VALUE"""),"GUN-10343")</f>
        <v>GUN-10343</v>
      </c>
      <c r="B344" s="50">
        <f>IFERROR(__xludf.DUMMYFUNCTION("""COMPUTED_VALUE"""),44630.36533541667)</f>
        <v>44630.36534</v>
      </c>
      <c r="C344" s="52" t="str">
        <f>IFERROR(__xludf.DUMMYFUNCTION("""COMPUTED_VALUE"""),"CERI")</f>
        <v>CERI</v>
      </c>
      <c r="D344" s="53">
        <f>IFERROR(__xludf.DUMMYFUNCTION("""COMPUTED_VALUE"""),44634.64583333333)</f>
        <v>44634.64583</v>
      </c>
      <c r="E344" s="81"/>
      <c r="F344" s="81">
        <v>4.280497916661261</v>
      </c>
    </row>
    <row r="345">
      <c r="A345" s="52" t="str">
        <f>IFERROR(__xludf.DUMMYFUNCTION("""COMPUTED_VALUE"""),"GUN-10344")</f>
        <v>GUN-10344</v>
      </c>
      <c r="B345" s="50">
        <f>IFERROR(__xludf.DUMMYFUNCTION("""COMPUTED_VALUE"""),44630.377731134264)</f>
        <v>44630.37773</v>
      </c>
      <c r="C345" s="52" t="str">
        <f>IFERROR(__xludf.DUMMYFUNCTION("""COMPUTED_VALUE"""),"ACM Student Chapter")</f>
        <v>ACM Student Chapter</v>
      </c>
      <c r="D345" s="53">
        <f>IFERROR(__xludf.DUMMYFUNCTION("""COMPUTED_VALUE"""),44639.5625)</f>
        <v>44639.5625</v>
      </c>
      <c r="E345" s="81"/>
      <c r="F345" s="81">
        <v>9.18476886573626</v>
      </c>
    </row>
    <row r="346">
      <c r="A346" s="52" t="str">
        <f>IFERROR(__xludf.DUMMYFUNCTION("""COMPUTED_VALUE"""),"GUN-10345")</f>
        <v>GUN-10345</v>
      </c>
      <c r="B346" s="50">
        <f>IFERROR(__xludf.DUMMYFUNCTION("""COMPUTED_VALUE"""),44630.39064799768)</f>
        <v>44630.39065</v>
      </c>
      <c r="C346" s="52" t="str">
        <f>IFERROR(__xludf.DUMMYFUNCTION("""COMPUTED_VALUE"""),"CEIM UNINORTE")</f>
        <v>CEIM UNINORTE</v>
      </c>
      <c r="D346" s="53">
        <f>IFERROR(__xludf.DUMMYFUNCTION("""COMPUTED_VALUE"""),44638.375)</f>
        <v>44638.375</v>
      </c>
      <c r="E346" s="81"/>
      <c r="F346" s="81">
        <v>7.98435200232052</v>
      </c>
    </row>
    <row r="347">
      <c r="A347" s="52" t="str">
        <f>IFERROR(__xludf.DUMMYFUNCTION("""COMPUTED_VALUE"""),"GUN-10346")</f>
        <v>GUN-10346</v>
      </c>
      <c r="B347" s="50">
        <f>IFERROR(__xludf.DUMMYFUNCTION("""COMPUTED_VALUE"""),44630.39740832176)</f>
        <v>44630.39741</v>
      </c>
      <c r="C347" s="52" t="str">
        <f>IFERROR(__xludf.DUMMYFUNCTION("""COMPUTED_VALUE"""),"GEN'S")</f>
        <v>GEN'S</v>
      </c>
      <c r="D347" s="53">
        <f>IFERROR(__xludf.DUMMYFUNCTION("""COMPUTED_VALUE"""),44638.1875)</f>
        <v>44638.1875</v>
      </c>
      <c r="E347" s="81"/>
      <c r="F347" s="81">
        <v>7.790091678238241</v>
      </c>
    </row>
    <row r="348">
      <c r="A348" s="52" t="str">
        <f>IFERROR(__xludf.DUMMYFUNCTION("""COMPUTED_VALUE"""),"GUN-10347")</f>
        <v>GUN-10347</v>
      </c>
      <c r="B348" s="50">
        <f>IFERROR(__xludf.DUMMYFUNCTION("""COMPUTED_VALUE"""),44630.40610309028)</f>
        <v>44630.4061</v>
      </c>
      <c r="C348" s="52" t="str">
        <f>IFERROR(__xludf.DUMMYFUNCTION("""COMPUTED_VALUE"""),"CEIM UNINORTE")</f>
        <v>CEIM UNINORTE</v>
      </c>
      <c r="D348" s="53">
        <f>IFERROR(__xludf.DUMMYFUNCTION("""COMPUTED_VALUE"""),44634.4375)</f>
        <v>44634.4375</v>
      </c>
      <c r="E348" s="81"/>
      <c r="F348" s="81">
        <v>4.031396909718751</v>
      </c>
    </row>
    <row r="349">
      <c r="A349" s="52" t="str">
        <f>IFERROR(__xludf.DUMMYFUNCTION("""COMPUTED_VALUE"""),"GUN-10348")</f>
        <v>GUN-10348</v>
      </c>
      <c r="B349" s="50">
        <f>IFERROR(__xludf.DUMMYFUNCTION("""COMPUTED_VALUE"""),44630.40974956019)</f>
        <v>44630.40975</v>
      </c>
      <c r="C349" s="52" t="str">
        <f>IFERROR(__xludf.DUMMYFUNCTION("""COMPUTED_VALUE"""),"CEIM UNINORTE")</f>
        <v>CEIM UNINORTE</v>
      </c>
      <c r="D349" s="53">
        <f>IFERROR(__xludf.DUMMYFUNCTION("""COMPUTED_VALUE"""),44639.39583333333)</f>
        <v>44639.39583</v>
      </c>
      <c r="E349" s="81"/>
      <c r="F349" s="81">
        <v>8.986083773139399</v>
      </c>
    </row>
    <row r="350">
      <c r="A350" s="52" t="str">
        <f>IFERROR(__xludf.DUMMYFUNCTION("""COMPUTED_VALUE"""),"GUN-10349")</f>
        <v>GUN-10349</v>
      </c>
      <c r="B350" s="50">
        <f>IFERROR(__xludf.DUMMYFUNCTION("""COMPUTED_VALUE"""),44630.41105083333)</f>
        <v>44630.41105</v>
      </c>
      <c r="C350" s="52" t="str">
        <f>IFERROR(__xludf.DUMMYFUNCTION("""COMPUTED_VALUE"""),"CEIM UNINORTE")</f>
        <v>CEIM UNINORTE</v>
      </c>
      <c r="D350" s="53">
        <f>IFERROR(__xludf.DUMMYFUNCTION("""COMPUTED_VALUE"""),44634.5625)</f>
        <v>44634.5625</v>
      </c>
      <c r="E350" s="81"/>
      <c r="F350" s="81">
        <v>4.1514491666675895</v>
      </c>
    </row>
    <row r="351">
      <c r="A351" s="52" t="str">
        <f>IFERROR(__xludf.DUMMYFUNCTION("""COMPUTED_VALUE"""),"GUN-10350")</f>
        <v>GUN-10350</v>
      </c>
      <c r="B351" s="50">
        <f>IFERROR(__xludf.DUMMYFUNCTION("""COMPUTED_VALUE"""),44630.411750671294)</f>
        <v>44630.41175</v>
      </c>
      <c r="C351" s="52" t="str">
        <f>IFERROR(__xludf.DUMMYFUNCTION("""COMPUTED_VALUE"""),"FELINORTE")</f>
        <v>FELINORTE</v>
      </c>
      <c r="D351" s="53">
        <f>IFERROR(__xludf.DUMMYFUNCTION("""COMPUTED_VALUE"""),44634.60416666667)</f>
        <v>44634.60417</v>
      </c>
      <c r="E351" s="81"/>
      <c r="F351" s="81">
        <v>4.192415995377814</v>
      </c>
    </row>
    <row r="352">
      <c r="A352" s="52" t="str">
        <f>IFERROR(__xludf.DUMMYFUNCTION("""COMPUTED_VALUE"""),"GUN-10351")</f>
        <v>GUN-10351</v>
      </c>
      <c r="B352" s="50">
        <f>IFERROR(__xludf.DUMMYFUNCTION("""COMPUTED_VALUE"""),44630.41286737268)</f>
        <v>44630.41287</v>
      </c>
      <c r="C352" s="52" t="str">
        <f>IFERROR(__xludf.DUMMYFUNCTION("""COMPUTED_VALUE"""),"CEIM UNINORTE")</f>
        <v>CEIM UNINORTE</v>
      </c>
      <c r="D352" s="53">
        <f>IFERROR(__xludf.DUMMYFUNCTION("""COMPUTED_VALUE"""),44634.39583333333)</f>
        <v>44634.39583</v>
      </c>
      <c r="E352" s="81"/>
      <c r="F352" s="81">
        <v>3.9829659606475616</v>
      </c>
    </row>
    <row r="353">
      <c r="A353" s="52" t="str">
        <f>IFERROR(__xludf.DUMMYFUNCTION("""COMPUTED_VALUE"""),"GUN-10352")</f>
        <v>GUN-10352</v>
      </c>
      <c r="B353" s="50">
        <f>IFERROR(__xludf.DUMMYFUNCTION("""COMPUTED_VALUE"""),44630.41502458333)</f>
        <v>44630.41502</v>
      </c>
      <c r="C353" s="52" t="str">
        <f>IFERROR(__xludf.DUMMYFUNCTION("""COMPUTED_VALUE"""),"CEIM UNINORTE")</f>
        <v>CEIM UNINORTE</v>
      </c>
      <c r="D353" s="53">
        <f>IFERROR(__xludf.DUMMYFUNCTION("""COMPUTED_VALUE"""),44638.72916666667)</f>
        <v>44638.72917</v>
      </c>
      <c r="E353" s="81"/>
      <c r="F353" s="81">
        <v>8.314142083341721</v>
      </c>
    </row>
    <row r="354">
      <c r="A354" s="52" t="str">
        <f>IFERROR(__xludf.DUMMYFUNCTION("""COMPUTED_VALUE"""),"GUN-10353")</f>
        <v>GUN-10353</v>
      </c>
      <c r="B354" s="50">
        <f>IFERROR(__xludf.DUMMYFUNCTION("""COMPUTED_VALUE"""),44630.416152314814)</f>
        <v>44630.41615</v>
      </c>
      <c r="C354" s="52" t="str">
        <f>IFERROR(__xludf.DUMMYFUNCTION("""COMPUTED_VALUE"""),"FELINORTE")</f>
        <v>FELINORTE</v>
      </c>
      <c r="D354" s="53">
        <f>IFERROR(__xludf.DUMMYFUNCTION("""COMPUTED_VALUE"""),44635.6875)</f>
        <v>44635.6875</v>
      </c>
      <c r="E354" s="81"/>
      <c r="F354" s="81">
        <v>5.271347685185901</v>
      </c>
    </row>
    <row r="355">
      <c r="A355" s="52" t="str">
        <f>IFERROR(__xludf.DUMMYFUNCTION("""COMPUTED_VALUE"""),"GUN-10354")</f>
        <v>GUN-10354</v>
      </c>
      <c r="B355" s="50">
        <f>IFERROR(__xludf.DUMMYFUNCTION("""COMPUTED_VALUE"""),44630.41639082176)</f>
        <v>44630.41639</v>
      </c>
      <c r="C355" s="52" t="str">
        <f>IFERROR(__xludf.DUMMYFUNCTION("""COMPUTED_VALUE"""),"CEIM UNINORTE")</f>
        <v>CEIM UNINORTE</v>
      </c>
      <c r="D355" s="53">
        <f>IFERROR(__xludf.DUMMYFUNCTION("""COMPUTED_VALUE"""),44634.33333333333)</f>
        <v>44634.33333</v>
      </c>
      <c r="E355" s="81"/>
      <c r="F355" s="81">
        <v>3.9169425115687773</v>
      </c>
    </row>
    <row r="356">
      <c r="A356" s="52" t="str">
        <f>IFERROR(__xludf.DUMMYFUNCTION("""COMPUTED_VALUE"""),"GUN-10355")</f>
        <v>GUN-10355</v>
      </c>
      <c r="B356" s="50">
        <f>IFERROR(__xludf.DUMMYFUNCTION("""COMPUTED_VALUE"""),44630.41646988426)</f>
        <v>44630.41647</v>
      </c>
      <c r="C356" s="52" t="str">
        <f>IFERROR(__xludf.DUMMYFUNCTION("""COMPUTED_VALUE"""),"CIRCULO KDHARMA")</f>
        <v>CIRCULO KDHARMA</v>
      </c>
      <c r="D356" s="53">
        <f>IFERROR(__xludf.DUMMYFUNCTION("""COMPUTED_VALUE"""),44639.375)</f>
        <v>44639.375</v>
      </c>
      <c r="E356" s="81"/>
      <c r="F356" s="81">
        <v>8.958530115742178</v>
      </c>
    </row>
    <row r="357">
      <c r="A357" s="52" t="str">
        <f>IFERROR(__xludf.DUMMYFUNCTION("""COMPUTED_VALUE"""),"GUN-10356")</f>
        <v>GUN-10356</v>
      </c>
      <c r="B357" s="50">
        <f>IFERROR(__xludf.DUMMYFUNCTION("""COMPUTED_VALUE"""),44630.420372870365)</f>
        <v>44630.42037</v>
      </c>
      <c r="C357" s="52" t="str">
        <f>IFERROR(__xludf.DUMMYFUNCTION("""COMPUTED_VALUE"""),"CEIM UNINORTE")</f>
        <v>CEIM UNINORTE</v>
      </c>
      <c r="D357" s="53">
        <f>IFERROR(__xludf.DUMMYFUNCTION("""COMPUTED_VALUE"""),44635.85416666667)</f>
        <v>44635.85417</v>
      </c>
      <c r="E357" s="81"/>
      <c r="F357" s="81">
        <v>5.433793796306418</v>
      </c>
    </row>
    <row r="358">
      <c r="A358" s="52" t="str">
        <f>IFERROR(__xludf.DUMMYFUNCTION("""COMPUTED_VALUE"""),"GUN-10357")</f>
        <v>GUN-10357</v>
      </c>
      <c r="B358" s="50">
        <f>IFERROR(__xludf.DUMMYFUNCTION("""COMPUTED_VALUE"""),44630.438709525464)</f>
        <v>44630.43871</v>
      </c>
      <c r="C358" s="52" t="str">
        <f>IFERROR(__xludf.DUMMYFUNCTION("""COMPUTED_VALUE"""),"FEMINUN")</f>
        <v>FEMINUN</v>
      </c>
      <c r="D358" s="53">
        <f>IFERROR(__xludf.DUMMYFUNCTION("""COMPUTED_VALUE"""),44634.625)</f>
        <v>44634.625</v>
      </c>
      <c r="E358" s="81"/>
      <c r="F358" s="81">
        <v>4.186290474535781</v>
      </c>
    </row>
    <row r="359">
      <c r="A359" s="52" t="str">
        <f>IFERROR(__xludf.DUMMYFUNCTION("""COMPUTED_VALUE"""),"GUN-10358")</f>
        <v>GUN-10358</v>
      </c>
      <c r="B359" s="50">
        <f>IFERROR(__xludf.DUMMYFUNCTION("""COMPUTED_VALUE"""),44630.44078239583)</f>
        <v>44630.44078</v>
      </c>
      <c r="C359" s="52" t="str">
        <f>IFERROR(__xludf.DUMMYFUNCTION("""COMPUTED_VALUE"""),"CEIM UNINORTE")</f>
        <v>CEIM UNINORTE</v>
      </c>
      <c r="D359" s="53">
        <f>IFERROR(__xludf.DUMMYFUNCTION("""COMPUTED_VALUE"""),44638.0)</f>
        <v>44638</v>
      </c>
      <c r="E359" s="81"/>
      <c r="F359" s="81">
        <v>7.559217604168225</v>
      </c>
    </row>
    <row r="360">
      <c r="A360" s="52" t="str">
        <f>IFERROR(__xludf.DUMMYFUNCTION("""COMPUTED_VALUE"""),"GUN-10359")</f>
        <v>GUN-10359</v>
      </c>
      <c r="B360" s="50">
        <f>IFERROR(__xludf.DUMMYFUNCTION("""COMPUTED_VALUE"""),44630.442195613425)</f>
        <v>44630.4422</v>
      </c>
      <c r="C360" s="52" t="str">
        <f>IFERROR(__xludf.DUMMYFUNCTION("""COMPUTED_VALUE"""),"FEMINUN")</f>
        <v>FEMINUN</v>
      </c>
      <c r="D360" s="53">
        <f>IFERROR(__xludf.DUMMYFUNCTION("""COMPUTED_VALUE"""),44636.625)</f>
        <v>44636.625</v>
      </c>
      <c r="E360" s="81"/>
      <c r="F360" s="81">
        <v>6.182804386575299</v>
      </c>
    </row>
    <row r="361">
      <c r="A361" s="52" t="str">
        <f>IFERROR(__xludf.DUMMYFUNCTION("""COMPUTED_VALUE"""),"GUN-10360")</f>
        <v>GUN-10360</v>
      </c>
      <c r="B361" s="50">
        <f>IFERROR(__xludf.DUMMYFUNCTION("""COMPUTED_VALUE"""),44630.44236969908)</f>
        <v>44630.44237</v>
      </c>
      <c r="C361" s="52" t="str">
        <f>IFERROR(__xludf.DUMMYFUNCTION("""COMPUTED_VALUE"""),"CEIM UNINORTE")</f>
        <v>CEIM UNINORTE</v>
      </c>
      <c r="D361" s="53">
        <f>IFERROR(__xludf.DUMMYFUNCTION("""COMPUTED_VALUE"""),44634.5625)</f>
        <v>44634.5625</v>
      </c>
      <c r="E361" s="81"/>
      <c r="F361" s="81">
        <v>4.120130300922028</v>
      </c>
    </row>
    <row r="362">
      <c r="A362" s="52" t="str">
        <f>IFERROR(__xludf.DUMMYFUNCTION("""COMPUTED_VALUE"""),"GUN-10361")</f>
        <v>GUN-10361</v>
      </c>
      <c r="B362" s="50">
        <f>IFERROR(__xludf.DUMMYFUNCTION("""COMPUTED_VALUE"""),44630.4434937963)</f>
        <v>44630.44349</v>
      </c>
      <c r="C362" s="52" t="str">
        <f>IFERROR(__xludf.DUMMYFUNCTION("""COMPUTED_VALUE"""),"FELINORTE")</f>
        <v>FELINORTE</v>
      </c>
      <c r="D362" s="53">
        <f>IFERROR(__xludf.DUMMYFUNCTION("""COMPUTED_VALUE"""),44638.64583333333)</f>
        <v>44638.64583</v>
      </c>
      <c r="E362" s="81"/>
      <c r="F362" s="81">
        <v>8.202339537027001</v>
      </c>
    </row>
    <row r="363">
      <c r="A363" s="52" t="str">
        <f>IFERROR(__xludf.DUMMYFUNCTION("""COMPUTED_VALUE"""),"GUN-10362")</f>
        <v>GUN-10362</v>
      </c>
      <c r="B363" s="50">
        <f>IFERROR(__xludf.DUMMYFUNCTION("""COMPUTED_VALUE"""),44630.4440709375)</f>
        <v>44630.44407</v>
      </c>
      <c r="C363" s="52" t="str">
        <f>IFERROR(__xludf.DUMMYFUNCTION("""COMPUTED_VALUE"""),"FEMINUN")</f>
        <v>FEMINUN</v>
      </c>
      <c r="D363" s="53">
        <f>IFERROR(__xludf.DUMMYFUNCTION("""COMPUTED_VALUE"""),44638.625)</f>
        <v>44638.625</v>
      </c>
      <c r="E363" s="81"/>
      <c r="F363" s="81">
        <v>8.1809290625024</v>
      </c>
    </row>
    <row r="364">
      <c r="A364" s="52" t="str">
        <f>IFERROR(__xludf.DUMMYFUNCTION("""COMPUTED_VALUE"""),"GUN-10363")</f>
        <v>GUN-10363</v>
      </c>
      <c r="B364" s="50">
        <f>IFERROR(__xludf.DUMMYFUNCTION("""COMPUTED_VALUE"""),44630.453495925925)</f>
        <v>44630.4535</v>
      </c>
      <c r="C364" s="52" t="str">
        <f>IFERROR(__xludf.DUMMYFUNCTION("""COMPUTED_VALUE"""),"FELINORTE")</f>
        <v>FELINORTE</v>
      </c>
      <c r="D364" s="53">
        <f>IFERROR(__xludf.DUMMYFUNCTION("""COMPUTED_VALUE"""),44639.6875)</f>
        <v>44639.6875</v>
      </c>
      <c r="E364" s="81"/>
      <c r="F364" s="81">
        <v>9.234004074074619</v>
      </c>
    </row>
    <row r="365">
      <c r="A365" s="52" t="str">
        <f>IFERROR(__xludf.DUMMYFUNCTION("""COMPUTED_VALUE"""),"GUN-10364")</f>
        <v>GUN-10364</v>
      </c>
      <c r="B365" s="50">
        <f>IFERROR(__xludf.DUMMYFUNCTION("""COMPUTED_VALUE"""),44630.46016724537)</f>
        <v>44630.46017</v>
      </c>
      <c r="C365" s="52" t="str">
        <f>IFERROR(__xludf.DUMMYFUNCTION("""COMPUTED_VALUE"""),"INNOVA UN")</f>
        <v>INNOVA UN</v>
      </c>
      <c r="D365" s="53">
        <f>IFERROR(__xludf.DUMMYFUNCTION("""COMPUTED_VALUE"""),44635.4375)</f>
        <v>44635.4375</v>
      </c>
      <c r="E365" s="81" t="str">
        <f>IFERROR(__xludf.DUMMYFUNCTION("""COMPUTED_VALUE"""),"ESTIMADO GRUPO ANEXO APROBACION DE ESPACIO: Datos de tu solicitud:
Inicio: 3/15/2022 - 10:30 AM
Fin: 3/15/2022 - 11:30 AM
Espacio: Salón I2-24
Edificio: Bloque I2
Piso: Bloque I2 - Piso 2")</f>
        <v>ESTIMADO GRUPO ANEXO APROBACION DE ESPACIO: Datos de tu solicitud:
Inicio: 3/15/2022 - 10:30 AM
Fin: 3/15/2022 - 11:30 AM
Espacio: Salón I2-24
Edificio: Bloque I2
Piso: Bloque I2 - Piso 2</v>
      </c>
      <c r="F365" s="81">
        <v>4.977332754628151</v>
      </c>
    </row>
    <row r="366">
      <c r="A366" s="52" t="str">
        <f>IFERROR(__xludf.DUMMYFUNCTION("""COMPUTED_VALUE"""),"GUN-10365")</f>
        <v>GUN-10365</v>
      </c>
      <c r="B366" s="50">
        <f>IFERROR(__xludf.DUMMYFUNCTION("""COMPUTED_VALUE"""),44630.461168043985)</f>
        <v>44630.46117</v>
      </c>
      <c r="C366" s="52" t="str">
        <f>IFERROR(__xludf.DUMMYFUNCTION("""COMPUTED_VALUE"""),"INNOVA UN")</f>
        <v>INNOVA UN</v>
      </c>
      <c r="D366" s="53">
        <f>IFERROR(__xludf.DUMMYFUNCTION("""COMPUTED_VALUE"""),44638.60416666667)</f>
        <v>44638.60417</v>
      </c>
      <c r="E366" s="81"/>
      <c r="F366" s="81">
        <v>8.142998622686719</v>
      </c>
    </row>
    <row r="367">
      <c r="A367" s="52" t="str">
        <f>IFERROR(__xludf.DUMMYFUNCTION("""COMPUTED_VALUE"""),"GUN-10366")</f>
        <v>GUN-10366</v>
      </c>
      <c r="B367" s="50">
        <f>IFERROR(__xludf.DUMMYFUNCTION("""COMPUTED_VALUE"""),44630.46764299769)</f>
        <v>44630.46764</v>
      </c>
      <c r="C367" s="52" t="str">
        <f>IFERROR(__xludf.DUMMYFUNCTION("""COMPUTED_VALUE"""),"FELINORTE")</f>
        <v>FELINORTE</v>
      </c>
      <c r="D367" s="53">
        <f>IFERROR(__xludf.DUMMYFUNCTION("""COMPUTED_VALUE"""),44638.60416666667)</f>
        <v>44638.60417</v>
      </c>
      <c r="E367" s="81"/>
      <c r="F367" s="81">
        <v>8.136523668981681</v>
      </c>
    </row>
    <row r="368">
      <c r="A368" s="52" t="str">
        <f>IFERROR(__xludf.DUMMYFUNCTION("""COMPUTED_VALUE"""),"GUN-10367")</f>
        <v>GUN-10367</v>
      </c>
      <c r="B368" s="50">
        <f>IFERROR(__xludf.DUMMYFUNCTION("""COMPUTED_VALUE"""),44630.472006550925)</f>
        <v>44630.47201</v>
      </c>
      <c r="C368" s="52" t="str">
        <f>IFERROR(__xludf.DUMMYFUNCTION("""COMPUTED_VALUE"""),"SIG-UN")</f>
        <v>SIG-UN</v>
      </c>
      <c r="D368" s="53">
        <f>IFERROR(__xludf.DUMMYFUNCTION("""COMPUTED_VALUE"""),44634.8125)</f>
        <v>44634.8125</v>
      </c>
      <c r="E368" s="81"/>
      <c r="F368" s="81">
        <v>4.3404934490754385</v>
      </c>
    </row>
    <row r="369">
      <c r="A369" s="52" t="str">
        <f>IFERROR(__xludf.DUMMYFUNCTION("""COMPUTED_VALUE"""),"GUN-10368")</f>
        <v>GUN-10368</v>
      </c>
      <c r="B369" s="50">
        <f>IFERROR(__xludf.DUMMYFUNCTION("""COMPUTED_VALUE"""),44630.47287582176)</f>
        <v>44630.47288</v>
      </c>
      <c r="C369" s="52" t="str">
        <f>IFERROR(__xludf.DUMMYFUNCTION("""COMPUTED_VALUE"""),"SIG-UN")</f>
        <v>SIG-UN</v>
      </c>
      <c r="D369" s="53">
        <f>IFERROR(__xludf.DUMMYFUNCTION("""COMPUTED_VALUE"""),44631.41666666667)</f>
        <v>44631.41667</v>
      </c>
      <c r="E369" s="81"/>
      <c r="F369" s="81">
        <v>0.9437908449108363</v>
      </c>
    </row>
    <row r="370">
      <c r="A370" s="52" t="str">
        <f>IFERROR(__xludf.DUMMYFUNCTION("""COMPUTED_VALUE"""),"GUN-10369")</f>
        <v>GUN-10369</v>
      </c>
      <c r="B370" s="50">
        <f>IFERROR(__xludf.DUMMYFUNCTION("""COMPUTED_VALUE"""),44630.47438375001)</f>
        <v>44630.47438</v>
      </c>
      <c r="C370" s="52" t="str">
        <f>IFERROR(__xludf.DUMMYFUNCTION("""COMPUTED_VALUE"""),"ACM Student Chapter")</f>
        <v>ACM Student Chapter</v>
      </c>
      <c r="D370" s="53">
        <f>IFERROR(__xludf.DUMMYFUNCTION("""COMPUTED_VALUE"""),44637.6875)</f>
        <v>44637.6875</v>
      </c>
      <c r="E370" s="81"/>
      <c r="F370" s="81">
        <v>7.213116249993618</v>
      </c>
    </row>
    <row r="371">
      <c r="A371" s="52" t="str">
        <f>IFERROR(__xludf.DUMMYFUNCTION("""COMPUTED_VALUE"""),"GUN-10370")</f>
        <v>GUN-10370</v>
      </c>
      <c r="B371" s="50">
        <f>IFERROR(__xludf.DUMMYFUNCTION("""COMPUTED_VALUE"""),44630.504097673605)</f>
        <v>44630.5041</v>
      </c>
      <c r="C371" s="52" t="str">
        <f>IFERROR(__xludf.DUMMYFUNCTION("""COMPUTED_VALUE"""),"LINGUA")</f>
        <v>LINGUA</v>
      </c>
      <c r="D371" s="53">
        <f>IFERROR(__xludf.DUMMYFUNCTION("""COMPUTED_VALUE"""),44637.64583333333)</f>
        <v>44637.64583</v>
      </c>
      <c r="E371" s="81"/>
      <c r="F371" s="81">
        <v>7.141735659723054</v>
      </c>
    </row>
    <row r="372">
      <c r="A372" s="52" t="str">
        <f>IFERROR(__xludf.DUMMYFUNCTION("""COMPUTED_VALUE"""),"GUN-10371")</f>
        <v>GUN-10371</v>
      </c>
      <c r="B372" s="50">
        <f>IFERROR(__xludf.DUMMYFUNCTION("""COMPUTED_VALUE"""),44630.51150053241)</f>
        <v>44630.5115</v>
      </c>
      <c r="C372" s="52" t="str">
        <f>IFERROR(__xludf.DUMMYFUNCTION("""COMPUTED_VALUE"""),"BK2")</f>
        <v>BK2</v>
      </c>
      <c r="D372" s="53">
        <f>IFERROR(__xludf.DUMMYFUNCTION("""COMPUTED_VALUE"""),44635.60416666667)</f>
        <v>44635.60417</v>
      </c>
      <c r="E372" s="81"/>
      <c r="F372" s="81">
        <v>5.092666134260071</v>
      </c>
    </row>
    <row r="373">
      <c r="A373" s="52" t="str">
        <f>IFERROR(__xludf.DUMMYFUNCTION("""COMPUTED_VALUE"""),"GUN-10372")</f>
        <v>GUN-10372</v>
      </c>
      <c r="B373" s="50">
        <f>IFERROR(__xludf.DUMMYFUNCTION("""COMPUTED_VALUE"""),44630.518455787045)</f>
        <v>44630.51846</v>
      </c>
      <c r="C373" s="52" t="str">
        <f>IFERROR(__xludf.DUMMYFUNCTION("""COMPUTED_VALUE"""),"VOLTA")</f>
        <v>VOLTA</v>
      </c>
      <c r="D373" s="53">
        <f>IFERROR(__xludf.DUMMYFUNCTION("""COMPUTED_VALUE"""),44637.4375)</f>
        <v>44637.4375</v>
      </c>
      <c r="E373" s="81"/>
      <c r="F373" s="81">
        <v>6.919044212954759</v>
      </c>
    </row>
    <row r="374">
      <c r="A374" s="52" t="str">
        <f>IFERROR(__xludf.DUMMYFUNCTION("""COMPUTED_VALUE"""),"GUN-10373")</f>
        <v>GUN-10373</v>
      </c>
      <c r="B374" s="50">
        <f>IFERROR(__xludf.DUMMYFUNCTION("""COMPUTED_VALUE"""),44630.522634016204)</f>
        <v>44630.52263</v>
      </c>
      <c r="C374" s="52" t="str">
        <f>IFERROR(__xludf.DUMMYFUNCTION("""COMPUTED_VALUE"""),"JUVENTUDES CRITICAS")</f>
        <v>JUVENTUDES CRITICAS</v>
      </c>
      <c r="D374" s="53">
        <f>IFERROR(__xludf.DUMMYFUNCTION("""COMPUTED_VALUE"""),44634.14583333333)</f>
        <v>44634.14583</v>
      </c>
      <c r="E374" s="81"/>
      <c r="F374" s="81">
        <v>3.62319931712409</v>
      </c>
    </row>
    <row r="375">
      <c r="A375" s="52" t="str">
        <f>IFERROR(__xludf.DUMMYFUNCTION("""COMPUTED_VALUE"""),"GUN-10374")</f>
        <v>GUN-10374</v>
      </c>
      <c r="B375" s="50">
        <f>IFERROR(__xludf.DUMMYFUNCTION("""COMPUTED_VALUE"""),44630.52268768518)</f>
        <v>44630.52269</v>
      </c>
      <c r="C375" s="52" t="str">
        <f>IFERROR(__xludf.DUMMYFUNCTION("""COMPUTED_VALUE"""),"BK2")</f>
        <v>BK2</v>
      </c>
      <c r="D375" s="53">
        <f>IFERROR(__xludf.DUMMYFUNCTION("""COMPUTED_VALUE"""),44637.60416666667)</f>
        <v>44637.60417</v>
      </c>
      <c r="E375" s="81"/>
      <c r="F375" s="81">
        <v>7.081478981490363</v>
      </c>
    </row>
    <row r="376">
      <c r="A376" s="52" t="str">
        <f>IFERROR(__xludf.DUMMYFUNCTION("""COMPUTED_VALUE"""),"GUN-10375")</f>
        <v>GUN-10375</v>
      </c>
      <c r="B376" s="50">
        <f>IFERROR(__xludf.DUMMYFUNCTION("""COMPUTED_VALUE"""),44630.52530505787)</f>
        <v>44630.52531</v>
      </c>
      <c r="C376" s="52" t="str">
        <f>IFERROR(__xludf.DUMMYFUNCTION("""COMPUTED_VALUE"""),"VOLTA")</f>
        <v>VOLTA</v>
      </c>
      <c r="D376" s="53">
        <f>IFERROR(__xludf.DUMMYFUNCTION("""COMPUTED_VALUE"""),44638.39583333333)</f>
        <v>44638.39583</v>
      </c>
      <c r="E376" s="81"/>
      <c r="F376" s="81">
        <v>7.870528275459947</v>
      </c>
    </row>
    <row r="377">
      <c r="A377" s="52" t="str">
        <f>IFERROR(__xludf.DUMMYFUNCTION("""COMPUTED_VALUE"""),"GUN-10376")</f>
        <v>GUN-10376</v>
      </c>
      <c r="B377" s="50">
        <f>IFERROR(__xludf.DUMMYFUNCTION("""COMPUTED_VALUE"""),44630.62585910879)</f>
        <v>44630.62586</v>
      </c>
      <c r="C377" s="52" t="str">
        <f>IFERROR(__xludf.DUMMYFUNCTION("""COMPUTED_VALUE"""),"CDIEP")</f>
        <v>CDIEP</v>
      </c>
      <c r="D377" s="53">
        <f>IFERROR(__xludf.DUMMYFUNCTION("""COMPUTED_VALUE"""),44634.5625)</f>
        <v>44634.5625</v>
      </c>
      <c r="E377" s="81"/>
      <c r="F377" s="81">
        <v>3.936640891210118</v>
      </c>
    </row>
    <row r="378">
      <c r="A378" s="52" t="str">
        <f>IFERROR(__xludf.DUMMYFUNCTION("""COMPUTED_VALUE"""),"GUN-10377")</f>
        <v>GUN-10377</v>
      </c>
      <c r="B378" s="50">
        <f>IFERROR(__xludf.DUMMYFUNCTION("""COMPUTED_VALUE"""),44631.03146708334)</f>
        <v>44631.03147</v>
      </c>
      <c r="C378" s="52" t="str">
        <f>IFERROR(__xludf.DUMMYFUNCTION("""COMPUTED_VALUE"""),"CEO")</f>
        <v>CEO</v>
      </c>
      <c r="D378" s="53">
        <f>IFERROR(__xludf.DUMMYFUNCTION("""COMPUTED_VALUE"""),44645.60416666667)</f>
        <v>44645.60417</v>
      </c>
      <c r="E378" s="81"/>
      <c r="F378" s="81">
        <v>14.572699583331996</v>
      </c>
    </row>
    <row r="379">
      <c r="A379" s="52" t="str">
        <f>IFERROR(__xludf.DUMMYFUNCTION("""COMPUTED_VALUE"""),"GUN-10378")</f>
        <v>GUN-10378</v>
      </c>
      <c r="B379" s="50">
        <f>IFERROR(__xludf.DUMMYFUNCTION("""COMPUTED_VALUE"""),44631.035379953704)</f>
        <v>44631.03538</v>
      </c>
      <c r="C379" s="52" t="str">
        <f>IFERROR(__xludf.DUMMYFUNCTION("""COMPUTED_VALUE"""),"CEO")</f>
        <v>CEO</v>
      </c>
      <c r="D379" s="53">
        <f>IFERROR(__xludf.DUMMYFUNCTION("""COMPUTED_VALUE"""),44639.58333333333)</f>
        <v>44639.58333</v>
      </c>
      <c r="E379" s="81"/>
      <c r="F379" s="81">
        <v>8.547953379624232</v>
      </c>
    </row>
    <row r="380">
      <c r="A380" s="52" t="str">
        <f>IFERROR(__xludf.DUMMYFUNCTION("""COMPUTED_VALUE"""),"GUN-10379")</f>
        <v>GUN-10379</v>
      </c>
      <c r="B380" s="50">
        <f>IFERROR(__xludf.DUMMYFUNCTION("""COMPUTED_VALUE"""),44631.03718237269)</f>
        <v>44631.03718</v>
      </c>
      <c r="C380" s="52" t="str">
        <f>IFERROR(__xludf.DUMMYFUNCTION("""COMPUTED_VALUE"""),"CEO")</f>
        <v>CEO</v>
      </c>
      <c r="D380" s="53">
        <f>IFERROR(__xludf.DUMMYFUNCTION("""COMPUTED_VALUE"""),44639.625)</f>
        <v>44639.625</v>
      </c>
      <c r="E380" s="81"/>
      <c r="F380" s="81">
        <v>8.58781762731087</v>
      </c>
    </row>
    <row r="381">
      <c r="A381" s="52" t="str">
        <f>IFERROR(__xludf.DUMMYFUNCTION("""COMPUTED_VALUE"""),"GUN-10380")</f>
        <v>GUN-10380</v>
      </c>
      <c r="B381" s="50">
        <f>IFERROR(__xludf.DUMMYFUNCTION("""COMPUTED_VALUE"""),44631.040254780084)</f>
        <v>44631.04025</v>
      </c>
      <c r="C381" s="52" t="str">
        <f>IFERROR(__xludf.DUMMYFUNCTION("""COMPUTED_VALUE"""),"CEO")</f>
        <v>CEO</v>
      </c>
      <c r="D381" s="53">
        <f>IFERROR(__xludf.DUMMYFUNCTION("""COMPUTED_VALUE"""),44639.375)</f>
        <v>44639.375</v>
      </c>
      <c r="E381" s="81"/>
      <c r="F381" s="81">
        <v>8.33474521991593</v>
      </c>
    </row>
    <row r="382">
      <c r="A382" s="52" t="str">
        <f>IFERROR(__xludf.DUMMYFUNCTION("""COMPUTED_VALUE"""),"GUN-10381")</f>
        <v>GUN-10381</v>
      </c>
      <c r="B382" s="50">
        <f>IFERROR(__xludf.DUMMYFUNCTION("""COMPUTED_VALUE"""),44631.56373297453)</f>
        <v>44631.56373</v>
      </c>
      <c r="C382" s="52" t="str">
        <f>IFERROR(__xludf.DUMMYFUNCTION("""COMPUTED_VALUE"""),"E-SPORTS")</f>
        <v>E-SPORTS</v>
      </c>
      <c r="D382" s="53">
        <f>IFERROR(__xludf.DUMMYFUNCTION("""COMPUTED_VALUE"""),44631.52083333333)</f>
        <v>44631.52083</v>
      </c>
      <c r="E382" s="81"/>
      <c r="F382" s="81">
        <v>-0.0428996412010747</v>
      </c>
    </row>
    <row r="383">
      <c r="A383" s="52" t="str">
        <f>IFERROR(__xludf.DUMMYFUNCTION("""COMPUTED_VALUE"""),"GUN-10382")</f>
        <v>GUN-10382</v>
      </c>
      <c r="B383" s="50">
        <f>IFERROR(__xludf.DUMMYFUNCTION("""COMPUTED_VALUE"""),44632.44014204861)</f>
        <v>44632.44014</v>
      </c>
      <c r="C383" s="52" t="str">
        <f>IFERROR(__xludf.DUMMYFUNCTION("""COMPUTED_VALUE"""),"CEIM UNINORTE")</f>
        <v>CEIM UNINORTE</v>
      </c>
      <c r="D383" s="53">
        <f>IFERROR(__xludf.DUMMYFUNCTION("""COMPUTED_VALUE"""),44642.35416666667)</f>
        <v>44642.35417</v>
      </c>
      <c r="E383" s="81"/>
      <c r="F383" s="81">
        <v>9.914024618061376</v>
      </c>
    </row>
    <row r="384">
      <c r="A384" s="52" t="str">
        <f>IFERROR(__xludf.DUMMYFUNCTION("""COMPUTED_VALUE"""),"GUN-10383")</f>
        <v>GUN-10383</v>
      </c>
      <c r="B384" s="50">
        <f>IFERROR(__xludf.DUMMYFUNCTION("""COMPUTED_VALUE"""),44634.53580815972)</f>
        <v>44634.53581</v>
      </c>
      <c r="C384" s="52" t="str">
        <f>IFERROR(__xludf.DUMMYFUNCTION("""COMPUTED_VALUE"""),"JUVENTUDES CRITICAS")</f>
        <v>JUVENTUDES CRITICAS</v>
      </c>
      <c r="D384" s="53">
        <f>IFERROR(__xludf.DUMMYFUNCTION("""COMPUTED_VALUE"""),44638.6875)</f>
        <v>44638.6875</v>
      </c>
      <c r="E384" s="81"/>
      <c r="F384" s="81">
        <v>4.1516918402776355</v>
      </c>
    </row>
    <row r="385">
      <c r="A385" s="52" t="str">
        <f>IFERROR(__xludf.DUMMYFUNCTION("""COMPUTED_VALUE"""),"GUN-10384")</f>
        <v>GUN-10384</v>
      </c>
      <c r="B385" s="50">
        <f>IFERROR(__xludf.DUMMYFUNCTION("""COMPUTED_VALUE"""),44634.664228877315)</f>
        <v>44634.66423</v>
      </c>
      <c r="C385" s="52" t="str">
        <f>IFERROR(__xludf.DUMMYFUNCTION("""COMPUTED_VALUE"""),"FAUNATICOS")</f>
        <v>FAUNATICOS</v>
      </c>
      <c r="D385" s="53">
        <f>IFERROR(__xludf.DUMMYFUNCTION("""COMPUTED_VALUE"""),44645.6875)</f>
        <v>44645.6875</v>
      </c>
      <c r="E385" s="81"/>
      <c r="F385" s="81">
        <v>11.0232711226854</v>
      </c>
    </row>
    <row r="386">
      <c r="A386" s="52" t="str">
        <f>IFERROR(__xludf.DUMMYFUNCTION("""COMPUTED_VALUE"""),"GUN-10385")</f>
        <v>GUN-10385</v>
      </c>
      <c r="B386" s="50">
        <f>IFERROR(__xludf.DUMMYFUNCTION("""COMPUTED_VALUE"""),44634.66667824074)</f>
        <v>44634.66668</v>
      </c>
      <c r="C386" s="52" t="str">
        <f>IFERROR(__xludf.DUMMYFUNCTION("""COMPUTED_VALUE"""),"FAUNATICOS")</f>
        <v>FAUNATICOS</v>
      </c>
      <c r="D386" s="53">
        <f>IFERROR(__xludf.DUMMYFUNCTION("""COMPUTED_VALUE"""),44645.6875)</f>
        <v>44645.6875</v>
      </c>
      <c r="E386" s="81"/>
      <c r="F386" s="81">
        <v>11.020821759258979</v>
      </c>
    </row>
    <row r="387">
      <c r="A387" s="52" t="str">
        <f>IFERROR(__xludf.DUMMYFUNCTION("""COMPUTED_VALUE"""),"GUN-10386")</f>
        <v>GUN-10386</v>
      </c>
      <c r="B387" s="50">
        <f>IFERROR(__xludf.DUMMYFUNCTION("""COMPUTED_VALUE"""),44634.76607633102)</f>
        <v>44634.76608</v>
      </c>
      <c r="C387" s="52" t="str">
        <f>IFERROR(__xludf.DUMMYFUNCTION("""COMPUTED_VALUE"""),"CDIEP")</f>
        <v>CDIEP</v>
      </c>
      <c r="D387" s="53">
        <f>IFERROR(__xludf.DUMMYFUNCTION("""COMPUTED_VALUE"""),44639.54166666667)</f>
        <v>44639.54167</v>
      </c>
      <c r="E387" s="81"/>
      <c r="F387" s="81">
        <v>4.775590335651941</v>
      </c>
    </row>
    <row r="388">
      <c r="A388" s="52" t="str">
        <f>IFERROR(__xludf.DUMMYFUNCTION("""COMPUTED_VALUE"""),"GUN-10387")</f>
        <v>GUN-10387</v>
      </c>
      <c r="B388" s="50">
        <f>IFERROR(__xludf.DUMMYFUNCTION("""COMPUTED_VALUE"""),44635.35563965278)</f>
        <v>44635.35564</v>
      </c>
      <c r="C388" s="52" t="str">
        <f>IFERROR(__xludf.DUMMYFUNCTION("""COMPUTED_VALUE"""),"UNINORTE CAPAZ")</f>
        <v>UNINORTE CAPAZ</v>
      </c>
      <c r="D388" s="53">
        <f>IFERROR(__xludf.DUMMYFUNCTION("""COMPUTED_VALUE"""),44643.64583333333)</f>
        <v>44643.64583</v>
      </c>
      <c r="E388" s="81"/>
      <c r="F388" s="81">
        <v>8.290193680550146</v>
      </c>
    </row>
    <row r="389">
      <c r="A389" s="52" t="str">
        <f>IFERROR(__xludf.DUMMYFUNCTION("""COMPUTED_VALUE"""),"GUN-10388")</f>
        <v>GUN-10388</v>
      </c>
      <c r="B389" s="50">
        <f>IFERROR(__xludf.DUMMYFUNCTION("""COMPUTED_VALUE"""),44635.55230717592)</f>
        <v>44635.55231</v>
      </c>
      <c r="C389" s="52" t="str">
        <f>IFERROR(__xludf.DUMMYFUNCTION("""COMPUTED_VALUE"""),"GREEN GENERATION")</f>
        <v>GREEN GENERATION</v>
      </c>
      <c r="D389" s="53">
        <f>IFERROR(__xludf.DUMMYFUNCTION("""COMPUTED_VALUE"""),44650.5625)</f>
        <v>44650.5625</v>
      </c>
      <c r="E389" s="81"/>
      <c r="F389" s="81">
        <v>15.010192824076512</v>
      </c>
    </row>
    <row r="390">
      <c r="A390" s="52" t="str">
        <f>IFERROR(__xludf.DUMMYFUNCTION("""COMPUTED_VALUE"""),"GUN-10389")</f>
        <v>GUN-10389</v>
      </c>
      <c r="B390" s="50">
        <f>IFERROR(__xludf.DUMMYFUNCTION("""COMPUTED_VALUE"""),44635.57486768519)</f>
        <v>44635.57487</v>
      </c>
      <c r="C390" s="52" t="str">
        <f>IFERROR(__xludf.DUMMYFUNCTION("""COMPUTED_VALUE"""),"W-STEM")</f>
        <v>W-STEM</v>
      </c>
      <c r="D390" s="53">
        <f>IFERROR(__xludf.DUMMYFUNCTION("""COMPUTED_VALUE"""),44637.66666666667)</f>
        <v>44637.66667</v>
      </c>
      <c r="E390" s="81"/>
      <c r="F390" s="81">
        <v>2.0917989814843168</v>
      </c>
    </row>
    <row r="391">
      <c r="A391" s="52" t="str">
        <f>IFERROR(__xludf.DUMMYFUNCTION("""COMPUTED_VALUE"""),"GUN-10390")</f>
        <v>GUN-10390</v>
      </c>
      <c r="B391" s="50">
        <f>IFERROR(__xludf.DUMMYFUNCTION("""COMPUTED_VALUE"""),44635.606223773146)</f>
        <v>44635.60622</v>
      </c>
      <c r="C391" s="52" t="str">
        <f>IFERROR(__xludf.DUMMYFUNCTION("""COMPUTED_VALUE"""),"CEO")</f>
        <v>CEO</v>
      </c>
      <c r="D391" s="53">
        <f>IFERROR(__xludf.DUMMYFUNCTION("""COMPUTED_VALUE"""),44636.52083333333)</f>
        <v>44636.52083</v>
      </c>
      <c r="E391" s="81"/>
      <c r="F391" s="81">
        <v>0.9146095601827255</v>
      </c>
    </row>
    <row r="392">
      <c r="A392" s="52" t="str">
        <f>IFERROR(__xludf.DUMMYFUNCTION("""COMPUTED_VALUE"""),"GUN-10391")</f>
        <v>GUN-10391</v>
      </c>
      <c r="B392" s="50">
        <f>IFERROR(__xludf.DUMMYFUNCTION("""COMPUTED_VALUE"""),44635.62840694444)</f>
        <v>44635.62841</v>
      </c>
      <c r="C392" s="52" t="str">
        <f>IFERROR(__xludf.DUMMYFUNCTION("""COMPUTED_VALUE"""),"FEMINUN")</f>
        <v>FEMINUN</v>
      </c>
      <c r="D392" s="53">
        <f>IFERROR(__xludf.DUMMYFUNCTION("""COMPUTED_VALUE"""),44645.60416666667)</f>
        <v>44645.60417</v>
      </c>
      <c r="E392" s="81"/>
      <c r="F392" s="81">
        <v>9.975759722234216</v>
      </c>
    </row>
    <row r="393">
      <c r="A393" s="52" t="str">
        <f>IFERROR(__xludf.DUMMYFUNCTION("""COMPUTED_VALUE"""),"GUN-10392")</f>
        <v>GUN-10392</v>
      </c>
      <c r="B393" s="50">
        <f>IFERROR(__xludf.DUMMYFUNCTION("""COMPUTED_VALUE"""),44635.716286296294)</f>
        <v>44635.71629</v>
      </c>
      <c r="C393" s="52" t="str">
        <f>IFERROR(__xludf.DUMMYFUNCTION("""COMPUTED_VALUE"""),"ZARATUSTRA")</f>
        <v>ZARATUSTRA</v>
      </c>
      <c r="D393" s="53">
        <f>IFERROR(__xludf.DUMMYFUNCTION("""COMPUTED_VALUE"""),44638.60416666667)</f>
        <v>44638.60417</v>
      </c>
      <c r="E393" s="81"/>
      <c r="F393" s="81">
        <v>2.8878803703773883</v>
      </c>
    </row>
    <row r="394">
      <c r="A394" s="52" t="str">
        <f>IFERROR(__xludf.DUMMYFUNCTION("""COMPUTED_VALUE"""),"GUN-10393")</f>
        <v>GUN-10393</v>
      </c>
      <c r="B394" s="50">
        <f>IFERROR(__xludf.DUMMYFUNCTION("""COMPUTED_VALUE"""),44635.743360775465)</f>
        <v>44635.74336</v>
      </c>
      <c r="C394" s="52" t="str">
        <f>IFERROR(__xludf.DUMMYFUNCTION("""COMPUTED_VALUE"""),"BK2")</f>
        <v>BK2</v>
      </c>
      <c r="D394" s="53">
        <f>IFERROR(__xludf.DUMMYFUNCTION("""COMPUTED_VALUE"""),44636.72916666667)</f>
        <v>44636.72917</v>
      </c>
      <c r="E394" s="81"/>
      <c r="F394" s="81">
        <v>0.9858058912068373</v>
      </c>
    </row>
    <row r="395">
      <c r="A395" s="52" t="str">
        <f>IFERROR(__xludf.DUMMYFUNCTION("""COMPUTED_VALUE"""),"GUN-10394")</f>
        <v>GUN-10394</v>
      </c>
      <c r="B395" s="50">
        <f>IFERROR(__xludf.DUMMYFUNCTION("""COMPUTED_VALUE"""),44635.75448476852)</f>
        <v>44635.75448</v>
      </c>
      <c r="C395" s="52" t="str">
        <f>IFERROR(__xludf.DUMMYFUNCTION("""COMPUTED_VALUE"""),"BK2")</f>
        <v>BK2</v>
      </c>
      <c r="D395" s="53">
        <f>IFERROR(__xludf.DUMMYFUNCTION("""COMPUTED_VALUE"""),44637.77083333333)</f>
        <v>44637.77083</v>
      </c>
      <c r="E395" s="81"/>
      <c r="F395" s="81">
        <v>2.0163485648081405</v>
      </c>
    </row>
    <row r="396">
      <c r="A396" s="52" t="str">
        <f>IFERROR(__xludf.DUMMYFUNCTION("""COMPUTED_VALUE"""),"GUN-10395")</f>
        <v>GUN-10395</v>
      </c>
      <c r="B396" s="50">
        <f>IFERROR(__xludf.DUMMYFUNCTION("""COMPUTED_VALUE"""),44635.804942407405)</f>
        <v>44635.80494</v>
      </c>
      <c r="C396" s="52" t="str">
        <f>IFERROR(__xludf.DUMMYFUNCTION("""COMPUTED_VALUE"""),"CEM UNINORTE")</f>
        <v>CEM UNINORTE</v>
      </c>
      <c r="D396" s="53">
        <f>IFERROR(__xludf.DUMMYFUNCTION("""COMPUTED_VALUE"""),44642.58333333333)</f>
        <v>44642.58333</v>
      </c>
      <c r="E396" s="81"/>
      <c r="F396" s="81">
        <v>6.778390925923304</v>
      </c>
    </row>
    <row r="397">
      <c r="A397" s="52" t="str">
        <f>IFERROR(__xludf.DUMMYFUNCTION("""COMPUTED_VALUE"""),"GUN-10396")</f>
        <v>GUN-10396</v>
      </c>
      <c r="B397" s="50">
        <f>IFERROR(__xludf.DUMMYFUNCTION("""COMPUTED_VALUE"""),44636.369788344906)</f>
        <v>44636.36979</v>
      </c>
      <c r="C397" s="52" t="str">
        <f>IFERROR(__xludf.DUMMYFUNCTION("""COMPUTED_VALUE"""),"CEO")</f>
        <v>CEO</v>
      </c>
      <c r="D397" s="53">
        <f>IFERROR(__xludf.DUMMYFUNCTION("""COMPUTED_VALUE"""),44659.625)</f>
        <v>44659.625</v>
      </c>
      <c r="E397" s="81"/>
      <c r="F397" s="81">
        <v>23.255211655094172</v>
      </c>
    </row>
    <row r="398">
      <c r="A398" s="52" t="str">
        <f>IFERROR(__xludf.DUMMYFUNCTION("""COMPUTED_VALUE"""),"GUN-10397")</f>
        <v>GUN-10397</v>
      </c>
      <c r="B398" s="50">
        <f>IFERROR(__xludf.DUMMYFUNCTION("""COMPUTED_VALUE"""),44636.38620180556)</f>
        <v>44636.3862</v>
      </c>
      <c r="C398" s="52" t="str">
        <f>IFERROR(__xludf.DUMMYFUNCTION("""COMPUTED_VALUE"""),"CEO")</f>
        <v>CEO</v>
      </c>
      <c r="D398" s="53">
        <f>IFERROR(__xludf.DUMMYFUNCTION("""COMPUTED_VALUE"""),44651.5625)</f>
        <v>44651.5625</v>
      </c>
      <c r="E398" s="81"/>
      <c r="F398" s="81">
        <v>15.176298194441188</v>
      </c>
    </row>
    <row r="399">
      <c r="A399" s="52" t="str">
        <f>IFERROR(__xludf.DUMMYFUNCTION("""COMPUTED_VALUE"""),"GUN-10398")</f>
        <v>GUN-10398</v>
      </c>
      <c r="B399" s="50">
        <f>IFERROR(__xludf.DUMMYFUNCTION("""COMPUTED_VALUE"""),44636.38887875)</f>
        <v>44636.38888</v>
      </c>
      <c r="C399" s="52" t="str">
        <f>IFERROR(__xludf.DUMMYFUNCTION("""COMPUTED_VALUE"""),"CEO")</f>
        <v>CEO</v>
      </c>
      <c r="D399" s="53">
        <f>IFERROR(__xludf.DUMMYFUNCTION("""COMPUTED_VALUE"""),44673.60416666667)</f>
        <v>44673.60417</v>
      </c>
      <c r="E399" s="81"/>
      <c r="F399" s="81">
        <v>37.21528791667515</v>
      </c>
    </row>
    <row r="400">
      <c r="A400" s="52" t="str">
        <f>IFERROR(__xludf.DUMMYFUNCTION("""COMPUTED_VALUE"""),"GUN-10399")</f>
        <v>GUN-10399</v>
      </c>
      <c r="B400" s="50">
        <f>IFERROR(__xludf.DUMMYFUNCTION("""COMPUTED_VALUE"""),44636.408488946756)</f>
        <v>44636.40849</v>
      </c>
      <c r="C400" s="52" t="str">
        <f>IFERROR(__xludf.DUMMYFUNCTION("""COMPUTED_VALUE"""),"CEO")</f>
        <v>CEO</v>
      </c>
      <c r="D400" s="53">
        <f>IFERROR(__xludf.DUMMYFUNCTION("""COMPUTED_VALUE"""),44644.5625)</f>
        <v>44644.5625</v>
      </c>
      <c r="E400" s="81"/>
      <c r="F400" s="81">
        <v>8.154011053244176</v>
      </c>
    </row>
    <row r="401">
      <c r="A401" s="52" t="str">
        <f>IFERROR(__xludf.DUMMYFUNCTION("""COMPUTED_VALUE"""),"GUN-10400")</f>
        <v>GUN-10400</v>
      </c>
      <c r="B401" s="50">
        <f>IFERROR(__xludf.DUMMYFUNCTION("""COMPUTED_VALUE"""),44636.41228086806)</f>
        <v>44636.41228</v>
      </c>
      <c r="C401" s="52" t="str">
        <f>IFERROR(__xludf.DUMMYFUNCTION("""COMPUTED_VALUE"""),"UNINORTE CAPAZ")</f>
        <v>UNINORTE CAPAZ</v>
      </c>
      <c r="D401" s="53">
        <f>IFERROR(__xludf.DUMMYFUNCTION("""COMPUTED_VALUE"""),44650.64583333333)</f>
        <v>44650.64583</v>
      </c>
      <c r="E401" s="81"/>
      <c r="F401" s="81">
        <v>14.233552465266257</v>
      </c>
    </row>
    <row r="402">
      <c r="A402" s="52" t="str">
        <f>IFERROR(__xludf.DUMMYFUNCTION("""COMPUTED_VALUE"""),"GUN-10401")</f>
        <v>GUN-10401</v>
      </c>
      <c r="B402" s="50">
        <f>IFERROR(__xludf.DUMMYFUNCTION("""COMPUTED_VALUE"""),44636.46459229167)</f>
        <v>44636.46459</v>
      </c>
      <c r="C402" s="52" t="str">
        <f>IFERROR(__xludf.DUMMYFUNCTION("""COMPUTED_VALUE"""),"FEMINUN")</f>
        <v>FEMINUN</v>
      </c>
      <c r="D402" s="53">
        <f>IFERROR(__xludf.DUMMYFUNCTION("""COMPUTED_VALUE"""),44644.60416666667)</f>
        <v>44644.60417</v>
      </c>
      <c r="E402" s="81"/>
      <c r="F402" s="81">
        <v>8.139574375003576</v>
      </c>
    </row>
    <row r="403">
      <c r="A403" s="52" t="str">
        <f>IFERROR(__xludf.DUMMYFUNCTION("""COMPUTED_VALUE"""),"GUN-10402")</f>
        <v>GUN-10402</v>
      </c>
      <c r="B403" s="50">
        <f>IFERROR(__xludf.DUMMYFUNCTION("""COMPUTED_VALUE"""),44636.48581185185)</f>
        <v>44636.48581</v>
      </c>
      <c r="C403" s="52" t="str">
        <f>IFERROR(__xludf.DUMMYFUNCTION("""COMPUTED_VALUE"""),"FEMINUN")</f>
        <v>FEMINUN</v>
      </c>
      <c r="D403" s="53">
        <f>IFERROR(__xludf.DUMMYFUNCTION("""COMPUTED_VALUE"""),44641.625)</f>
        <v>44641.625</v>
      </c>
      <c r="E403" s="81"/>
      <c r="F403" s="81">
        <v>5.139188148146786</v>
      </c>
    </row>
    <row r="404">
      <c r="A404" s="52" t="str">
        <f>IFERROR(__xludf.DUMMYFUNCTION("""COMPUTED_VALUE"""),"GUN-10403")</f>
        <v>GUN-10403</v>
      </c>
      <c r="B404" s="50">
        <f>IFERROR(__xludf.DUMMYFUNCTION("""COMPUTED_VALUE"""),44636.51653414352)</f>
        <v>44636.51653</v>
      </c>
      <c r="C404" s="52" t="str">
        <f>IFERROR(__xludf.DUMMYFUNCTION("""COMPUTED_VALUE"""),"PARTNERS CAMPUS")</f>
        <v>PARTNERS CAMPUS</v>
      </c>
      <c r="D404" s="53">
        <f>IFERROR(__xludf.DUMMYFUNCTION("""COMPUTED_VALUE"""),44641.58333333333)</f>
        <v>44641.58333</v>
      </c>
      <c r="E404" s="81"/>
      <c r="F404" s="81">
        <v>5.06679918980808</v>
      </c>
    </row>
    <row r="405">
      <c r="A405" s="52" t="str">
        <f>IFERROR(__xludf.DUMMYFUNCTION("""COMPUTED_VALUE"""),"GUN-10404")</f>
        <v>GUN-10404</v>
      </c>
      <c r="B405" s="50">
        <f>IFERROR(__xludf.DUMMYFUNCTION("""COMPUTED_VALUE"""),44636.51879613426)</f>
        <v>44636.5188</v>
      </c>
      <c r="C405" s="52" t="str">
        <f>IFERROR(__xludf.DUMMYFUNCTION("""COMPUTED_VALUE"""),"PARTNERS CAMPUS")</f>
        <v>PARTNERS CAMPUS</v>
      </c>
      <c r="D405" s="53">
        <f>IFERROR(__xludf.DUMMYFUNCTION("""COMPUTED_VALUE"""),44642.58333333333)</f>
        <v>44642.58333</v>
      </c>
      <c r="E405" s="81"/>
      <c r="F405" s="81">
        <v>6.064537199068582</v>
      </c>
    </row>
    <row r="406">
      <c r="A406" s="52" t="str">
        <f>IFERROR(__xludf.DUMMYFUNCTION("""COMPUTED_VALUE"""),"GUN-10405")</f>
        <v>GUN-10405</v>
      </c>
      <c r="B406" s="50">
        <f>IFERROR(__xludf.DUMMYFUNCTION("""COMPUTED_VALUE"""),44636.52245824074)</f>
        <v>44636.52246</v>
      </c>
      <c r="C406" s="52" t="str">
        <f>IFERROR(__xludf.DUMMYFUNCTION("""COMPUTED_VALUE"""),"PARTNERS CAMPUS")</f>
        <v>PARTNERS CAMPUS</v>
      </c>
      <c r="D406" s="53">
        <f>IFERROR(__xludf.DUMMYFUNCTION("""COMPUTED_VALUE"""),44642.58333333333)</f>
        <v>44642.58333</v>
      </c>
      <c r="E406" s="81"/>
      <c r="F406" s="81">
        <v>6.060875092589413</v>
      </c>
    </row>
    <row r="407">
      <c r="A407" s="52" t="str">
        <f>IFERROR(__xludf.DUMMYFUNCTION("""COMPUTED_VALUE"""),"GUN-10406")</f>
        <v>GUN-10406</v>
      </c>
      <c r="B407" s="50">
        <f>IFERROR(__xludf.DUMMYFUNCTION("""COMPUTED_VALUE"""),44636.52548835648)</f>
        <v>44636.52549</v>
      </c>
      <c r="C407" s="52" t="str">
        <f>IFERROR(__xludf.DUMMYFUNCTION("""COMPUTED_VALUE"""),"PARTNERS CAMPUS")</f>
        <v>PARTNERS CAMPUS</v>
      </c>
      <c r="D407" s="53">
        <f>IFERROR(__xludf.DUMMYFUNCTION("""COMPUTED_VALUE"""),44647.58333333333)</f>
        <v>44647.58333</v>
      </c>
      <c r="E407" s="81"/>
      <c r="F407" s="81">
        <v>11.057844976850902</v>
      </c>
    </row>
    <row r="408">
      <c r="A408" s="52" t="str">
        <f>IFERROR(__xludf.DUMMYFUNCTION("""COMPUTED_VALUE"""),"GUN-10407")</f>
        <v>GUN-10407</v>
      </c>
      <c r="B408" s="50">
        <f>IFERROR(__xludf.DUMMYFUNCTION("""COMPUTED_VALUE"""),44636.528751527774)</f>
        <v>44636.52875</v>
      </c>
      <c r="C408" s="52" t="str">
        <f>IFERROR(__xludf.DUMMYFUNCTION("""COMPUTED_VALUE"""),"PARTNERS CAMPUS")</f>
        <v>PARTNERS CAMPUS</v>
      </c>
      <c r="D408" s="53">
        <f>IFERROR(__xludf.DUMMYFUNCTION("""COMPUTED_VALUE"""),44641.5625)</f>
        <v>44641.5625</v>
      </c>
      <c r="E408" s="81"/>
      <c r="F408" s="81">
        <v>5.033748472225852</v>
      </c>
    </row>
    <row r="409">
      <c r="A409" s="52" t="str">
        <f>IFERROR(__xludf.DUMMYFUNCTION("""COMPUTED_VALUE"""),"GUN-10408")</f>
        <v>GUN-10408</v>
      </c>
      <c r="B409" s="50">
        <f>IFERROR(__xludf.DUMMYFUNCTION("""COMPUTED_VALUE"""),44636.53796152778)</f>
        <v>44636.53796</v>
      </c>
      <c r="C409" s="52" t="str">
        <f>IFERROR(__xludf.DUMMYFUNCTION("""COMPUTED_VALUE"""),"PARTNERS CAMPUS")</f>
        <v>PARTNERS CAMPUS</v>
      </c>
      <c r="D409" s="53">
        <f>IFERROR(__xludf.DUMMYFUNCTION("""COMPUTED_VALUE"""),44644.39583333333)</f>
        <v>44644.39583</v>
      </c>
      <c r="E409" s="81"/>
      <c r="F409" s="81">
        <v>7.8578718055505306</v>
      </c>
    </row>
    <row r="410">
      <c r="A410" s="52" t="str">
        <f>IFERROR(__xludf.DUMMYFUNCTION("""COMPUTED_VALUE"""),"GUN-10409")</f>
        <v>GUN-10409</v>
      </c>
      <c r="B410" s="50">
        <f>IFERROR(__xludf.DUMMYFUNCTION("""COMPUTED_VALUE"""),44636.65186596065)</f>
        <v>44636.65187</v>
      </c>
      <c r="C410" s="52" t="str">
        <f>IFERROR(__xludf.DUMMYFUNCTION("""COMPUTED_VALUE"""),"CERI")</f>
        <v>CERI</v>
      </c>
      <c r="D410" s="53">
        <f>IFERROR(__xludf.DUMMYFUNCTION("""COMPUTED_VALUE"""),44644.60416666667)</f>
        <v>44644.60417</v>
      </c>
      <c r="E410" s="81"/>
      <c r="F410" s="81">
        <v>7.9523007060197415</v>
      </c>
    </row>
    <row r="411">
      <c r="A411" s="52" t="str">
        <f>IFERROR(__xludf.DUMMYFUNCTION("""COMPUTED_VALUE"""),"GUN-10410")</f>
        <v>GUN-10410</v>
      </c>
      <c r="B411" s="50">
        <f>IFERROR(__xludf.DUMMYFUNCTION("""COMPUTED_VALUE"""),44636.719765821756)</f>
        <v>44636.71977</v>
      </c>
      <c r="C411" s="52" t="str">
        <f>IFERROR(__xludf.DUMMYFUNCTION("""COMPUTED_VALUE"""),"CDIEP")</f>
        <v>CDIEP</v>
      </c>
      <c r="D411" s="53">
        <f>IFERROR(__xludf.DUMMYFUNCTION("""COMPUTED_VALUE"""),44641.54166666667)</f>
        <v>44641.54167</v>
      </c>
      <c r="E411" s="81"/>
      <c r="F411" s="81">
        <v>4.821900844915945</v>
      </c>
    </row>
    <row r="412">
      <c r="A412" s="52" t="str">
        <f>IFERROR(__xludf.DUMMYFUNCTION("""COMPUTED_VALUE"""),"GUN-10411")</f>
        <v>GUN-10411</v>
      </c>
      <c r="B412" s="50">
        <f>IFERROR(__xludf.DUMMYFUNCTION("""COMPUTED_VALUE"""),44636.72917846065)</f>
        <v>44636.72918</v>
      </c>
      <c r="C412" s="52" t="str">
        <f>IFERROR(__xludf.DUMMYFUNCTION("""COMPUTED_VALUE"""),"CDIEP")</f>
        <v>CDIEP</v>
      </c>
      <c r="D412" s="53">
        <f>IFERROR(__xludf.DUMMYFUNCTION("""COMPUTED_VALUE"""),44643.6875)</f>
        <v>44643.6875</v>
      </c>
      <c r="E412" s="81"/>
      <c r="F412" s="81">
        <v>6.958321539350436</v>
      </c>
    </row>
    <row r="413">
      <c r="A413" s="52" t="str">
        <f>IFERROR(__xludf.DUMMYFUNCTION("""COMPUTED_VALUE"""),"GUN-10412")</f>
        <v>GUN-10412</v>
      </c>
      <c r="B413" s="50">
        <f>IFERROR(__xludf.DUMMYFUNCTION("""COMPUTED_VALUE"""),44636.90945947917)</f>
        <v>44636.90946</v>
      </c>
      <c r="C413" s="52" t="str">
        <f>IFERROR(__xludf.DUMMYFUNCTION("""COMPUTED_VALUE"""),"FELINORTE")</f>
        <v>FELINORTE</v>
      </c>
      <c r="D413" s="53">
        <f>IFERROR(__xludf.DUMMYFUNCTION("""COMPUTED_VALUE"""),44645.5625)</f>
        <v>44645.5625</v>
      </c>
      <c r="E413" s="81"/>
      <c r="F413" s="81">
        <v>8.653040520832292</v>
      </c>
    </row>
    <row r="414">
      <c r="A414" s="52" t="str">
        <f>IFERROR(__xludf.DUMMYFUNCTION("""COMPUTED_VALUE"""),"GUN-10413")</f>
        <v>GUN-10413</v>
      </c>
      <c r="B414" s="50">
        <f>IFERROR(__xludf.DUMMYFUNCTION("""COMPUTED_VALUE"""),44636.913826041666)</f>
        <v>44636.91383</v>
      </c>
      <c r="C414" s="52" t="str">
        <f>IFERROR(__xludf.DUMMYFUNCTION("""COMPUTED_VALUE"""),"FELINORTE")</f>
        <v>FELINORTE</v>
      </c>
      <c r="D414" s="53">
        <f>IFERROR(__xludf.DUMMYFUNCTION("""COMPUTED_VALUE"""),44646.33333333333)</f>
        <v>44646.33333</v>
      </c>
      <c r="E414" s="81"/>
      <c r="F414" s="81">
        <v>9.41950729166274</v>
      </c>
    </row>
    <row r="415">
      <c r="A415" s="52" t="str">
        <f>IFERROR(__xludf.DUMMYFUNCTION("""COMPUTED_VALUE"""),"GUN-10414")</f>
        <v>GUN-10414</v>
      </c>
      <c r="B415" s="50">
        <f>IFERROR(__xludf.DUMMYFUNCTION("""COMPUTED_VALUE"""),44637.35465065972)</f>
        <v>44637.35465</v>
      </c>
      <c r="C415" s="52" t="str">
        <f>IFERROR(__xludf.DUMMYFUNCTION("""COMPUTED_VALUE"""),"CEIM UNINORTE")</f>
        <v>CEIM UNINORTE</v>
      </c>
      <c r="D415" s="53">
        <f>IFERROR(__xludf.DUMMYFUNCTION("""COMPUTED_VALUE"""),44641.33333333333)</f>
        <v>44641.33333</v>
      </c>
      <c r="E415" s="81"/>
      <c r="F415" s="81">
        <v>3.9786826736090006</v>
      </c>
    </row>
    <row r="416">
      <c r="A416" s="52" t="str">
        <f>IFERROR(__xludf.DUMMYFUNCTION("""COMPUTED_VALUE"""),"GUN-10415")</f>
        <v>GUN-10415</v>
      </c>
      <c r="B416" s="50">
        <f>IFERROR(__xludf.DUMMYFUNCTION("""COMPUTED_VALUE"""),44637.35683243056)</f>
        <v>44637.35683</v>
      </c>
      <c r="C416" s="52" t="str">
        <f>IFERROR(__xludf.DUMMYFUNCTION("""COMPUTED_VALUE"""),"CEIM UNINORTE")</f>
        <v>CEIM UNINORTE</v>
      </c>
      <c r="D416" s="53">
        <f>IFERROR(__xludf.DUMMYFUNCTION("""COMPUTED_VALUE"""),44641.08333333333)</f>
        <v>44641.08333</v>
      </c>
      <c r="E416" s="81"/>
      <c r="F416" s="81">
        <v>3.7265009027687483</v>
      </c>
    </row>
    <row r="417">
      <c r="A417" s="52" t="str">
        <f>IFERROR(__xludf.DUMMYFUNCTION("""COMPUTED_VALUE"""),"GUN-10416")</f>
        <v>GUN-10416</v>
      </c>
      <c r="B417" s="50">
        <f>IFERROR(__xludf.DUMMYFUNCTION("""COMPUTED_VALUE"""),44637.35925835648)</f>
        <v>44637.35926</v>
      </c>
      <c r="C417" s="52" t="str">
        <f>IFERROR(__xludf.DUMMYFUNCTION("""COMPUTED_VALUE"""),"CEIM UNINORTE")</f>
        <v>CEIM UNINORTE</v>
      </c>
      <c r="D417" s="53">
        <f>IFERROR(__xludf.DUMMYFUNCTION("""COMPUTED_VALUE"""),44645.60416666667)</f>
        <v>44645.60417</v>
      </c>
      <c r="E417" s="81"/>
      <c r="F417" s="81">
        <v>8.244908310189203</v>
      </c>
    </row>
    <row r="418">
      <c r="A418" s="52" t="str">
        <f>IFERROR(__xludf.DUMMYFUNCTION("""COMPUTED_VALUE"""),"GUN-10417")</f>
        <v>GUN-10417</v>
      </c>
      <c r="B418" s="50">
        <f>IFERROR(__xludf.DUMMYFUNCTION("""COMPUTED_VALUE"""),44637.360875335646)</f>
        <v>44637.36088</v>
      </c>
      <c r="C418" s="52" t="str">
        <f>IFERROR(__xludf.DUMMYFUNCTION("""COMPUTED_VALUE"""),"CEIM UNINORTE")</f>
        <v>CEIM UNINORTE</v>
      </c>
      <c r="D418" s="53">
        <f>IFERROR(__xludf.DUMMYFUNCTION("""COMPUTED_VALUE"""),44641.39583333333)</f>
        <v>44641.39583</v>
      </c>
      <c r="E418" s="81"/>
      <c r="F418" s="81">
        <v>4.034957997682795</v>
      </c>
    </row>
    <row r="419">
      <c r="A419" s="52" t="str">
        <f>IFERROR(__xludf.DUMMYFUNCTION("""COMPUTED_VALUE"""),"GUN-10418")</f>
        <v>GUN-10418</v>
      </c>
      <c r="B419" s="50">
        <f>IFERROR(__xludf.DUMMYFUNCTION("""COMPUTED_VALUE"""),44637.37460225695)</f>
        <v>44637.3746</v>
      </c>
      <c r="C419" s="52" t="str">
        <f>IFERROR(__xludf.DUMMYFUNCTION("""COMPUTED_VALUE"""),"CEIM UNINORTE")</f>
        <v>CEIM UNINORTE</v>
      </c>
      <c r="D419" s="53">
        <f>IFERROR(__xludf.DUMMYFUNCTION("""COMPUTED_VALUE"""),44644.60416666667)</f>
        <v>44644.60417</v>
      </c>
      <c r="E419" s="81"/>
      <c r="F419" s="81">
        <v>7.229564409724844</v>
      </c>
    </row>
    <row r="420">
      <c r="A420" s="52" t="str">
        <f>IFERROR(__xludf.DUMMYFUNCTION("""COMPUTED_VALUE"""),"GUN-10419")</f>
        <v>GUN-10419</v>
      </c>
      <c r="B420" s="50">
        <f>IFERROR(__xludf.DUMMYFUNCTION("""COMPUTED_VALUE"""),44637.37784084491)</f>
        <v>44637.37784</v>
      </c>
      <c r="C420" s="52" t="str">
        <f>IFERROR(__xludf.DUMMYFUNCTION("""COMPUTED_VALUE"""),"CEIM UNINORTE")</f>
        <v>CEIM UNINORTE</v>
      </c>
      <c r="D420" s="53">
        <f>IFERROR(__xludf.DUMMYFUNCTION("""COMPUTED_VALUE"""),44650.60416666667)</f>
        <v>44650.60417</v>
      </c>
      <c r="E420" s="81"/>
      <c r="F420" s="81">
        <v>13.226325821764476</v>
      </c>
    </row>
    <row r="421">
      <c r="A421" s="52" t="str">
        <f>IFERROR(__xludf.DUMMYFUNCTION("""COMPUTED_VALUE"""),"GUN-10420")</f>
        <v>GUN-10420</v>
      </c>
      <c r="B421" s="50">
        <f>IFERROR(__xludf.DUMMYFUNCTION("""COMPUTED_VALUE"""),44637.392824629635)</f>
        <v>44637.39282</v>
      </c>
      <c r="C421" s="52" t="str">
        <f>IFERROR(__xludf.DUMMYFUNCTION("""COMPUTED_VALUE"""),"CEIM UNINORTE")</f>
        <v>CEIM UNINORTE</v>
      </c>
      <c r="D421" s="53">
        <f>IFERROR(__xludf.DUMMYFUNCTION("""COMPUTED_VALUE"""),44645.6875)</f>
        <v>44645.6875</v>
      </c>
      <c r="E421" s="81"/>
      <c r="F421" s="81">
        <v>8.29467537036544</v>
      </c>
    </row>
    <row r="422">
      <c r="A422" s="52" t="str">
        <f>IFERROR(__xludf.DUMMYFUNCTION("""COMPUTED_VALUE"""),"GUN-10421")</f>
        <v>GUN-10421</v>
      </c>
      <c r="B422" s="50">
        <f>IFERROR(__xludf.DUMMYFUNCTION("""COMPUTED_VALUE"""),44637.3936515625)</f>
        <v>44637.39365</v>
      </c>
      <c r="C422" s="52" t="str">
        <f>IFERROR(__xludf.DUMMYFUNCTION("""COMPUTED_VALUE"""),"CEIM UNINORTE")</f>
        <v>CEIM UNINORTE</v>
      </c>
      <c r="D422" s="53">
        <f>IFERROR(__xludf.DUMMYFUNCTION("""COMPUTED_VALUE"""),44645.72916666667)</f>
        <v>44645.72917</v>
      </c>
      <c r="E422" s="81"/>
      <c r="F422" s="81">
        <v>8.335515104168735</v>
      </c>
    </row>
    <row r="423">
      <c r="A423" s="52" t="str">
        <f>IFERROR(__xludf.DUMMYFUNCTION("""COMPUTED_VALUE"""),"GUN-10422")</f>
        <v>GUN-10422</v>
      </c>
      <c r="B423" s="50">
        <f>IFERROR(__xludf.DUMMYFUNCTION("""COMPUTED_VALUE"""),44637.400413773146)</f>
        <v>44637.40041</v>
      </c>
      <c r="C423" s="52" t="str">
        <f>IFERROR(__xludf.DUMMYFUNCTION("""COMPUTED_VALUE"""),"CEIM UNINORTE")</f>
        <v>CEIM UNINORTE</v>
      </c>
      <c r="D423" s="53">
        <f>IFERROR(__xludf.DUMMYFUNCTION("""COMPUTED_VALUE"""),44645.33333333333)</f>
        <v>44645.33333</v>
      </c>
      <c r="E423" s="81"/>
      <c r="F423" s="81">
        <v>7.932919560182199</v>
      </c>
    </row>
    <row r="424">
      <c r="A424" s="52" t="str">
        <f>IFERROR(__xludf.DUMMYFUNCTION("""COMPUTED_VALUE"""),"GUN-10423")</f>
        <v>GUN-10423</v>
      </c>
      <c r="B424" s="50">
        <f>IFERROR(__xludf.DUMMYFUNCTION("""COMPUTED_VALUE"""),44637.44227527778)</f>
        <v>44637.44228</v>
      </c>
      <c r="C424" s="52" t="str">
        <f>IFERROR(__xludf.DUMMYFUNCTION("""COMPUTED_VALUE"""),"ACM Student Chapter")</f>
        <v>ACM Student Chapter</v>
      </c>
      <c r="D424" s="53">
        <f>IFERROR(__xludf.DUMMYFUNCTION("""COMPUTED_VALUE"""),44645.10416666667)</f>
        <v>44645.10417</v>
      </c>
      <c r="E424" s="81"/>
      <c r="F424" s="81">
        <v>7.661891388888762</v>
      </c>
    </row>
    <row r="425">
      <c r="A425" s="52" t="str">
        <f>IFERROR(__xludf.DUMMYFUNCTION("""COMPUTED_VALUE"""),"GUN-10424")</f>
        <v>GUN-10424</v>
      </c>
      <c r="B425" s="50">
        <f>IFERROR(__xludf.DUMMYFUNCTION("""COMPUTED_VALUE"""),44637.44422023148)</f>
        <v>44637.44422</v>
      </c>
      <c r="C425" s="52" t="str">
        <f>IFERROR(__xludf.DUMMYFUNCTION("""COMPUTED_VALUE"""),"CEO")</f>
        <v>CEO</v>
      </c>
      <c r="D425" s="53">
        <f>IFERROR(__xludf.DUMMYFUNCTION("""COMPUTED_VALUE"""),44672.5625)</f>
        <v>44672.5625</v>
      </c>
      <c r="E425" s="81"/>
      <c r="F425" s="81">
        <v>35.11827976851782</v>
      </c>
    </row>
    <row r="426">
      <c r="A426" s="52" t="str">
        <f>IFERROR(__xludf.DUMMYFUNCTION("""COMPUTED_VALUE"""),"GUN-10425")</f>
        <v>GUN-10425</v>
      </c>
      <c r="B426" s="50">
        <f>IFERROR(__xludf.DUMMYFUNCTION("""COMPUTED_VALUE"""),44637.45488384259)</f>
        <v>44637.45488</v>
      </c>
      <c r="C426" s="52" t="str">
        <f>IFERROR(__xludf.DUMMYFUNCTION("""COMPUTED_VALUE"""),"CEO")</f>
        <v>CEO</v>
      </c>
      <c r="D426" s="53">
        <f>IFERROR(__xludf.DUMMYFUNCTION("""COMPUTED_VALUE"""),44679.5625)</f>
        <v>44679.5625</v>
      </c>
      <c r="E426" s="81"/>
      <c r="F426" s="81">
        <v>42.10761615740921</v>
      </c>
    </row>
    <row r="427">
      <c r="A427" s="52" t="str">
        <f>IFERROR(__xludf.DUMMYFUNCTION("""COMPUTED_VALUE"""),"GUN-10426")</f>
        <v>GUN-10426</v>
      </c>
      <c r="B427" s="50">
        <f>IFERROR(__xludf.DUMMYFUNCTION("""COMPUTED_VALUE"""),44637.45999512731)</f>
        <v>44637.46</v>
      </c>
      <c r="C427" s="52" t="str">
        <f>IFERROR(__xludf.DUMMYFUNCTION("""COMPUTED_VALUE"""),"CEO")</f>
        <v>CEO</v>
      </c>
      <c r="D427" s="53">
        <f>IFERROR(__xludf.DUMMYFUNCTION("""COMPUTED_VALUE"""),44693.5625)</f>
        <v>44693.5625</v>
      </c>
      <c r="E427" s="81"/>
      <c r="F427" s="81">
        <v>56.10250487268786</v>
      </c>
    </row>
    <row r="428">
      <c r="A428" s="52" t="str">
        <f>IFERROR(__xludf.DUMMYFUNCTION("""COMPUTED_VALUE"""),"GUN-10427")</f>
        <v>GUN-10427</v>
      </c>
      <c r="B428" s="50">
        <f>IFERROR(__xludf.DUMMYFUNCTION("""COMPUTED_VALUE"""),44637.46763341435)</f>
        <v>44637.46763</v>
      </c>
      <c r="C428" s="52" t="str">
        <f>IFERROR(__xludf.DUMMYFUNCTION("""COMPUTED_VALUE"""),"CEO")</f>
        <v>CEO</v>
      </c>
      <c r="D428" s="53">
        <f>IFERROR(__xludf.DUMMYFUNCTION("""COMPUTED_VALUE"""),44707.5625)</f>
        <v>44707.5625</v>
      </c>
      <c r="E428" s="81"/>
      <c r="F428" s="81">
        <v>70.09486658564856</v>
      </c>
    </row>
    <row r="429">
      <c r="A429" s="52" t="str">
        <f>IFERROR(__xludf.DUMMYFUNCTION("""COMPUTED_VALUE"""),"GUN-10428")</f>
        <v>GUN-10428</v>
      </c>
      <c r="B429" s="50">
        <f>IFERROR(__xludf.DUMMYFUNCTION("""COMPUTED_VALUE"""),44637.47150238426)</f>
        <v>44637.4715</v>
      </c>
      <c r="C429" s="52" t="str">
        <f>IFERROR(__xludf.DUMMYFUNCTION("""COMPUTED_VALUE"""),"CEO")</f>
        <v>CEO</v>
      </c>
      <c r="D429" s="53">
        <f>IFERROR(__xludf.DUMMYFUNCTION("""COMPUTED_VALUE"""),44658.5625)</f>
        <v>44658.5625</v>
      </c>
      <c r="E429" s="81"/>
      <c r="F429" s="81">
        <v>21.0909976157418</v>
      </c>
    </row>
    <row r="430">
      <c r="A430" s="52" t="str">
        <f>IFERROR(__xludf.DUMMYFUNCTION("""COMPUTED_VALUE"""),"GUN-10429")</f>
        <v>GUN-10429</v>
      </c>
      <c r="B430" s="50">
        <f>IFERROR(__xludf.DUMMYFUNCTION("""COMPUTED_VALUE"""),44637.47646756944)</f>
        <v>44637.47647</v>
      </c>
      <c r="C430" s="52" t="str">
        <f>IFERROR(__xludf.DUMMYFUNCTION("""COMPUTED_VALUE"""),"CEO")</f>
        <v>CEO</v>
      </c>
      <c r="D430" s="53">
        <f>IFERROR(__xludf.DUMMYFUNCTION("""COMPUTED_VALUE"""),44686.5625)</f>
        <v>44686.5625</v>
      </c>
      <c r="E430" s="81"/>
      <c r="F430" s="81">
        <v>49.08603243056132</v>
      </c>
    </row>
    <row r="431">
      <c r="A431" s="52" t="str">
        <f>IFERROR(__xludf.DUMMYFUNCTION("""COMPUTED_VALUE"""),"GUN-10430")</f>
        <v>GUN-10430</v>
      </c>
      <c r="B431" s="50">
        <f>IFERROR(__xludf.DUMMYFUNCTION("""COMPUTED_VALUE"""),44637.47912444444)</f>
        <v>44637.47912</v>
      </c>
      <c r="C431" s="52" t="str">
        <f>IFERROR(__xludf.DUMMYFUNCTION("""COMPUTED_VALUE"""),"CEO")</f>
        <v>CEO</v>
      </c>
      <c r="D431" s="53">
        <f>IFERROR(__xludf.DUMMYFUNCTION("""COMPUTED_VALUE"""),44700.5625)</f>
        <v>44700.5625</v>
      </c>
      <c r="E431" s="81"/>
      <c r="F431" s="81">
        <v>63.08337555555772</v>
      </c>
    </row>
    <row r="432">
      <c r="A432" s="52" t="str">
        <f>IFERROR(__xludf.DUMMYFUNCTION("""COMPUTED_VALUE"""),"GUN-10431")</f>
        <v>GUN-10431</v>
      </c>
      <c r="B432" s="50">
        <f>IFERROR(__xludf.DUMMYFUNCTION("""COMPUTED_VALUE"""),44637.48677217593)</f>
        <v>44637.48677</v>
      </c>
      <c r="C432" s="52" t="str">
        <f>IFERROR(__xludf.DUMMYFUNCTION("""COMPUTED_VALUE"""),"CEO")</f>
        <v>CEO</v>
      </c>
      <c r="D432" s="53">
        <f>IFERROR(__xludf.DUMMYFUNCTION("""COMPUTED_VALUE"""),44680.60416666667)</f>
        <v>44680.60417</v>
      </c>
      <c r="E432" s="81"/>
      <c r="F432" s="81">
        <v>43.1173944907423</v>
      </c>
    </row>
    <row r="433">
      <c r="A433" s="52" t="str">
        <f>IFERROR(__xludf.DUMMYFUNCTION("""COMPUTED_VALUE"""),"GUN-10432")</f>
        <v>GUN-10432</v>
      </c>
      <c r="B433" s="50">
        <f>IFERROR(__xludf.DUMMYFUNCTION("""COMPUTED_VALUE"""),44637.65892099537)</f>
        <v>44637.65892</v>
      </c>
      <c r="C433" s="52" t="str">
        <f>IFERROR(__xludf.DUMMYFUNCTION("""COMPUTED_VALUE"""),"ANEIC")</f>
        <v>ANEIC</v>
      </c>
      <c r="D433" s="53">
        <f>IFERROR(__xludf.DUMMYFUNCTION("""COMPUTED_VALUE"""),44644.85416666667)</f>
        <v>44644.85417</v>
      </c>
      <c r="E433" s="81"/>
      <c r="F433" s="81">
        <v>7.195245671304292</v>
      </c>
    </row>
    <row r="434">
      <c r="A434" s="52" t="str">
        <f>IFERROR(__xludf.DUMMYFUNCTION("""COMPUTED_VALUE"""),"GUN-10433")</f>
        <v>GUN-10433</v>
      </c>
      <c r="B434" s="50">
        <f>IFERROR(__xludf.DUMMYFUNCTION("""COMPUTED_VALUE"""),44637.7083965625)</f>
        <v>44637.7084</v>
      </c>
      <c r="C434" s="52" t="str">
        <f>IFERROR(__xludf.DUMMYFUNCTION("""COMPUTED_VALUE"""),"BK2")</f>
        <v>BK2</v>
      </c>
      <c r="D434" s="53">
        <f>IFERROR(__xludf.DUMMYFUNCTION("""COMPUTED_VALUE"""),44645.41666666667)</f>
        <v>44645.41667</v>
      </c>
      <c r="E434" s="81"/>
      <c r="F434" s="81">
        <v>7.708270104172698</v>
      </c>
    </row>
    <row r="435">
      <c r="A435" s="52" t="str">
        <f>IFERROR(__xludf.DUMMYFUNCTION("""COMPUTED_VALUE"""),"GUN-10434")</f>
        <v>GUN-10434</v>
      </c>
      <c r="B435" s="50">
        <f>IFERROR(__xludf.DUMMYFUNCTION("""COMPUTED_VALUE"""),44637.79875432871)</f>
        <v>44637.79875</v>
      </c>
      <c r="C435" s="52" t="str">
        <f>IFERROR(__xludf.DUMMYFUNCTION("""COMPUTED_VALUE"""),"INNOVA UN")</f>
        <v>INNOVA UN</v>
      </c>
      <c r="D435" s="53">
        <f>IFERROR(__xludf.DUMMYFUNCTION("""COMPUTED_VALUE"""),44643.64583333333)</f>
        <v>44643.64583</v>
      </c>
      <c r="E435" s="81"/>
      <c r="F435" s="81">
        <v>5.847079004619445</v>
      </c>
    </row>
    <row r="436">
      <c r="A436" s="52" t="str">
        <f>IFERROR(__xludf.DUMMYFUNCTION("""COMPUTED_VALUE"""),"GUN-10435")</f>
        <v>GUN-10435</v>
      </c>
      <c r="B436" s="50">
        <f>IFERROR(__xludf.DUMMYFUNCTION("""COMPUTED_VALUE"""),44637.86779635416)</f>
        <v>44637.8678</v>
      </c>
      <c r="C436" s="52" t="str">
        <f>IFERROR(__xludf.DUMMYFUNCTION("""COMPUTED_VALUE"""),"CIG-UN")</f>
        <v>CIG-UN</v>
      </c>
      <c r="D436" s="53">
        <f>IFERROR(__xludf.DUMMYFUNCTION("""COMPUTED_VALUE"""),44643.79166666667)</f>
        <v>44643.79167</v>
      </c>
      <c r="E436" s="81"/>
      <c r="F436" s="81">
        <v>5.92387031250837</v>
      </c>
    </row>
    <row r="437">
      <c r="A437" s="52" t="str">
        <f>IFERROR(__xludf.DUMMYFUNCTION("""COMPUTED_VALUE"""),"GUN-10436")</f>
        <v>GUN-10436</v>
      </c>
      <c r="B437" s="50">
        <f>IFERROR(__xludf.DUMMYFUNCTION("""COMPUTED_VALUE"""),44638.41323611111)</f>
        <v>44638.41324</v>
      </c>
      <c r="C437" s="52" t="str">
        <f>IFERROR(__xludf.DUMMYFUNCTION("""COMPUTED_VALUE"""),"ACM Student Chapter")</f>
        <v>ACM Student Chapter</v>
      </c>
      <c r="D437" s="53">
        <f>IFERROR(__xludf.DUMMYFUNCTION("""COMPUTED_VALUE"""),44644.35416666667)</f>
        <v>44644.35417</v>
      </c>
      <c r="E437" s="81"/>
      <c r="F437" s="81">
        <v>5.940930555560044</v>
      </c>
    </row>
    <row r="438">
      <c r="A438" s="52" t="str">
        <f>IFERROR(__xludf.DUMMYFUNCTION("""COMPUTED_VALUE"""),"GUN-10437")</f>
        <v>GUN-10437</v>
      </c>
      <c r="B438" s="50">
        <f>IFERROR(__xludf.DUMMYFUNCTION("""COMPUTED_VALUE"""),44638.65509886574)</f>
        <v>44638.6551</v>
      </c>
      <c r="C438" s="52" t="str">
        <f>IFERROR(__xludf.DUMMYFUNCTION("""COMPUTED_VALUE"""),"UNINORTE DIVERSO")</f>
        <v>UNINORTE DIVERSO</v>
      </c>
      <c r="D438" s="53">
        <f>IFERROR(__xludf.DUMMYFUNCTION("""COMPUTED_VALUE"""),44643.5)</f>
        <v>44643.5</v>
      </c>
      <c r="E438" s="81"/>
      <c r="F438" s="81">
        <v>4.844901134259999</v>
      </c>
    </row>
    <row r="439">
      <c r="A439" s="52" t="str">
        <f>IFERROR(__xludf.DUMMYFUNCTION("""COMPUTED_VALUE"""),"GUN-10438")</f>
        <v>GUN-10438</v>
      </c>
      <c r="B439" s="50">
        <f>IFERROR(__xludf.DUMMYFUNCTION("""COMPUTED_VALUE"""),44641.44462461805)</f>
        <v>44641.44462</v>
      </c>
      <c r="C439" s="52" t="str">
        <f>IFERROR(__xludf.DUMMYFUNCTION("""COMPUTED_VALUE"""),"CIG-UN")</f>
        <v>CIG-UN</v>
      </c>
      <c r="D439" s="53">
        <f>IFERROR(__xludf.DUMMYFUNCTION("""COMPUTED_VALUE"""),44641.41666666667)</f>
        <v>44641.41667</v>
      </c>
      <c r="E439" s="81"/>
      <c r="F439" s="81">
        <v>-0.02795795138081303</v>
      </c>
    </row>
    <row r="440">
      <c r="A440" s="52" t="str">
        <f>IFERROR(__xludf.DUMMYFUNCTION("""COMPUTED_VALUE"""),"GUN-10439")</f>
        <v>GUN-10439</v>
      </c>
      <c r="B440" s="50">
        <f>IFERROR(__xludf.DUMMYFUNCTION("""COMPUTED_VALUE"""),44641.45639304398)</f>
        <v>44641.45639</v>
      </c>
      <c r="C440" s="52" t="str">
        <f>IFERROR(__xludf.DUMMYFUNCTION("""COMPUTED_VALUE"""),"CIG-UN")</f>
        <v>CIG-UN</v>
      </c>
      <c r="D440" s="53">
        <f>IFERROR(__xludf.DUMMYFUNCTION("""COMPUTED_VALUE"""),44642.41666666667)</f>
        <v>44642.41667</v>
      </c>
      <c r="E440" s="81"/>
      <c r="F440" s="81">
        <v>0.9602736226879642</v>
      </c>
    </row>
    <row r="441">
      <c r="A441" s="52" t="str">
        <f>IFERROR(__xludf.DUMMYFUNCTION("""COMPUTED_VALUE"""),"GUN-10440")</f>
        <v>GUN-10440</v>
      </c>
      <c r="B441" s="50">
        <f>IFERROR(__xludf.DUMMYFUNCTION("""COMPUTED_VALUE"""),44641.4589184375)</f>
        <v>44641.45892</v>
      </c>
      <c r="C441" s="52" t="str">
        <f>IFERROR(__xludf.DUMMYFUNCTION("""COMPUTED_VALUE"""),"CIG-UN")</f>
        <v>CIG-UN</v>
      </c>
      <c r="D441" s="53">
        <f>IFERROR(__xludf.DUMMYFUNCTION("""COMPUTED_VALUE"""),44642.45833333333)</f>
        <v>44642.45833</v>
      </c>
      <c r="E441" s="81"/>
      <c r="F441" s="81">
        <v>0.9994148958285223</v>
      </c>
    </row>
    <row r="442">
      <c r="A442" s="52" t="str">
        <f>IFERROR(__xludf.DUMMYFUNCTION("""COMPUTED_VALUE"""),"GUN-10441")</f>
        <v>GUN-10441</v>
      </c>
      <c r="B442" s="50">
        <f>IFERROR(__xludf.DUMMYFUNCTION("""COMPUTED_VALUE"""),44641.81909557871)</f>
        <v>44641.8191</v>
      </c>
      <c r="C442" s="52" t="str">
        <f>IFERROR(__xludf.DUMMYFUNCTION("""COMPUTED_VALUE"""),"UNINORTE DIVERSO")</f>
        <v>UNINORTE DIVERSO</v>
      </c>
      <c r="D442" s="53">
        <f>IFERROR(__xludf.DUMMYFUNCTION("""COMPUTED_VALUE"""),44642.5625)</f>
        <v>44642.5625</v>
      </c>
      <c r="E442" s="81"/>
      <c r="F442" s="81">
        <v>0.7434044212932349</v>
      </c>
    </row>
    <row r="443">
      <c r="A443" s="52" t="str">
        <f>IFERROR(__xludf.DUMMYFUNCTION("""COMPUTED_VALUE"""),"GUN-10442")</f>
        <v>GUN-10442</v>
      </c>
      <c r="B443" s="50">
        <f>IFERROR(__xludf.DUMMYFUNCTION("""COMPUTED_VALUE"""),44641.929808368055)</f>
        <v>44641.92981</v>
      </c>
      <c r="C443" s="52" t="str">
        <f>IFERROR(__xludf.DUMMYFUNCTION("""COMPUTED_VALUE"""),"UNINORTE DIVERSO")</f>
        <v>UNINORTE DIVERSO</v>
      </c>
      <c r="D443" s="53">
        <f>IFERROR(__xludf.DUMMYFUNCTION("""COMPUTED_VALUE"""),44650.60416666667)</f>
        <v>44650.60417</v>
      </c>
      <c r="E443" s="81" t="str">
        <f>IFERROR(__xludf.DUMMYFUNCTION("""COMPUTED_VALUE"""),"ESTIMADO GRUPO QUE TIPO DE FONDOS SE RECAUDRAN Y COMO SERA LA DINAMICA DE LA ACTIVIDAD")</f>
        <v>ESTIMADO GRUPO QUE TIPO DE FONDOS SE RECAUDRAN Y COMO SERA LA DINAMICA DE LA ACTIVIDAD</v>
      </c>
      <c r="F443" s="81">
        <v>8.674358298616426</v>
      </c>
    </row>
    <row r="444">
      <c r="A444" s="52" t="str">
        <f>IFERROR(__xludf.DUMMYFUNCTION("""COMPUTED_VALUE"""),"GUN-10443")</f>
        <v>GUN-10443</v>
      </c>
      <c r="B444" s="50">
        <f>IFERROR(__xludf.DUMMYFUNCTION("""COMPUTED_VALUE"""),44642.44316189815)</f>
        <v>44642.44316</v>
      </c>
      <c r="C444" s="52" t="str">
        <f>IFERROR(__xludf.DUMMYFUNCTION("""COMPUTED_VALUE"""),"IISE")</f>
        <v>IISE</v>
      </c>
      <c r="D444" s="53">
        <f>IFERROR(__xludf.DUMMYFUNCTION("""COMPUTED_VALUE"""),44643.72916666667)</f>
        <v>44643.72917</v>
      </c>
      <c r="E444" s="81"/>
      <c r="F444" s="81">
        <v>1.2860047685244353</v>
      </c>
    </row>
    <row r="445">
      <c r="A445" s="52" t="str">
        <f>IFERROR(__xludf.DUMMYFUNCTION("""COMPUTED_VALUE"""),"GUN-10444")</f>
        <v>GUN-10444</v>
      </c>
      <c r="B445" s="50">
        <f>IFERROR(__xludf.DUMMYFUNCTION("""COMPUTED_VALUE"""),44643.397506284724)</f>
        <v>44643.39751</v>
      </c>
      <c r="C445" s="52" t="str">
        <f>IFERROR(__xludf.DUMMYFUNCTION("""COMPUTED_VALUE"""),"PANGEA")</f>
        <v>PANGEA</v>
      </c>
      <c r="D445" s="53">
        <f>IFERROR(__xludf.DUMMYFUNCTION("""COMPUTED_VALUE"""),44645.60416666667)</f>
        <v>44645.60417</v>
      </c>
      <c r="E445" s="81"/>
      <c r="F445" s="81">
        <v>2.206660381947586</v>
      </c>
    </row>
    <row r="446">
      <c r="A446" s="52" t="str">
        <f>IFERROR(__xludf.DUMMYFUNCTION("""COMPUTED_VALUE"""),"GUN-10445")</f>
        <v>GUN-10445</v>
      </c>
      <c r="B446" s="50">
        <f>IFERROR(__xludf.DUMMYFUNCTION("""COMPUTED_VALUE"""),44643.47290651621)</f>
        <v>44643.47291</v>
      </c>
      <c r="C446" s="52" t="str">
        <f>IFERROR(__xludf.DUMMYFUNCTION("""COMPUTED_VALUE"""),"FEMINUN")</f>
        <v>FEMINUN</v>
      </c>
      <c r="D446" s="53">
        <f>IFERROR(__xludf.DUMMYFUNCTION("""COMPUTED_VALUE"""),44648.625)</f>
        <v>44648.625</v>
      </c>
      <c r="E446" s="81"/>
      <c r="F446" s="81">
        <v>5.15209348378994</v>
      </c>
    </row>
    <row r="447">
      <c r="A447" s="52" t="str">
        <f>IFERROR(__xludf.DUMMYFUNCTION("""COMPUTED_VALUE"""),"GUN-10446")</f>
        <v>GUN-10446</v>
      </c>
      <c r="B447" s="50">
        <f>IFERROR(__xludf.DUMMYFUNCTION("""COMPUTED_VALUE"""),44643.47412005787)</f>
        <v>44643.47412</v>
      </c>
      <c r="C447" s="52" t="str">
        <f>IFERROR(__xludf.DUMMYFUNCTION("""COMPUTED_VALUE"""),"FEMINUN")</f>
        <v>FEMINUN</v>
      </c>
      <c r="D447" s="53">
        <f>IFERROR(__xludf.DUMMYFUNCTION("""COMPUTED_VALUE"""),44650.625)</f>
        <v>44650.625</v>
      </c>
      <c r="E447" s="81"/>
      <c r="F447" s="81">
        <v>7.1508799421280855</v>
      </c>
    </row>
    <row r="448">
      <c r="A448" s="52" t="str">
        <f>IFERROR(__xludf.DUMMYFUNCTION("""COMPUTED_VALUE"""),"GUN-10447")</f>
        <v>GUN-10447</v>
      </c>
      <c r="B448" s="50">
        <f>IFERROR(__xludf.DUMMYFUNCTION("""COMPUTED_VALUE"""),44643.475155625005)</f>
        <v>44643.47516</v>
      </c>
      <c r="C448" s="52" t="str">
        <f>IFERROR(__xludf.DUMMYFUNCTION("""COMPUTED_VALUE"""),"FEMINUN")</f>
        <v>FEMINUN</v>
      </c>
      <c r="D448" s="53">
        <f>IFERROR(__xludf.DUMMYFUNCTION("""COMPUTED_VALUE"""),44652.625)</f>
        <v>44652.625</v>
      </c>
      <c r="E448" s="81"/>
      <c r="F448" s="81">
        <v>9.149844374995155</v>
      </c>
    </row>
    <row r="449">
      <c r="A449" s="52" t="str">
        <f>IFERROR(__xludf.DUMMYFUNCTION("""COMPUTED_VALUE"""),"GUN-10448")</f>
        <v>GUN-10448</v>
      </c>
      <c r="B449" s="50">
        <f>IFERROR(__xludf.DUMMYFUNCTION("""COMPUTED_VALUE"""),44643.63139116898)</f>
        <v>44643.63139</v>
      </c>
      <c r="C449" s="52" t="str">
        <f>IFERROR(__xludf.DUMMYFUNCTION("""COMPUTED_VALUE"""),"CEO")</f>
        <v>CEO</v>
      </c>
      <c r="D449" s="53">
        <f>IFERROR(__xludf.DUMMYFUNCTION("""COMPUTED_VALUE"""),44674.39583333333)</f>
        <v>44674.39583</v>
      </c>
      <c r="E449" s="81"/>
      <c r="F449" s="81">
        <v>30.76444216434902</v>
      </c>
    </row>
    <row r="450">
      <c r="A450" s="52" t="str">
        <f>IFERROR(__xludf.DUMMYFUNCTION("""COMPUTED_VALUE"""),"GUN-10449")</f>
        <v>GUN-10449</v>
      </c>
      <c r="B450" s="50">
        <f>IFERROR(__xludf.DUMMYFUNCTION("""COMPUTED_VALUE"""),44643.645968310186)</f>
        <v>44643.64597</v>
      </c>
      <c r="C450" s="52" t="str">
        <f>IFERROR(__xludf.DUMMYFUNCTION("""COMPUTED_VALUE"""),"CEO")</f>
        <v>CEO</v>
      </c>
      <c r="D450" s="53">
        <f>IFERROR(__xludf.DUMMYFUNCTION("""COMPUTED_VALUE"""),44653.33333333333)</f>
        <v>44653.33333</v>
      </c>
      <c r="E450" s="81"/>
      <c r="F450" s="81">
        <v>9.687365023142775</v>
      </c>
    </row>
    <row r="451">
      <c r="A451" s="52" t="str">
        <f>IFERROR(__xludf.DUMMYFUNCTION("""COMPUTED_VALUE"""),"GUN-10450")</f>
        <v>GUN-10450</v>
      </c>
      <c r="B451" s="50">
        <f>IFERROR(__xludf.DUMMYFUNCTION("""COMPUTED_VALUE"""),44643.65107393518)</f>
        <v>44643.65107</v>
      </c>
      <c r="C451" s="52" t="str">
        <f>IFERROR(__xludf.DUMMYFUNCTION("""COMPUTED_VALUE"""),"CEO")</f>
        <v>CEO</v>
      </c>
      <c r="D451" s="53">
        <f>IFERROR(__xludf.DUMMYFUNCTION("""COMPUTED_VALUE"""),44660.79166666667)</f>
        <v>44660.79167</v>
      </c>
      <c r="E451" s="81"/>
      <c r="F451" s="81">
        <v>17.14059273149178</v>
      </c>
    </row>
    <row r="452">
      <c r="A452" s="52" t="str">
        <f>IFERROR(__xludf.DUMMYFUNCTION("""COMPUTED_VALUE"""),"GUN-10451")</f>
        <v>GUN-10451</v>
      </c>
      <c r="B452" s="50">
        <f>IFERROR(__xludf.DUMMYFUNCTION("""COMPUTED_VALUE"""),44643.734560833334)</f>
        <v>44643.73456</v>
      </c>
      <c r="C452" s="52" t="str">
        <f>IFERROR(__xludf.DUMMYFUNCTION("""COMPUTED_VALUE"""),"PANGEA")</f>
        <v>PANGEA</v>
      </c>
      <c r="D452" s="53">
        <f>IFERROR(__xludf.DUMMYFUNCTION("""COMPUTED_VALUE"""),44645.47916666667)</f>
        <v>44645.47917</v>
      </c>
      <c r="E452" s="81"/>
      <c r="F452" s="81">
        <v>1.7446058333371184</v>
      </c>
    </row>
    <row r="453">
      <c r="A453" s="52" t="str">
        <f>IFERROR(__xludf.DUMMYFUNCTION("""COMPUTED_VALUE"""),"GUN-10452")</f>
        <v>GUN-10452</v>
      </c>
      <c r="B453" s="50">
        <f>IFERROR(__xludf.DUMMYFUNCTION("""COMPUTED_VALUE"""),44643.80371185185)</f>
        <v>44643.80371</v>
      </c>
      <c r="C453" s="52" t="str">
        <f>IFERROR(__xludf.DUMMYFUNCTION("""COMPUTED_VALUE"""),"FAUNATICOS")</f>
        <v>FAUNATICOS</v>
      </c>
      <c r="D453" s="53">
        <f>IFERROR(__xludf.DUMMYFUNCTION("""COMPUTED_VALUE"""),44644.6875)</f>
        <v>44644.6875</v>
      </c>
      <c r="E453" s="81"/>
      <c r="F453" s="81">
        <v>0.8837881481522345</v>
      </c>
    </row>
    <row r="454">
      <c r="A454" s="52" t="str">
        <f>IFERROR(__xludf.DUMMYFUNCTION("""COMPUTED_VALUE"""),"GUN-10453")</f>
        <v>GUN-10453</v>
      </c>
      <c r="B454" s="50">
        <f>IFERROR(__xludf.DUMMYFUNCTION("""COMPUTED_VALUE"""),44643.82582641204)</f>
        <v>44643.82583</v>
      </c>
      <c r="C454" s="52" t="str">
        <f>IFERROR(__xludf.DUMMYFUNCTION("""COMPUTED_VALUE"""),"CERI")</f>
        <v>CERI</v>
      </c>
      <c r="D454" s="53">
        <f>IFERROR(__xludf.DUMMYFUNCTION("""COMPUTED_VALUE"""),44651.60416666667)</f>
        <v>44651.60417</v>
      </c>
      <c r="E454" s="81"/>
      <c r="F454" s="81">
        <v>7.778340254633804</v>
      </c>
    </row>
    <row r="455">
      <c r="A455" s="52" t="str">
        <f>IFERROR(__xludf.DUMMYFUNCTION("""COMPUTED_VALUE"""),"GUN-10454")</f>
        <v>GUN-10454</v>
      </c>
      <c r="B455" s="50">
        <f>IFERROR(__xludf.DUMMYFUNCTION("""COMPUTED_VALUE"""),44643.87441009259)</f>
        <v>44643.87441</v>
      </c>
      <c r="C455" s="52" t="str">
        <f>IFERROR(__xludf.DUMMYFUNCTION("""COMPUTED_VALUE"""),"CEO")</f>
        <v>CEO</v>
      </c>
      <c r="D455" s="53">
        <f>IFERROR(__xludf.DUMMYFUNCTION("""COMPUTED_VALUE"""),44664.77083333333)</f>
        <v>44664.77083</v>
      </c>
      <c r="E455" s="81"/>
      <c r="F455" s="81">
        <v>20.89642324073793</v>
      </c>
    </row>
    <row r="456">
      <c r="A456" s="52" t="str">
        <f>IFERROR(__xludf.DUMMYFUNCTION("""COMPUTED_VALUE"""),"GUN-10455")</f>
        <v>GUN-10455</v>
      </c>
      <c r="B456" s="50">
        <f>IFERROR(__xludf.DUMMYFUNCTION("""COMPUTED_VALUE"""),44643.87793265047)</f>
        <v>44643.87793</v>
      </c>
      <c r="C456" s="52" t="str">
        <f>IFERROR(__xludf.DUMMYFUNCTION("""COMPUTED_VALUE"""),"CEO")</f>
        <v>CEO</v>
      </c>
      <c r="D456" s="53">
        <f>IFERROR(__xludf.DUMMYFUNCTION("""COMPUTED_VALUE"""),44651.66666666667)</f>
        <v>44651.66667</v>
      </c>
      <c r="E456" s="81"/>
      <c r="F456" s="81">
        <v>7.788734016205126</v>
      </c>
    </row>
    <row r="457">
      <c r="A457" s="52" t="str">
        <f>IFERROR(__xludf.DUMMYFUNCTION("""COMPUTED_VALUE"""),"GUN-10456")</f>
        <v>GUN-10456</v>
      </c>
      <c r="B457" s="50">
        <f>IFERROR(__xludf.DUMMYFUNCTION("""COMPUTED_VALUE"""),44643.94494194445)</f>
        <v>44643.94494</v>
      </c>
      <c r="C457" s="52" t="str">
        <f>IFERROR(__xludf.DUMMYFUNCTION("""COMPUTED_VALUE"""),"CERI")</f>
        <v>CERI</v>
      </c>
      <c r="D457" s="53">
        <f>IFERROR(__xludf.DUMMYFUNCTION("""COMPUTED_VALUE"""),44650.60416666667)</f>
        <v>44650.60417</v>
      </c>
      <c r="E457" s="81"/>
      <c r="F457" s="81">
        <v>6.659224722221552</v>
      </c>
    </row>
    <row r="458">
      <c r="A458" s="52" t="str">
        <f>IFERROR(__xludf.DUMMYFUNCTION("""COMPUTED_VALUE"""),"GUN-10457")</f>
        <v>GUN-10457</v>
      </c>
      <c r="B458" s="50">
        <f>IFERROR(__xludf.DUMMYFUNCTION("""COMPUTED_VALUE"""),44643.94827140046)</f>
        <v>44643.94827</v>
      </c>
      <c r="C458" s="52" t="str">
        <f>IFERROR(__xludf.DUMMYFUNCTION("""COMPUTED_VALUE"""),"CIRCULO KDHARMA")</f>
        <v>CIRCULO KDHARMA</v>
      </c>
      <c r="D458" s="53">
        <f>IFERROR(__xludf.DUMMYFUNCTION("""COMPUTED_VALUE"""),44653.375)</f>
        <v>44653.375</v>
      </c>
      <c r="E458" s="81"/>
      <c r="F458" s="81">
        <v>9.426728599537455</v>
      </c>
    </row>
    <row r="459">
      <c r="A459" s="52" t="str">
        <f>IFERROR(__xludf.DUMMYFUNCTION("""COMPUTED_VALUE"""),"GUN-10458")</f>
        <v>GUN-10458</v>
      </c>
      <c r="B459" s="50">
        <f>IFERROR(__xludf.DUMMYFUNCTION("""COMPUTED_VALUE"""),44643.97268774306)</f>
        <v>44643.97269</v>
      </c>
      <c r="C459" s="52" t="str">
        <f>IFERROR(__xludf.DUMMYFUNCTION("""COMPUTED_VALUE"""),"UNINORTE DIVERSO")</f>
        <v>UNINORTE DIVERSO</v>
      </c>
      <c r="D459" s="53">
        <f>IFERROR(__xludf.DUMMYFUNCTION("""COMPUTED_VALUE"""),44646.58333333333)</f>
        <v>44646.58333</v>
      </c>
      <c r="E459" s="81"/>
      <c r="F459" s="81">
        <v>2.6106455902699963</v>
      </c>
    </row>
    <row r="460">
      <c r="A460" s="52" t="str">
        <f>IFERROR(__xludf.DUMMYFUNCTION("""COMPUTED_VALUE"""),"GUN-10459")</f>
        <v>GUN-10459</v>
      </c>
      <c r="B460" s="50">
        <f>IFERROR(__xludf.DUMMYFUNCTION("""COMPUTED_VALUE"""),44643.97510876157)</f>
        <v>44643.97511</v>
      </c>
      <c r="C460" s="52" t="str">
        <f>IFERROR(__xludf.DUMMYFUNCTION("""COMPUTED_VALUE"""),"CERI")</f>
        <v>CERI</v>
      </c>
      <c r="D460" s="53">
        <f>IFERROR(__xludf.DUMMYFUNCTION("""COMPUTED_VALUE"""),44651.64583333333)</f>
        <v>44651.64583</v>
      </c>
      <c r="E460" s="81"/>
      <c r="F460" s="81">
        <v>7.670724571755272</v>
      </c>
    </row>
    <row r="461">
      <c r="A461" s="52" t="str">
        <f>IFERROR(__xludf.DUMMYFUNCTION("""COMPUTED_VALUE"""),"GUN-10460")</f>
        <v>GUN-10460</v>
      </c>
      <c r="B461" s="50">
        <f>IFERROR(__xludf.DUMMYFUNCTION("""COMPUTED_VALUE"""),44643.9856959838)</f>
        <v>44643.9857</v>
      </c>
      <c r="C461" s="52" t="str">
        <f>IFERROR(__xludf.DUMMYFUNCTION("""COMPUTED_VALUE"""),"ANEIC")</f>
        <v>ANEIC</v>
      </c>
      <c r="D461" s="53">
        <f>IFERROR(__xludf.DUMMYFUNCTION("""COMPUTED_VALUE"""),44648.375)</f>
        <v>44648.375</v>
      </c>
      <c r="E461" s="81"/>
      <c r="F461" s="81">
        <v>4.389304016200185</v>
      </c>
    </row>
    <row r="462">
      <c r="A462" s="52" t="str">
        <f>IFERROR(__xludf.DUMMYFUNCTION("""COMPUTED_VALUE"""),"GUN-10461")</f>
        <v>GUN-10461</v>
      </c>
      <c r="B462" s="50">
        <f>IFERROR(__xludf.DUMMYFUNCTION("""COMPUTED_VALUE"""),44644.383554618056)</f>
        <v>44644.38355</v>
      </c>
      <c r="C462" s="52" t="str">
        <f>IFERROR(__xludf.DUMMYFUNCTION("""COMPUTED_VALUE"""),"GEN'S")</f>
        <v>GEN'S</v>
      </c>
      <c r="D462" s="53">
        <f>IFERROR(__xludf.DUMMYFUNCTION("""COMPUTED_VALUE"""),44652.1875)</f>
        <v>44652.1875</v>
      </c>
      <c r="E462" s="81"/>
      <c r="F462" s="81">
        <v>7.803945381943777</v>
      </c>
    </row>
    <row r="463">
      <c r="A463" s="52" t="str">
        <f>IFERROR(__xludf.DUMMYFUNCTION("""COMPUTED_VALUE"""),"GUN-10462")</f>
        <v>GUN-10462</v>
      </c>
      <c r="B463" s="50">
        <f>IFERROR(__xludf.DUMMYFUNCTION("""COMPUTED_VALUE"""),44644.39131263889)</f>
        <v>44644.39131</v>
      </c>
      <c r="C463" s="52" t="str">
        <f>IFERROR(__xludf.DUMMYFUNCTION("""COMPUTED_VALUE"""),"RAMEN Y TALK")</f>
        <v>RAMEN Y TALK</v>
      </c>
      <c r="D463" s="53">
        <f>IFERROR(__xludf.DUMMYFUNCTION("""COMPUTED_VALUE"""),44651.64583333333)</f>
        <v>44651.64583</v>
      </c>
      <c r="E463" s="81"/>
      <c r="F463" s="81">
        <v>7.254520694441453</v>
      </c>
    </row>
    <row r="464">
      <c r="A464" s="52" t="str">
        <f>IFERROR(__xludf.DUMMYFUNCTION("""COMPUTED_VALUE"""),"GUN-10463")</f>
        <v>GUN-10463</v>
      </c>
      <c r="B464" s="50">
        <f>IFERROR(__xludf.DUMMYFUNCTION("""COMPUTED_VALUE"""),44644.422140567134)</f>
        <v>44644.42214</v>
      </c>
      <c r="C464" s="52" t="str">
        <f>IFERROR(__xludf.DUMMYFUNCTION("""COMPUTED_VALUE"""),"CEIM UNINORTE")</f>
        <v>CEIM UNINORTE</v>
      </c>
      <c r="D464" s="53">
        <f>IFERROR(__xludf.DUMMYFUNCTION("""COMPUTED_VALUE"""),44653.58333333333)</f>
        <v>44653.58333</v>
      </c>
      <c r="E464" s="81"/>
      <c r="F464" s="81">
        <v>9.16119276619429</v>
      </c>
    </row>
    <row r="465">
      <c r="A465" s="52" t="str">
        <f>IFERROR(__xludf.DUMMYFUNCTION("""COMPUTED_VALUE"""),"GUN-10464")</f>
        <v>GUN-10464</v>
      </c>
      <c r="B465" s="50">
        <f>IFERROR(__xludf.DUMMYFUNCTION("""COMPUTED_VALUE"""),44644.42345555556)</f>
        <v>44644.42346</v>
      </c>
      <c r="C465" s="52" t="str">
        <f>IFERROR(__xludf.DUMMYFUNCTION("""COMPUTED_VALUE"""),"CEIM UNINORTE")</f>
        <v>CEIM UNINORTE</v>
      </c>
      <c r="D465" s="53">
        <f>IFERROR(__xludf.DUMMYFUNCTION("""COMPUTED_VALUE"""),44652.60416666667)</f>
        <v>44652.60417</v>
      </c>
      <c r="E465" s="81"/>
      <c r="F465" s="81">
        <v>8.180711111112032</v>
      </c>
    </row>
    <row r="466">
      <c r="A466" s="52" t="str">
        <f>IFERROR(__xludf.DUMMYFUNCTION("""COMPUTED_VALUE"""),"GUN-10465")</f>
        <v>GUN-10465</v>
      </c>
      <c r="B466" s="50">
        <f>IFERROR(__xludf.DUMMYFUNCTION("""COMPUTED_VALUE"""),44644.424374699076)</f>
        <v>44644.42437</v>
      </c>
      <c r="C466" s="52" t="str">
        <f>IFERROR(__xludf.DUMMYFUNCTION("""COMPUTED_VALUE"""),"CEIM UNINORTE")</f>
        <v>CEIM UNINORTE</v>
      </c>
      <c r="D466" s="53">
        <f>IFERROR(__xludf.DUMMYFUNCTION("""COMPUTED_VALUE"""),44652.77083333333)</f>
        <v>44652.77083</v>
      </c>
      <c r="E466" s="81"/>
      <c r="F466" s="81">
        <v>8.346458634252485</v>
      </c>
    </row>
    <row r="467">
      <c r="A467" s="52" t="str">
        <f>IFERROR(__xludf.DUMMYFUNCTION("""COMPUTED_VALUE"""),"GUN-10466")</f>
        <v>GUN-10466</v>
      </c>
      <c r="B467" s="50">
        <f>IFERROR(__xludf.DUMMYFUNCTION("""COMPUTED_VALUE"""),44644.44830054398)</f>
        <v>44644.4483</v>
      </c>
      <c r="C467" s="52" t="str">
        <f>IFERROR(__xludf.DUMMYFUNCTION("""COMPUTED_VALUE"""),"CIG-UN")</f>
        <v>CIG-UN</v>
      </c>
      <c r="D467" s="53">
        <f>IFERROR(__xludf.DUMMYFUNCTION("""COMPUTED_VALUE"""),44650.8125)</f>
        <v>44650.8125</v>
      </c>
      <c r="E467" s="81"/>
      <c r="F467" s="81">
        <v>6.3641994560166495</v>
      </c>
    </row>
    <row r="468">
      <c r="A468" s="52" t="str">
        <f>IFERROR(__xludf.DUMMYFUNCTION("""COMPUTED_VALUE"""),"GUN-10467")</f>
        <v>GUN-10467</v>
      </c>
      <c r="B468" s="50">
        <f>IFERROR(__xludf.DUMMYFUNCTION("""COMPUTED_VALUE"""),44644.4812409838)</f>
        <v>44644.48124</v>
      </c>
      <c r="C468" s="52" t="str">
        <f>IFERROR(__xludf.DUMMYFUNCTION("""COMPUTED_VALUE"""),"CEIM UNINORTE")</f>
        <v>CEIM UNINORTE</v>
      </c>
      <c r="D468" s="53">
        <f>IFERROR(__xludf.DUMMYFUNCTION("""COMPUTED_VALUE"""),44657.4375)</f>
        <v>44657.4375</v>
      </c>
      <c r="E468" s="81"/>
      <c r="F468" s="81">
        <v>12.956259016202239</v>
      </c>
    </row>
    <row r="469">
      <c r="A469" s="52" t="str">
        <f>IFERROR(__xludf.DUMMYFUNCTION("""COMPUTED_VALUE"""),"GUN-10468")</f>
        <v>GUN-10468</v>
      </c>
      <c r="B469" s="50">
        <f>IFERROR(__xludf.DUMMYFUNCTION("""COMPUTED_VALUE"""),44644.48172616898)</f>
        <v>44644.48173</v>
      </c>
      <c r="C469" s="52" t="str">
        <f>IFERROR(__xludf.DUMMYFUNCTION("""COMPUTED_VALUE"""),"PARTNERS CAMPUS")</f>
        <v>PARTNERS CAMPUS</v>
      </c>
      <c r="D469" s="53">
        <f>IFERROR(__xludf.DUMMYFUNCTION("""COMPUTED_VALUE"""),44648.58333333333)</f>
        <v>44648.58333</v>
      </c>
      <c r="E469" s="81"/>
      <c r="F469" s="81">
        <v>4.1016071643462055</v>
      </c>
    </row>
    <row r="470">
      <c r="A470" s="52" t="str">
        <f>IFERROR(__xludf.DUMMYFUNCTION("""COMPUTED_VALUE"""),"GUN-10469")</f>
        <v>GUN-10469</v>
      </c>
      <c r="B470" s="50">
        <f>IFERROR(__xludf.DUMMYFUNCTION("""COMPUTED_VALUE"""),44644.48680706019)</f>
        <v>44644.48681</v>
      </c>
      <c r="C470" s="52" t="str">
        <f>IFERROR(__xludf.DUMMYFUNCTION("""COMPUTED_VALUE"""),"PARTNERS CAMPUS")</f>
        <v>PARTNERS CAMPUS</v>
      </c>
      <c r="D470" s="53">
        <f>IFERROR(__xludf.DUMMYFUNCTION("""COMPUTED_VALUE"""),44653.33333333333)</f>
        <v>44653.33333</v>
      </c>
      <c r="E470" s="81"/>
      <c r="F470" s="81">
        <v>8.846526273140626</v>
      </c>
    </row>
    <row r="471">
      <c r="A471" s="52" t="str">
        <f>IFERROR(__xludf.DUMMYFUNCTION("""COMPUTED_VALUE"""),"GUN-10470")</f>
        <v>GUN-10470</v>
      </c>
      <c r="B471" s="50">
        <f>IFERROR(__xludf.DUMMYFUNCTION("""COMPUTED_VALUE"""),44644.48868865741)</f>
        <v>44644.48869</v>
      </c>
      <c r="C471" s="52" t="str">
        <f>IFERROR(__xludf.DUMMYFUNCTION("""COMPUTED_VALUE"""),"PARTNERS CAMPUS")</f>
        <v>PARTNERS CAMPUS</v>
      </c>
      <c r="D471" s="53">
        <f>IFERROR(__xludf.DUMMYFUNCTION("""COMPUTED_VALUE"""),44651.33333333333)</f>
        <v>44651.33333</v>
      </c>
      <c r="E471" s="81"/>
      <c r="F471" s="81">
        <v>6.844644675918971</v>
      </c>
    </row>
    <row r="472">
      <c r="A472" s="52" t="str">
        <f>IFERROR(__xludf.DUMMYFUNCTION("""COMPUTED_VALUE"""),"GUN-10471")</f>
        <v>GUN-10471</v>
      </c>
      <c r="B472" s="50">
        <f>IFERROR(__xludf.DUMMYFUNCTION("""COMPUTED_VALUE"""),44644.49053591435)</f>
        <v>44644.49054</v>
      </c>
      <c r="C472" s="52" t="str">
        <f>IFERROR(__xludf.DUMMYFUNCTION("""COMPUTED_VALUE"""),"PARTNERS CAMPUS")</f>
        <v>PARTNERS CAMPUS</v>
      </c>
      <c r="D472" s="53">
        <f>IFERROR(__xludf.DUMMYFUNCTION("""COMPUTED_VALUE"""),44652.72916666667)</f>
        <v>44652.72917</v>
      </c>
      <c r="E472" s="81"/>
      <c r="F472" s="81">
        <v>8.238630752319295</v>
      </c>
    </row>
    <row r="473">
      <c r="A473" s="52" t="str">
        <f>IFERROR(__xludf.DUMMYFUNCTION("""COMPUTED_VALUE"""),"GUN-10472")</f>
        <v>GUN-10472</v>
      </c>
      <c r="B473" s="50">
        <f>IFERROR(__xludf.DUMMYFUNCTION("""COMPUTED_VALUE"""),44644.492332511574)</f>
        <v>44644.49233</v>
      </c>
      <c r="C473" s="52" t="str">
        <f>IFERROR(__xludf.DUMMYFUNCTION("""COMPUTED_VALUE"""),"PARTNERS CAMPUS")</f>
        <v>PARTNERS CAMPUS</v>
      </c>
      <c r="D473" s="53">
        <f>IFERROR(__xludf.DUMMYFUNCTION("""COMPUTED_VALUE"""),44651.33333333333)</f>
        <v>44651.33333</v>
      </c>
      <c r="E473" s="81"/>
      <c r="F473" s="81">
        <v>6.841000821754278</v>
      </c>
    </row>
    <row r="474">
      <c r="A474" s="52" t="str">
        <f>IFERROR(__xludf.DUMMYFUNCTION("""COMPUTED_VALUE"""),"GUN-10473")</f>
        <v>GUN-10473</v>
      </c>
      <c r="B474" s="50">
        <f>IFERROR(__xludf.DUMMYFUNCTION("""COMPUTED_VALUE"""),44644.494321481485)</f>
        <v>44644.49432</v>
      </c>
      <c r="C474" s="52" t="str">
        <f>IFERROR(__xludf.DUMMYFUNCTION("""COMPUTED_VALUE"""),"PARTNERS CAMPUS")</f>
        <v>PARTNERS CAMPUS</v>
      </c>
      <c r="D474" s="53">
        <f>IFERROR(__xludf.DUMMYFUNCTION("""COMPUTED_VALUE"""),44653.64583333333)</f>
        <v>44653.64583</v>
      </c>
      <c r="E474" s="81"/>
      <c r="F474" s="81">
        <v>9.15151185184368</v>
      </c>
    </row>
    <row r="475">
      <c r="A475" s="52" t="str">
        <f>IFERROR(__xludf.DUMMYFUNCTION("""COMPUTED_VALUE"""),"GUN-10474")</f>
        <v>GUN-10474</v>
      </c>
      <c r="B475" s="50">
        <f>IFERROR(__xludf.DUMMYFUNCTION("""COMPUTED_VALUE"""),44644.49640525463)</f>
        <v>44644.49641</v>
      </c>
      <c r="C475" s="52" t="str">
        <f>IFERROR(__xludf.DUMMYFUNCTION("""COMPUTED_VALUE"""),"PARTNERS CAMPUS")</f>
        <v>PARTNERS CAMPUS</v>
      </c>
      <c r="D475" s="53">
        <f>IFERROR(__xludf.DUMMYFUNCTION("""COMPUTED_VALUE"""),44650.33333333333)</f>
        <v>44650.33333</v>
      </c>
      <c r="E475" s="81"/>
      <c r="F475" s="81">
        <v>5.836928078701021</v>
      </c>
    </row>
    <row r="476">
      <c r="A476" s="52" t="str">
        <f>IFERROR(__xludf.DUMMYFUNCTION("""COMPUTED_VALUE"""),"GUN-10475")</f>
        <v>GUN-10475</v>
      </c>
      <c r="B476" s="50">
        <f>IFERROR(__xludf.DUMMYFUNCTION("""COMPUTED_VALUE"""),44644.49745609954)</f>
        <v>44644.49746</v>
      </c>
      <c r="C476" s="52" t="str">
        <f>IFERROR(__xludf.DUMMYFUNCTION("""COMPUTED_VALUE"""),"PARTNERS CAMPUS")</f>
        <v>PARTNERS CAMPUS</v>
      </c>
      <c r="D476" s="53">
        <f>IFERROR(__xludf.DUMMYFUNCTION("""COMPUTED_VALUE"""),44651.39583333333)</f>
        <v>44651.39583</v>
      </c>
      <c r="E476" s="81"/>
      <c r="F476" s="81">
        <v>6.8983772337887785</v>
      </c>
    </row>
    <row r="477">
      <c r="A477" s="52" t="str">
        <f>IFERROR(__xludf.DUMMYFUNCTION("""COMPUTED_VALUE"""),"GUN-10476")</f>
        <v>GUN-10476</v>
      </c>
      <c r="B477" s="50">
        <f>IFERROR(__xludf.DUMMYFUNCTION("""COMPUTED_VALUE"""),44644.49895847223)</f>
        <v>44644.49896</v>
      </c>
      <c r="C477" s="52" t="str">
        <f>IFERROR(__xludf.DUMMYFUNCTION("""COMPUTED_VALUE"""),"PARTNERS CAMPUS")</f>
        <v>PARTNERS CAMPUS</v>
      </c>
      <c r="D477" s="53">
        <f>IFERROR(__xludf.DUMMYFUNCTION("""COMPUTED_VALUE"""),44651.60416666667)</f>
        <v>44651.60417</v>
      </c>
      <c r="E477" s="81"/>
      <c r="F477" s="81">
        <v>7.105208194443549</v>
      </c>
    </row>
    <row r="478">
      <c r="A478" s="52" t="str">
        <f>IFERROR(__xludf.DUMMYFUNCTION("""COMPUTED_VALUE"""),"GUN-10477")</f>
        <v>GUN-10477</v>
      </c>
      <c r="B478" s="50">
        <f>IFERROR(__xludf.DUMMYFUNCTION("""COMPUTED_VALUE"""),44644.49994878472)</f>
        <v>44644.49995</v>
      </c>
      <c r="C478" s="52" t="str">
        <f>IFERROR(__xludf.DUMMYFUNCTION("""COMPUTED_VALUE"""),"PARTNERS CAMPUS")</f>
        <v>PARTNERS CAMPUS</v>
      </c>
      <c r="D478" s="53">
        <f>IFERROR(__xludf.DUMMYFUNCTION("""COMPUTED_VALUE"""),44648.33333333333)</f>
        <v>44648.33333</v>
      </c>
      <c r="E478" s="81"/>
      <c r="F478" s="81">
        <v>3.833384548604954</v>
      </c>
    </row>
    <row r="479">
      <c r="A479" s="52" t="str">
        <f>IFERROR(__xludf.DUMMYFUNCTION("""COMPUTED_VALUE"""),"GUN-10478")</f>
        <v>GUN-10478</v>
      </c>
      <c r="B479" s="50">
        <f>IFERROR(__xludf.DUMMYFUNCTION("""COMPUTED_VALUE"""),44644.52990534722)</f>
        <v>44644.52991</v>
      </c>
      <c r="C479" s="52" t="str">
        <f>IFERROR(__xludf.DUMMYFUNCTION("""COMPUTED_VALUE"""),"CAFTA")</f>
        <v>CAFTA</v>
      </c>
      <c r="D479" s="53">
        <f>IFERROR(__xludf.DUMMYFUNCTION("""COMPUTED_VALUE"""),44652.60416666667)</f>
        <v>44652.60417</v>
      </c>
      <c r="E479" s="81"/>
      <c r="F479" s="81">
        <v>8.07426131945249</v>
      </c>
    </row>
    <row r="480">
      <c r="A480" s="52" t="str">
        <f>IFERROR(__xludf.DUMMYFUNCTION("""COMPUTED_VALUE"""),"GUN-10479")</f>
        <v>GUN-10479</v>
      </c>
      <c r="B480" s="50">
        <f>IFERROR(__xludf.DUMMYFUNCTION("""COMPUTED_VALUE"""),44644.77849275463)</f>
        <v>44644.77849</v>
      </c>
      <c r="C480" s="52" t="str">
        <f>IFERROR(__xludf.DUMMYFUNCTION("""COMPUTED_VALUE"""),"CRU")</f>
        <v>CRU</v>
      </c>
      <c r="D480" s="53">
        <f>IFERROR(__xludf.DUMMYFUNCTION("""COMPUTED_VALUE"""),44651.52083333333)</f>
        <v>44651.52083</v>
      </c>
      <c r="E480" s="81"/>
      <c r="F480" s="81">
        <v>6.742340578697622</v>
      </c>
    </row>
    <row r="481">
      <c r="A481" s="52" t="str">
        <f>IFERROR(__xludf.DUMMYFUNCTION("""COMPUTED_VALUE"""),"GUN-10480")</f>
        <v>GUN-10480</v>
      </c>
      <c r="B481" s="50">
        <f>IFERROR(__xludf.DUMMYFUNCTION("""COMPUTED_VALUE"""),44645.48834232639)</f>
        <v>44645.48834</v>
      </c>
      <c r="C481" s="52" t="str">
        <f>IFERROR(__xludf.DUMMYFUNCTION("""COMPUTED_VALUE"""),"CDIEP")</f>
        <v>CDIEP</v>
      </c>
      <c r="D481" s="53">
        <f>IFERROR(__xludf.DUMMYFUNCTION("""COMPUTED_VALUE"""),44650.58333333333)</f>
        <v>44650.58333</v>
      </c>
      <c r="E481" s="81"/>
      <c r="F481" s="81">
        <v>5.094991006939381</v>
      </c>
    </row>
    <row r="482">
      <c r="A482" s="52" t="str">
        <f>IFERROR(__xludf.DUMMYFUNCTION("""COMPUTED_VALUE"""),"GUN-10481")</f>
        <v>GUN-10481</v>
      </c>
      <c r="B482" s="50">
        <f>IFERROR(__xludf.DUMMYFUNCTION("""COMPUTED_VALUE"""),44645.50005598379)</f>
        <v>44645.50006</v>
      </c>
      <c r="C482" s="52" t="str">
        <f>IFERROR(__xludf.DUMMYFUNCTION("""COMPUTED_VALUE"""),"CDIEP")</f>
        <v>CDIEP</v>
      </c>
      <c r="D482" s="53">
        <f>IFERROR(__xludf.DUMMYFUNCTION("""COMPUTED_VALUE"""),44657.39583333333)</f>
        <v>44657.39583</v>
      </c>
      <c r="E482" s="81"/>
      <c r="F482" s="81">
        <v>11.89577734953491</v>
      </c>
    </row>
    <row r="483">
      <c r="A483" s="52" t="str">
        <f>IFERROR(__xludf.DUMMYFUNCTION("""COMPUTED_VALUE"""),"GUN-10482")</f>
        <v>GUN-10482</v>
      </c>
      <c r="B483" s="50">
        <f>IFERROR(__xludf.DUMMYFUNCTION("""COMPUTED_VALUE"""),44645.62608341435)</f>
        <v>44645.62608</v>
      </c>
      <c r="C483" s="52" t="str">
        <f>IFERROR(__xludf.DUMMYFUNCTION("""COMPUTED_VALUE"""),"ACM Student Chapter")</f>
        <v>ACM Student Chapter</v>
      </c>
      <c r="D483" s="53">
        <f>IFERROR(__xludf.DUMMYFUNCTION("""COMPUTED_VALUE"""),44651.35416666667)</f>
        <v>44651.35417</v>
      </c>
      <c r="E483" s="81"/>
      <c r="F483" s="81">
        <v>5.728083252324723</v>
      </c>
    </row>
    <row r="484">
      <c r="A484" s="52" t="str">
        <f>IFERROR(__xludf.DUMMYFUNCTION("""COMPUTED_VALUE"""),"GUN-10483")</f>
        <v>GUN-10483</v>
      </c>
      <c r="B484" s="50">
        <f>IFERROR(__xludf.DUMMYFUNCTION("""COMPUTED_VALUE"""),44646.71165519676)</f>
        <v>44646.71166</v>
      </c>
      <c r="C484" s="52" t="str">
        <f>IFERROR(__xludf.DUMMYFUNCTION("""COMPUTED_VALUE"""),"UNINORTE DIVERSO")</f>
        <v>UNINORTE DIVERSO</v>
      </c>
      <c r="D484" s="53">
        <f>IFERROR(__xludf.DUMMYFUNCTION("""COMPUTED_VALUE"""),44652.52083333333)</f>
        <v>44652.52083</v>
      </c>
      <c r="E484" s="81"/>
      <c r="F484" s="81">
        <v>5.809178136565606</v>
      </c>
    </row>
    <row r="485">
      <c r="A485" s="52" t="str">
        <f>IFERROR(__xludf.DUMMYFUNCTION("""COMPUTED_VALUE"""),"GUN-10484")</f>
        <v>GUN-10484</v>
      </c>
      <c r="B485" s="50">
        <f>IFERROR(__xludf.DUMMYFUNCTION("""COMPUTED_VALUE"""),44646.7381228588)</f>
        <v>44646.73812</v>
      </c>
      <c r="C485" s="52" t="str">
        <f>IFERROR(__xludf.DUMMYFUNCTION("""COMPUTED_VALUE"""),"PANGEA")</f>
        <v>PANGEA</v>
      </c>
      <c r="D485" s="53">
        <f>IFERROR(__xludf.DUMMYFUNCTION("""COMPUTED_VALUE"""),44652.60416666667)</f>
        <v>44652.60417</v>
      </c>
      <c r="E485" s="81"/>
      <c r="F485" s="81">
        <v>5.866043807873211</v>
      </c>
    </row>
    <row r="486">
      <c r="A486" s="52" t="str">
        <f>IFERROR(__xludf.DUMMYFUNCTION("""COMPUTED_VALUE"""),"GUN-10485")</f>
        <v>GUN-10485</v>
      </c>
      <c r="B486" s="50">
        <f>IFERROR(__xludf.DUMMYFUNCTION("""COMPUTED_VALUE"""),44648.541870243054)</f>
        <v>44648.54187</v>
      </c>
      <c r="C486" s="52" t="str">
        <f>IFERROR(__xludf.DUMMYFUNCTION("""COMPUTED_VALUE"""),"PANGEA")</f>
        <v>PANGEA</v>
      </c>
      <c r="D486" s="53">
        <f>IFERROR(__xludf.DUMMYFUNCTION("""COMPUTED_VALUE"""),44653.33333333333)</f>
        <v>44653.33333</v>
      </c>
      <c r="E486" s="81"/>
      <c r="F486" s="81">
        <v>4.791463090274192</v>
      </c>
    </row>
    <row r="487">
      <c r="A487" s="52" t="str">
        <f>IFERROR(__xludf.DUMMYFUNCTION("""COMPUTED_VALUE"""),"GUN-10486")</f>
        <v>GUN-10486</v>
      </c>
      <c r="B487" s="50">
        <f>IFERROR(__xludf.DUMMYFUNCTION("""COMPUTED_VALUE"""),44650.371542650464)</f>
        <v>44650.37154</v>
      </c>
      <c r="C487" s="52" t="str">
        <f>IFERROR(__xludf.DUMMYFUNCTION("""COMPUTED_VALUE"""),"CEARQ")</f>
        <v>CEARQ</v>
      </c>
      <c r="D487" s="53">
        <f>IFERROR(__xludf.DUMMYFUNCTION("""COMPUTED_VALUE"""),44652.6875)</f>
        <v>44652.6875</v>
      </c>
      <c r="E487" s="81"/>
      <c r="F487" s="81">
        <v>2.3159573495358927</v>
      </c>
    </row>
    <row r="488">
      <c r="A488" s="52" t="str">
        <f>IFERROR(__xludf.DUMMYFUNCTION("""COMPUTED_VALUE"""),"GUN-10487")</f>
        <v>GUN-10487</v>
      </c>
      <c r="B488" s="50">
        <f>IFERROR(__xludf.DUMMYFUNCTION("""COMPUTED_VALUE"""),44650.56535853009)</f>
        <v>44650.56536</v>
      </c>
      <c r="C488" s="52" t="str">
        <f>IFERROR(__xludf.DUMMYFUNCTION("""COMPUTED_VALUE"""),"FEMINUN")</f>
        <v>FEMINUN</v>
      </c>
      <c r="D488" s="53">
        <f>IFERROR(__xludf.DUMMYFUNCTION("""COMPUTED_VALUE"""),44659.60416666667)</f>
        <v>44659.60417</v>
      </c>
      <c r="E488" s="81"/>
      <c r="F488" s="81">
        <v>9.038808136581792</v>
      </c>
    </row>
    <row r="489">
      <c r="A489" s="52" t="str">
        <f>IFERROR(__xludf.DUMMYFUNCTION("""COMPUTED_VALUE"""),"GUN-10488")</f>
        <v>GUN-10488</v>
      </c>
      <c r="B489" s="50">
        <f>IFERROR(__xludf.DUMMYFUNCTION("""COMPUTED_VALUE"""),44650.878368275466)</f>
        <v>44650.87837</v>
      </c>
      <c r="C489" s="52" t="str">
        <f>IFERROR(__xludf.DUMMYFUNCTION("""COMPUTED_VALUE"""),"CERI")</f>
        <v>CERI</v>
      </c>
      <c r="D489" s="53">
        <f>IFERROR(__xludf.DUMMYFUNCTION("""COMPUTED_VALUE"""),44656.4375)</f>
        <v>44656.4375</v>
      </c>
      <c r="E489" s="81"/>
      <c r="F489" s="81">
        <v>5.559131724534382</v>
      </c>
    </row>
    <row r="490">
      <c r="A490" s="52" t="str">
        <f>IFERROR(__xludf.DUMMYFUNCTION("""COMPUTED_VALUE"""),"GUN-10489")</f>
        <v>GUN-10489</v>
      </c>
      <c r="B490" s="50">
        <f>IFERROR(__xludf.DUMMYFUNCTION("""COMPUTED_VALUE"""),44651.33839513889)</f>
        <v>44651.3384</v>
      </c>
      <c r="C490" s="52" t="str">
        <f>IFERROR(__xludf.DUMMYFUNCTION("""COMPUTED_VALUE"""),"UNINORTE DIVERSO")</f>
        <v>UNINORTE DIVERSO</v>
      </c>
      <c r="D490" s="53">
        <f>IFERROR(__xludf.DUMMYFUNCTION("""COMPUTED_VALUE"""),44655.64583333333)</f>
        <v>44655.64583</v>
      </c>
      <c r="E490" s="81"/>
      <c r="F490" s="81">
        <v>4.307438194438873</v>
      </c>
    </row>
    <row r="491">
      <c r="A491" s="52" t="str">
        <f>IFERROR(__xludf.DUMMYFUNCTION("""COMPUTED_VALUE"""),"GUN-10490")</f>
        <v>GUN-10490</v>
      </c>
      <c r="B491" s="50">
        <f>IFERROR(__xludf.DUMMYFUNCTION("""COMPUTED_VALUE"""),44651.361184155096)</f>
        <v>44651.36118</v>
      </c>
      <c r="C491" s="52" t="str">
        <f>IFERROR(__xludf.DUMMYFUNCTION("""COMPUTED_VALUE"""),"UNINORTE DIVERSO")</f>
        <v>UNINORTE DIVERSO</v>
      </c>
      <c r="D491" s="53">
        <f>IFERROR(__xludf.DUMMYFUNCTION("""COMPUTED_VALUE"""),44656.60416666667)</f>
        <v>44656.60417</v>
      </c>
      <c r="E491" s="81"/>
      <c r="F491" s="81">
        <v>5.242982511575974</v>
      </c>
    </row>
    <row r="492">
      <c r="A492" s="52" t="str">
        <f>IFERROR(__xludf.DUMMYFUNCTION("""COMPUTED_VALUE"""),"GUN-10491")</f>
        <v>GUN-10491</v>
      </c>
      <c r="B492" s="50">
        <f>IFERROR(__xludf.DUMMYFUNCTION("""COMPUTED_VALUE"""),44651.37574200231)</f>
        <v>44651.37574</v>
      </c>
      <c r="C492" s="52" t="str">
        <f>IFERROR(__xludf.DUMMYFUNCTION("""COMPUTED_VALUE"""),"FELINORTE")</f>
        <v>FELINORTE</v>
      </c>
      <c r="D492" s="53">
        <f>IFERROR(__xludf.DUMMYFUNCTION("""COMPUTED_VALUE"""),44653.58333333333)</f>
        <v>44653.58333</v>
      </c>
      <c r="E492" s="81"/>
      <c r="F492" s="81">
        <v>2.207591331018193</v>
      </c>
    </row>
    <row r="493">
      <c r="A493" s="52" t="str">
        <f>IFERROR(__xludf.DUMMYFUNCTION("""COMPUTED_VALUE"""),"GUN-10492")</f>
        <v>GUN-10492</v>
      </c>
      <c r="B493" s="50">
        <f>IFERROR(__xludf.DUMMYFUNCTION("""COMPUTED_VALUE"""),44651.37725872685)</f>
        <v>44651.37726</v>
      </c>
      <c r="C493" s="52" t="str">
        <f>IFERROR(__xludf.DUMMYFUNCTION("""COMPUTED_VALUE"""),"FELINORTE")</f>
        <v>FELINORTE</v>
      </c>
      <c r="D493" s="53">
        <f>IFERROR(__xludf.DUMMYFUNCTION("""COMPUTED_VALUE"""),44655.375)</f>
        <v>44655.375</v>
      </c>
      <c r="E493" s="81"/>
      <c r="F493" s="81">
        <v>3.997741273153224</v>
      </c>
    </row>
    <row r="494">
      <c r="A494" s="52" t="str">
        <f>IFERROR(__xludf.DUMMYFUNCTION("""COMPUTED_VALUE"""),"GUN-10493")</f>
        <v>GUN-10493</v>
      </c>
      <c r="B494" s="50">
        <f>IFERROR(__xludf.DUMMYFUNCTION("""COMPUTED_VALUE"""),44651.38598640046)</f>
        <v>44651.38599</v>
      </c>
      <c r="C494" s="52" t="str">
        <f>IFERROR(__xludf.DUMMYFUNCTION("""COMPUTED_VALUE"""),"PARTNERS CAMPUS")</f>
        <v>PARTNERS CAMPUS</v>
      </c>
      <c r="D494" s="53">
        <f>IFERROR(__xludf.DUMMYFUNCTION("""COMPUTED_VALUE"""),44660.33333333333)</f>
        <v>44660.33333</v>
      </c>
      <c r="E494" s="81"/>
      <c r="F494" s="81">
        <v>8.947346932865912</v>
      </c>
    </row>
    <row r="495">
      <c r="A495" s="52" t="str">
        <f>IFERROR(__xludf.DUMMYFUNCTION("""COMPUTED_VALUE"""),"GUN-10494")</f>
        <v>GUN-10494</v>
      </c>
      <c r="B495" s="50">
        <f>IFERROR(__xludf.DUMMYFUNCTION("""COMPUTED_VALUE"""),44651.38748131944)</f>
        <v>44651.38748</v>
      </c>
      <c r="C495" s="52" t="str">
        <f>IFERROR(__xludf.DUMMYFUNCTION("""COMPUTED_VALUE"""),"CEIM UNINORTE")</f>
        <v>CEIM UNINORTE</v>
      </c>
      <c r="D495" s="53">
        <f>IFERROR(__xludf.DUMMYFUNCTION("""COMPUTED_VALUE"""),44657.4375)</f>
        <v>44657.4375</v>
      </c>
      <c r="E495" s="81"/>
      <c r="F495" s="81">
        <v>6.0500186805584235</v>
      </c>
    </row>
    <row r="496">
      <c r="A496" s="52" t="str">
        <f>IFERROR(__xludf.DUMMYFUNCTION("""COMPUTED_VALUE"""),"GUN-10495")</f>
        <v>GUN-10495</v>
      </c>
      <c r="B496" s="50">
        <f>IFERROR(__xludf.DUMMYFUNCTION("""COMPUTED_VALUE"""),44651.387839421295)</f>
        <v>44651.38784</v>
      </c>
      <c r="C496" s="52" t="str">
        <f>IFERROR(__xludf.DUMMYFUNCTION("""COMPUTED_VALUE"""),"PARTNERS CAMPUS")</f>
        <v>PARTNERS CAMPUS</v>
      </c>
      <c r="D496" s="53">
        <f>IFERROR(__xludf.DUMMYFUNCTION("""COMPUTED_VALUE"""),44658.39583333333)</f>
        <v>44658.39583</v>
      </c>
      <c r="E496" s="81"/>
      <c r="F496" s="81">
        <v>7.007993912033271</v>
      </c>
    </row>
    <row r="497">
      <c r="A497" s="52" t="str">
        <f>IFERROR(__xludf.DUMMYFUNCTION("""COMPUTED_VALUE"""),"GUN-10496")</f>
        <v>GUN-10496</v>
      </c>
      <c r="B497" s="50">
        <f>IFERROR(__xludf.DUMMYFUNCTION("""COMPUTED_VALUE"""),44651.38888710648)</f>
        <v>44651.38889</v>
      </c>
      <c r="C497" s="52" t="str">
        <f>IFERROR(__xludf.DUMMYFUNCTION("""COMPUTED_VALUE"""),"CEIM UNINORTE")</f>
        <v>CEIM UNINORTE</v>
      </c>
      <c r="D497" s="53">
        <f>IFERROR(__xludf.DUMMYFUNCTION("""COMPUTED_VALUE"""),44658.60416666667)</f>
        <v>44658.60417</v>
      </c>
      <c r="E497" s="81"/>
      <c r="F497" s="81">
        <v>7.215279560194176</v>
      </c>
    </row>
    <row r="498">
      <c r="A498" s="52" t="str">
        <f>IFERROR(__xludf.DUMMYFUNCTION("""COMPUTED_VALUE"""),"GUN-10497")</f>
        <v>GUN-10497</v>
      </c>
      <c r="B498" s="50">
        <f>IFERROR(__xludf.DUMMYFUNCTION("""COMPUTED_VALUE"""),44651.3892178588)</f>
        <v>44651.38922</v>
      </c>
      <c r="C498" s="52" t="str">
        <f>IFERROR(__xludf.DUMMYFUNCTION("""COMPUTED_VALUE"""),"PARTNERS CAMPUS")</f>
        <v>PARTNERS CAMPUS</v>
      </c>
      <c r="D498" s="53">
        <f>IFERROR(__xludf.DUMMYFUNCTION("""COMPUTED_VALUE"""),44655.33333333333)</f>
        <v>44655.33333</v>
      </c>
      <c r="E498" s="81"/>
      <c r="F498" s="81">
        <v>3.9441154745290987</v>
      </c>
    </row>
    <row r="499">
      <c r="A499" s="52" t="str">
        <f>IFERROR(__xludf.DUMMYFUNCTION("""COMPUTED_VALUE"""),"GUN-10498")</f>
        <v>GUN-10498</v>
      </c>
      <c r="B499" s="50">
        <f>IFERROR(__xludf.DUMMYFUNCTION("""COMPUTED_VALUE"""),44651.38993980324)</f>
        <v>44651.38994</v>
      </c>
      <c r="C499" s="52" t="str">
        <f>IFERROR(__xludf.DUMMYFUNCTION("""COMPUTED_VALUE"""),"CEIM UNINORTE")</f>
        <v>CEIM UNINORTE</v>
      </c>
      <c r="D499" s="53">
        <f>IFERROR(__xludf.DUMMYFUNCTION("""COMPUTED_VALUE"""),44660.58333333333)</f>
        <v>44660.58333</v>
      </c>
      <c r="E499" s="81"/>
      <c r="F499" s="81">
        <v>9.19339353009127</v>
      </c>
    </row>
    <row r="500">
      <c r="A500" s="52" t="str">
        <f>IFERROR(__xludf.DUMMYFUNCTION("""COMPUTED_VALUE"""),"GUN-10499")</f>
        <v>GUN-10499</v>
      </c>
      <c r="B500" s="50">
        <f>IFERROR(__xludf.DUMMYFUNCTION("""COMPUTED_VALUE"""),44651.390775740736)</f>
        <v>44651.39078</v>
      </c>
      <c r="C500" s="52" t="str">
        <f>IFERROR(__xludf.DUMMYFUNCTION("""COMPUTED_VALUE"""),"CEIM UNINORTE")</f>
        <v>CEIM UNINORTE</v>
      </c>
      <c r="D500" s="53">
        <f>IFERROR(__xludf.DUMMYFUNCTION("""COMPUTED_VALUE"""),44655.54166666667)</f>
        <v>44655.54167</v>
      </c>
      <c r="E500" s="81"/>
      <c r="F500" s="81">
        <v>4.150890925935528</v>
      </c>
    </row>
    <row r="501">
      <c r="A501" s="52" t="str">
        <f>IFERROR(__xludf.DUMMYFUNCTION("""COMPUTED_VALUE"""),"GUN-10500")</f>
        <v>GUN-10500</v>
      </c>
      <c r="B501" s="50">
        <f>IFERROR(__xludf.DUMMYFUNCTION("""COMPUTED_VALUE"""),44651.39279114584)</f>
        <v>44651.39279</v>
      </c>
      <c r="C501" s="52" t="str">
        <f>IFERROR(__xludf.DUMMYFUNCTION("""COMPUTED_VALUE"""),"CEIM UNINORTE")</f>
        <v>CEIM UNINORTE</v>
      </c>
      <c r="D501" s="53">
        <f>IFERROR(__xludf.DUMMYFUNCTION("""COMPUTED_VALUE"""),44659.77083333333)</f>
        <v>44659.77083</v>
      </c>
      <c r="E501" s="81"/>
      <c r="F501" s="81">
        <v>8.378042187490792</v>
      </c>
    </row>
    <row r="502">
      <c r="A502" s="52" t="str">
        <f>IFERROR(__xludf.DUMMYFUNCTION("""COMPUTED_VALUE"""),"GUN-10501")</f>
        <v>GUN-10501</v>
      </c>
      <c r="B502" s="50">
        <f>IFERROR(__xludf.DUMMYFUNCTION("""COMPUTED_VALUE"""),44651.39291894676)</f>
        <v>44651.39292</v>
      </c>
      <c r="C502" s="52" t="str">
        <f>IFERROR(__xludf.DUMMYFUNCTION("""COMPUTED_VALUE"""),"PARTNERS CAMPUS")</f>
        <v>PARTNERS CAMPUS</v>
      </c>
      <c r="D502" s="53">
        <f>IFERROR(__xludf.DUMMYFUNCTION("""COMPUTED_VALUE"""),44656.41666666667)</f>
        <v>44656.41667</v>
      </c>
      <c r="E502" s="81"/>
      <c r="F502" s="81">
        <v>5.023747719911626</v>
      </c>
    </row>
    <row r="503">
      <c r="A503" s="52" t="str">
        <f>IFERROR(__xludf.DUMMYFUNCTION("""COMPUTED_VALUE"""),"GUN-10502")</f>
        <v>GUN-10502</v>
      </c>
      <c r="B503" s="50">
        <f>IFERROR(__xludf.DUMMYFUNCTION("""COMPUTED_VALUE"""),44651.39419226852)</f>
        <v>44651.39419</v>
      </c>
      <c r="C503" s="52" t="str">
        <f>IFERROR(__xludf.DUMMYFUNCTION("""COMPUTED_VALUE"""),"PARTNERS CAMPUS")</f>
        <v>PARTNERS CAMPUS</v>
      </c>
      <c r="D503" s="53">
        <f>IFERROR(__xludf.DUMMYFUNCTION("""COMPUTED_VALUE"""),44657.41666666667)</f>
        <v>44657.41667</v>
      </c>
      <c r="E503" s="81"/>
      <c r="F503" s="81">
        <v>6.0224743981525535</v>
      </c>
    </row>
    <row r="504">
      <c r="A504" s="52" t="str">
        <f>IFERROR(__xludf.DUMMYFUNCTION("""COMPUTED_VALUE"""),"GUN-10503")</f>
        <v>GUN-10503</v>
      </c>
      <c r="B504" s="50">
        <f>IFERROR(__xludf.DUMMYFUNCTION("""COMPUTED_VALUE"""),44651.39583407407)</f>
        <v>44651.39583</v>
      </c>
      <c r="C504" s="52" t="str">
        <f>IFERROR(__xludf.DUMMYFUNCTION("""COMPUTED_VALUE"""),"PARTNERS CAMPUS")</f>
        <v>PARTNERS CAMPUS</v>
      </c>
      <c r="D504" s="53">
        <f>IFERROR(__xludf.DUMMYFUNCTION("""COMPUTED_VALUE"""),44655.5625)</f>
        <v>44655.5625</v>
      </c>
      <c r="E504" s="81"/>
      <c r="F504" s="81">
        <v>4.1666659259281005</v>
      </c>
    </row>
    <row r="505">
      <c r="A505" s="52" t="str">
        <f>IFERROR(__xludf.DUMMYFUNCTION("""COMPUTED_VALUE"""),"GUN-10504")</f>
        <v>GUN-10504</v>
      </c>
      <c r="B505" s="50">
        <f>IFERROR(__xludf.DUMMYFUNCTION("""COMPUTED_VALUE"""),44651.396142233796)</f>
        <v>44651.39614</v>
      </c>
      <c r="C505" s="52" t="str">
        <f>IFERROR(__xludf.DUMMYFUNCTION("""COMPUTED_VALUE"""),"FEMINUN")</f>
        <v>FEMINUN</v>
      </c>
      <c r="D505" s="53">
        <f>IFERROR(__xludf.DUMMYFUNCTION("""COMPUTED_VALUE"""),44656.625)</f>
        <v>44656.625</v>
      </c>
      <c r="E505" s="81"/>
      <c r="F505" s="81">
        <v>5.228857766203873</v>
      </c>
    </row>
    <row r="506">
      <c r="A506" s="52" t="str">
        <f>IFERROR(__xludf.DUMMYFUNCTION("""COMPUTED_VALUE"""),"GUN-10505")</f>
        <v>GUN-10505</v>
      </c>
      <c r="B506" s="50">
        <f>IFERROR(__xludf.DUMMYFUNCTION("""COMPUTED_VALUE"""),44651.39730145833)</f>
        <v>44651.3973</v>
      </c>
      <c r="C506" s="52" t="str">
        <f>IFERROR(__xludf.DUMMYFUNCTION("""COMPUTED_VALUE"""),"FEMINUN")</f>
        <v>FEMINUN</v>
      </c>
      <c r="D506" s="53">
        <f>IFERROR(__xludf.DUMMYFUNCTION("""COMPUTED_VALUE"""),44658.625)</f>
        <v>44658.625</v>
      </c>
      <c r="E506" s="81"/>
      <c r="F506" s="81">
        <v>7.22769854166836</v>
      </c>
    </row>
    <row r="507">
      <c r="A507" s="52" t="str">
        <f>IFERROR(__xludf.DUMMYFUNCTION("""COMPUTED_VALUE"""),"GUN-10506")</f>
        <v>GUN-10506</v>
      </c>
      <c r="B507" s="50">
        <f>IFERROR(__xludf.DUMMYFUNCTION("""COMPUTED_VALUE"""),44651.40182570602)</f>
        <v>44651.40183</v>
      </c>
      <c r="C507" s="52" t="str">
        <f>IFERROR(__xludf.DUMMYFUNCTION("""COMPUTED_VALUE"""),"FEMINUN")</f>
        <v>FEMINUN</v>
      </c>
      <c r="D507" s="53">
        <f>IFERROR(__xludf.DUMMYFUNCTION("""COMPUTED_VALUE"""),44656.4375)</f>
        <v>44656.4375</v>
      </c>
      <c r="E507" s="81"/>
      <c r="F507" s="81">
        <v>5.035674293976626</v>
      </c>
    </row>
    <row r="508">
      <c r="A508" s="52" t="str">
        <f>IFERROR(__xludf.DUMMYFUNCTION("""COMPUTED_VALUE"""),"GUN-10507")</f>
        <v>GUN-10507</v>
      </c>
      <c r="B508" s="50">
        <f>IFERROR(__xludf.DUMMYFUNCTION("""COMPUTED_VALUE"""),44651.40359071759)</f>
        <v>44651.40359</v>
      </c>
      <c r="C508" s="52" t="str">
        <f>IFERROR(__xludf.DUMMYFUNCTION("""COMPUTED_VALUE"""),"FEMINUN")</f>
        <v>FEMINUN</v>
      </c>
      <c r="D508" s="53">
        <f>IFERROR(__xludf.DUMMYFUNCTION("""COMPUTED_VALUE"""),44657.4375)</f>
        <v>44657.4375</v>
      </c>
      <c r="E508" s="81"/>
      <c r="F508" s="81">
        <v>6.033909282406967</v>
      </c>
    </row>
    <row r="509">
      <c r="A509" s="52" t="str">
        <f>IFERROR(__xludf.DUMMYFUNCTION("""COMPUTED_VALUE"""),"GUN-10508")</f>
        <v>GUN-10508</v>
      </c>
      <c r="B509" s="50">
        <f>IFERROR(__xludf.DUMMYFUNCTION("""COMPUTED_VALUE"""),44651.42529758102)</f>
        <v>44651.4253</v>
      </c>
      <c r="C509" s="52" t="str">
        <f>IFERROR(__xludf.DUMMYFUNCTION("""COMPUTED_VALUE"""),"CERI")</f>
        <v>CERI</v>
      </c>
      <c r="D509" s="53">
        <f>IFERROR(__xludf.DUMMYFUNCTION("""COMPUTED_VALUE"""),44655.6875)</f>
        <v>44655.6875</v>
      </c>
      <c r="E509" s="81"/>
      <c r="F509" s="81">
        <v>4.262202418976813</v>
      </c>
    </row>
    <row r="510">
      <c r="A510" s="52" t="str">
        <f>IFERROR(__xludf.DUMMYFUNCTION("""COMPUTED_VALUE"""),"GUN-10509")</f>
        <v>GUN-10509</v>
      </c>
      <c r="B510" s="50">
        <f>IFERROR(__xludf.DUMMYFUNCTION("""COMPUTED_VALUE"""),44651.45096434027)</f>
        <v>44651.45096</v>
      </c>
      <c r="C510" s="52" t="str">
        <f>IFERROR(__xludf.DUMMYFUNCTION("""COMPUTED_VALUE"""),"CEIM UNINORTE")</f>
        <v>CEIM UNINORTE</v>
      </c>
      <c r="D510" s="53">
        <f>IFERROR(__xludf.DUMMYFUNCTION("""COMPUTED_VALUE"""),44659.41666666667)</f>
        <v>44659.41667</v>
      </c>
      <c r="E510" s="81"/>
      <c r="F510" s="81">
        <v>7.965702326400788</v>
      </c>
    </row>
    <row r="511">
      <c r="A511" s="52" t="str">
        <f>IFERROR(__xludf.DUMMYFUNCTION("""COMPUTED_VALUE"""),"GUN-10510")</f>
        <v>GUN-10510</v>
      </c>
      <c r="B511" s="50">
        <f>IFERROR(__xludf.DUMMYFUNCTION("""COMPUTED_VALUE"""),44651.46137802083)</f>
        <v>44651.46138</v>
      </c>
      <c r="C511" s="52" t="str">
        <f>IFERROR(__xludf.DUMMYFUNCTION("""COMPUTED_VALUE"""),"PARTNERS CAMPUS")</f>
        <v>PARTNERS CAMPUS</v>
      </c>
      <c r="D511" s="53">
        <f>IFERROR(__xludf.DUMMYFUNCTION("""COMPUTED_VALUE"""),44655.33333333333)</f>
        <v>44655.33333</v>
      </c>
      <c r="E511" s="81"/>
      <c r="F511" s="81">
        <v>3.871955312497448</v>
      </c>
    </row>
    <row r="512">
      <c r="A512" s="52" t="str">
        <f>IFERROR(__xludf.DUMMYFUNCTION("""COMPUTED_VALUE"""),"GUN-10511")</f>
        <v>GUN-10511</v>
      </c>
      <c r="B512" s="50">
        <f>IFERROR(__xludf.DUMMYFUNCTION("""COMPUTED_VALUE"""),44651.46752424769)</f>
        <v>44651.46752</v>
      </c>
      <c r="C512" s="52" t="str">
        <f>IFERROR(__xludf.DUMMYFUNCTION("""COMPUTED_VALUE"""),"PARTNERS CAMPUS")</f>
        <v>PARTNERS CAMPUS</v>
      </c>
      <c r="D512" s="53">
        <f>IFERROR(__xludf.DUMMYFUNCTION("""COMPUTED_VALUE"""),44655.5)</f>
        <v>44655.5</v>
      </c>
      <c r="E512" s="81"/>
      <c r="F512" s="81">
        <v>4.032475752312166</v>
      </c>
    </row>
    <row r="513">
      <c r="A513" s="52" t="str">
        <f>IFERROR(__xludf.DUMMYFUNCTION("""COMPUTED_VALUE"""),"GUN-10512")</f>
        <v>GUN-10512</v>
      </c>
      <c r="B513" s="50">
        <f>IFERROR(__xludf.DUMMYFUNCTION("""COMPUTED_VALUE"""),44651.46926653935)</f>
        <v>44651.46927</v>
      </c>
      <c r="C513" s="52" t="str">
        <f>IFERROR(__xludf.DUMMYFUNCTION("""COMPUTED_VALUE"""),"PARTNERS CAMPUS")</f>
        <v>PARTNERS CAMPUS</v>
      </c>
      <c r="D513" s="53">
        <f>IFERROR(__xludf.DUMMYFUNCTION("""COMPUTED_VALUE"""),44659.5)</f>
        <v>44659.5</v>
      </c>
      <c r="E513" s="81"/>
      <c r="F513" s="81">
        <v>8.030733460647753</v>
      </c>
    </row>
    <row r="514">
      <c r="A514" s="52" t="str">
        <f>IFERROR(__xludf.DUMMYFUNCTION("""COMPUTED_VALUE"""),"GUN-10513")</f>
        <v>GUN-10513</v>
      </c>
      <c r="B514" s="50">
        <f>IFERROR(__xludf.DUMMYFUNCTION("""COMPUTED_VALUE"""),44651.471122939816)</f>
        <v>44651.47112</v>
      </c>
      <c r="C514" s="52" t="str">
        <f>IFERROR(__xludf.DUMMYFUNCTION("""COMPUTED_VALUE"""),"PARTNERS CAMPUS")</f>
        <v>PARTNERS CAMPUS</v>
      </c>
      <c r="D514" s="53">
        <f>IFERROR(__xludf.DUMMYFUNCTION("""COMPUTED_VALUE"""),44661.33333333333)</f>
        <v>44661.33333</v>
      </c>
      <c r="E514" s="81"/>
      <c r="F514" s="81">
        <v>9.862210393512214</v>
      </c>
    </row>
    <row r="515">
      <c r="A515" s="52" t="str">
        <f>IFERROR(__xludf.DUMMYFUNCTION("""COMPUTED_VALUE"""),"GUN-10514")</f>
        <v>GUN-10514</v>
      </c>
      <c r="B515" s="50">
        <f>IFERROR(__xludf.DUMMYFUNCTION("""COMPUTED_VALUE"""),44651.47301061342)</f>
        <v>44651.47301</v>
      </c>
      <c r="C515" s="52" t="str">
        <f>IFERROR(__xludf.DUMMYFUNCTION("""COMPUTED_VALUE"""),"PARTNERS CAMPUS")</f>
        <v>PARTNERS CAMPUS</v>
      </c>
      <c r="D515" s="53">
        <f>IFERROR(__xludf.DUMMYFUNCTION("""COMPUTED_VALUE"""),44659.5625)</f>
        <v>44659.5625</v>
      </c>
      <c r="E515" s="81"/>
      <c r="F515" s="81">
        <v>8.089489386577043</v>
      </c>
    </row>
    <row r="516">
      <c r="A516" s="52" t="str">
        <f>IFERROR(__xludf.DUMMYFUNCTION("""COMPUTED_VALUE"""),"GUN-10515")</f>
        <v>GUN-10515</v>
      </c>
      <c r="B516" s="50">
        <f>IFERROR(__xludf.DUMMYFUNCTION("""COMPUTED_VALUE"""),44651.48237305556)</f>
        <v>44651.48237</v>
      </c>
      <c r="C516" s="52" t="str">
        <f>IFERROR(__xludf.DUMMYFUNCTION("""COMPUTED_VALUE"""),"CEIM UNINORTE")</f>
        <v>CEIM UNINORTE</v>
      </c>
      <c r="D516" s="53">
        <f>IFERROR(__xludf.DUMMYFUNCTION("""COMPUTED_VALUE"""),44659.6875)</f>
        <v>44659.6875</v>
      </c>
      <c r="E516" s="81"/>
      <c r="F516" s="81">
        <v>8.205126944441872</v>
      </c>
    </row>
    <row r="517">
      <c r="A517" s="52" t="str">
        <f>IFERROR(__xludf.DUMMYFUNCTION("""COMPUTED_VALUE"""),"GUN-10516")</f>
        <v>GUN-10516</v>
      </c>
      <c r="B517" s="50">
        <f>IFERROR(__xludf.DUMMYFUNCTION("""COMPUTED_VALUE"""),44651.52063496528)</f>
        <v>44651.52063</v>
      </c>
      <c r="C517" s="52" t="str">
        <f>IFERROR(__xludf.DUMMYFUNCTION("""COMPUTED_VALUE"""),"LINGUA")</f>
        <v>LINGUA</v>
      </c>
      <c r="D517" s="53">
        <f>IFERROR(__xludf.DUMMYFUNCTION("""COMPUTED_VALUE"""),44655.64583333333)</f>
        <v>44655.64583</v>
      </c>
      <c r="E517" s="81"/>
      <c r="F517" s="81">
        <v>4.125198368048586</v>
      </c>
    </row>
    <row r="518">
      <c r="A518" s="52" t="str">
        <f>IFERROR(__xludf.DUMMYFUNCTION("""COMPUTED_VALUE"""),"GUN-10517")</f>
        <v>GUN-10517</v>
      </c>
      <c r="B518" s="50">
        <f>IFERROR(__xludf.DUMMYFUNCTION("""COMPUTED_VALUE"""),44651.534329456015)</f>
        <v>44651.53433</v>
      </c>
      <c r="C518" s="52" t="str">
        <f>IFERROR(__xludf.DUMMYFUNCTION("""COMPUTED_VALUE"""),"LINGUA")</f>
        <v>LINGUA</v>
      </c>
      <c r="D518" s="53">
        <f>IFERROR(__xludf.DUMMYFUNCTION("""COMPUTED_VALUE"""),44656.60416666667)</f>
        <v>44656.60417</v>
      </c>
      <c r="E518" s="81"/>
      <c r="F518" s="81">
        <v>5.06983721065626</v>
      </c>
    </row>
    <row r="519">
      <c r="A519" s="52" t="str">
        <f>IFERROR(__xludf.DUMMYFUNCTION("""COMPUTED_VALUE"""),"GUN-10518")</f>
        <v>GUN-10518</v>
      </c>
      <c r="B519" s="50">
        <f>IFERROR(__xludf.DUMMYFUNCTION("""COMPUTED_VALUE"""),44651.67216667824)</f>
        <v>44651.67217</v>
      </c>
      <c r="C519" s="52" t="str">
        <f>IFERROR(__xludf.DUMMYFUNCTION("""COMPUTED_VALUE"""),"IISE")</f>
        <v>IISE</v>
      </c>
      <c r="D519" s="53">
        <f>IFERROR(__xludf.DUMMYFUNCTION("""COMPUTED_VALUE"""),44652.58333333333)</f>
        <v>44652.58333</v>
      </c>
      <c r="E519" s="81"/>
      <c r="F519" s="81">
        <v>0.9111666550888913</v>
      </c>
    </row>
    <row r="520">
      <c r="A520" s="52" t="str">
        <f>IFERROR(__xludf.DUMMYFUNCTION("""COMPUTED_VALUE"""),"GUN-10519")</f>
        <v>GUN-10519</v>
      </c>
      <c r="B520" s="50">
        <f>IFERROR(__xludf.DUMMYFUNCTION("""COMPUTED_VALUE"""),44651.6859368287)</f>
        <v>44651.68594</v>
      </c>
      <c r="C520" s="52" t="str">
        <f>IFERROR(__xludf.DUMMYFUNCTION("""COMPUTED_VALUE"""),"UNINORTE DIVERSO")</f>
        <v>UNINORTE DIVERSO</v>
      </c>
      <c r="D520" s="53">
        <f>IFERROR(__xludf.DUMMYFUNCTION("""COMPUTED_VALUE"""),44655.64583333333)</f>
        <v>44655.64583</v>
      </c>
      <c r="E520" s="81"/>
      <c r="F520" s="81">
        <v>3.9598965046316152</v>
      </c>
    </row>
    <row r="521">
      <c r="A521" s="52" t="str">
        <f>IFERROR(__xludf.DUMMYFUNCTION("""COMPUTED_VALUE"""),"GUN-10520")</f>
        <v>GUN-10520</v>
      </c>
      <c r="B521" s="50">
        <f>IFERROR(__xludf.DUMMYFUNCTION("""COMPUTED_VALUE"""),44651.82376409722)</f>
        <v>44651.82376</v>
      </c>
      <c r="C521" s="52" t="str">
        <f>IFERROR(__xludf.DUMMYFUNCTION("""COMPUTED_VALUE"""),"JUVENTUDES CRITICAS")</f>
        <v>JUVENTUDES CRITICAS</v>
      </c>
      <c r="D521" s="53">
        <f>IFERROR(__xludf.DUMMYFUNCTION("""COMPUTED_VALUE"""),44655.1875)</f>
        <v>44655.1875</v>
      </c>
      <c r="E521" s="81"/>
      <c r="F521" s="81">
        <v>3.3637359027779894</v>
      </c>
    </row>
    <row r="522">
      <c r="A522" s="52" t="str">
        <f>IFERROR(__xludf.DUMMYFUNCTION("""COMPUTED_VALUE"""),"GUN-10521")</f>
        <v>GUN-10521</v>
      </c>
      <c r="B522" s="50">
        <f>IFERROR(__xludf.DUMMYFUNCTION("""COMPUTED_VALUE"""),44651.85091954861)</f>
        <v>44651.85092</v>
      </c>
      <c r="C522" s="52" t="str">
        <f>IFERROR(__xludf.DUMMYFUNCTION("""COMPUTED_VALUE"""),"COSMOPOLITICA")</f>
        <v>COSMOPOLITICA</v>
      </c>
      <c r="D522" s="53">
        <f>IFERROR(__xludf.DUMMYFUNCTION("""COMPUTED_VALUE"""),44655.6875)</f>
        <v>44655.6875</v>
      </c>
      <c r="E522" s="81"/>
      <c r="F522" s="81">
        <v>3.836580451388727</v>
      </c>
    </row>
    <row r="523">
      <c r="A523" s="52" t="str">
        <f>IFERROR(__xludf.DUMMYFUNCTION("""COMPUTED_VALUE"""),"GUN-10522")</f>
        <v>GUN-10522</v>
      </c>
      <c r="B523" s="50">
        <f>IFERROR(__xludf.DUMMYFUNCTION("""COMPUTED_VALUE"""),44651.8853808912)</f>
        <v>44651.88538</v>
      </c>
      <c r="C523" s="52" t="str">
        <f>IFERROR(__xludf.DUMMYFUNCTION("""COMPUTED_VALUE"""),"CDIEP")</f>
        <v>CDIEP</v>
      </c>
      <c r="D523" s="53">
        <f>IFERROR(__xludf.DUMMYFUNCTION("""COMPUTED_VALUE"""),44653.54166666667)</f>
        <v>44653.54167</v>
      </c>
      <c r="E523" s="81"/>
      <c r="F523" s="81">
        <v>1.6562857754688594</v>
      </c>
    </row>
    <row r="524">
      <c r="A524" s="52" t="str">
        <f>IFERROR(__xludf.DUMMYFUNCTION("""COMPUTED_VALUE"""),"GUN-10523")</f>
        <v>GUN-10523</v>
      </c>
      <c r="B524" s="50">
        <f>IFERROR(__xludf.DUMMYFUNCTION("""COMPUTED_VALUE"""),44651.88914209491)</f>
        <v>44651.88914</v>
      </c>
      <c r="C524" s="52" t="str">
        <f>IFERROR(__xludf.DUMMYFUNCTION("""COMPUTED_VALUE"""),"CDIEP")</f>
        <v>CDIEP</v>
      </c>
      <c r="D524" s="53">
        <f>IFERROR(__xludf.DUMMYFUNCTION("""COMPUTED_VALUE"""),44658.54166666667)</f>
        <v>44658.54167</v>
      </c>
      <c r="E524" s="81"/>
      <c r="F524" s="81">
        <v>6.652524571763934</v>
      </c>
    </row>
    <row r="525">
      <c r="A525" s="52" t="str">
        <f>IFERROR(__xludf.DUMMYFUNCTION("""COMPUTED_VALUE"""),"GUN-10524")</f>
        <v>GUN-10524</v>
      </c>
      <c r="B525" s="50">
        <f>IFERROR(__xludf.DUMMYFUNCTION("""COMPUTED_VALUE"""),44652.54267260417)</f>
        <v>44652.54267</v>
      </c>
      <c r="C525" s="52" t="str">
        <f>IFERROR(__xludf.DUMMYFUNCTION("""COMPUTED_VALUE"""),"CIG-UN")</f>
        <v>CIG-UN</v>
      </c>
      <c r="D525" s="53">
        <f>IFERROR(__xludf.DUMMYFUNCTION("""COMPUTED_VALUE"""),44655.4375)</f>
        <v>44655.4375</v>
      </c>
      <c r="E525" s="81"/>
      <c r="F525" s="81">
        <v>2.8948273958303616</v>
      </c>
    </row>
    <row r="526">
      <c r="A526" s="52" t="str">
        <f>IFERROR(__xludf.DUMMYFUNCTION("""COMPUTED_VALUE"""),"GUN-10525")</f>
        <v>GUN-10525</v>
      </c>
      <c r="B526" s="50">
        <f>IFERROR(__xludf.DUMMYFUNCTION("""COMPUTED_VALUE"""),44652.57942083333)</f>
        <v>44652.57942</v>
      </c>
      <c r="C526" s="52" t="str">
        <f>IFERROR(__xludf.DUMMYFUNCTION("""COMPUTED_VALUE"""),"W-STEM")</f>
        <v>W-STEM</v>
      </c>
      <c r="D526" s="53">
        <f>IFERROR(__xludf.DUMMYFUNCTION("""COMPUTED_VALUE"""),44657.25)</f>
        <v>44657.25</v>
      </c>
      <c r="E526" s="81"/>
      <c r="F526" s="81">
        <v>4.670579166668176</v>
      </c>
    </row>
    <row r="527">
      <c r="A527" s="52" t="str">
        <f>IFERROR(__xludf.DUMMYFUNCTION("""COMPUTED_VALUE"""),"GUN-10526")</f>
        <v>GUN-10526</v>
      </c>
      <c r="B527" s="50">
        <f>IFERROR(__xludf.DUMMYFUNCTION("""COMPUTED_VALUE"""),44652.68626155092)</f>
        <v>44652.68626</v>
      </c>
      <c r="C527" s="52" t="str">
        <f>IFERROR(__xludf.DUMMYFUNCTION("""COMPUTED_VALUE"""),"GEN'S")</f>
        <v>GEN'S</v>
      </c>
      <c r="D527" s="53">
        <f>IFERROR(__xludf.DUMMYFUNCTION("""COMPUTED_VALUE"""),44659.1875)</f>
        <v>44659.1875</v>
      </c>
      <c r="E527" s="81"/>
      <c r="F527" s="81">
        <v>6.501238449076482</v>
      </c>
    </row>
    <row r="528">
      <c r="A528" s="52" t="str">
        <f>IFERROR(__xludf.DUMMYFUNCTION("""COMPUTED_VALUE"""),"GUN-10527")</f>
        <v>GUN-10527</v>
      </c>
      <c r="B528" s="50">
        <f>IFERROR(__xludf.DUMMYFUNCTION("""COMPUTED_VALUE"""),44652.886058414355)</f>
        <v>44652.88606</v>
      </c>
      <c r="C528" s="52" t="str">
        <f>IFERROR(__xludf.DUMMYFUNCTION("""COMPUTED_VALUE"""),"CEARQ")</f>
        <v>CEARQ</v>
      </c>
      <c r="D528" s="53">
        <f>IFERROR(__xludf.DUMMYFUNCTION("""COMPUTED_VALUE"""),44657.6875)</f>
        <v>44657.6875</v>
      </c>
      <c r="E528" s="81"/>
      <c r="F528" s="81">
        <v>4.80144158564508</v>
      </c>
    </row>
    <row r="529">
      <c r="A529" s="52" t="str">
        <f>IFERROR(__xludf.DUMMYFUNCTION("""COMPUTED_VALUE"""),"GUN-10528")</f>
        <v>GUN-10528</v>
      </c>
      <c r="B529" s="50">
        <f>IFERROR(__xludf.DUMMYFUNCTION("""COMPUTED_VALUE"""),44653.50440126157)</f>
        <v>44653.5044</v>
      </c>
      <c r="C529" s="52" t="str">
        <f>IFERROR(__xludf.DUMMYFUNCTION("""COMPUTED_VALUE"""),"GREEN GENERATION")</f>
        <v>GREEN GENERATION</v>
      </c>
      <c r="D529" s="53">
        <f>IFERROR(__xludf.DUMMYFUNCTION("""COMPUTED_VALUE"""),44673.39583333333)</f>
        <v>44673.39583</v>
      </c>
      <c r="E529" s="81"/>
      <c r="F529" s="81">
        <v>19.891432071759482</v>
      </c>
    </row>
    <row r="530">
      <c r="A530" s="52" t="str">
        <f>IFERROR(__xludf.DUMMYFUNCTION("""COMPUTED_VALUE"""),"GUN-10529")</f>
        <v>GUN-10529</v>
      </c>
      <c r="B530" s="50">
        <f>IFERROR(__xludf.DUMMYFUNCTION("""COMPUTED_VALUE"""),44653.50910490741)</f>
        <v>44653.5091</v>
      </c>
      <c r="C530" s="52" t="str">
        <f>IFERROR(__xludf.DUMMYFUNCTION("""COMPUTED_VALUE"""),"GREEN GENERATION")</f>
        <v>GREEN GENERATION</v>
      </c>
      <c r="D530" s="53">
        <f>IFERROR(__xludf.DUMMYFUNCTION("""COMPUTED_VALUE"""),44673.58333333333)</f>
        <v>44673.58333</v>
      </c>
      <c r="E530" s="81"/>
      <c r="F530" s="81">
        <v>20.07422842591768</v>
      </c>
    </row>
    <row r="531">
      <c r="A531" s="52" t="str">
        <f>IFERROR(__xludf.DUMMYFUNCTION("""COMPUTED_VALUE"""),"GUN-10530")</f>
        <v>GUN-10530</v>
      </c>
      <c r="B531" s="50">
        <f>IFERROR(__xludf.DUMMYFUNCTION("""COMPUTED_VALUE"""),44653.5615812963)</f>
        <v>44653.56158</v>
      </c>
      <c r="C531" s="52" t="str">
        <f>IFERROR(__xludf.DUMMYFUNCTION("""COMPUTED_VALUE"""),"GREEN GENERATION")</f>
        <v>GREEN GENERATION</v>
      </c>
      <c r="D531" s="53">
        <f>IFERROR(__xludf.DUMMYFUNCTION("""COMPUTED_VALUE"""),44678.4375)</f>
        <v>44678.4375</v>
      </c>
      <c r="E531" s="81"/>
      <c r="F531" s="81">
        <v>24.875918703699426</v>
      </c>
    </row>
    <row r="532">
      <c r="A532" s="52" t="str">
        <f>IFERROR(__xludf.DUMMYFUNCTION("""COMPUTED_VALUE"""),"GUN-10531")</f>
        <v>GUN-10531</v>
      </c>
      <c r="B532" s="50">
        <f>IFERROR(__xludf.DUMMYFUNCTION("""COMPUTED_VALUE"""),44653.56351336805)</f>
        <v>44653.56351</v>
      </c>
      <c r="C532" s="52" t="str">
        <f>IFERROR(__xludf.DUMMYFUNCTION("""COMPUTED_VALUE"""),"GREEN GENERATION")</f>
        <v>GREEN GENERATION</v>
      </c>
      <c r="D532" s="53">
        <f>IFERROR(__xludf.DUMMYFUNCTION("""COMPUTED_VALUE"""),44678.4375)</f>
        <v>44678.4375</v>
      </c>
      <c r="E532" s="81"/>
      <c r="F532" s="81">
        <v>24.873986631951993</v>
      </c>
    </row>
    <row r="533">
      <c r="A533" s="52" t="str">
        <f>IFERROR(__xludf.DUMMYFUNCTION("""COMPUTED_VALUE"""),"GUN-10532")</f>
        <v>GUN-10532</v>
      </c>
      <c r="B533" s="50">
        <f>IFERROR(__xludf.DUMMYFUNCTION("""COMPUTED_VALUE"""),44653.84228053241)</f>
        <v>44653.84228</v>
      </c>
      <c r="C533" s="52" t="str">
        <f>IFERROR(__xludf.DUMMYFUNCTION("""COMPUTED_VALUE"""),"CIG-UN")</f>
        <v>CIG-UN</v>
      </c>
      <c r="D533" s="53">
        <f>IFERROR(__xludf.DUMMYFUNCTION("""COMPUTED_VALUE"""),44669.4375)</f>
        <v>44669.4375</v>
      </c>
      <c r="E533" s="81"/>
      <c r="F533" s="81">
        <v>15.59521946759196</v>
      </c>
    </row>
    <row r="534">
      <c r="A534" s="52" t="str">
        <f>IFERROR(__xludf.DUMMYFUNCTION("""COMPUTED_VALUE"""),"GUN-10533")</f>
        <v>GUN-10533</v>
      </c>
      <c r="B534" s="50">
        <f>IFERROR(__xludf.DUMMYFUNCTION("""COMPUTED_VALUE"""),44653.85536047454)</f>
        <v>44653.85536</v>
      </c>
      <c r="C534" s="52" t="str">
        <f>IFERROR(__xludf.DUMMYFUNCTION("""COMPUTED_VALUE"""),"CIG-UN")</f>
        <v>CIG-UN</v>
      </c>
      <c r="D534" s="53">
        <f>IFERROR(__xludf.DUMMYFUNCTION("""COMPUTED_VALUE"""),44670.83333333333)</f>
        <v>44670.83333</v>
      </c>
      <c r="E534" s="81"/>
      <c r="F534" s="81">
        <v>16.977972858789144</v>
      </c>
    </row>
    <row r="535">
      <c r="A535" s="52" t="str">
        <f>IFERROR(__xludf.DUMMYFUNCTION("""COMPUTED_VALUE"""),"GUN-10534")</f>
        <v>GUN-10534</v>
      </c>
      <c r="B535" s="50">
        <f>IFERROR(__xludf.DUMMYFUNCTION("""COMPUTED_VALUE"""),44653.89012950232)</f>
        <v>44653.89013</v>
      </c>
      <c r="C535" s="52" t="str">
        <f>IFERROR(__xludf.DUMMYFUNCTION("""COMPUTED_VALUE"""),"UNINORTE DIVERSO")</f>
        <v>UNINORTE DIVERSO</v>
      </c>
      <c r="D535" s="53">
        <f>IFERROR(__xludf.DUMMYFUNCTION("""COMPUTED_VALUE"""),44660.58333333333)</f>
        <v>44660.58333</v>
      </c>
      <c r="E535" s="81"/>
      <c r="F535" s="81">
        <v>6.693203831011488</v>
      </c>
    </row>
    <row r="536">
      <c r="A536" s="52" t="str">
        <f>IFERROR(__xludf.DUMMYFUNCTION("""COMPUTED_VALUE"""),"GUN-10535")</f>
        <v>GUN-10535</v>
      </c>
      <c r="B536" s="50">
        <f>IFERROR(__xludf.DUMMYFUNCTION("""COMPUTED_VALUE"""),44654.47359753472)</f>
        <v>44654.4736</v>
      </c>
      <c r="C536" s="52" t="str">
        <f>IFERROR(__xludf.DUMMYFUNCTION("""COMPUTED_VALUE"""),"COMITÉ JURIDICO")</f>
        <v>COMITÉ JURIDICO</v>
      </c>
      <c r="D536" s="53">
        <f>IFERROR(__xludf.DUMMYFUNCTION("""COMPUTED_VALUE"""),44655.6875)</f>
        <v>44655.6875</v>
      </c>
      <c r="E536" s="81"/>
      <c r="F536" s="81">
        <v>1.2139024652788066</v>
      </c>
    </row>
    <row r="537">
      <c r="A537" s="52" t="str">
        <f>IFERROR(__xludf.DUMMYFUNCTION("""COMPUTED_VALUE"""),"GUN-10536")</f>
        <v>GUN-10536</v>
      </c>
      <c r="B537" s="50">
        <f>IFERROR(__xludf.DUMMYFUNCTION("""COMPUTED_VALUE"""),44654.48736327546)</f>
        <v>44654.48736</v>
      </c>
      <c r="C537" s="52" t="str">
        <f>IFERROR(__xludf.DUMMYFUNCTION("""COMPUTED_VALUE"""),"ZARATUSTRA")</f>
        <v>ZARATUSTRA</v>
      </c>
      <c r="D537" s="53">
        <f>IFERROR(__xludf.DUMMYFUNCTION("""COMPUTED_VALUE"""),44658.39583333333)</f>
        <v>44658.39583</v>
      </c>
      <c r="E537" s="81"/>
      <c r="F537" s="81">
        <v>3.9084700578678166</v>
      </c>
    </row>
    <row r="538">
      <c r="A538" s="52" t="str">
        <f>IFERROR(__xludf.DUMMYFUNCTION("""COMPUTED_VALUE"""),"GUN-10537")</f>
        <v>GUN-10537</v>
      </c>
      <c r="B538" s="50">
        <f>IFERROR(__xludf.DUMMYFUNCTION("""COMPUTED_VALUE"""),44654.50511428241)</f>
        <v>44654.50511</v>
      </c>
      <c r="C538" s="52" t="str">
        <f>IFERROR(__xludf.DUMMYFUNCTION("""COMPUTED_VALUE"""),"ÁGORA")</f>
        <v>ÁGORA</v>
      </c>
      <c r="D538" s="53">
        <f>IFERROR(__xludf.DUMMYFUNCTION("""COMPUTED_VALUE"""),44655.6875)</f>
        <v>44655.6875</v>
      </c>
      <c r="E538" s="81"/>
      <c r="F538" s="81">
        <v>1.1823857175913872</v>
      </c>
    </row>
    <row r="539">
      <c r="A539" s="52" t="str">
        <f>IFERROR(__xludf.DUMMYFUNCTION("""COMPUTED_VALUE"""),"GUN-10538")</f>
        <v>GUN-10538</v>
      </c>
      <c r="B539" s="50">
        <f>IFERROR(__xludf.DUMMYFUNCTION("""COMPUTED_VALUE"""),44654.50939568287)</f>
        <v>44654.5094</v>
      </c>
      <c r="C539" s="52" t="str">
        <f>IFERROR(__xludf.DUMMYFUNCTION("""COMPUTED_VALUE"""),"COMITÉ JURIDICO")</f>
        <v>COMITÉ JURIDICO</v>
      </c>
      <c r="D539" s="53">
        <f>IFERROR(__xludf.DUMMYFUNCTION("""COMPUTED_VALUE"""),44658.6875)</f>
        <v>44658.6875</v>
      </c>
      <c r="E539" s="81"/>
      <c r="F539" s="81">
        <v>4.1781043171286</v>
      </c>
    </row>
    <row r="540">
      <c r="A540" s="52" t="str">
        <f>IFERROR(__xludf.DUMMYFUNCTION("""COMPUTED_VALUE"""),"GUN-10539")</f>
        <v>GUN-10539</v>
      </c>
      <c r="B540" s="50">
        <f>IFERROR(__xludf.DUMMYFUNCTION("""COMPUTED_VALUE"""),44654.51247962963)</f>
        <v>44654.51248</v>
      </c>
      <c r="C540" s="52" t="str">
        <f>IFERROR(__xludf.DUMMYFUNCTION("""COMPUTED_VALUE"""),"IEEE")</f>
        <v>IEEE</v>
      </c>
      <c r="D540" s="53">
        <f>IFERROR(__xludf.DUMMYFUNCTION("""COMPUTED_VALUE"""),44659.52083333333)</f>
        <v>44659.52083</v>
      </c>
      <c r="E540" s="81"/>
      <c r="F540" s="81">
        <v>5.008353703698958</v>
      </c>
    </row>
    <row r="541">
      <c r="A541" s="52" t="str">
        <f>IFERROR(__xludf.DUMMYFUNCTION("""COMPUTED_VALUE"""),"GUN-10540")</f>
        <v>GUN-10540</v>
      </c>
      <c r="B541" s="50">
        <f>IFERROR(__xludf.DUMMYFUNCTION("""COMPUTED_VALUE"""),44654.52234484954)</f>
        <v>44654.52234</v>
      </c>
      <c r="C541" s="52" t="str">
        <f>IFERROR(__xludf.DUMMYFUNCTION("""COMPUTED_VALUE"""),"IEEE")</f>
        <v>IEEE</v>
      </c>
      <c r="D541" s="53">
        <f>IFERROR(__xludf.DUMMYFUNCTION("""COMPUTED_VALUE"""),44658.1875)</f>
        <v>44658.1875</v>
      </c>
      <c r="E541" s="81"/>
      <c r="F541" s="81">
        <v>3.665155150461942</v>
      </c>
    </row>
    <row r="542">
      <c r="A542" s="52" t="str">
        <f>IFERROR(__xludf.DUMMYFUNCTION("""COMPUTED_VALUE"""),"GUN-10541")</f>
        <v>GUN-10541</v>
      </c>
      <c r="B542" s="50">
        <f>IFERROR(__xludf.DUMMYFUNCTION("""COMPUTED_VALUE"""),44654.530402847224)</f>
        <v>44654.5304</v>
      </c>
      <c r="C542" s="52" t="str">
        <f>IFERROR(__xludf.DUMMYFUNCTION("""COMPUTED_VALUE"""),"IEEE")</f>
        <v>IEEE</v>
      </c>
      <c r="D542" s="53">
        <f>IFERROR(__xludf.DUMMYFUNCTION("""COMPUTED_VALUE"""),44644.4375)</f>
        <v>44644.4375</v>
      </c>
      <c r="E542" s="81"/>
      <c r="F542" s="81">
        <v>-10.09290284722374</v>
      </c>
    </row>
    <row r="543">
      <c r="A543" s="52" t="str">
        <f>IFERROR(__xludf.DUMMYFUNCTION("""COMPUTED_VALUE"""),"GUN-10542")</f>
        <v>GUN-10542</v>
      </c>
      <c r="B543" s="50">
        <f>IFERROR(__xludf.DUMMYFUNCTION("""COMPUTED_VALUE"""),44654.534378518525)</f>
        <v>44654.53438</v>
      </c>
      <c r="C543" s="52" t="str">
        <f>IFERROR(__xludf.DUMMYFUNCTION("""COMPUTED_VALUE"""),"IEEE")</f>
        <v>IEEE</v>
      </c>
      <c r="D543" s="53">
        <f>IFERROR(__xludf.DUMMYFUNCTION("""COMPUTED_VALUE"""),44653.14583333333)</f>
        <v>44653.14583</v>
      </c>
      <c r="E543" s="81"/>
      <c r="F543" s="81">
        <v>-1.3885451851965627</v>
      </c>
    </row>
    <row r="544">
      <c r="A544" s="52" t="str">
        <f>IFERROR(__xludf.DUMMYFUNCTION("""COMPUTED_VALUE"""),"GUN-10543")</f>
        <v>GUN-10543</v>
      </c>
      <c r="B544" s="50">
        <f>IFERROR(__xludf.DUMMYFUNCTION("""COMPUTED_VALUE"""),44654.53825399306)</f>
        <v>44654.53825</v>
      </c>
      <c r="C544" s="52" t="str">
        <f>IFERROR(__xludf.DUMMYFUNCTION("""COMPUTED_VALUE"""),"IEEE")</f>
        <v>IEEE</v>
      </c>
      <c r="D544" s="53">
        <f>IFERROR(__xludf.DUMMYFUNCTION("""COMPUTED_VALUE"""),44655.47916666667)</f>
        <v>44655.47917</v>
      </c>
      <c r="E544" s="81"/>
      <c r="F544" s="81">
        <v>0.9409126736136386</v>
      </c>
    </row>
    <row r="545">
      <c r="A545" s="52" t="str">
        <f>IFERROR(__xludf.DUMMYFUNCTION("""COMPUTED_VALUE"""),"GUN-10544")</f>
        <v>GUN-10544</v>
      </c>
      <c r="B545" s="50">
        <f>IFERROR(__xludf.DUMMYFUNCTION("""COMPUTED_VALUE"""),44654.547843541666)</f>
        <v>44654.54784</v>
      </c>
      <c r="C545" s="52" t="str">
        <f>IFERROR(__xludf.DUMMYFUNCTION("""COMPUTED_VALUE"""),"IEEE")</f>
        <v>IEEE</v>
      </c>
      <c r="D545" s="53">
        <f>IFERROR(__xludf.DUMMYFUNCTION("""COMPUTED_VALUE"""),44652.22916666667)</f>
        <v>44652.22917</v>
      </c>
      <c r="E545" s="81"/>
      <c r="F545" s="81">
        <v>-2.3186768749947078</v>
      </c>
    </row>
    <row r="546">
      <c r="A546" s="52" t="str">
        <f>IFERROR(__xludf.DUMMYFUNCTION("""COMPUTED_VALUE"""),"GUN-10545")</f>
        <v>GUN-10545</v>
      </c>
      <c r="B546" s="50">
        <f>IFERROR(__xludf.DUMMYFUNCTION("""COMPUTED_VALUE"""),44654.594328391206)</f>
        <v>44654.59433</v>
      </c>
      <c r="C546" s="52" t="str">
        <f>IFERROR(__xludf.DUMMYFUNCTION("""COMPUTED_VALUE"""),"COSMOPOLITICA")</f>
        <v>COSMOPOLITICA</v>
      </c>
      <c r="D546" s="53">
        <f>IFERROR(__xludf.DUMMYFUNCTION("""COMPUTED_VALUE"""),44655.6875)</f>
        <v>44655.6875</v>
      </c>
      <c r="E546" s="81"/>
      <c r="F546" s="81">
        <v>1.0931716087943641</v>
      </c>
    </row>
    <row r="547">
      <c r="A547" s="52" t="str">
        <f>IFERROR(__xludf.DUMMYFUNCTION("""COMPUTED_VALUE"""),"GUN-10546")</f>
        <v>GUN-10546</v>
      </c>
      <c r="B547" s="50">
        <f>IFERROR(__xludf.DUMMYFUNCTION("""COMPUTED_VALUE"""),44654.602798518514)</f>
        <v>44654.6028</v>
      </c>
      <c r="C547" s="52" t="str">
        <f>IFERROR(__xludf.DUMMYFUNCTION("""COMPUTED_VALUE"""),"UNINORTE DIVERSO")</f>
        <v>UNINORTE DIVERSO</v>
      </c>
      <c r="D547" s="53">
        <f>IFERROR(__xludf.DUMMYFUNCTION("""COMPUTED_VALUE"""),44654.60416666667)</f>
        <v>44654.60417</v>
      </c>
      <c r="E547" s="81"/>
      <c r="F547" s="81">
        <v>0.0013681481577805243</v>
      </c>
    </row>
    <row r="548">
      <c r="A548" s="52" t="str">
        <f>IFERROR(__xludf.DUMMYFUNCTION("""COMPUTED_VALUE"""),"GUN-10547")</f>
        <v>GUN-10547</v>
      </c>
      <c r="B548" s="50">
        <f>IFERROR(__xludf.DUMMYFUNCTION("""COMPUTED_VALUE"""),44654.853132083335)</f>
        <v>44654.85313</v>
      </c>
      <c r="C548" s="52" t="str">
        <f>IFERROR(__xludf.DUMMYFUNCTION("""COMPUTED_VALUE"""),"FAUNATICOS")</f>
        <v>FAUNATICOS</v>
      </c>
      <c r="D548" s="53">
        <f>IFERROR(__xludf.DUMMYFUNCTION("""COMPUTED_VALUE"""),44659.60416666667)</f>
        <v>44659.60417</v>
      </c>
      <c r="E548" s="81"/>
      <c r="F548" s="81">
        <v>4.75103458333615</v>
      </c>
    </row>
    <row r="549">
      <c r="A549" s="52" t="str">
        <f>IFERROR(__xludf.DUMMYFUNCTION("""COMPUTED_VALUE"""),"GUN-10548")</f>
        <v>GUN-10548</v>
      </c>
      <c r="B549" s="50">
        <f>IFERROR(__xludf.DUMMYFUNCTION("""COMPUTED_VALUE"""),44655.45207799769)</f>
        <v>44655.45208</v>
      </c>
      <c r="C549" s="52" t="str">
        <f>IFERROR(__xludf.DUMMYFUNCTION("""COMPUTED_VALUE"""),"JUVENTUDES CRITICAS")</f>
        <v>JUVENTUDES CRITICAS</v>
      </c>
      <c r="D549" s="53">
        <f>IFERROR(__xludf.DUMMYFUNCTION("""COMPUTED_VALUE"""),44659.6875)</f>
        <v>44659.6875</v>
      </c>
      <c r="E549" s="81"/>
      <c r="F549" s="81">
        <v>4.2354220023116795</v>
      </c>
    </row>
    <row r="550">
      <c r="A550" s="52" t="str">
        <f>IFERROR(__xludf.DUMMYFUNCTION("""COMPUTED_VALUE"""),"GUN-10549")</f>
        <v>GUN-10549</v>
      </c>
      <c r="B550" s="50">
        <f>IFERROR(__xludf.DUMMYFUNCTION("""COMPUTED_VALUE"""),44655.636574421296)</f>
        <v>44655.63657</v>
      </c>
      <c r="C550" s="52" t="str">
        <f>IFERROR(__xludf.DUMMYFUNCTION("""COMPUTED_VALUE"""),"VOLTA")</f>
        <v>VOLTA</v>
      </c>
      <c r="D550" s="53">
        <f>IFERROR(__xludf.DUMMYFUNCTION("""COMPUTED_VALUE"""),44655.6875)</f>
        <v>44655.6875</v>
      </c>
      <c r="E550" s="81"/>
      <c r="F550" s="81">
        <v>0.05092557870375458</v>
      </c>
    </row>
    <row r="551">
      <c r="A551" s="52" t="str">
        <f>IFERROR(__xludf.DUMMYFUNCTION("""COMPUTED_VALUE"""),"GUN-10550")</f>
        <v>GUN-10550</v>
      </c>
      <c r="B551" s="50">
        <f>IFERROR(__xludf.DUMMYFUNCTION("""COMPUTED_VALUE"""),44655.6405921875)</f>
        <v>44655.64059</v>
      </c>
      <c r="C551" s="52" t="str">
        <f>IFERROR(__xludf.DUMMYFUNCTION("""COMPUTED_VALUE"""),"VOLTA")</f>
        <v>VOLTA</v>
      </c>
      <c r="D551" s="53">
        <f>IFERROR(__xludf.DUMMYFUNCTION("""COMPUTED_VALUE"""),44644.4375)</f>
        <v>44644.4375</v>
      </c>
      <c r="E551" s="81"/>
      <c r="F551" s="81">
        <v>-11.203092187497532</v>
      </c>
    </row>
    <row r="552">
      <c r="A552" s="52" t="str">
        <f>IFERROR(__xludf.DUMMYFUNCTION("""COMPUTED_VALUE"""),"GUN-10551")</f>
        <v>GUN-10551</v>
      </c>
      <c r="B552" s="50">
        <f>IFERROR(__xludf.DUMMYFUNCTION("""COMPUTED_VALUE"""),44655.643594409725)</f>
        <v>44655.64359</v>
      </c>
      <c r="C552" s="52" t="str">
        <f>IFERROR(__xludf.DUMMYFUNCTION("""COMPUTED_VALUE"""),"VOLTA")</f>
        <v>VOLTA</v>
      </c>
      <c r="D552" s="53">
        <f>IFERROR(__xludf.DUMMYFUNCTION("""COMPUTED_VALUE"""),44669.6875)</f>
        <v>44669.6875</v>
      </c>
      <c r="E552" s="81"/>
      <c r="F552" s="81">
        <v>14.043905590275244</v>
      </c>
    </row>
    <row r="553">
      <c r="A553" s="52" t="str">
        <f>IFERROR(__xludf.DUMMYFUNCTION("""COMPUTED_VALUE"""),"GUN-10552")</f>
        <v>GUN-10552</v>
      </c>
      <c r="B553" s="50">
        <f>IFERROR(__xludf.DUMMYFUNCTION("""COMPUTED_VALUE"""),44655.88435994213)</f>
        <v>44655.88436</v>
      </c>
      <c r="C553" s="52" t="str">
        <f>IFERROR(__xludf.DUMMYFUNCTION("""COMPUTED_VALUE"""),"FAUNATICOS")</f>
        <v>FAUNATICOS</v>
      </c>
      <c r="D553" s="53">
        <f>IFERROR(__xludf.DUMMYFUNCTION("""COMPUTED_VALUE"""),44658.54166666667)</f>
        <v>44658.54167</v>
      </c>
      <c r="E553" s="81"/>
      <c r="F553" s="81">
        <v>2.657306724540831</v>
      </c>
    </row>
    <row r="554">
      <c r="A554" s="52" t="str">
        <f>IFERROR(__xludf.DUMMYFUNCTION("""COMPUTED_VALUE"""),"GUN-10553")</f>
        <v>GUN-10553</v>
      </c>
      <c r="B554" s="50">
        <f>IFERROR(__xludf.DUMMYFUNCTION("""COMPUTED_VALUE"""),44655.906747326386)</f>
        <v>44655.90675</v>
      </c>
      <c r="C554" s="52" t="str">
        <f>IFERROR(__xludf.DUMMYFUNCTION("""COMPUTED_VALUE"""),"FAUNATICOS")</f>
        <v>FAUNATICOS</v>
      </c>
      <c r="D554" s="53">
        <f>IFERROR(__xludf.DUMMYFUNCTION("""COMPUTED_VALUE"""),44657.60416666667)</f>
        <v>44657.60417</v>
      </c>
      <c r="E554" s="81"/>
      <c r="F554" s="81">
        <v>1.6974193402857054</v>
      </c>
    </row>
    <row r="555">
      <c r="A555" s="52" t="str">
        <f>IFERROR(__xludf.DUMMYFUNCTION("""COMPUTED_VALUE"""),"GUN-10554")</f>
        <v>GUN-10554</v>
      </c>
      <c r="B555" s="50">
        <f>IFERROR(__xludf.DUMMYFUNCTION("""COMPUTED_VALUE"""),44655.988094189815)</f>
        <v>44655.98809</v>
      </c>
      <c r="C555" s="52" t="str">
        <f>IFERROR(__xludf.DUMMYFUNCTION("""COMPUTED_VALUE"""),"PANGEA")</f>
        <v>PANGEA</v>
      </c>
      <c r="D555" s="53">
        <f>IFERROR(__xludf.DUMMYFUNCTION("""COMPUTED_VALUE"""),44659.60416666667)</f>
        <v>44659.60417</v>
      </c>
      <c r="E555" s="81"/>
      <c r="F555" s="81">
        <v>3.6160724768560613</v>
      </c>
    </row>
    <row r="556">
      <c r="A556" s="52" t="str">
        <f>IFERROR(__xludf.DUMMYFUNCTION("""COMPUTED_VALUE"""),"GUN-10555")</f>
        <v>GUN-10555</v>
      </c>
      <c r="B556" s="50">
        <f>IFERROR(__xludf.DUMMYFUNCTION("""COMPUTED_VALUE"""),44656.619207986114)</f>
        <v>44656.61921</v>
      </c>
      <c r="C556" s="52" t="str">
        <f>IFERROR(__xludf.DUMMYFUNCTION("""COMPUTED_VALUE"""),"CDIEP")</f>
        <v>CDIEP</v>
      </c>
      <c r="D556" s="53">
        <f>IFERROR(__xludf.DUMMYFUNCTION("""COMPUTED_VALUE"""),44659.60416666667)</f>
        <v>44659.60417</v>
      </c>
      <c r="E556" s="81"/>
      <c r="F556" s="81">
        <v>2.984958680557611</v>
      </c>
    </row>
    <row r="557">
      <c r="A557" s="52" t="str">
        <f>IFERROR(__xludf.DUMMYFUNCTION("""COMPUTED_VALUE"""),"GUN-10556")</f>
        <v>GUN-10556</v>
      </c>
      <c r="B557" s="50">
        <f>IFERROR(__xludf.DUMMYFUNCTION("""COMPUTED_VALUE"""),44657.38904780093)</f>
        <v>44657.38905</v>
      </c>
      <c r="C557" s="52" t="str">
        <f>IFERROR(__xludf.DUMMYFUNCTION("""COMPUTED_VALUE"""),"CEO")</f>
        <v>CEO</v>
      </c>
      <c r="D557" s="53">
        <f>IFERROR(__xludf.DUMMYFUNCTION("""COMPUTED_VALUE"""),44681.41666666667)</f>
        <v>44681.41667</v>
      </c>
      <c r="E557" s="81"/>
      <c r="F557" s="81">
        <v>24.027618865744444</v>
      </c>
    </row>
    <row r="558">
      <c r="A558" s="52" t="str">
        <f>IFERROR(__xludf.DUMMYFUNCTION("""COMPUTED_VALUE"""),"GUN-10557")</f>
        <v>GUN-10557</v>
      </c>
      <c r="B558" s="50">
        <f>IFERROR(__xludf.DUMMYFUNCTION("""COMPUTED_VALUE"""),44657.47781300926)</f>
        <v>44657.47781</v>
      </c>
      <c r="C558" s="52" t="str">
        <f>IFERROR(__xludf.DUMMYFUNCTION("""COMPUTED_VALUE"""),"CERI")</f>
        <v>CERI</v>
      </c>
      <c r="D558" s="53">
        <f>IFERROR(__xludf.DUMMYFUNCTION("""COMPUTED_VALUE"""),44660.39583333333)</f>
        <v>44660.39583</v>
      </c>
      <c r="E558" s="81"/>
      <c r="F558" s="81">
        <v>2.918020324068493</v>
      </c>
    </row>
    <row r="559">
      <c r="A559" s="52" t="str">
        <f>IFERROR(__xludf.DUMMYFUNCTION("""COMPUTED_VALUE"""),"GUN-10558")</f>
        <v>GUN-10558</v>
      </c>
      <c r="B559" s="50">
        <f>IFERROR(__xludf.DUMMYFUNCTION("""COMPUTED_VALUE"""),44657.725873495365)</f>
        <v>44657.72587</v>
      </c>
      <c r="C559" s="52" t="str">
        <f>IFERROR(__xludf.DUMMYFUNCTION("""COMPUTED_VALUE"""),"CIG-UN")</f>
        <v>CIG-UN</v>
      </c>
      <c r="D559" s="53">
        <f>IFERROR(__xludf.DUMMYFUNCTION("""COMPUTED_VALUE"""),44671.77083333333)</f>
        <v>44671.77083</v>
      </c>
      <c r="E559" s="81"/>
      <c r="F559" s="81">
        <v>14.044959837963688</v>
      </c>
    </row>
    <row r="560">
      <c r="A560" s="52" t="str">
        <f>IFERROR(__xludf.DUMMYFUNCTION("""COMPUTED_VALUE"""),"GUN-10559")</f>
        <v>GUN-10559</v>
      </c>
      <c r="B560" s="50">
        <f>IFERROR(__xludf.DUMMYFUNCTION("""COMPUTED_VALUE"""),44657.73982189815)</f>
        <v>44657.73982</v>
      </c>
      <c r="C560" s="52" t="str">
        <f>IFERROR(__xludf.DUMMYFUNCTION("""COMPUTED_VALUE"""),"CIG-UN")</f>
        <v>CIG-UN</v>
      </c>
      <c r="D560" s="53">
        <f>IFERROR(__xludf.DUMMYFUNCTION("""COMPUTED_VALUE"""),44670.77083333333)</f>
        <v>44670.77083</v>
      </c>
      <c r="E560" s="81"/>
      <c r="F560" s="81">
        <v>13.031011435181426</v>
      </c>
    </row>
    <row r="561">
      <c r="A561" s="52" t="str">
        <f>IFERROR(__xludf.DUMMYFUNCTION("""COMPUTED_VALUE"""),"GUN-10560")</f>
        <v>GUN-10560</v>
      </c>
      <c r="B561" s="50">
        <f>IFERROR(__xludf.DUMMYFUNCTION("""COMPUTED_VALUE"""),44658.334276168986)</f>
        <v>44658.33428</v>
      </c>
      <c r="C561" s="52" t="str">
        <f>IFERROR(__xludf.DUMMYFUNCTION("""COMPUTED_VALUE"""),"CEIM UNINORTE")</f>
        <v>CEIM UNINORTE</v>
      </c>
      <c r="D561" s="53">
        <f>IFERROR(__xludf.DUMMYFUNCTION("""COMPUTED_VALUE"""),44671.41666666667)</f>
        <v>44671.41667</v>
      </c>
      <c r="E561" s="81"/>
      <c r="F561" s="81">
        <v>13.082390497685992</v>
      </c>
    </row>
    <row r="562">
      <c r="A562" s="52" t="str">
        <f>IFERROR(__xludf.DUMMYFUNCTION("""COMPUTED_VALUE"""),"GUN-10561")</f>
        <v>GUN-10561</v>
      </c>
      <c r="B562" s="50">
        <f>IFERROR(__xludf.DUMMYFUNCTION("""COMPUTED_VALUE"""),44658.33616420139)</f>
        <v>44658.33616</v>
      </c>
      <c r="C562" s="52" t="str">
        <f>IFERROR(__xludf.DUMMYFUNCTION("""COMPUTED_VALUE"""),"CEIM UNINORTE")</f>
        <v>CEIM UNINORTE</v>
      </c>
      <c r="D562" s="53">
        <f>IFERROR(__xludf.DUMMYFUNCTION("""COMPUTED_VALUE"""),44673.4375)</f>
        <v>44673.4375</v>
      </c>
      <c r="E562" s="81"/>
      <c r="F562" s="81">
        <v>15.101335798608488</v>
      </c>
    </row>
    <row r="563">
      <c r="A563" s="52" t="str">
        <f>IFERROR(__xludf.DUMMYFUNCTION("""COMPUTED_VALUE"""),"GUN-10562")</f>
        <v>GUN-10562</v>
      </c>
      <c r="B563" s="50">
        <f>IFERROR(__xludf.DUMMYFUNCTION("""COMPUTED_VALUE"""),44658.33784320602)</f>
        <v>44658.33784</v>
      </c>
      <c r="C563" s="52" t="str">
        <f>IFERROR(__xludf.DUMMYFUNCTION("""COMPUTED_VALUE"""),"CEIM UNINORTE")</f>
        <v>CEIM UNINORTE</v>
      </c>
      <c r="D563" s="53">
        <f>IFERROR(__xludf.DUMMYFUNCTION("""COMPUTED_VALUE"""),44673.77083333333)</f>
        <v>44673.77083</v>
      </c>
      <c r="E563" s="81"/>
      <c r="F563" s="81">
        <v>15.432990127308585</v>
      </c>
    </row>
    <row r="564">
      <c r="A564" s="52" t="str">
        <f>IFERROR(__xludf.DUMMYFUNCTION("""COMPUTED_VALUE"""),"GUN-10563")</f>
        <v>GUN-10563</v>
      </c>
      <c r="B564" s="50">
        <f>IFERROR(__xludf.DUMMYFUNCTION("""COMPUTED_VALUE"""),44658.339340185186)</f>
        <v>44658.33934</v>
      </c>
      <c r="C564" s="52" t="str">
        <f>IFERROR(__xludf.DUMMYFUNCTION("""COMPUTED_VALUE"""),"CEIM UNINORTE")</f>
        <v>CEIM UNINORTE</v>
      </c>
      <c r="D564" s="53">
        <f>IFERROR(__xludf.DUMMYFUNCTION("""COMPUTED_VALUE"""),44664.4375)</f>
        <v>44664.4375</v>
      </c>
      <c r="E564" s="81"/>
      <c r="F564" s="81">
        <v>6.098159814813698</v>
      </c>
    </row>
    <row r="565">
      <c r="A565" s="52" t="str">
        <f>IFERROR(__xludf.DUMMYFUNCTION("""COMPUTED_VALUE"""),"GUN-10564")</f>
        <v>GUN-10564</v>
      </c>
      <c r="B565" s="50">
        <f>IFERROR(__xludf.DUMMYFUNCTION("""COMPUTED_VALUE"""),44658.36300172453)</f>
        <v>44658.363</v>
      </c>
      <c r="C565" s="52" t="str">
        <f>IFERROR(__xludf.DUMMYFUNCTION("""COMPUTED_VALUE"""),"CEIM UNINORTE")</f>
        <v>CEIM UNINORTE</v>
      </c>
      <c r="D565" s="53">
        <f>IFERROR(__xludf.DUMMYFUNCTION("""COMPUTED_VALUE"""),44673.41666666667)</f>
        <v>44673.41667</v>
      </c>
      <c r="E565" s="81"/>
      <c r="F565" s="81">
        <v>15.05366494214104</v>
      </c>
    </row>
    <row r="566">
      <c r="A566" s="52" t="str">
        <f>IFERROR(__xludf.DUMMYFUNCTION("""COMPUTED_VALUE"""),"GUN-10565")</f>
        <v>GUN-10565</v>
      </c>
      <c r="B566" s="50">
        <f>IFERROR(__xludf.DUMMYFUNCTION("""COMPUTED_VALUE"""),44658.467239791666)</f>
        <v>44658.46724</v>
      </c>
      <c r="C566" s="52" t="str">
        <f>IFERROR(__xludf.DUMMYFUNCTION("""COMPUTED_VALUE"""),"CERI")</f>
        <v>CERI</v>
      </c>
      <c r="D566" s="53">
        <f>IFERROR(__xludf.DUMMYFUNCTION("""COMPUTED_VALUE"""),44671.72916666667)</f>
        <v>44671.72917</v>
      </c>
      <c r="E566" s="81"/>
      <c r="F566" s="81">
        <v>13.261926875005884</v>
      </c>
    </row>
    <row r="567">
      <c r="A567" s="52" t="str">
        <f>IFERROR(__xludf.DUMMYFUNCTION("""COMPUTED_VALUE"""),"GUN-10566")</f>
        <v>GUN-10566</v>
      </c>
      <c r="B567" s="50">
        <f>IFERROR(__xludf.DUMMYFUNCTION("""COMPUTED_VALUE"""),44658.46798984953)</f>
        <v>44658.46799</v>
      </c>
      <c r="C567" s="52" t="str">
        <f>IFERROR(__xludf.DUMMYFUNCTION("""COMPUTED_VALUE"""),"CEIM UNINORTE")</f>
        <v>CEIM UNINORTE</v>
      </c>
      <c r="D567" s="53">
        <f>IFERROR(__xludf.DUMMYFUNCTION("""COMPUTED_VALUE"""),44673.6875)</f>
        <v>44673.6875</v>
      </c>
      <c r="E567" s="81"/>
      <c r="F567" s="81">
        <v>15.219510150469432</v>
      </c>
    </row>
    <row r="568">
      <c r="A568" s="52" t="str">
        <f>IFERROR(__xludf.DUMMYFUNCTION("""COMPUTED_VALUE"""),"GUN-10567")</f>
        <v>GUN-10567</v>
      </c>
      <c r="B568" s="50">
        <f>IFERROR(__xludf.DUMMYFUNCTION("""COMPUTED_VALUE"""),44658.50779035879)</f>
        <v>44658.50779</v>
      </c>
      <c r="C568" s="52" t="str">
        <f>IFERROR(__xludf.DUMMYFUNCTION("""COMPUTED_VALUE"""),"JUVENTUDES CRITICAS")</f>
        <v>JUVENTUDES CRITICAS</v>
      </c>
      <c r="D568" s="53">
        <f>IFERROR(__xludf.DUMMYFUNCTION("""COMPUTED_VALUE"""),44671.22916666667)</f>
        <v>44671.22917</v>
      </c>
      <c r="E568" s="81"/>
      <c r="F568" s="81">
        <v>12.721376307883475</v>
      </c>
    </row>
    <row r="569">
      <c r="A569" s="52" t="str">
        <f>IFERROR(__xludf.DUMMYFUNCTION("""COMPUTED_VALUE"""),"GUN-10568")</f>
        <v>GUN-10568</v>
      </c>
      <c r="B569" s="50">
        <f>IFERROR(__xludf.DUMMYFUNCTION("""COMPUTED_VALUE"""),44658.62002094908)</f>
        <v>44658.62002</v>
      </c>
      <c r="C569" s="52" t="str">
        <f>IFERROR(__xludf.DUMMYFUNCTION("""COMPUTED_VALUE"""),"CERI")</f>
        <v>CERI</v>
      </c>
      <c r="D569" s="53">
        <f>IFERROR(__xludf.DUMMYFUNCTION("""COMPUTED_VALUE"""),44670.39583333333)</f>
        <v>44670.39583</v>
      </c>
      <c r="E569" s="81"/>
      <c r="F569" s="81">
        <v>11.775812384250457</v>
      </c>
    </row>
    <row r="570">
      <c r="A570" s="52" t="str">
        <f>IFERROR(__xludf.DUMMYFUNCTION("""COMPUTED_VALUE"""),"GUN-10569")</f>
        <v>GUN-10569</v>
      </c>
      <c r="B570" s="50">
        <f>IFERROR(__xludf.DUMMYFUNCTION("""COMPUTED_VALUE"""),44658.6828796875)</f>
        <v>44658.68288</v>
      </c>
      <c r="C570" s="52" t="str">
        <f>IFERROR(__xludf.DUMMYFUNCTION("""COMPUTED_VALUE"""),"PANGEA")</f>
        <v>PANGEA</v>
      </c>
      <c r="D570" s="53">
        <f>IFERROR(__xludf.DUMMYFUNCTION("""COMPUTED_VALUE"""),44670.39583333333)</f>
        <v>44670.39583</v>
      </c>
      <c r="E570" s="81"/>
      <c r="F570" s="81">
        <v>11.712953645830567</v>
      </c>
    </row>
    <row r="571">
      <c r="A571" s="52" t="str">
        <f>IFERROR(__xludf.DUMMYFUNCTION("""COMPUTED_VALUE"""),"GUN-10570")</f>
        <v>GUN-10570</v>
      </c>
      <c r="B571" s="50">
        <f>IFERROR(__xludf.DUMMYFUNCTION("""COMPUTED_VALUE"""),44658.77990981482)</f>
        <v>44658.77991</v>
      </c>
      <c r="C571" s="52" t="str">
        <f>IFERROR(__xludf.DUMMYFUNCTION("""COMPUTED_VALUE"""),"ASTRONORTE")</f>
        <v>ASTRONORTE</v>
      </c>
      <c r="D571" s="53">
        <f>IFERROR(__xludf.DUMMYFUNCTION("""COMPUTED_VALUE"""),44673.10416666667)</f>
        <v>44673.10417</v>
      </c>
      <c r="E571" s="81"/>
      <c r="F571" s="81">
        <v>14.324256851854443</v>
      </c>
    </row>
    <row r="572">
      <c r="A572" s="52" t="str">
        <f>IFERROR(__xludf.DUMMYFUNCTION("""COMPUTED_VALUE"""),"GUN-10571")</f>
        <v>GUN-10571</v>
      </c>
      <c r="B572" s="50">
        <f>IFERROR(__xludf.DUMMYFUNCTION("""COMPUTED_VALUE"""),44659.46214927084)</f>
        <v>44659.46215</v>
      </c>
      <c r="C572" s="52" t="str">
        <f>IFERROR(__xludf.DUMMYFUNCTION("""COMPUTED_VALUE"""),"GEN'S")</f>
        <v>GEN'S</v>
      </c>
      <c r="D572" s="53">
        <f>IFERROR(__xludf.DUMMYFUNCTION("""COMPUTED_VALUE"""),44673.1875)</f>
        <v>44673.1875</v>
      </c>
      <c r="E572" s="81"/>
      <c r="F572" s="81">
        <v>13.72535072916071</v>
      </c>
    </row>
    <row r="573">
      <c r="A573" s="52" t="str">
        <f>IFERROR(__xludf.DUMMYFUNCTION("""COMPUTED_VALUE"""),"GUN-10572")</f>
        <v>GUN-10572</v>
      </c>
      <c r="B573" s="50">
        <f>IFERROR(__xludf.DUMMYFUNCTION("""COMPUTED_VALUE"""),44659.72842024305)</f>
        <v>44659.72842</v>
      </c>
      <c r="C573" s="52" t="str">
        <f>IFERROR(__xludf.DUMMYFUNCTION("""COMPUTED_VALUE"""),"GREEN GENERATION")</f>
        <v>GREEN GENERATION</v>
      </c>
      <c r="D573" s="53">
        <f>IFERROR(__xludf.DUMMYFUNCTION("""COMPUTED_VALUE"""),44669.3125)</f>
        <v>44669.3125</v>
      </c>
      <c r="E573" s="81"/>
      <c r="F573" s="81">
        <v>9.584079756947176</v>
      </c>
    </row>
    <row r="574">
      <c r="A574" s="52" t="str">
        <f>IFERROR(__xludf.DUMMYFUNCTION("""COMPUTED_VALUE"""),"GUN-10573")</f>
        <v>GUN-10573</v>
      </c>
      <c r="B574" s="50">
        <f>IFERROR(__xludf.DUMMYFUNCTION("""COMPUTED_VALUE"""),44662.29345087963)</f>
        <v>44662.29345</v>
      </c>
      <c r="C574" s="52" t="str">
        <f>IFERROR(__xludf.DUMMYFUNCTION("""COMPUTED_VALUE"""),"CDIEP")</f>
        <v>CDIEP</v>
      </c>
      <c r="D574" s="53">
        <f>IFERROR(__xludf.DUMMYFUNCTION("""COMPUTED_VALUE"""),44673.47916666667)</f>
        <v>44673.47917</v>
      </c>
      <c r="E574" s="81"/>
      <c r="F574" s="81">
        <v>11.185715787039953</v>
      </c>
    </row>
    <row r="575">
      <c r="A575" s="52" t="str">
        <f>IFERROR(__xludf.DUMMYFUNCTION("""COMPUTED_VALUE"""),"GUN-10574")</f>
        <v>GUN-10574</v>
      </c>
      <c r="B575" s="50">
        <f>IFERROR(__xludf.DUMMYFUNCTION("""COMPUTED_VALUE"""),44662.59261880787)</f>
        <v>44662.59262</v>
      </c>
      <c r="C575" s="52" t="str">
        <f>IFERROR(__xludf.DUMMYFUNCTION("""COMPUTED_VALUE"""),"UNINORTE DIVERSO")</f>
        <v>UNINORTE DIVERSO</v>
      </c>
      <c r="D575" s="53">
        <f>IFERROR(__xludf.DUMMYFUNCTION("""COMPUTED_VALUE"""),44662.60416666667)</f>
        <v>44662.60417</v>
      </c>
      <c r="E575" s="81"/>
      <c r="F575" s="81">
        <v>0.01154785880498821</v>
      </c>
    </row>
    <row r="576">
      <c r="A576" s="52" t="str">
        <f>IFERROR(__xludf.DUMMYFUNCTION("""COMPUTED_VALUE"""),"GUN-10575")</f>
        <v>GUN-10575</v>
      </c>
      <c r="B576" s="50">
        <f>IFERROR(__xludf.DUMMYFUNCTION("""COMPUTED_VALUE"""),44662.731045092594)</f>
        <v>44662.73105</v>
      </c>
      <c r="C576" s="52" t="str">
        <f>IFERROR(__xludf.DUMMYFUNCTION("""COMPUTED_VALUE"""),"CDIEP")</f>
        <v>CDIEP</v>
      </c>
      <c r="D576" s="53">
        <f>IFERROR(__xludf.DUMMYFUNCTION("""COMPUTED_VALUE"""),44695.29166666667)</f>
        <v>44695.29167</v>
      </c>
      <c r="E576" s="81"/>
      <c r="F576" s="81">
        <v>32.56062157407723</v>
      </c>
    </row>
    <row r="577">
      <c r="A577" s="52" t="str">
        <f>IFERROR(__xludf.DUMMYFUNCTION("""COMPUTED_VALUE"""),"GUN-10576")</f>
        <v>GUN-10576</v>
      </c>
      <c r="B577" s="50">
        <f>IFERROR(__xludf.DUMMYFUNCTION("""COMPUTED_VALUE"""),44663.85447954861)</f>
        <v>44663.85448</v>
      </c>
      <c r="C577" s="52" t="str">
        <f>IFERROR(__xludf.DUMMYFUNCTION("""COMPUTED_VALUE"""),"FAUNATICOS")</f>
        <v>FAUNATICOS</v>
      </c>
      <c r="D577" s="53">
        <f>IFERROR(__xludf.DUMMYFUNCTION("""COMPUTED_VALUE"""),44673.60416666667)</f>
        <v>44673.60417</v>
      </c>
      <c r="E577" s="81"/>
      <c r="F577" s="81">
        <v>9.749687118062866</v>
      </c>
    </row>
    <row r="578">
      <c r="A578" s="52" t="str">
        <f>IFERROR(__xludf.DUMMYFUNCTION("""COMPUTED_VALUE"""),"GUN-10577")</f>
        <v>GUN-10577</v>
      </c>
      <c r="B578" s="50">
        <f>IFERROR(__xludf.DUMMYFUNCTION("""COMPUTED_VALUE"""),44663.85950608797)</f>
        <v>44663.85951</v>
      </c>
      <c r="C578" s="52" t="str">
        <f>IFERROR(__xludf.DUMMYFUNCTION("""COMPUTED_VALUE"""),"FAUNATICOS")</f>
        <v>FAUNATICOS</v>
      </c>
      <c r="D578" s="53">
        <f>IFERROR(__xludf.DUMMYFUNCTION("""COMPUTED_VALUE"""),44672.60416666667)</f>
        <v>44672.60417</v>
      </c>
      <c r="E578" s="81"/>
      <c r="F578" s="81">
        <v>8.744660578704497</v>
      </c>
    </row>
    <row r="579">
      <c r="A579" s="52" t="str">
        <f>IFERROR(__xludf.DUMMYFUNCTION("""COMPUTED_VALUE"""),"GUN-10578")</f>
        <v>GUN-10578</v>
      </c>
      <c r="B579" s="50">
        <f>IFERROR(__xludf.DUMMYFUNCTION("""COMPUTED_VALUE"""),44663.86290835648)</f>
        <v>44663.86291</v>
      </c>
      <c r="C579" s="52" t="str">
        <f>IFERROR(__xludf.DUMMYFUNCTION("""COMPUTED_VALUE"""),"FAUNATICOS")</f>
        <v>FAUNATICOS</v>
      </c>
      <c r="D579" s="53">
        <f>IFERROR(__xludf.DUMMYFUNCTION("""COMPUTED_VALUE"""),44671.60416666667)</f>
        <v>44671.60417</v>
      </c>
      <c r="E579" s="81"/>
      <c r="F579" s="81">
        <v>7.74125831019046</v>
      </c>
    </row>
    <row r="580">
      <c r="A580" s="52" t="str">
        <f>IFERROR(__xludf.DUMMYFUNCTION("""COMPUTED_VALUE"""),"GUN-10579")</f>
        <v>GUN-10579</v>
      </c>
      <c r="B580" s="50">
        <f>IFERROR(__xludf.DUMMYFUNCTION("""COMPUTED_VALUE"""),44663.94885203704)</f>
        <v>44663.94885</v>
      </c>
      <c r="C580" s="52" t="str">
        <f>IFERROR(__xludf.DUMMYFUNCTION("""COMPUTED_VALUE"""),"BOURBAKI")</f>
        <v>BOURBAKI</v>
      </c>
      <c r="D580" s="53">
        <f>IFERROR(__xludf.DUMMYFUNCTION("""COMPUTED_VALUE"""),44678.64583333333)</f>
        <v>44678.64583</v>
      </c>
      <c r="E580" s="81"/>
      <c r="F580" s="81">
        <v>14.69698129628523</v>
      </c>
    </row>
    <row r="581">
      <c r="A581" s="52" t="str">
        <f>IFERROR(__xludf.DUMMYFUNCTION("""COMPUTED_VALUE"""),"GUN-10580")</f>
        <v>GUN-10580</v>
      </c>
      <c r="B581" s="50">
        <f>IFERROR(__xludf.DUMMYFUNCTION("""COMPUTED_VALUE"""),44664.625722523146)</f>
        <v>44664.62572</v>
      </c>
      <c r="C581" s="52" t="str">
        <f>IFERROR(__xludf.DUMMYFUNCTION("""COMPUTED_VALUE"""),"GREEN GENERATION")</f>
        <v>GREEN GENERATION</v>
      </c>
      <c r="D581" s="53">
        <f>IFERROR(__xludf.DUMMYFUNCTION("""COMPUTED_VALUE"""),44683.39583333333)</f>
        <v>44683.39583</v>
      </c>
      <c r="E581" s="81"/>
      <c r="F581" s="81">
        <v>18.770110810182814</v>
      </c>
    </row>
    <row r="582">
      <c r="A582" s="52" t="str">
        <f>IFERROR(__xludf.DUMMYFUNCTION("""COMPUTED_VALUE"""),"GUN-10581")</f>
        <v>GUN-10581</v>
      </c>
      <c r="B582" s="50">
        <f>IFERROR(__xludf.DUMMYFUNCTION("""COMPUTED_VALUE"""),44664.625746956015)</f>
        <v>44664.62575</v>
      </c>
      <c r="C582" s="52" t="str">
        <f>IFERROR(__xludf.DUMMYFUNCTION("""COMPUTED_VALUE"""),"LINGUA")</f>
        <v>LINGUA</v>
      </c>
      <c r="D582" s="53">
        <f>IFERROR(__xludf.DUMMYFUNCTION("""COMPUTED_VALUE"""),44683.39583333333)</f>
        <v>44683.39583</v>
      </c>
      <c r="E582" s="81"/>
      <c r="F582" s="81">
        <v>18.77008637731342</v>
      </c>
    </row>
    <row r="583">
      <c r="A583" s="52" t="str">
        <f>IFERROR(__xludf.DUMMYFUNCTION("""COMPUTED_VALUE"""),"GUN-10582")</f>
        <v>GUN-10582</v>
      </c>
      <c r="B583" s="50">
        <f>IFERROR(__xludf.DUMMYFUNCTION("""COMPUTED_VALUE"""),44664.6258312037)</f>
        <v>44664.62583</v>
      </c>
      <c r="C583" s="52" t="str">
        <f>IFERROR(__xludf.DUMMYFUNCTION("""COMPUTED_VALUE"""),"PARTNERS CAMPUS")</f>
        <v>PARTNERS CAMPUS</v>
      </c>
      <c r="D583" s="53">
        <f>IFERROR(__xludf.DUMMYFUNCTION("""COMPUTED_VALUE"""),44683.39583333333)</f>
        <v>44683.39583</v>
      </c>
      <c r="E583" s="81"/>
      <c r="F583" s="81">
        <v>18.770002129625937</v>
      </c>
    </row>
    <row r="584">
      <c r="A584" s="52" t="str">
        <f>IFERROR(__xludf.DUMMYFUNCTION("""COMPUTED_VALUE"""),"GUN-10583")</f>
        <v>GUN-10583</v>
      </c>
      <c r="B584" s="50">
        <f>IFERROR(__xludf.DUMMYFUNCTION("""COMPUTED_VALUE"""),44664.638988101855)</f>
        <v>44664.63899</v>
      </c>
      <c r="C584" s="52" t="str">
        <f>IFERROR(__xludf.DUMMYFUNCTION("""COMPUTED_VALUE"""),"PARTNERS CAMPUS")</f>
        <v>PARTNERS CAMPUS</v>
      </c>
      <c r="D584" s="53">
        <f>IFERROR(__xludf.DUMMYFUNCTION("""COMPUTED_VALUE"""),44673.39583333333)</f>
        <v>44673.39583</v>
      </c>
      <c r="E584" s="81"/>
      <c r="F584" s="81">
        <v>8.756845231473562</v>
      </c>
    </row>
    <row r="585">
      <c r="A585" s="52" t="str">
        <f>IFERROR(__xludf.DUMMYFUNCTION("""COMPUTED_VALUE"""),"GUN-10584")</f>
        <v>GUN-10584</v>
      </c>
      <c r="B585" s="50">
        <f>IFERROR(__xludf.DUMMYFUNCTION("""COMPUTED_VALUE"""),44665.4760159838)</f>
        <v>44665.47602</v>
      </c>
      <c r="C585" s="52" t="str">
        <f>IFERROR(__xludf.DUMMYFUNCTION("""COMPUTED_VALUE"""),"PARTNERS CAMPUS")</f>
        <v>PARTNERS CAMPUS</v>
      </c>
      <c r="D585" s="53">
        <f>IFERROR(__xludf.DUMMYFUNCTION("""COMPUTED_VALUE"""),44674.33333333333)</f>
        <v>44674.33333</v>
      </c>
      <c r="E585" s="81"/>
      <c r="F585" s="81">
        <v>8.857317349531513</v>
      </c>
    </row>
    <row r="586">
      <c r="A586" s="52" t="str">
        <f>IFERROR(__xludf.DUMMYFUNCTION("""COMPUTED_VALUE"""),"GUN-10585")</f>
        <v>GUN-10585</v>
      </c>
      <c r="B586" s="50">
        <f>IFERROR(__xludf.DUMMYFUNCTION("""COMPUTED_VALUE"""),44665.478516539355)</f>
        <v>44665.47852</v>
      </c>
      <c r="C586" s="52" t="str">
        <f>IFERROR(__xludf.DUMMYFUNCTION("""COMPUTED_VALUE"""),"PARTNERS CAMPUS")</f>
        <v>PARTNERS CAMPUS</v>
      </c>
      <c r="D586" s="53">
        <f>IFERROR(__xludf.DUMMYFUNCTION("""COMPUTED_VALUE"""),44673.60416666667)</f>
        <v>44673.60417</v>
      </c>
      <c r="E586" s="81"/>
      <c r="F586" s="81">
        <v>8.125650127316476</v>
      </c>
    </row>
    <row r="587">
      <c r="A587" s="52" t="str">
        <f>IFERROR(__xludf.DUMMYFUNCTION("""COMPUTED_VALUE"""),"GUN-10586")</f>
        <v>GUN-10586</v>
      </c>
      <c r="B587" s="50">
        <f>IFERROR(__xludf.DUMMYFUNCTION("""COMPUTED_VALUE"""),44665.50164638889)</f>
        <v>44665.50165</v>
      </c>
      <c r="C587" s="52" t="str">
        <f>IFERROR(__xludf.DUMMYFUNCTION("""COMPUTED_VALUE"""),"PARTNERS CAMPUS")</f>
        <v>PARTNERS CAMPUS</v>
      </c>
      <c r="D587" s="53">
        <f>IFERROR(__xludf.DUMMYFUNCTION("""COMPUTED_VALUE"""),44669.35416666667)</f>
        <v>44669.35417</v>
      </c>
      <c r="E587" s="81"/>
      <c r="F587" s="81">
        <v>3.8525202777818777</v>
      </c>
    </row>
    <row r="588">
      <c r="A588" s="52" t="str">
        <f>IFERROR(__xludf.DUMMYFUNCTION("""COMPUTED_VALUE"""),"GUN-10587")</f>
        <v>GUN-10587</v>
      </c>
      <c r="B588" s="50">
        <f>IFERROR(__xludf.DUMMYFUNCTION("""COMPUTED_VALUE"""),44665.63846721064)</f>
        <v>44665.63847</v>
      </c>
      <c r="C588" s="52" t="str">
        <f>IFERROR(__xludf.DUMMYFUNCTION("""COMPUTED_VALUE"""),"FELINORTE")</f>
        <v>FELINORTE</v>
      </c>
      <c r="D588" s="53">
        <f>IFERROR(__xludf.DUMMYFUNCTION("""COMPUTED_VALUE"""),44669.375)</f>
        <v>44669.375</v>
      </c>
      <c r="E588" s="81"/>
      <c r="F588" s="81">
        <v>3.7365327893567155</v>
      </c>
    </row>
    <row r="589">
      <c r="A589" s="52" t="str">
        <f>IFERROR(__xludf.DUMMYFUNCTION("""COMPUTED_VALUE"""),"GUN-10588")</f>
        <v>GUN-10588</v>
      </c>
      <c r="B589" s="50">
        <f>IFERROR(__xludf.DUMMYFUNCTION("""COMPUTED_VALUE"""),44665.64014319445)</f>
        <v>44665.64014</v>
      </c>
      <c r="C589" s="52" t="str">
        <f>IFERROR(__xludf.DUMMYFUNCTION("""COMPUTED_VALUE"""),"FELINORTE")</f>
        <v>FELINORTE</v>
      </c>
      <c r="D589" s="53">
        <f>IFERROR(__xludf.DUMMYFUNCTION("""COMPUTED_VALUE"""),44673.64583333333)</f>
        <v>44673.64583</v>
      </c>
      <c r="E589" s="81"/>
      <c r="F589" s="81">
        <v>8.005690138881619</v>
      </c>
    </row>
    <row r="590">
      <c r="A590" s="52" t="str">
        <f>IFERROR(__xludf.DUMMYFUNCTION("""COMPUTED_VALUE"""),"GUN-10589")</f>
        <v>GUN-10589</v>
      </c>
      <c r="B590" s="50">
        <f>IFERROR(__xludf.DUMMYFUNCTION("""COMPUTED_VALUE"""),44665.64266266203)</f>
        <v>44665.64266</v>
      </c>
      <c r="C590" s="52" t="str">
        <f>IFERROR(__xludf.DUMMYFUNCTION("""COMPUTED_VALUE"""),"FELINORTE")</f>
        <v>FELINORTE</v>
      </c>
      <c r="D590" s="53">
        <f>IFERROR(__xludf.DUMMYFUNCTION("""COMPUTED_VALUE"""),44672.39583333333)</f>
        <v>44672.39583</v>
      </c>
      <c r="E590" s="81"/>
      <c r="F590" s="81">
        <v>6.753170671297994</v>
      </c>
    </row>
    <row r="591">
      <c r="A591" s="52" t="str">
        <f>IFERROR(__xludf.DUMMYFUNCTION("""COMPUTED_VALUE"""),"GUN-10590")</f>
        <v>GUN-10590</v>
      </c>
      <c r="B591" s="50">
        <f>IFERROR(__xludf.DUMMYFUNCTION("""COMPUTED_VALUE"""),44665.64588391204)</f>
        <v>44665.64588</v>
      </c>
      <c r="C591" s="52" t="str">
        <f>IFERROR(__xludf.DUMMYFUNCTION("""COMPUTED_VALUE"""),"FELINORTE")</f>
        <v>FELINORTE</v>
      </c>
      <c r="D591" s="53">
        <f>IFERROR(__xludf.DUMMYFUNCTION("""COMPUTED_VALUE"""),44612.60416666667)</f>
        <v>44612.60417</v>
      </c>
      <c r="E591" s="81"/>
      <c r="F591" s="81">
        <v>-53.04171724536718</v>
      </c>
    </row>
    <row r="592">
      <c r="A592" s="52" t="str">
        <f>IFERROR(__xludf.DUMMYFUNCTION("""COMPUTED_VALUE"""),"GUN-10591")</f>
        <v>GUN-10591</v>
      </c>
      <c r="B592" s="50">
        <f>IFERROR(__xludf.DUMMYFUNCTION("""COMPUTED_VALUE"""),44665.6487227662)</f>
        <v>44665.64872</v>
      </c>
      <c r="C592" s="52" t="str">
        <f>IFERROR(__xludf.DUMMYFUNCTION("""COMPUTED_VALUE"""),"FELINORTE")</f>
        <v>FELINORTE</v>
      </c>
      <c r="D592" s="53">
        <f>IFERROR(__xludf.DUMMYFUNCTION("""COMPUTED_VALUE"""),44672.60416666667)</f>
        <v>44672.60417</v>
      </c>
      <c r="E592" s="81"/>
      <c r="F592" s="81">
        <v>6.955443900471437</v>
      </c>
    </row>
    <row r="593">
      <c r="A593" s="52" t="str">
        <f>IFERROR(__xludf.DUMMYFUNCTION("""COMPUTED_VALUE"""),"GUN-10592")</f>
        <v>GUN-10592</v>
      </c>
      <c r="B593" s="50">
        <f>IFERROR(__xludf.DUMMYFUNCTION("""COMPUTED_VALUE"""),44665.65081144676)</f>
        <v>44665.65081</v>
      </c>
      <c r="C593" s="52" t="str">
        <f>IFERROR(__xludf.DUMMYFUNCTION("""COMPUTED_VALUE"""),"PARTNERS CAMPUS")</f>
        <v>PARTNERS CAMPUS</v>
      </c>
      <c r="D593" s="53">
        <f>IFERROR(__xludf.DUMMYFUNCTION("""COMPUTED_VALUE"""),44669.60416666667)</f>
        <v>44669.60417</v>
      </c>
      <c r="E593" s="81"/>
      <c r="F593" s="81">
        <v>3.9533552199136466</v>
      </c>
    </row>
    <row r="594">
      <c r="A594" s="52" t="str">
        <f>IFERROR(__xludf.DUMMYFUNCTION("""COMPUTED_VALUE"""),"GUN-10593")</f>
        <v>GUN-10593</v>
      </c>
      <c r="B594" s="50">
        <f>IFERROR(__xludf.DUMMYFUNCTION("""COMPUTED_VALUE"""),44665.653780810186)</f>
        <v>44665.65378</v>
      </c>
      <c r="C594" s="52" t="str">
        <f>IFERROR(__xludf.DUMMYFUNCTION("""COMPUTED_VALUE"""),"PARTNERS CAMPUS")</f>
        <v>PARTNERS CAMPUS</v>
      </c>
      <c r="D594" s="53">
        <f>IFERROR(__xludf.DUMMYFUNCTION("""COMPUTED_VALUE"""),44670.35416666667)</f>
        <v>44670.35417</v>
      </c>
      <c r="E594" s="81"/>
      <c r="F594" s="81">
        <v>4.700385856485809</v>
      </c>
    </row>
    <row r="595">
      <c r="A595" s="52" t="str">
        <f>IFERROR(__xludf.DUMMYFUNCTION("""COMPUTED_VALUE"""),"GUN-10594")</f>
        <v>GUN-10594</v>
      </c>
      <c r="B595" s="50">
        <f>IFERROR(__xludf.DUMMYFUNCTION("""COMPUTED_VALUE"""),44665.65880414352)</f>
        <v>44665.6588</v>
      </c>
      <c r="C595" s="52" t="str">
        <f>IFERROR(__xludf.DUMMYFUNCTION("""COMPUTED_VALUE"""),"PARTNERS CAMPUS")</f>
        <v>PARTNERS CAMPUS</v>
      </c>
      <c r="D595" s="53">
        <f>IFERROR(__xludf.DUMMYFUNCTION("""COMPUTED_VALUE"""),44673.35416666667)</f>
        <v>44673.35417</v>
      </c>
      <c r="E595" s="81"/>
      <c r="F595" s="81">
        <v>7.695362523154472</v>
      </c>
    </row>
    <row r="596">
      <c r="A596" s="52" t="str">
        <f>IFERROR(__xludf.DUMMYFUNCTION("""COMPUTED_VALUE"""),"GUN-10595")</f>
        <v>GUN-10595</v>
      </c>
      <c r="B596" s="50">
        <f>IFERROR(__xludf.DUMMYFUNCTION("""COMPUTED_VALUE"""),44665.66244717593)</f>
        <v>44665.66245</v>
      </c>
      <c r="C596" s="52" t="str">
        <f>IFERROR(__xludf.DUMMYFUNCTION("""COMPUTED_VALUE"""),"PARTNERS CAMPUS")</f>
        <v>PARTNERS CAMPUS</v>
      </c>
      <c r="D596" s="53">
        <f>IFERROR(__xludf.DUMMYFUNCTION("""COMPUTED_VALUE"""),44670.35416666667)</f>
        <v>44670.35417</v>
      </c>
      <c r="E596" s="81"/>
      <c r="F596" s="81">
        <v>4.691719490743708</v>
      </c>
    </row>
    <row r="597">
      <c r="A597" s="52" t="str">
        <f>IFERROR(__xludf.DUMMYFUNCTION("""COMPUTED_VALUE"""),"GUN-10596")</f>
        <v>GUN-10596</v>
      </c>
      <c r="B597" s="50">
        <f>IFERROR(__xludf.DUMMYFUNCTION("""COMPUTED_VALUE"""),44665.66534450231)</f>
        <v>44665.66534</v>
      </c>
      <c r="C597" s="52" t="str">
        <f>IFERROR(__xludf.DUMMYFUNCTION("""COMPUTED_VALUE"""),"PARTNERS CAMPUS")</f>
        <v>PARTNERS CAMPUS</v>
      </c>
      <c r="D597" s="53">
        <f>IFERROR(__xludf.DUMMYFUNCTION("""COMPUTED_VALUE"""),44671.35416666667)</f>
        <v>44671.35417</v>
      </c>
      <c r="E597" s="81"/>
      <c r="F597" s="81">
        <v>5.688822164360317</v>
      </c>
    </row>
    <row r="598">
      <c r="A598" s="52" t="str">
        <f>IFERROR(__xludf.DUMMYFUNCTION("""COMPUTED_VALUE"""),"GUN-10597")</f>
        <v>GUN-10597</v>
      </c>
      <c r="B598" s="50">
        <f>IFERROR(__xludf.DUMMYFUNCTION("""COMPUTED_VALUE"""),44665.667995752316)</f>
        <v>44665.668</v>
      </c>
      <c r="C598" s="52" t="str">
        <f>IFERROR(__xludf.DUMMYFUNCTION("""COMPUTED_VALUE"""),"PARTNERS CAMPUS")</f>
        <v>PARTNERS CAMPUS</v>
      </c>
      <c r="D598" s="53">
        <f>IFERROR(__xludf.DUMMYFUNCTION("""COMPUTED_VALUE"""),44672.35416666667)</f>
        <v>44672.35417</v>
      </c>
      <c r="E598" s="81"/>
      <c r="F598" s="81">
        <v>6.686170914355898</v>
      </c>
    </row>
    <row r="599">
      <c r="A599" s="52" t="str">
        <f>IFERROR(__xludf.DUMMYFUNCTION("""COMPUTED_VALUE"""),"GUN-10598")</f>
        <v>GUN-10598</v>
      </c>
      <c r="B599" s="50">
        <f>IFERROR(__xludf.DUMMYFUNCTION("""COMPUTED_VALUE"""),44665.670279062506)</f>
        <v>44665.67028</v>
      </c>
      <c r="C599" s="52" t="str">
        <f>IFERROR(__xludf.DUMMYFUNCTION("""COMPUTED_VALUE"""),"PARTNERS CAMPUS")</f>
        <v>PARTNERS CAMPUS</v>
      </c>
      <c r="D599" s="53">
        <f>IFERROR(__xludf.DUMMYFUNCTION("""COMPUTED_VALUE"""),44673.35416666667)</f>
        <v>44673.35417</v>
      </c>
      <c r="E599" s="81"/>
      <c r="F599" s="81">
        <v>7.683887604165648</v>
      </c>
    </row>
    <row r="600">
      <c r="A600" s="52" t="str">
        <f>IFERROR(__xludf.DUMMYFUNCTION("""COMPUTED_VALUE"""),"GUN-10599")</f>
        <v>GUN-10599</v>
      </c>
      <c r="B600" s="50">
        <f>IFERROR(__xludf.DUMMYFUNCTION("""COMPUTED_VALUE"""),44665.67409581019)</f>
        <v>44665.6741</v>
      </c>
      <c r="C600" s="52" t="str">
        <f>IFERROR(__xludf.DUMMYFUNCTION("""COMPUTED_VALUE"""),"PARTNERS CAMPUS")</f>
        <v>PARTNERS CAMPUS</v>
      </c>
      <c r="D600" s="53">
        <f>IFERROR(__xludf.DUMMYFUNCTION("""COMPUTED_VALUE"""),44672.60416666667)</f>
        <v>44672.60417</v>
      </c>
      <c r="E600" s="81"/>
      <c r="F600" s="81">
        <v>6.930070856484235</v>
      </c>
    </row>
    <row r="601">
      <c r="A601" s="52" t="str">
        <f>IFERROR(__xludf.DUMMYFUNCTION("""COMPUTED_VALUE"""),"GUN-10600")</f>
        <v>GUN-10600</v>
      </c>
      <c r="B601" s="50">
        <f>IFERROR(__xludf.DUMMYFUNCTION("""COMPUTED_VALUE"""),44665.67625361111)</f>
        <v>44665.67625</v>
      </c>
      <c r="C601" s="52" t="str">
        <f>IFERROR(__xludf.DUMMYFUNCTION("""COMPUTED_VALUE"""),"PARTNERS CAMPUS")</f>
        <v>PARTNERS CAMPUS</v>
      </c>
      <c r="D601" s="53">
        <f>IFERROR(__xludf.DUMMYFUNCTION("""COMPUTED_VALUE"""),44673.35416666667)</f>
        <v>44673.35417</v>
      </c>
      <c r="E601" s="81"/>
      <c r="F601" s="81">
        <v>7.677913055558747</v>
      </c>
    </row>
    <row r="602">
      <c r="A602" s="52" t="str">
        <f>IFERROR(__xludf.DUMMYFUNCTION("""COMPUTED_VALUE"""),"GUN-10601")</f>
        <v>GUN-10601</v>
      </c>
      <c r="B602" s="50">
        <f>IFERROR(__xludf.DUMMYFUNCTION("""COMPUTED_VALUE"""),44665.67774002315)</f>
        <v>44665.67774</v>
      </c>
      <c r="C602" s="52" t="str">
        <f>IFERROR(__xludf.DUMMYFUNCTION("""COMPUTED_VALUE"""),"PARTNERS CAMPUS")</f>
        <v>PARTNERS CAMPUS</v>
      </c>
      <c r="D602" s="53">
        <f>IFERROR(__xludf.DUMMYFUNCTION("""COMPUTED_VALUE"""),44675.35416666667)</f>
        <v>44675.35417</v>
      </c>
      <c r="E602" s="81"/>
      <c r="F602" s="81">
        <v>9.676426643520244</v>
      </c>
    </row>
    <row r="603">
      <c r="A603" s="52" t="str">
        <f>IFERROR(__xludf.DUMMYFUNCTION("""COMPUTED_VALUE"""),"GUN-10602")</f>
        <v>GUN-10602</v>
      </c>
      <c r="B603" s="50">
        <f>IFERROR(__xludf.DUMMYFUNCTION("""COMPUTED_VALUE"""),44665.69812221065)</f>
        <v>44665.69812</v>
      </c>
      <c r="C603" s="52" t="str">
        <f>IFERROR(__xludf.DUMMYFUNCTION("""COMPUTED_VALUE"""),"PARTNERS CAMPUS")</f>
        <v>PARTNERS CAMPUS</v>
      </c>
      <c r="D603" s="53">
        <f>IFERROR(__xludf.DUMMYFUNCTION("""COMPUTED_VALUE"""),44669.5625)</f>
        <v>44669.5625</v>
      </c>
      <c r="E603" s="81"/>
      <c r="F603" s="81">
        <v>3.8643777893521474</v>
      </c>
    </row>
    <row r="604">
      <c r="A604" s="52" t="str">
        <f>IFERROR(__xludf.DUMMYFUNCTION("""COMPUTED_VALUE"""),"GUN-10603")</f>
        <v>GUN-10603</v>
      </c>
      <c r="B604" s="50">
        <f>IFERROR(__xludf.DUMMYFUNCTION("""COMPUTED_VALUE"""),44665.700989351855)</f>
        <v>44665.70099</v>
      </c>
      <c r="C604" s="52" t="str">
        <f>IFERROR(__xludf.DUMMYFUNCTION("""COMPUTED_VALUE"""),"PARTNERS CAMPUS")</f>
        <v>PARTNERS CAMPUS</v>
      </c>
      <c r="D604" s="53">
        <f>IFERROR(__xludf.DUMMYFUNCTION("""COMPUTED_VALUE"""),44669.35416666667)</f>
        <v>44669.35417</v>
      </c>
      <c r="E604" s="81"/>
      <c r="F604" s="81">
        <v>3.6531773148162756</v>
      </c>
    </row>
    <row r="605">
      <c r="A605" s="52" t="str">
        <f>IFERROR(__xludf.DUMMYFUNCTION("""COMPUTED_VALUE"""),"GUN-10604")</f>
        <v>GUN-10604</v>
      </c>
      <c r="B605" s="50">
        <f>IFERROR(__xludf.DUMMYFUNCTION("""COMPUTED_VALUE"""),44665.70221236111)</f>
        <v>44665.70221</v>
      </c>
      <c r="C605" s="52" t="str">
        <f>IFERROR(__xludf.DUMMYFUNCTION("""COMPUTED_VALUE"""),"IEEE")</f>
        <v>IEEE</v>
      </c>
      <c r="D605" s="53">
        <f>IFERROR(__xludf.DUMMYFUNCTION("""COMPUTED_VALUE"""),44673.0625)</f>
        <v>44673.0625</v>
      </c>
      <c r="E605" s="81"/>
      <c r="F605" s="81">
        <v>7.360287638890441</v>
      </c>
    </row>
    <row r="606">
      <c r="A606" s="52" t="str">
        <f>IFERROR(__xludf.DUMMYFUNCTION("""COMPUTED_VALUE"""),"GUN-10605")</f>
        <v>GUN-10605</v>
      </c>
      <c r="B606" s="50">
        <f>IFERROR(__xludf.DUMMYFUNCTION("""COMPUTED_VALUE"""),44665.70407085648)</f>
        <v>44665.70407</v>
      </c>
      <c r="C606" s="52" t="str">
        <f>IFERROR(__xludf.DUMMYFUNCTION("""COMPUTED_VALUE"""),"PARTNERS CAMPUS")</f>
        <v>PARTNERS CAMPUS</v>
      </c>
      <c r="D606" s="53">
        <f>IFERROR(__xludf.DUMMYFUNCTION("""COMPUTED_VALUE"""),44672.35416666667)</f>
        <v>44672.35417</v>
      </c>
      <c r="E606" s="81"/>
      <c r="F606" s="81">
        <v>6.6500958101896686</v>
      </c>
    </row>
    <row r="607">
      <c r="A607" s="52" t="str">
        <f>IFERROR(__xludf.DUMMYFUNCTION("""COMPUTED_VALUE"""),"GUN-10606")</f>
        <v>GUN-10606</v>
      </c>
      <c r="B607" s="50">
        <f>IFERROR(__xludf.DUMMYFUNCTION("""COMPUTED_VALUE"""),44665.70509196759)</f>
        <v>44665.70509</v>
      </c>
      <c r="C607" s="52" t="str">
        <f>IFERROR(__xludf.DUMMYFUNCTION("""COMPUTED_VALUE"""),"IEEE")</f>
        <v>IEEE</v>
      </c>
      <c r="D607" s="53">
        <f>IFERROR(__xludf.DUMMYFUNCTION("""COMPUTED_VALUE"""),44670.14583333333)</f>
        <v>44670.14583</v>
      </c>
      <c r="E607" s="81"/>
      <c r="F607" s="81">
        <v>4.440741365739086</v>
      </c>
    </row>
    <row r="608">
      <c r="A608" s="52" t="str">
        <f>IFERROR(__xludf.DUMMYFUNCTION("""COMPUTED_VALUE"""),"GUN-10607")</f>
        <v>GUN-10607</v>
      </c>
      <c r="B608" s="50">
        <f>IFERROR(__xludf.DUMMYFUNCTION("""COMPUTED_VALUE"""),44665.70577512731)</f>
        <v>44665.70578</v>
      </c>
      <c r="C608" s="52" t="str">
        <f>IFERROR(__xludf.DUMMYFUNCTION("""COMPUTED_VALUE"""),"PARTNERS CAMPUS")</f>
        <v>PARTNERS CAMPUS</v>
      </c>
      <c r="D608" s="53">
        <f>IFERROR(__xludf.DUMMYFUNCTION("""COMPUTED_VALUE"""),44671.35416666667)</f>
        <v>44671.35417</v>
      </c>
      <c r="E608" s="81"/>
      <c r="F608" s="81">
        <v>5.64839153936191</v>
      </c>
    </row>
    <row r="609">
      <c r="A609" s="52" t="str">
        <f>IFERROR(__xludf.DUMMYFUNCTION("""COMPUTED_VALUE"""),"GUN-10608")</f>
        <v>GUN-10608</v>
      </c>
      <c r="B609" s="50">
        <f>IFERROR(__xludf.DUMMYFUNCTION("""COMPUTED_VALUE"""),44665.70702872685)</f>
        <v>44665.70703</v>
      </c>
      <c r="C609" s="52" t="str">
        <f>IFERROR(__xludf.DUMMYFUNCTION("""COMPUTED_VALUE"""),"PARTNERS CAMPUS")</f>
        <v>PARTNERS CAMPUS</v>
      </c>
      <c r="D609" s="53">
        <f>IFERROR(__xludf.DUMMYFUNCTION("""COMPUTED_VALUE"""),44672.39583333333)</f>
        <v>44672.39583</v>
      </c>
      <c r="E609" s="81"/>
      <c r="F609" s="81">
        <v>6.688804606477788</v>
      </c>
    </row>
    <row r="610">
      <c r="A610" s="52" t="str">
        <f>IFERROR(__xludf.DUMMYFUNCTION("""COMPUTED_VALUE"""),"GUN-10609")</f>
        <v>GUN-10609</v>
      </c>
      <c r="B610" s="50">
        <f>IFERROR(__xludf.DUMMYFUNCTION("""COMPUTED_VALUE"""),44665.707109027775)</f>
        <v>44665.70711</v>
      </c>
      <c r="C610" s="52" t="str">
        <f>IFERROR(__xludf.DUMMYFUNCTION("""COMPUTED_VALUE"""),"IEEE")</f>
        <v>IEEE</v>
      </c>
      <c r="D610" s="53">
        <f>IFERROR(__xludf.DUMMYFUNCTION("""COMPUTED_VALUE"""),44675.10416666667)</f>
        <v>44675.10417</v>
      </c>
      <c r="E610" s="81"/>
      <c r="F610" s="81">
        <v>9.397057638896513</v>
      </c>
    </row>
    <row r="611">
      <c r="A611" s="52" t="str">
        <f>IFERROR(__xludf.DUMMYFUNCTION("""COMPUTED_VALUE"""),"GUN-10610")</f>
        <v>GUN-10610</v>
      </c>
      <c r="B611" s="50">
        <f>IFERROR(__xludf.DUMMYFUNCTION("""COMPUTED_VALUE"""),44665.70913246528)</f>
        <v>44665.70913</v>
      </c>
      <c r="C611" s="52" t="str">
        <f>IFERROR(__xludf.DUMMYFUNCTION("""COMPUTED_VALUE"""),"PARTNERS CAMPUS")</f>
        <v>PARTNERS CAMPUS</v>
      </c>
      <c r="D611" s="53">
        <f>IFERROR(__xludf.DUMMYFUNCTION("""COMPUTED_VALUE"""),44672.29166666667)</f>
        <v>44672.29167</v>
      </c>
      <c r="E611" s="81"/>
      <c r="F611" s="81">
        <v>6.582534201392264</v>
      </c>
    </row>
    <row r="612">
      <c r="A612" s="52" t="str">
        <f>IFERROR(__xludf.DUMMYFUNCTION("""COMPUTED_VALUE"""),"GUN-10611")</f>
        <v>GUN-10611</v>
      </c>
      <c r="B612" s="50">
        <f>IFERROR(__xludf.DUMMYFUNCTION("""COMPUTED_VALUE"""),44665.71111733797)</f>
        <v>44665.71112</v>
      </c>
      <c r="C612" s="52" t="str">
        <f>IFERROR(__xludf.DUMMYFUNCTION("""COMPUTED_VALUE"""),"IEEE")</f>
        <v>IEEE</v>
      </c>
      <c r="D612" s="53">
        <f>IFERROR(__xludf.DUMMYFUNCTION("""COMPUTED_VALUE"""),44674.35416666667)</f>
        <v>44674.35417</v>
      </c>
      <c r="E612" s="81"/>
      <c r="F612" s="81">
        <v>8.643049328704365</v>
      </c>
    </row>
    <row r="613">
      <c r="A613" s="52" t="str">
        <f>IFERROR(__xludf.DUMMYFUNCTION("""COMPUTED_VALUE"""),"GUN-10612")</f>
        <v>GUN-10612</v>
      </c>
      <c r="B613" s="50">
        <f>IFERROR(__xludf.DUMMYFUNCTION("""COMPUTED_VALUE"""),44665.71238561342)</f>
        <v>44665.71239</v>
      </c>
      <c r="C613" s="52" t="str">
        <f>IFERROR(__xludf.DUMMYFUNCTION("""COMPUTED_VALUE"""),"IEEE")</f>
        <v>IEEE</v>
      </c>
      <c r="D613" s="53">
        <f>IFERROR(__xludf.DUMMYFUNCTION("""COMPUTED_VALUE"""),44681.35416666667)</f>
        <v>44681.35417</v>
      </c>
      <c r="E613" s="81"/>
      <c r="F613" s="81">
        <v>15.64178105325118</v>
      </c>
    </row>
    <row r="614">
      <c r="A614" s="52" t="str">
        <f>IFERROR(__xludf.DUMMYFUNCTION("""COMPUTED_VALUE"""),"GUN-10613")</f>
        <v>GUN-10613</v>
      </c>
      <c r="B614" s="50">
        <f>IFERROR(__xludf.DUMMYFUNCTION("""COMPUTED_VALUE"""),44665.74672981481)</f>
        <v>44665.74673</v>
      </c>
      <c r="C614" s="52" t="str">
        <f>IFERROR(__xludf.DUMMYFUNCTION("""COMPUTED_VALUE"""),"IEEE")</f>
        <v>IEEE</v>
      </c>
      <c r="D614" s="53">
        <f>IFERROR(__xludf.DUMMYFUNCTION("""COMPUTED_VALUE"""),44671.14583333333)</f>
        <v>44671.14583</v>
      </c>
      <c r="E614" s="81"/>
      <c r="F614" s="81">
        <v>5.399103518517222</v>
      </c>
    </row>
    <row r="615">
      <c r="A615" s="52" t="str">
        <f>IFERROR(__xludf.DUMMYFUNCTION("""COMPUTED_VALUE"""),"GUN-10614")</f>
        <v>GUN-10614</v>
      </c>
      <c r="B615" s="50">
        <f>IFERROR(__xludf.DUMMYFUNCTION("""COMPUTED_VALUE"""),44665.87222107638)</f>
        <v>44665.87222</v>
      </c>
      <c r="C615" s="52" t="str">
        <f>IFERROR(__xludf.DUMMYFUNCTION("""COMPUTED_VALUE"""),"BK2")</f>
        <v>BK2</v>
      </c>
      <c r="D615" s="53">
        <f>IFERROR(__xludf.DUMMYFUNCTION("""COMPUTED_VALUE"""),44673.47916666667)</f>
        <v>44673.47917</v>
      </c>
      <c r="E615" s="81"/>
      <c r="F615" s="81">
        <v>7.606945590290707</v>
      </c>
    </row>
    <row r="616">
      <c r="A616" s="52" t="str">
        <f>IFERROR(__xludf.DUMMYFUNCTION("""COMPUTED_VALUE"""),"GUN-10615")</f>
        <v>GUN-10615</v>
      </c>
      <c r="B616" s="50">
        <f>IFERROR(__xludf.DUMMYFUNCTION("""COMPUTED_VALUE"""),44666.360008854164)</f>
        <v>44666.36001</v>
      </c>
      <c r="C616" s="52" t="str">
        <f>IFERROR(__xludf.DUMMYFUNCTION("""COMPUTED_VALUE"""),"CEIM UNINORTE")</f>
        <v>CEIM UNINORTE</v>
      </c>
      <c r="D616" s="53">
        <f>IFERROR(__xludf.DUMMYFUNCTION("""COMPUTED_VALUE"""),44673.60416666667)</f>
        <v>44673.60417</v>
      </c>
      <c r="E616" s="81"/>
      <c r="F616" s="81">
        <v>7.244157812507183</v>
      </c>
    </row>
    <row r="617">
      <c r="A617" s="52" t="str">
        <f>IFERROR(__xludf.DUMMYFUNCTION("""COMPUTED_VALUE"""),"GUN-10616")</f>
        <v>GUN-10616</v>
      </c>
      <c r="B617" s="50">
        <f>IFERROR(__xludf.DUMMYFUNCTION("""COMPUTED_VALUE"""),44668.83886591435)</f>
        <v>44668.83887</v>
      </c>
      <c r="C617" s="52" t="str">
        <f>IFERROR(__xludf.DUMMYFUNCTION("""COMPUTED_VALUE"""),"JUVENTUDES CRITICAS")</f>
        <v>JUVENTUDES CRITICAS</v>
      </c>
      <c r="D617" s="53">
        <f>IFERROR(__xludf.DUMMYFUNCTION("""COMPUTED_VALUE"""),44676.60416666667)</f>
        <v>44676.60417</v>
      </c>
      <c r="E617" s="81"/>
      <c r="F617" s="81">
        <v>7.765300752318581</v>
      </c>
    </row>
    <row r="618">
      <c r="A618" s="52" t="str">
        <f>IFERROR(__xludf.DUMMYFUNCTION("""COMPUTED_VALUE"""),"GUN-10617")</f>
        <v>GUN-10617</v>
      </c>
      <c r="B618" s="50">
        <f>IFERROR(__xludf.DUMMYFUNCTION("""COMPUTED_VALUE"""),44669.49689523148)</f>
        <v>44669.4969</v>
      </c>
      <c r="C618" s="52" t="str">
        <f>IFERROR(__xludf.DUMMYFUNCTION("""COMPUTED_VALUE"""),"ÁGORA")</f>
        <v>ÁGORA</v>
      </c>
      <c r="D618" s="53">
        <f>IFERROR(__xludf.DUMMYFUNCTION("""COMPUTED_VALUE"""),44669.39583333333)</f>
        <v>44669.39583</v>
      </c>
      <c r="E618" s="81"/>
      <c r="F618" s="81">
        <v>-0.10106189815269317</v>
      </c>
    </row>
    <row r="619">
      <c r="A619" s="52" t="str">
        <f>IFERROR(__xludf.DUMMYFUNCTION("""COMPUTED_VALUE"""),"GUN-10618")</f>
        <v>GUN-10618</v>
      </c>
      <c r="B619" s="50">
        <f>IFERROR(__xludf.DUMMYFUNCTION("""COMPUTED_VALUE"""),44669.55053891203)</f>
        <v>44669.55054</v>
      </c>
      <c r="C619" s="52" t="str">
        <f>IFERROR(__xludf.DUMMYFUNCTION("""COMPUTED_VALUE"""),"FEMINUN")</f>
        <v>FEMINUN</v>
      </c>
      <c r="D619" s="53">
        <f>IFERROR(__xludf.DUMMYFUNCTION("""COMPUTED_VALUE"""),44669.625)</f>
        <v>44669.625</v>
      </c>
      <c r="E619" s="81"/>
      <c r="F619" s="81">
        <v>0.0744610879701213</v>
      </c>
    </row>
    <row r="620">
      <c r="A620" s="52" t="str">
        <f>IFERROR(__xludf.DUMMYFUNCTION("""COMPUTED_VALUE"""),"GUN-10619")</f>
        <v>GUN-10619</v>
      </c>
      <c r="B620" s="50">
        <f>IFERROR(__xludf.DUMMYFUNCTION("""COMPUTED_VALUE"""),44669.55198423611)</f>
        <v>44669.55198</v>
      </c>
      <c r="C620" s="52" t="str">
        <f>IFERROR(__xludf.DUMMYFUNCTION("""COMPUTED_VALUE"""),"FEMINUN")</f>
        <v>FEMINUN</v>
      </c>
      <c r="D620" s="53">
        <f>IFERROR(__xludf.DUMMYFUNCTION("""COMPUTED_VALUE"""),44670.625)</f>
        <v>44670.625</v>
      </c>
      <c r="E620" s="81"/>
      <c r="F620" s="81">
        <v>1.0730157638899982</v>
      </c>
    </row>
    <row r="621">
      <c r="A621" s="52" t="str">
        <f>IFERROR(__xludf.DUMMYFUNCTION("""COMPUTED_VALUE"""),"GUN-10620")</f>
        <v>GUN-10620</v>
      </c>
      <c r="B621" s="50">
        <f>IFERROR(__xludf.DUMMYFUNCTION("""COMPUTED_VALUE"""),44669.55320306713)</f>
        <v>44669.5532</v>
      </c>
      <c r="C621" s="52" t="str">
        <f>IFERROR(__xludf.DUMMYFUNCTION("""COMPUTED_VALUE"""),"FEMINUN")</f>
        <v>FEMINUN</v>
      </c>
      <c r="D621" s="53">
        <f>IFERROR(__xludf.DUMMYFUNCTION("""COMPUTED_VALUE"""),44671.66666666667)</f>
        <v>44671.66667</v>
      </c>
      <c r="E621" s="81"/>
      <c r="F621" s="81">
        <v>2.1134635995404096</v>
      </c>
    </row>
    <row r="622">
      <c r="A622" s="52" t="str">
        <f>IFERROR(__xludf.DUMMYFUNCTION("""COMPUTED_VALUE"""),"GUN-10621")</f>
        <v>GUN-10621</v>
      </c>
      <c r="B622" s="50">
        <f>IFERROR(__xludf.DUMMYFUNCTION("""COMPUTED_VALUE"""),44669.554240428246)</f>
        <v>44669.55424</v>
      </c>
      <c r="C622" s="52" t="str">
        <f>IFERROR(__xludf.DUMMYFUNCTION("""COMPUTED_VALUE"""),"FEMINUN")</f>
        <v>FEMINUN</v>
      </c>
      <c r="D622" s="53">
        <f>IFERROR(__xludf.DUMMYFUNCTION("""COMPUTED_VALUE"""),44673.625)</f>
        <v>44673.625</v>
      </c>
      <c r="E622" s="81"/>
      <c r="F622" s="81">
        <v>4.070759571754024</v>
      </c>
    </row>
    <row r="623">
      <c r="A623" s="52" t="str">
        <f>IFERROR(__xludf.DUMMYFUNCTION("""COMPUTED_VALUE"""),"GUN-10622")</f>
        <v>GUN-10622</v>
      </c>
      <c r="B623" s="50">
        <f>IFERROR(__xludf.DUMMYFUNCTION("""COMPUTED_VALUE"""),44669.55580261574)</f>
        <v>44669.5558</v>
      </c>
      <c r="C623" s="52" t="str">
        <f>IFERROR(__xludf.DUMMYFUNCTION("""COMPUTED_VALUE"""),"FEMINUN")</f>
        <v>FEMINUN</v>
      </c>
      <c r="D623" s="53">
        <f>IFERROR(__xludf.DUMMYFUNCTION("""COMPUTED_VALUE"""),44680.60416666667)</f>
        <v>44680.60417</v>
      </c>
      <c r="E623" s="81"/>
      <c r="F623" s="81">
        <v>11.048364050933742</v>
      </c>
    </row>
    <row r="624">
      <c r="A624" s="52" t="str">
        <f>IFERROR(__xludf.DUMMYFUNCTION("""COMPUTED_VALUE"""),"GUN-10623")</f>
        <v>GUN-10623</v>
      </c>
      <c r="B624" s="50">
        <f>IFERROR(__xludf.DUMMYFUNCTION("""COMPUTED_VALUE"""),44669.5756219213)</f>
        <v>44669.57562</v>
      </c>
      <c r="C624" s="52" t="str">
        <f>IFERROR(__xludf.DUMMYFUNCTION("""COMPUTED_VALUE"""),"CIG-UN")</f>
        <v>CIG-UN</v>
      </c>
      <c r="D624" s="53">
        <f>IFERROR(__xludf.DUMMYFUNCTION("""COMPUTED_VALUE"""),44678.8125)</f>
        <v>44678.8125</v>
      </c>
      <c r="E624" s="81"/>
      <c r="F624" s="81">
        <v>9.236878078700101</v>
      </c>
    </row>
    <row r="625">
      <c r="A625" s="52" t="str">
        <f>IFERROR(__xludf.DUMMYFUNCTION("""COMPUTED_VALUE"""),"GUN-10624")</f>
        <v>GUN-10624</v>
      </c>
      <c r="B625" s="50">
        <f>IFERROR(__xludf.DUMMYFUNCTION("""COMPUTED_VALUE"""),44669.58456016203)</f>
        <v>44669.58456</v>
      </c>
      <c r="C625" s="52" t="str">
        <f>IFERROR(__xludf.DUMMYFUNCTION("""COMPUTED_VALUE"""),"CIG-UN")</f>
        <v>CIG-UN</v>
      </c>
      <c r="D625" s="53">
        <f>IFERROR(__xludf.DUMMYFUNCTION("""COMPUTED_VALUE"""),44676.41666666667)</f>
        <v>44676.41667</v>
      </c>
      <c r="E625" s="81"/>
      <c r="F625" s="81">
        <v>6.832106504640251</v>
      </c>
    </row>
    <row r="626">
      <c r="A626" s="52" t="str">
        <f>IFERROR(__xludf.DUMMYFUNCTION("""COMPUTED_VALUE"""),"GUN-10625")</f>
        <v>GUN-10625</v>
      </c>
      <c r="B626" s="50">
        <f>IFERROR(__xludf.DUMMYFUNCTION("""COMPUTED_VALUE"""),44669.627228715275)</f>
        <v>44669.62723</v>
      </c>
      <c r="C626" s="52" t="str">
        <f>IFERROR(__xludf.DUMMYFUNCTION("""COMPUTED_VALUE"""),"FEMINUN")</f>
        <v>FEMINUN</v>
      </c>
      <c r="D626" s="53">
        <f>IFERROR(__xludf.DUMMYFUNCTION("""COMPUTED_VALUE"""),44676.4375)</f>
        <v>44676.4375</v>
      </c>
      <c r="E626" s="81"/>
      <c r="F626" s="81">
        <v>6.810271284724877</v>
      </c>
    </row>
    <row r="627">
      <c r="A627" s="52" t="str">
        <f>IFERROR(__xludf.DUMMYFUNCTION("""COMPUTED_VALUE"""),"GUN-10626")</f>
        <v>GUN-10626</v>
      </c>
      <c r="B627" s="50">
        <f>IFERROR(__xludf.DUMMYFUNCTION("""COMPUTED_VALUE"""),44669.629987974535)</f>
        <v>44669.62999</v>
      </c>
      <c r="C627" s="52" t="str">
        <f>IFERROR(__xludf.DUMMYFUNCTION("""COMPUTED_VALUE"""),"FEMINUN")</f>
        <v>FEMINUN</v>
      </c>
      <c r="D627" s="53">
        <f>IFERROR(__xludf.DUMMYFUNCTION("""COMPUTED_VALUE"""),44678.4375)</f>
        <v>44678.4375</v>
      </c>
      <c r="E627" s="81"/>
      <c r="F627" s="81">
        <v>8.807512025465257</v>
      </c>
    </row>
    <row r="628">
      <c r="A628" s="52" t="str">
        <f>IFERROR(__xludf.DUMMYFUNCTION("""COMPUTED_VALUE"""),"GUN-10627")</f>
        <v>GUN-10627</v>
      </c>
      <c r="B628" s="50">
        <f>IFERROR(__xludf.DUMMYFUNCTION("""COMPUTED_VALUE"""),44669.63126991898)</f>
        <v>44669.63127</v>
      </c>
      <c r="C628" s="52" t="str">
        <f>IFERROR(__xludf.DUMMYFUNCTION("""COMPUTED_VALUE"""),"FEMINUN")</f>
        <v>FEMINUN</v>
      </c>
      <c r="D628" s="53">
        <f>IFERROR(__xludf.DUMMYFUNCTION("""COMPUTED_VALUE"""),44680.4375)</f>
        <v>44680.4375</v>
      </c>
      <c r="E628" s="81"/>
      <c r="F628" s="81">
        <v>10.806230081019748</v>
      </c>
    </row>
    <row r="629">
      <c r="A629" s="52" t="str">
        <f>IFERROR(__xludf.DUMMYFUNCTION("""COMPUTED_VALUE"""),"GUN-10628")</f>
        <v>GUN-10628</v>
      </c>
      <c r="B629" s="50">
        <f>IFERROR(__xludf.DUMMYFUNCTION("""COMPUTED_VALUE"""),44669.78636585648)</f>
        <v>44669.78637</v>
      </c>
      <c r="C629" s="52" t="str">
        <f>IFERROR(__xludf.DUMMYFUNCTION("""COMPUTED_VALUE"""),"IMIG-UN")</f>
        <v>IMIG-UN</v>
      </c>
      <c r="D629" s="53">
        <f>IFERROR(__xludf.DUMMYFUNCTION("""COMPUTED_VALUE"""),44669.3125)</f>
        <v>44669.3125</v>
      </c>
      <c r="E629" s="81"/>
      <c r="F629" s="81">
        <v>-0.4738658564820071</v>
      </c>
    </row>
    <row r="630">
      <c r="A630" s="52" t="str">
        <f>IFERROR(__xludf.DUMMYFUNCTION("""COMPUTED_VALUE"""),"GUN-10629")</f>
        <v>GUN-10629</v>
      </c>
      <c r="B630" s="50">
        <f>IFERROR(__xludf.DUMMYFUNCTION("""COMPUTED_VALUE"""),44669.88536226852)</f>
        <v>44669.88536</v>
      </c>
      <c r="C630" s="52" t="str">
        <f>IFERROR(__xludf.DUMMYFUNCTION("""COMPUTED_VALUE"""),"SIG-UN")</f>
        <v>SIG-UN</v>
      </c>
      <c r="D630" s="53">
        <f>IFERROR(__xludf.DUMMYFUNCTION("""COMPUTED_VALUE"""),44671.79166666667)</f>
        <v>44671.79167</v>
      </c>
      <c r="E630" s="81"/>
      <c r="F630" s="81">
        <v>1.9063043981514056</v>
      </c>
    </row>
    <row r="631">
      <c r="A631" s="52" t="str">
        <f>IFERROR(__xludf.DUMMYFUNCTION("""COMPUTED_VALUE"""),"GUN-10630")</f>
        <v>GUN-10630</v>
      </c>
      <c r="B631" s="50">
        <f>IFERROR(__xludf.DUMMYFUNCTION("""COMPUTED_VALUE"""),44669.88670452546)</f>
        <v>44669.8867</v>
      </c>
      <c r="C631" s="52" t="str">
        <f>IFERROR(__xludf.DUMMYFUNCTION("""COMPUTED_VALUE"""),"SIG-UN")</f>
        <v>SIG-UN</v>
      </c>
      <c r="D631" s="53">
        <f>IFERROR(__xludf.DUMMYFUNCTION("""COMPUTED_VALUE"""),44670.33333333333)</f>
        <v>44670.33333</v>
      </c>
      <c r="E631" s="81"/>
      <c r="F631" s="81">
        <v>0.44662880786927417</v>
      </c>
    </row>
    <row r="632">
      <c r="A632" s="52" t="str">
        <f>IFERROR(__xludf.DUMMYFUNCTION("""COMPUTED_VALUE"""),"GUN-10631")</f>
        <v>GUN-10631</v>
      </c>
      <c r="B632" s="50">
        <f>IFERROR(__xludf.DUMMYFUNCTION("""COMPUTED_VALUE"""),44669.8961090625)</f>
        <v>44669.89611</v>
      </c>
      <c r="C632" s="52" t="str">
        <f>IFERROR(__xludf.DUMMYFUNCTION("""COMPUTED_VALUE"""),"CIRCULO KDHARMA")</f>
        <v>CIRCULO KDHARMA</v>
      </c>
      <c r="D632" s="53">
        <f>IFERROR(__xludf.DUMMYFUNCTION("""COMPUTED_VALUE"""),44681.33333333333)</f>
        <v>44681.33333</v>
      </c>
      <c r="E632" s="81"/>
      <c r="F632" s="81">
        <v>11.437224270826846</v>
      </c>
    </row>
    <row r="633">
      <c r="A633" s="52" t="str">
        <f>IFERROR(__xludf.DUMMYFUNCTION("""COMPUTED_VALUE"""),"GUN-10632")</f>
        <v>GUN-10632</v>
      </c>
      <c r="B633" s="50">
        <f>IFERROR(__xludf.DUMMYFUNCTION("""COMPUTED_VALUE"""),44669.90633520833)</f>
        <v>44669.90634</v>
      </c>
      <c r="C633" s="52" t="str">
        <f>IFERROR(__xludf.DUMMYFUNCTION("""COMPUTED_VALUE"""),"W-STEM")</f>
        <v>W-STEM</v>
      </c>
      <c r="D633" s="53">
        <f>IFERROR(__xludf.DUMMYFUNCTION("""COMPUTED_VALUE"""),44679.64583333333)</f>
        <v>44679.64583</v>
      </c>
      <c r="E633" s="81"/>
      <c r="F633" s="81">
        <v>9.739498124996317</v>
      </c>
    </row>
    <row r="634">
      <c r="A634" s="52" t="str">
        <f>IFERROR(__xludf.DUMMYFUNCTION("""COMPUTED_VALUE"""),"GUN-10633")</f>
        <v>GUN-10633</v>
      </c>
      <c r="B634" s="50">
        <f>IFERROR(__xludf.DUMMYFUNCTION("""COMPUTED_VALUE"""),44669.92000837963)</f>
        <v>44669.92001</v>
      </c>
      <c r="C634" s="52" t="str">
        <f>IFERROR(__xludf.DUMMYFUNCTION("""COMPUTED_VALUE"""),"BK2")</f>
        <v>BK2</v>
      </c>
      <c r="D634" s="53">
        <f>IFERROR(__xludf.DUMMYFUNCTION("""COMPUTED_VALUE"""),44680.39583333333)</f>
        <v>44680.39583</v>
      </c>
      <c r="E634" s="81"/>
      <c r="F634" s="81">
        <v>10.475824953697156</v>
      </c>
    </row>
    <row r="635">
      <c r="A635" s="52" t="str">
        <f>IFERROR(__xludf.DUMMYFUNCTION("""COMPUTED_VALUE"""),"GUN-10634")</f>
        <v>GUN-10634</v>
      </c>
      <c r="B635" s="50">
        <f>IFERROR(__xludf.DUMMYFUNCTION("""COMPUTED_VALUE"""),44669.94982097222)</f>
        <v>44669.94982</v>
      </c>
      <c r="C635" s="52" t="str">
        <f>IFERROR(__xludf.DUMMYFUNCTION("""COMPUTED_VALUE"""),"ACM Student Chapter")</f>
        <v>ACM Student Chapter</v>
      </c>
      <c r="D635" s="53">
        <f>IFERROR(__xludf.DUMMYFUNCTION("""COMPUTED_VALUE"""),44674.5625)</f>
        <v>44674.5625</v>
      </c>
      <c r="E635" s="81"/>
      <c r="F635" s="81">
        <v>4.612679027777631</v>
      </c>
    </row>
    <row r="636">
      <c r="A636" s="52" t="str">
        <f>IFERROR(__xludf.DUMMYFUNCTION("""COMPUTED_VALUE"""),"GUN-10635")</f>
        <v>GUN-10635</v>
      </c>
      <c r="B636" s="50">
        <f>IFERROR(__xludf.DUMMYFUNCTION("""COMPUTED_VALUE"""),44670.49722163194)</f>
        <v>44670.49722</v>
      </c>
      <c r="C636" s="52" t="str">
        <f>IFERROR(__xludf.DUMMYFUNCTION("""COMPUTED_VALUE"""),"CEO")</f>
        <v>CEO</v>
      </c>
      <c r="D636" s="53">
        <f>IFERROR(__xludf.DUMMYFUNCTION("""COMPUTED_VALUE"""),44671.52083333333)</f>
        <v>44671.52083</v>
      </c>
      <c r="E636" s="81"/>
      <c r="F636" s="81">
        <v>1.0236117013919284</v>
      </c>
    </row>
    <row r="637">
      <c r="A637" s="52" t="str">
        <f>IFERROR(__xludf.DUMMYFUNCTION("""COMPUTED_VALUE"""),"GUN-10636")</f>
        <v>GUN-10636</v>
      </c>
      <c r="B637" s="50">
        <f>IFERROR(__xludf.DUMMYFUNCTION("""COMPUTED_VALUE"""),44670.50156895834)</f>
        <v>44670.50157</v>
      </c>
      <c r="C637" s="52" t="str">
        <f>IFERROR(__xludf.DUMMYFUNCTION("""COMPUTED_VALUE"""),"CEO")</f>
        <v>CEO</v>
      </c>
      <c r="D637" s="53">
        <f>IFERROR(__xludf.DUMMYFUNCTION("""COMPUTED_VALUE"""),44672.5625)</f>
        <v>44672.5625</v>
      </c>
      <c r="E637" s="81"/>
      <c r="F637" s="81">
        <v>2.0609310416621156</v>
      </c>
    </row>
    <row r="638">
      <c r="A638" s="52" t="str">
        <f>IFERROR(__xludf.DUMMYFUNCTION("""COMPUTED_VALUE"""),"GUN-10637")</f>
        <v>GUN-10637</v>
      </c>
      <c r="B638" s="50">
        <f>IFERROR(__xludf.DUMMYFUNCTION("""COMPUTED_VALUE"""),44670.50558758102)</f>
        <v>44670.50559</v>
      </c>
      <c r="C638" s="52" t="str">
        <f>IFERROR(__xludf.DUMMYFUNCTION("""COMPUTED_VALUE"""),"CEO")</f>
        <v>CEO</v>
      </c>
      <c r="D638" s="53">
        <f>IFERROR(__xludf.DUMMYFUNCTION("""COMPUTED_VALUE"""),44672.60416666667)</f>
        <v>44672.60417</v>
      </c>
      <c r="E638" s="81"/>
      <c r="F638" s="81">
        <v>2.0985790856502717</v>
      </c>
    </row>
    <row r="639">
      <c r="A639" s="52" t="str">
        <f>IFERROR(__xludf.DUMMYFUNCTION("""COMPUTED_VALUE"""),"GUN-10638")</f>
        <v>GUN-10638</v>
      </c>
      <c r="B639" s="50">
        <f>IFERROR(__xludf.DUMMYFUNCTION("""COMPUTED_VALUE"""),44670.50902784722)</f>
        <v>44670.50903</v>
      </c>
      <c r="C639" s="52" t="str">
        <f>IFERROR(__xludf.DUMMYFUNCTION("""COMPUTED_VALUE"""),"CEO")</f>
        <v>CEO</v>
      </c>
      <c r="D639" s="53">
        <f>IFERROR(__xludf.DUMMYFUNCTION("""COMPUTED_VALUE"""),44671.52083333333)</f>
        <v>44671.52083</v>
      </c>
      <c r="E639" s="81"/>
      <c r="F639" s="81">
        <v>1.011805486108642</v>
      </c>
    </row>
    <row r="640">
      <c r="A640" s="52" t="str">
        <f>IFERROR(__xludf.DUMMYFUNCTION("""COMPUTED_VALUE"""),"GUN-10639")</f>
        <v>GUN-10639</v>
      </c>
      <c r="B640" s="50">
        <f>IFERROR(__xludf.DUMMYFUNCTION("""COMPUTED_VALUE"""),44670.51303416667)</f>
        <v>44670.51303</v>
      </c>
      <c r="C640" s="52" t="str">
        <f>IFERROR(__xludf.DUMMYFUNCTION("""COMPUTED_VALUE"""),"CEO")</f>
        <v>CEO</v>
      </c>
      <c r="D640" s="53">
        <f>IFERROR(__xludf.DUMMYFUNCTION("""COMPUTED_VALUE"""),44678.52083333333)</f>
        <v>44678.52083</v>
      </c>
      <c r="E640" s="81"/>
      <c r="F640" s="81">
        <v>8.007799166654877</v>
      </c>
    </row>
    <row r="641">
      <c r="A641" s="52" t="str">
        <f>IFERROR(__xludf.DUMMYFUNCTION("""COMPUTED_VALUE"""),"GUN-10640")</f>
        <v>GUN-10640</v>
      </c>
      <c r="B641" s="50">
        <f>IFERROR(__xludf.DUMMYFUNCTION("""COMPUTED_VALUE"""),44670.59987229167)</f>
        <v>44670.59987</v>
      </c>
      <c r="C641" s="52" t="str">
        <f>IFERROR(__xludf.DUMMYFUNCTION("""COMPUTED_VALUE"""),"CERI")</f>
        <v>CERI</v>
      </c>
      <c r="D641" s="53">
        <f>IFERROR(__xludf.DUMMYFUNCTION("""COMPUTED_VALUE"""),44677.4375)</f>
        <v>44677.4375</v>
      </c>
      <c r="E641" s="81"/>
      <c r="F641" s="81">
        <v>6.837627708329819</v>
      </c>
    </row>
    <row r="642">
      <c r="A642" s="52" t="str">
        <f>IFERROR(__xludf.DUMMYFUNCTION("""COMPUTED_VALUE"""),"GUN-10641")</f>
        <v>GUN-10641</v>
      </c>
      <c r="B642" s="50">
        <f>IFERROR(__xludf.DUMMYFUNCTION("""COMPUTED_VALUE"""),44670.627785717596)</f>
        <v>44670.62779</v>
      </c>
      <c r="C642" s="52" t="str">
        <f>IFERROR(__xludf.DUMMYFUNCTION("""COMPUTED_VALUE"""),"GREEN GENERATION")</f>
        <v>GREEN GENERATION</v>
      </c>
      <c r="D642" s="53">
        <f>IFERROR(__xludf.DUMMYFUNCTION("""COMPUTED_VALUE"""),44676.27083333333)</f>
        <v>44676.27083</v>
      </c>
      <c r="E642" s="81"/>
      <c r="F642" s="81">
        <v>5.6430476157329394</v>
      </c>
    </row>
    <row r="643">
      <c r="A643" s="52" t="str">
        <f>IFERROR(__xludf.DUMMYFUNCTION("""COMPUTED_VALUE"""),"GUN-10642")</f>
        <v>GUN-10642</v>
      </c>
      <c r="B643" s="50">
        <f>IFERROR(__xludf.DUMMYFUNCTION("""COMPUTED_VALUE"""),44670.648518437505)</f>
        <v>44670.64852</v>
      </c>
      <c r="C643" s="52" t="str">
        <f>IFERROR(__xludf.DUMMYFUNCTION("""COMPUTED_VALUE"""),"GREEN GENERATION")</f>
        <v>GREEN GENERATION</v>
      </c>
      <c r="D643" s="53">
        <f>IFERROR(__xludf.DUMMYFUNCTION("""COMPUTED_VALUE"""),44673.5)</f>
        <v>44673.5</v>
      </c>
      <c r="E643" s="81"/>
      <c r="F643" s="81">
        <v>2.8514815624948824</v>
      </c>
    </row>
    <row r="644">
      <c r="A644" s="52" t="str">
        <f>IFERROR(__xludf.DUMMYFUNCTION("""COMPUTED_VALUE"""),"GUN-10643")</f>
        <v>GUN-10643</v>
      </c>
      <c r="B644" s="50">
        <f>IFERROR(__xludf.DUMMYFUNCTION("""COMPUTED_VALUE"""),44670.66632675925)</f>
        <v>44670.66633</v>
      </c>
      <c r="C644" s="52" t="str">
        <f>IFERROR(__xludf.DUMMYFUNCTION("""COMPUTED_VALUE"""),"CEIM UNINORTE")</f>
        <v>CEIM UNINORTE</v>
      </c>
      <c r="D644" s="53">
        <f>IFERROR(__xludf.DUMMYFUNCTION("""COMPUTED_VALUE"""),44677.6875)</f>
        <v>44677.6875</v>
      </c>
      <c r="E644" s="81"/>
      <c r="F644" s="81">
        <v>7.021173240747885</v>
      </c>
    </row>
    <row r="645">
      <c r="A645" s="52" t="str">
        <f>IFERROR(__xludf.DUMMYFUNCTION("""COMPUTED_VALUE"""),"GUN-10644")</f>
        <v>GUN-10644</v>
      </c>
      <c r="B645" s="50">
        <f>IFERROR(__xludf.DUMMYFUNCTION("""COMPUTED_VALUE"""),44670.671590370366)</f>
        <v>44670.67159</v>
      </c>
      <c r="C645" s="52" t="str">
        <f>IFERROR(__xludf.DUMMYFUNCTION("""COMPUTED_VALUE"""),"AIESEC")</f>
        <v>AIESEC</v>
      </c>
      <c r="D645" s="53">
        <f>IFERROR(__xludf.DUMMYFUNCTION("""COMPUTED_VALUE"""),44678.375)</f>
        <v>44678.375</v>
      </c>
      <c r="E645" s="81"/>
      <c r="F645" s="81">
        <v>7.703409629633825</v>
      </c>
    </row>
    <row r="646">
      <c r="A646" s="52" t="str">
        <f>IFERROR(__xludf.DUMMYFUNCTION("""COMPUTED_VALUE"""),"GUN-10645")</f>
        <v>GUN-10645</v>
      </c>
      <c r="B646" s="50">
        <f>IFERROR(__xludf.DUMMYFUNCTION("""COMPUTED_VALUE"""),44670.68554920139)</f>
        <v>44670.68555</v>
      </c>
      <c r="C646" s="52" t="str">
        <f>IFERROR(__xludf.DUMMYFUNCTION("""COMPUTED_VALUE"""),"UNINORTE DIVERSO")</f>
        <v>UNINORTE DIVERSO</v>
      </c>
      <c r="D646" s="53">
        <f>IFERROR(__xludf.DUMMYFUNCTION("""COMPUTED_VALUE"""),44679.375)</f>
        <v>44679.375</v>
      </c>
      <c r="E646" s="81"/>
      <c r="F646" s="81">
        <v>8.68945079860714</v>
      </c>
    </row>
    <row r="647">
      <c r="A647" s="52" t="str">
        <f>IFERROR(__xludf.DUMMYFUNCTION("""COMPUTED_VALUE"""),"GUN-10646")</f>
        <v>GUN-10646</v>
      </c>
      <c r="B647" s="50">
        <f>IFERROR(__xludf.DUMMYFUNCTION("""COMPUTED_VALUE"""),44670.70800912037)</f>
        <v>44670.70801</v>
      </c>
      <c r="C647" s="52" t="str">
        <f>IFERROR(__xludf.DUMMYFUNCTION("""COMPUTED_VALUE"""),"COMITÉ JURIDICO")</f>
        <v>COMITÉ JURIDICO</v>
      </c>
      <c r="D647" s="53">
        <f>IFERROR(__xludf.DUMMYFUNCTION("""COMPUTED_VALUE"""),44677.4375)</f>
        <v>44677.4375</v>
      </c>
      <c r="E647" s="81"/>
      <c r="F647" s="81">
        <v>6.729490879632067</v>
      </c>
    </row>
    <row r="648">
      <c r="A648" s="52" t="str">
        <f>IFERROR(__xludf.DUMMYFUNCTION("""COMPUTED_VALUE"""),"GUN-10647")</f>
        <v>GUN-10647</v>
      </c>
      <c r="B648" s="50">
        <f>IFERROR(__xludf.DUMMYFUNCTION("""COMPUTED_VALUE"""),44670.723386979174)</f>
        <v>44670.72339</v>
      </c>
      <c r="C648" s="52" t="str">
        <f>IFERROR(__xludf.DUMMYFUNCTION("""COMPUTED_VALUE"""),"GREEN GENERATION")</f>
        <v>GREEN GENERATION</v>
      </c>
      <c r="D648" s="53">
        <f>IFERROR(__xludf.DUMMYFUNCTION("""COMPUTED_VALUE"""),44680.625)</f>
        <v>44680.625</v>
      </c>
      <c r="E648" s="81"/>
      <c r="F648" s="81">
        <v>9.901613020825607</v>
      </c>
    </row>
    <row r="649">
      <c r="A649" s="52" t="str">
        <f>IFERROR(__xludf.DUMMYFUNCTION("""COMPUTED_VALUE"""),"GUN-10648")</f>
        <v>GUN-10648</v>
      </c>
      <c r="B649" s="50">
        <f>IFERROR(__xludf.DUMMYFUNCTION("""COMPUTED_VALUE"""),44670.7407549537)</f>
        <v>44670.74075</v>
      </c>
      <c r="C649" s="52" t="str">
        <f>IFERROR(__xludf.DUMMYFUNCTION("""COMPUTED_VALUE"""),"GREEN GENERATION")</f>
        <v>GREEN GENERATION</v>
      </c>
      <c r="D649" s="53">
        <f>IFERROR(__xludf.DUMMYFUNCTION("""COMPUTED_VALUE"""),44679.60416666667)</f>
        <v>44679.60417</v>
      </c>
      <c r="E649" s="81"/>
      <c r="F649" s="81">
        <v>8.863411712969537</v>
      </c>
    </row>
    <row r="650">
      <c r="A650" s="52" t="str">
        <f>IFERROR(__xludf.DUMMYFUNCTION("""COMPUTED_VALUE"""),"GUN-10649")</f>
        <v>GUN-10649</v>
      </c>
      <c r="B650" s="50">
        <f>IFERROR(__xludf.DUMMYFUNCTION("""COMPUTED_VALUE"""),44670.75878449074)</f>
        <v>44670.75878</v>
      </c>
      <c r="C650" s="52" t="str">
        <f>IFERROR(__xludf.DUMMYFUNCTION("""COMPUTED_VALUE"""),"CDIEP")</f>
        <v>CDIEP</v>
      </c>
      <c r="D650" s="53">
        <f>IFERROR(__xludf.DUMMYFUNCTION("""COMPUTED_VALUE"""),44680.35416666667)</f>
        <v>44680.35417</v>
      </c>
      <c r="E650" s="81"/>
      <c r="F650" s="81">
        <v>9.595382175932173</v>
      </c>
    </row>
    <row r="651">
      <c r="A651" s="52" t="str">
        <f>IFERROR(__xludf.DUMMYFUNCTION("""COMPUTED_VALUE"""),"GUN-10650")</f>
        <v>GUN-10650</v>
      </c>
      <c r="B651" s="50">
        <f>IFERROR(__xludf.DUMMYFUNCTION("""COMPUTED_VALUE"""),44670.80410833333)</f>
        <v>44670.80411</v>
      </c>
      <c r="C651" s="52" t="str">
        <f>IFERROR(__xludf.DUMMYFUNCTION("""COMPUTED_VALUE"""),"CAFTA")</f>
        <v>CAFTA</v>
      </c>
      <c r="D651" s="53">
        <f>IFERROR(__xludf.DUMMYFUNCTION("""COMPUTED_VALUE"""),44673.5625)</f>
        <v>44673.5625</v>
      </c>
      <c r="E651" s="81"/>
      <c r="F651" s="81">
        <v>2.7583916666699224</v>
      </c>
    </row>
    <row r="652">
      <c r="A652" s="52" t="str">
        <f>IFERROR(__xludf.DUMMYFUNCTION("""COMPUTED_VALUE"""),"GUN-10651")</f>
        <v>GUN-10651</v>
      </c>
      <c r="B652" s="50">
        <f>IFERROR(__xludf.DUMMYFUNCTION("""COMPUTED_VALUE"""),44670.90960918981)</f>
        <v>44670.90961</v>
      </c>
      <c r="C652" s="52" t="str">
        <f>IFERROR(__xludf.DUMMYFUNCTION("""COMPUTED_VALUE"""),"CEIM UNINORTE")</f>
        <v>CEIM UNINORTE</v>
      </c>
      <c r="D652" s="53">
        <f>IFERROR(__xludf.DUMMYFUNCTION("""COMPUTED_VALUE"""),44677.4375)</f>
        <v>44677.4375</v>
      </c>
      <c r="E652" s="81"/>
      <c r="F652" s="81">
        <v>6.5278908101900015</v>
      </c>
    </row>
    <row r="653">
      <c r="A653" s="52" t="str">
        <f>IFERROR(__xludf.DUMMYFUNCTION("""COMPUTED_VALUE"""),"GUN-10652")</f>
        <v>GUN-10652</v>
      </c>
      <c r="B653" s="50">
        <f>IFERROR(__xludf.DUMMYFUNCTION("""COMPUTED_VALUE"""),44671.55102672454)</f>
        <v>44671.55103</v>
      </c>
      <c r="C653" s="52" t="str">
        <f>IFERROR(__xludf.DUMMYFUNCTION("""COMPUTED_VALUE"""),"PARTNERS CAMPUS")</f>
        <v>PARTNERS CAMPUS</v>
      </c>
      <c r="D653" s="53">
        <f>IFERROR(__xludf.DUMMYFUNCTION("""COMPUTED_VALUE"""),44680.35416666667)</f>
        <v>44680.35417</v>
      </c>
      <c r="E653" s="81"/>
      <c r="F653" s="81">
        <v>8.803139942130656</v>
      </c>
    </row>
    <row r="654">
      <c r="A654" s="52" t="str">
        <f>IFERROR(__xludf.DUMMYFUNCTION("""COMPUTED_VALUE"""),"GUN-10653")</f>
        <v>GUN-10653</v>
      </c>
      <c r="B654" s="50">
        <f>IFERROR(__xludf.DUMMYFUNCTION("""COMPUTED_VALUE"""),44671.601686041664)</f>
        <v>44671.60169</v>
      </c>
      <c r="C654" s="52" t="str">
        <f>IFERROR(__xludf.DUMMYFUNCTION("""COMPUTED_VALUE"""),"CESG UNINORTE")</f>
        <v>CESG UNINORTE</v>
      </c>
      <c r="D654" s="53">
        <f>IFERROR(__xludf.DUMMYFUNCTION("""COMPUTED_VALUE"""),44688.35416666667)</f>
        <v>44688.35417</v>
      </c>
      <c r="E654" s="81"/>
      <c r="F654" s="81">
        <v>16.752480625007593</v>
      </c>
    </row>
    <row r="655">
      <c r="A655" s="52" t="str">
        <f>IFERROR(__xludf.DUMMYFUNCTION("""COMPUTED_VALUE"""),"GUN-10654")</f>
        <v>GUN-10654</v>
      </c>
      <c r="B655" s="50">
        <f>IFERROR(__xludf.DUMMYFUNCTION("""COMPUTED_VALUE"""),44671.63294859954)</f>
        <v>44671.63295</v>
      </c>
      <c r="C655" s="52" t="str">
        <f>IFERROR(__xludf.DUMMYFUNCTION("""COMPUTED_VALUE"""),"UNINORTE DIVERSO")</f>
        <v>UNINORTE DIVERSO</v>
      </c>
      <c r="D655" s="53">
        <f>IFERROR(__xludf.DUMMYFUNCTION("""COMPUTED_VALUE"""),44678.64583333333)</f>
        <v>44678.64583</v>
      </c>
      <c r="E655" s="81"/>
      <c r="F655" s="81">
        <v>7.012884733790997</v>
      </c>
    </row>
    <row r="656">
      <c r="A656" s="52" t="str">
        <f>IFERROR(__xludf.DUMMYFUNCTION("""COMPUTED_VALUE"""),"GUN-10655")</f>
        <v>GUN-10655</v>
      </c>
      <c r="B656" s="50">
        <f>IFERROR(__xludf.DUMMYFUNCTION("""COMPUTED_VALUE"""),44671.68879158565)</f>
        <v>44671.68879</v>
      </c>
      <c r="C656" s="52" t="str">
        <f>IFERROR(__xludf.DUMMYFUNCTION("""COMPUTED_VALUE"""),"UNINORTE CAPAZ")</f>
        <v>UNINORTE CAPAZ</v>
      </c>
      <c r="D656" s="53">
        <f>IFERROR(__xludf.DUMMYFUNCTION("""COMPUTED_VALUE"""),44677.4375)</f>
        <v>44677.4375</v>
      </c>
      <c r="E656" s="81"/>
      <c r="F656" s="81">
        <v>5.7487084143504035</v>
      </c>
    </row>
    <row r="657">
      <c r="A657" s="52" t="str">
        <f>IFERROR(__xludf.DUMMYFUNCTION("""COMPUTED_VALUE"""),"GUN-10656")</f>
        <v>GUN-10656</v>
      </c>
      <c r="B657" s="50">
        <f>IFERROR(__xludf.DUMMYFUNCTION("""COMPUTED_VALUE"""),44671.862826979166)</f>
        <v>44671.86283</v>
      </c>
      <c r="C657" s="52" t="str">
        <f>IFERROR(__xludf.DUMMYFUNCTION("""COMPUTED_VALUE"""),"BK2")</f>
        <v>BK2</v>
      </c>
      <c r="D657" s="53">
        <f>IFERROR(__xludf.DUMMYFUNCTION("""COMPUTED_VALUE"""),44679.47916666667)</f>
        <v>44679.47917</v>
      </c>
      <c r="E657" s="81"/>
      <c r="F657" s="81">
        <v>7.616339687505388</v>
      </c>
    </row>
    <row r="658">
      <c r="A658" s="52" t="str">
        <f>IFERROR(__xludf.DUMMYFUNCTION("""COMPUTED_VALUE"""),"GUN-10657")</f>
        <v>GUN-10657</v>
      </c>
      <c r="B658" s="50">
        <f>IFERROR(__xludf.DUMMYFUNCTION("""COMPUTED_VALUE"""),44672.355250810186)</f>
        <v>44672.35525</v>
      </c>
      <c r="C658" s="52" t="str">
        <f>IFERROR(__xludf.DUMMYFUNCTION("""COMPUTED_VALUE"""),"INNOVA UN")</f>
        <v>INNOVA UN</v>
      </c>
      <c r="D658" s="53">
        <f>IFERROR(__xludf.DUMMYFUNCTION("""COMPUTED_VALUE"""),44679.35416666667)</f>
        <v>44679.35417</v>
      </c>
      <c r="E658" s="81"/>
      <c r="F658" s="81">
        <v>6.998915856485837</v>
      </c>
    </row>
    <row r="659">
      <c r="A659" s="52" t="str">
        <f>IFERROR(__xludf.DUMMYFUNCTION("""COMPUTED_VALUE"""),"GUN-10658")</f>
        <v>GUN-10658</v>
      </c>
      <c r="B659" s="50">
        <f>IFERROR(__xludf.DUMMYFUNCTION("""COMPUTED_VALUE"""),44672.36487921296)</f>
        <v>44672.36488</v>
      </c>
      <c r="C659" s="52" t="str">
        <f>IFERROR(__xludf.DUMMYFUNCTION("""COMPUTED_VALUE"""),"CEIM UNINORTE")</f>
        <v>CEIM UNINORTE</v>
      </c>
      <c r="D659" s="53">
        <f>IFERROR(__xludf.DUMMYFUNCTION("""COMPUTED_VALUE"""),44680.39583333333)</f>
        <v>44680.39583</v>
      </c>
      <c r="E659" s="81"/>
      <c r="F659" s="81">
        <v>8.030954120367824</v>
      </c>
    </row>
    <row r="660">
      <c r="A660" s="52" t="str">
        <f>IFERROR(__xludf.DUMMYFUNCTION("""COMPUTED_VALUE"""),"GUN-10659")</f>
        <v>GUN-10659</v>
      </c>
      <c r="B660" s="50">
        <f>IFERROR(__xludf.DUMMYFUNCTION("""COMPUTED_VALUE"""),44672.365814340286)</f>
        <v>44672.36581</v>
      </c>
      <c r="C660" s="52" t="str">
        <f>IFERROR(__xludf.DUMMYFUNCTION("""COMPUTED_VALUE"""),"CEIM UNINORTE")</f>
        <v>CEIM UNINORTE</v>
      </c>
      <c r="D660" s="53">
        <f>IFERROR(__xludf.DUMMYFUNCTION("""COMPUTED_VALUE"""),44679.6875)</f>
        <v>44679.6875</v>
      </c>
      <c r="E660" s="81"/>
      <c r="F660" s="81">
        <v>7.321685659713694</v>
      </c>
    </row>
    <row r="661">
      <c r="A661" s="52" t="str">
        <f>IFERROR(__xludf.DUMMYFUNCTION("""COMPUTED_VALUE"""),"GUN-10660")</f>
        <v>GUN-10660</v>
      </c>
      <c r="B661" s="50">
        <f>IFERROR(__xludf.DUMMYFUNCTION("""COMPUTED_VALUE"""),44672.366565648146)</f>
        <v>44672.36657</v>
      </c>
      <c r="C661" s="52" t="str">
        <f>IFERROR(__xludf.DUMMYFUNCTION("""COMPUTED_VALUE"""),"CEIM UNINORTE")</f>
        <v>CEIM UNINORTE</v>
      </c>
      <c r="D661" s="53">
        <f>IFERROR(__xludf.DUMMYFUNCTION("""COMPUTED_VALUE"""),44676.5625)</f>
        <v>44676.5625</v>
      </c>
      <c r="E661" s="81"/>
      <c r="F661" s="81">
        <v>4.1959343518537935</v>
      </c>
    </row>
    <row r="662">
      <c r="A662" s="52" t="str">
        <f>IFERROR(__xludf.DUMMYFUNCTION("""COMPUTED_VALUE"""),"GUN-10661")</f>
        <v>GUN-10661</v>
      </c>
      <c r="B662" s="50">
        <f>IFERROR(__xludf.DUMMYFUNCTION("""COMPUTED_VALUE"""),44672.407117048606)</f>
        <v>44672.40712</v>
      </c>
      <c r="C662" s="52" t="str">
        <f>IFERROR(__xludf.DUMMYFUNCTION("""COMPUTED_VALUE"""),"RAMEN Y TALK")</f>
        <v>RAMEN Y TALK</v>
      </c>
      <c r="D662" s="53">
        <f>IFERROR(__xludf.DUMMYFUNCTION("""COMPUTED_VALUE"""),44678.14583333333)</f>
        <v>44678.14583</v>
      </c>
      <c r="E662" s="81"/>
      <c r="F662" s="81">
        <v>5.738716284722614</v>
      </c>
    </row>
    <row r="663">
      <c r="A663" s="52" t="str">
        <f>IFERROR(__xludf.DUMMYFUNCTION("""COMPUTED_VALUE"""),"GUN-10662")</f>
        <v>GUN-10662</v>
      </c>
      <c r="B663" s="50">
        <f>IFERROR(__xludf.DUMMYFUNCTION("""COMPUTED_VALUE"""),44672.44613528935)</f>
        <v>44672.44614</v>
      </c>
      <c r="C663" s="52" t="str">
        <f>IFERROR(__xludf.DUMMYFUNCTION("""COMPUTED_VALUE"""),"CEIM UNINORTE")</f>
        <v>CEIM UNINORTE</v>
      </c>
      <c r="D663" s="53">
        <f>IFERROR(__xludf.DUMMYFUNCTION("""COMPUTED_VALUE"""),44679.35416666667)</f>
        <v>44679.35417</v>
      </c>
      <c r="E663" s="81"/>
      <c r="F663" s="81">
        <v>6.908031377322914</v>
      </c>
    </row>
    <row r="664">
      <c r="A664" s="52" t="str">
        <f>IFERROR(__xludf.DUMMYFUNCTION("""COMPUTED_VALUE"""),"GUN-10663")</f>
        <v>GUN-10663</v>
      </c>
      <c r="B664" s="50">
        <f>IFERROR(__xludf.DUMMYFUNCTION("""COMPUTED_VALUE"""),44672.47834598379)</f>
        <v>44672.47835</v>
      </c>
      <c r="C664" s="52" t="str">
        <f>IFERROR(__xludf.DUMMYFUNCTION("""COMPUTED_VALUE"""),"INNOVA UN")</f>
        <v>INNOVA UN</v>
      </c>
      <c r="D664" s="53">
        <f>IFERROR(__xludf.DUMMYFUNCTION("""COMPUTED_VALUE"""),44676.64583333333)</f>
        <v>44676.64583</v>
      </c>
      <c r="E664" s="81"/>
      <c r="F664" s="81">
        <v>4.167487349535804</v>
      </c>
    </row>
    <row r="665">
      <c r="A665" s="52" t="str">
        <f>IFERROR(__xludf.DUMMYFUNCTION("""COMPUTED_VALUE"""),"GUN-10664")</f>
        <v>GUN-10664</v>
      </c>
      <c r="B665" s="50">
        <f>IFERROR(__xludf.DUMMYFUNCTION("""COMPUTED_VALUE"""),44672.47898071759)</f>
        <v>44672.47898</v>
      </c>
      <c r="C665" s="52" t="str">
        <f>IFERROR(__xludf.DUMMYFUNCTION("""COMPUTED_VALUE"""),"INNOVA UN")</f>
        <v>INNOVA UN</v>
      </c>
      <c r="D665" s="53">
        <f>IFERROR(__xludf.DUMMYFUNCTION("""COMPUTED_VALUE"""),44676.64583333333)</f>
        <v>44676.64583</v>
      </c>
      <c r="E665" s="81"/>
      <c r="F665" s="81">
        <v>4.166852615737298</v>
      </c>
    </row>
    <row r="666">
      <c r="A666" s="52" t="str">
        <f>IFERROR(__xludf.DUMMYFUNCTION("""COMPUTED_VALUE"""),"GUN-10665")</f>
        <v>GUN-10665</v>
      </c>
      <c r="B666" s="50">
        <f>IFERROR(__xludf.DUMMYFUNCTION("""COMPUTED_VALUE"""),44672.4965840625)</f>
        <v>44672.49658</v>
      </c>
      <c r="C666" s="52" t="str">
        <f>IFERROR(__xludf.DUMMYFUNCTION("""COMPUTED_VALUE"""),"CEO")</f>
        <v>CEO</v>
      </c>
      <c r="D666" s="53">
        <f>IFERROR(__xludf.DUMMYFUNCTION("""COMPUTED_VALUE"""),44688.79166666667)</f>
        <v>44688.79167</v>
      </c>
      <c r="E666" s="81"/>
      <c r="F666" s="81">
        <v>16.295082604170602</v>
      </c>
    </row>
    <row r="667">
      <c r="A667" s="52" t="str">
        <f>IFERROR(__xludf.DUMMYFUNCTION("""COMPUTED_VALUE"""),"GUN-10666")</f>
        <v>GUN-10666</v>
      </c>
      <c r="B667" s="50">
        <f>IFERROR(__xludf.DUMMYFUNCTION("""COMPUTED_VALUE"""),44672.504395462965)</f>
        <v>44672.5044</v>
      </c>
      <c r="C667" s="52" t="str">
        <f>IFERROR(__xludf.DUMMYFUNCTION("""COMPUTED_VALUE"""),"CEO")</f>
        <v>CEO</v>
      </c>
      <c r="D667" s="53">
        <f>IFERROR(__xludf.DUMMYFUNCTION("""COMPUTED_VALUE"""),44680.75)</f>
        <v>44680.75</v>
      </c>
      <c r="E667" s="81"/>
      <c r="F667" s="81">
        <v>8.245604537034524</v>
      </c>
    </row>
    <row r="668">
      <c r="A668" s="52" t="str">
        <f>IFERROR(__xludf.DUMMYFUNCTION("""COMPUTED_VALUE"""),"GUN-10667")</f>
        <v>GUN-10667</v>
      </c>
      <c r="B668" s="50">
        <f>IFERROR(__xludf.DUMMYFUNCTION("""COMPUTED_VALUE"""),44672.64596297454)</f>
        <v>44672.64596</v>
      </c>
      <c r="C668" s="52" t="str">
        <f>IFERROR(__xludf.DUMMYFUNCTION("""COMPUTED_VALUE"""),"IISE")</f>
        <v>IISE</v>
      </c>
      <c r="D668" s="53">
        <f>IFERROR(__xludf.DUMMYFUNCTION("""COMPUTED_VALUE"""),44676.64583333333)</f>
        <v>44676.64583</v>
      </c>
      <c r="E668" s="81"/>
      <c r="F668" s="81">
        <v>3.999870358791668</v>
      </c>
    </row>
    <row r="669">
      <c r="A669" s="52" t="str">
        <f>IFERROR(__xludf.DUMMYFUNCTION("""COMPUTED_VALUE"""),"GUN-10668")</f>
        <v>GUN-10668</v>
      </c>
      <c r="B669" s="50">
        <f>IFERROR(__xludf.DUMMYFUNCTION("""COMPUTED_VALUE"""),44672.66858866898)</f>
        <v>44672.66859</v>
      </c>
      <c r="C669" s="52" t="str">
        <f>IFERROR(__xludf.DUMMYFUNCTION("""COMPUTED_VALUE"""),"GEN'S")</f>
        <v>GEN'S</v>
      </c>
      <c r="D669" s="53">
        <f>IFERROR(__xludf.DUMMYFUNCTION("""COMPUTED_VALUE"""),44680.1875)</f>
        <v>44680.1875</v>
      </c>
      <c r="E669" s="81"/>
      <c r="F669" s="81">
        <v>7.518911331018899</v>
      </c>
    </row>
    <row r="670">
      <c r="A670" s="52" t="str">
        <f>IFERROR(__xludf.DUMMYFUNCTION("""COMPUTED_VALUE"""),"GUN-10669")</f>
        <v>GUN-10669</v>
      </c>
      <c r="B670" s="50">
        <f>IFERROR(__xludf.DUMMYFUNCTION("""COMPUTED_VALUE"""),44672.783844618054)</f>
        <v>44672.78384</v>
      </c>
      <c r="C670" s="52" t="str">
        <f>IFERROR(__xludf.DUMMYFUNCTION("""COMPUTED_VALUE"""),"BK2")</f>
        <v>BK2</v>
      </c>
      <c r="D670" s="53">
        <f>IFERROR(__xludf.DUMMYFUNCTION("""COMPUTED_VALUE"""),44680.39583333333)</f>
        <v>44680.39583</v>
      </c>
      <c r="E670" s="81"/>
      <c r="F670" s="81">
        <v>7.611988715274492</v>
      </c>
    </row>
    <row r="671">
      <c r="A671" s="52" t="str">
        <f>IFERROR(__xludf.DUMMYFUNCTION("""COMPUTED_VALUE"""),"GUN-10670")</f>
        <v>GUN-10670</v>
      </c>
      <c r="B671" s="50">
        <f>IFERROR(__xludf.DUMMYFUNCTION("""COMPUTED_VALUE"""),44672.945503773146)</f>
        <v>44672.9455</v>
      </c>
      <c r="C671" s="52" t="str">
        <f>IFERROR(__xludf.DUMMYFUNCTION("""COMPUTED_VALUE"""),"ANEIAP UNINORTE")</f>
        <v>ANEIAP UNINORTE</v>
      </c>
      <c r="D671" s="53">
        <f>IFERROR(__xludf.DUMMYFUNCTION("""COMPUTED_VALUE"""),44680.14583333333)</f>
        <v>44680.14583</v>
      </c>
      <c r="E671" s="81"/>
      <c r="F671" s="81">
        <v>7.200329560182581</v>
      </c>
    </row>
    <row r="672">
      <c r="A672" s="52" t="str">
        <f>IFERROR(__xludf.DUMMYFUNCTION("""COMPUTED_VALUE"""),"GUN-10671")</f>
        <v>GUN-10671</v>
      </c>
      <c r="B672" s="50">
        <f>IFERROR(__xludf.DUMMYFUNCTION("""COMPUTED_VALUE"""),44673.594200300926)</f>
        <v>44673.5942</v>
      </c>
      <c r="C672" s="52" t="str">
        <f>IFERROR(__xludf.DUMMYFUNCTION("""COMPUTED_VALUE"""),"CESG UNINORTE")</f>
        <v>CESG UNINORTE</v>
      </c>
      <c r="D672" s="53">
        <f>IFERROR(__xludf.DUMMYFUNCTION("""COMPUTED_VALUE"""),44688.35416666667)</f>
        <v>44688.35417</v>
      </c>
      <c r="E672" s="81"/>
      <c r="F672" s="81">
        <v>14.75996636574564</v>
      </c>
    </row>
    <row r="673">
      <c r="A673" s="52" t="str">
        <f>IFERROR(__xludf.DUMMYFUNCTION("""COMPUTED_VALUE"""),"GUN-10672")</f>
        <v>GUN-10672</v>
      </c>
      <c r="B673" s="50">
        <f>IFERROR(__xludf.DUMMYFUNCTION("""COMPUTED_VALUE"""),44673.75119456018)</f>
        <v>44673.75119</v>
      </c>
      <c r="C673" s="52" t="str">
        <f>IFERROR(__xludf.DUMMYFUNCTION("""COMPUTED_VALUE"""),"UNINORTE DIVERSO")</f>
        <v>UNINORTE DIVERSO</v>
      </c>
      <c r="D673" s="53">
        <f>IFERROR(__xludf.DUMMYFUNCTION("""COMPUTED_VALUE"""),44680.6875)</f>
        <v>44680.6875</v>
      </c>
      <c r="E673" s="81"/>
      <c r="F673" s="81">
        <v>6.936305439819989</v>
      </c>
    </row>
    <row r="674">
      <c r="A674" s="52" t="str">
        <f>IFERROR(__xludf.DUMMYFUNCTION("""COMPUTED_VALUE"""),"GUN-10673")</f>
        <v>GUN-10673</v>
      </c>
      <c r="B674" s="50">
        <f>IFERROR(__xludf.DUMMYFUNCTION("""COMPUTED_VALUE"""),44674.501931875)</f>
        <v>44674.50193</v>
      </c>
      <c r="C674" s="52" t="str">
        <f>IFERROR(__xludf.DUMMYFUNCTION("""COMPUTED_VALUE"""),"AIESEC")</f>
        <v>AIESEC</v>
      </c>
      <c r="D674" s="53">
        <f>IFERROR(__xludf.DUMMYFUNCTION("""COMPUTED_VALUE"""),44681.60416666667)</f>
        <v>44681.60417</v>
      </c>
      <c r="E674" s="81"/>
      <c r="F674" s="81">
        <v>7.102234791673254</v>
      </c>
    </row>
    <row r="675">
      <c r="A675" s="52" t="str">
        <f>IFERROR(__xludf.DUMMYFUNCTION("""COMPUTED_VALUE"""),"GUN-10674")</f>
        <v>GUN-10674</v>
      </c>
      <c r="B675" s="50">
        <f>IFERROR(__xludf.DUMMYFUNCTION("""COMPUTED_VALUE"""),44674.52061170139)</f>
        <v>44674.52061</v>
      </c>
      <c r="C675" s="52" t="str">
        <f>IFERROR(__xludf.DUMMYFUNCTION("""COMPUTED_VALUE"""),"UNINORTE DIVERSO")</f>
        <v>UNINORTE DIVERSO</v>
      </c>
      <c r="D675" s="53">
        <f>IFERROR(__xludf.DUMMYFUNCTION("""COMPUTED_VALUE"""),44674.52083333333)</f>
        <v>44674.52083</v>
      </c>
      <c r="E675" s="81"/>
      <c r="F675" s="81">
        <v>2.2163194080349058E-4</v>
      </c>
    </row>
    <row r="676">
      <c r="A676" s="52" t="str">
        <f>IFERROR(__xludf.DUMMYFUNCTION("""COMPUTED_VALUE"""),"GUN-10675")</f>
        <v>GUN-10675</v>
      </c>
      <c r="B676" s="50">
        <f>IFERROR(__xludf.DUMMYFUNCTION("""COMPUTED_VALUE"""),44675.64507130787)</f>
        <v>44675.64507</v>
      </c>
      <c r="C676" s="52" t="str">
        <f>IFERROR(__xludf.DUMMYFUNCTION("""COMPUTED_VALUE"""),"W-STEM")</f>
        <v>W-STEM</v>
      </c>
      <c r="D676" s="53">
        <f>IFERROR(__xludf.DUMMYFUNCTION("""COMPUTED_VALUE"""),44680.64583333333)</f>
        <v>44680.64583</v>
      </c>
      <c r="E676" s="81"/>
      <c r="F676" s="81">
        <v>5.000762025461881</v>
      </c>
    </row>
    <row r="677">
      <c r="A677" s="52" t="str">
        <f>IFERROR(__xludf.DUMMYFUNCTION("""COMPUTED_VALUE"""),"GUN-10676")</f>
        <v>GUN-10676</v>
      </c>
      <c r="B677" s="50">
        <f>IFERROR(__xludf.DUMMYFUNCTION("""COMPUTED_VALUE"""),44676.39122784722)</f>
        <v>44676.39123</v>
      </c>
      <c r="C677" s="52" t="str">
        <f>IFERROR(__xludf.DUMMYFUNCTION("""COMPUTED_VALUE"""),"ANEIAP UNINORTE")</f>
        <v>ANEIAP UNINORTE</v>
      </c>
      <c r="D677" s="53">
        <f>IFERROR(__xludf.DUMMYFUNCTION("""COMPUTED_VALUE"""),44687.41666666667)</f>
        <v>44687.41667</v>
      </c>
      <c r="E677" s="81"/>
      <c r="F677" s="81">
        <v>11.025438819451665</v>
      </c>
    </row>
    <row r="678">
      <c r="A678" s="52" t="str">
        <f>IFERROR(__xludf.DUMMYFUNCTION("""COMPUTED_VALUE"""),"GUN-10677")</f>
        <v>GUN-10677</v>
      </c>
      <c r="B678" s="50">
        <f>IFERROR(__xludf.DUMMYFUNCTION("""COMPUTED_VALUE"""),44676.51387391203)</f>
        <v>44676.51387</v>
      </c>
      <c r="C678" s="52" t="str">
        <f>IFERROR(__xludf.DUMMYFUNCTION("""COMPUTED_VALUE"""),"PANGEA")</f>
        <v>PANGEA</v>
      </c>
      <c r="D678" s="53">
        <f>IFERROR(__xludf.DUMMYFUNCTION("""COMPUTED_VALUE"""),44680.60416666667)</f>
        <v>44680.60417</v>
      </c>
      <c r="E678" s="81"/>
      <c r="F678" s="81">
        <v>4.090292754641268</v>
      </c>
    </row>
    <row r="679">
      <c r="A679" s="52" t="str">
        <f>IFERROR(__xludf.DUMMYFUNCTION("""COMPUTED_VALUE"""),"GUN-10678")</f>
        <v>GUN-10678</v>
      </c>
      <c r="B679" s="50">
        <f>IFERROR(__xludf.DUMMYFUNCTION("""COMPUTED_VALUE"""),44676.55385103009)</f>
        <v>44676.55385</v>
      </c>
      <c r="C679" s="52" t="str">
        <f>IFERROR(__xludf.DUMMYFUNCTION("""COMPUTED_VALUE"""),"FEMINUN")</f>
        <v>FEMINUN</v>
      </c>
      <c r="D679" s="53">
        <f>IFERROR(__xludf.DUMMYFUNCTION("""COMPUTED_VALUE"""),44676.625)</f>
        <v>44676.625</v>
      </c>
      <c r="E679" s="81"/>
      <c r="F679" s="81">
        <v>0.0711489699097001</v>
      </c>
    </row>
    <row r="680">
      <c r="A680" s="52" t="str">
        <f>IFERROR(__xludf.DUMMYFUNCTION("""COMPUTED_VALUE"""),"GUN-10679")</f>
        <v>GUN-10679</v>
      </c>
      <c r="B680" s="50">
        <f>IFERROR(__xludf.DUMMYFUNCTION("""COMPUTED_VALUE"""),44676.55543033565)</f>
        <v>44676.55543</v>
      </c>
      <c r="C680" s="52" t="str">
        <f>IFERROR(__xludf.DUMMYFUNCTION("""COMPUTED_VALUE"""),"FEMINUN")</f>
        <v>FEMINUN</v>
      </c>
      <c r="D680" s="53">
        <f>IFERROR(__xludf.DUMMYFUNCTION("""COMPUTED_VALUE"""),44677.625)</f>
        <v>44677.625</v>
      </c>
      <c r="E680" s="81"/>
      <c r="F680" s="81">
        <v>1.069569664352457</v>
      </c>
    </row>
    <row r="681">
      <c r="A681" s="52" t="str">
        <f>IFERROR(__xludf.DUMMYFUNCTION("""COMPUTED_VALUE"""),"GUN-10680")</f>
        <v>GUN-10680</v>
      </c>
      <c r="B681" s="50">
        <f>IFERROR(__xludf.DUMMYFUNCTION("""COMPUTED_VALUE"""),44676.557744606485)</f>
        <v>44676.55774</v>
      </c>
      <c r="C681" s="52" t="str">
        <f>IFERROR(__xludf.DUMMYFUNCTION("""COMPUTED_VALUE"""),"FEMINUN")</f>
        <v>FEMINUN</v>
      </c>
      <c r="D681" s="53">
        <f>IFERROR(__xludf.DUMMYFUNCTION("""COMPUTED_VALUE"""),44677.625)</f>
        <v>44677.625</v>
      </c>
      <c r="E681" s="81"/>
      <c r="F681" s="81">
        <v>1.0672553935146425</v>
      </c>
    </row>
    <row r="682">
      <c r="A682" s="52" t="str">
        <f>IFERROR(__xludf.DUMMYFUNCTION("""COMPUTED_VALUE"""),"GUN-10681")</f>
        <v>GUN-10681</v>
      </c>
      <c r="B682" s="50">
        <f>IFERROR(__xludf.DUMMYFUNCTION("""COMPUTED_VALUE"""),44676.55895252315)</f>
        <v>44676.55895</v>
      </c>
      <c r="C682" s="52" t="str">
        <f>IFERROR(__xludf.DUMMYFUNCTION("""COMPUTED_VALUE"""),"FEMINUN")</f>
        <v>FEMINUN</v>
      </c>
      <c r="D682" s="53">
        <f>IFERROR(__xludf.DUMMYFUNCTION("""COMPUTED_VALUE"""),44678.625)</f>
        <v>44678.625</v>
      </c>
      <c r="E682" s="81"/>
      <c r="F682" s="81">
        <v>2.0660474768519634</v>
      </c>
    </row>
    <row r="683">
      <c r="A683" s="52" t="str">
        <f>IFERROR(__xludf.DUMMYFUNCTION("""COMPUTED_VALUE"""),"GUN-10682")</f>
        <v>GUN-10682</v>
      </c>
      <c r="B683" s="50">
        <f>IFERROR(__xludf.DUMMYFUNCTION("""COMPUTED_VALUE"""),44676.560536770834)</f>
        <v>44676.56054</v>
      </c>
      <c r="C683" s="52" t="str">
        <f>IFERROR(__xludf.DUMMYFUNCTION("""COMPUTED_VALUE"""),"FEMINUN")</f>
        <v>FEMINUN</v>
      </c>
      <c r="D683" s="53">
        <f>IFERROR(__xludf.DUMMYFUNCTION("""COMPUTED_VALUE"""),44679.625)</f>
        <v>44679.625</v>
      </c>
      <c r="E683" s="81"/>
      <c r="F683" s="81">
        <v>3.0644632291659946</v>
      </c>
    </row>
    <row r="684">
      <c r="A684" s="52" t="str">
        <f>IFERROR(__xludf.DUMMYFUNCTION("""COMPUTED_VALUE"""),"GUN-10683")</f>
        <v>GUN-10683</v>
      </c>
      <c r="B684" s="50">
        <f>IFERROR(__xludf.DUMMYFUNCTION("""COMPUTED_VALUE"""),44676.677829328706)</f>
        <v>44676.67783</v>
      </c>
      <c r="C684" s="52" t="str">
        <f>IFERROR(__xludf.DUMMYFUNCTION("""COMPUTED_VALUE"""),"COMITÉ JURIDICO")</f>
        <v>COMITÉ JURIDICO</v>
      </c>
      <c r="D684" s="53">
        <f>IFERROR(__xludf.DUMMYFUNCTION("""COMPUTED_VALUE"""),44670.39583333333)</f>
        <v>44670.39583</v>
      </c>
      <c r="E684" s="81"/>
      <c r="F684" s="81">
        <v>-6.281995995377656</v>
      </c>
    </row>
    <row r="685">
      <c r="A685" s="52" t="str">
        <f>IFERROR(__xludf.DUMMYFUNCTION("""COMPUTED_VALUE"""),"GUN-10684")</f>
        <v>GUN-10684</v>
      </c>
      <c r="B685" s="50">
        <f>IFERROR(__xludf.DUMMYFUNCTION("""COMPUTED_VALUE"""),44676.742648657404)</f>
        <v>44676.74265</v>
      </c>
      <c r="C685" s="52" t="str">
        <f>IFERROR(__xludf.DUMMYFUNCTION("""COMPUTED_VALUE"""),"IISE")</f>
        <v>IISE</v>
      </c>
      <c r="D685" s="53">
        <f>IFERROR(__xludf.DUMMYFUNCTION("""COMPUTED_VALUE"""),44679.77083333333)</f>
        <v>44679.77083</v>
      </c>
      <c r="E685" s="81"/>
      <c r="F685" s="81">
        <v>3.0281846759244218</v>
      </c>
    </row>
    <row r="686">
      <c r="A686" s="52" t="str">
        <f>IFERROR(__xludf.DUMMYFUNCTION("""COMPUTED_VALUE"""),"GUN-10685")</f>
        <v>GUN-10685</v>
      </c>
      <c r="B686" s="50">
        <f>IFERROR(__xludf.DUMMYFUNCTION("""COMPUTED_VALUE"""),44676.765758043985)</f>
        <v>44676.76576</v>
      </c>
      <c r="C686" s="52" t="str">
        <f>IFERROR(__xludf.DUMMYFUNCTION("""COMPUTED_VALUE"""),"COMITÉ JURIDICO")</f>
        <v>COMITÉ JURIDICO</v>
      </c>
      <c r="D686" s="53">
        <f>IFERROR(__xludf.DUMMYFUNCTION("""COMPUTED_VALUE"""),44684.4375)</f>
        <v>44684.4375</v>
      </c>
      <c r="E686" s="81"/>
      <c r="F686" s="81">
        <v>7.671741956015467</v>
      </c>
    </row>
    <row r="687">
      <c r="A687" s="52" t="str">
        <f>IFERROR(__xludf.DUMMYFUNCTION("""COMPUTED_VALUE"""),"GUN-10686")</f>
        <v>GUN-10686</v>
      </c>
      <c r="B687" s="50">
        <f>IFERROR(__xludf.DUMMYFUNCTION("""COMPUTED_VALUE"""),44677.72683987268)</f>
        <v>44677.72684</v>
      </c>
      <c r="C687" s="52" t="str">
        <f>IFERROR(__xludf.DUMMYFUNCTION("""COMPUTED_VALUE"""),"FELINORTE")</f>
        <v>FELINORTE</v>
      </c>
      <c r="D687" s="53">
        <f>IFERROR(__xludf.DUMMYFUNCTION("""COMPUTED_VALUE"""),44681.4375)</f>
        <v>44681.4375</v>
      </c>
      <c r="E687" s="81"/>
      <c r="F687" s="81">
        <v>3.710660127318988</v>
      </c>
    </row>
    <row r="688">
      <c r="A688" s="52" t="str">
        <f>IFERROR(__xludf.DUMMYFUNCTION("""COMPUTED_VALUE"""),"GUN-10687")</f>
        <v>GUN-10687</v>
      </c>
      <c r="B688" s="50">
        <f>IFERROR(__xludf.DUMMYFUNCTION("""COMPUTED_VALUE"""),44677.74083215278)</f>
        <v>44677.74083</v>
      </c>
      <c r="C688" s="52" t="str">
        <f>IFERROR(__xludf.DUMMYFUNCTION("""COMPUTED_VALUE"""),"CESG UNINORTE")</f>
        <v>CESG UNINORTE</v>
      </c>
      <c r="D688" s="53">
        <f>IFERROR(__xludf.DUMMYFUNCTION("""COMPUTED_VALUE"""),44683.35416666667)</f>
        <v>44683.35417</v>
      </c>
      <c r="E688" s="81"/>
      <c r="F688" s="81">
        <v>5.613334513895097</v>
      </c>
    </row>
    <row r="689">
      <c r="A689" s="52" t="str">
        <f>IFERROR(__xludf.DUMMYFUNCTION("""COMPUTED_VALUE"""),"GUN-10688")</f>
        <v>GUN-10688</v>
      </c>
      <c r="B689" s="50">
        <f>IFERROR(__xludf.DUMMYFUNCTION("""COMPUTED_VALUE"""),44677.7438690162)</f>
        <v>44677.74387</v>
      </c>
      <c r="C689" s="52" t="str">
        <f>IFERROR(__xludf.DUMMYFUNCTION("""COMPUTED_VALUE"""),"CESG UNINORTE")</f>
        <v>CESG UNINORTE</v>
      </c>
      <c r="D689" s="53">
        <f>IFERROR(__xludf.DUMMYFUNCTION("""COMPUTED_VALUE"""),44687.4375)</f>
        <v>44687.4375</v>
      </c>
      <c r="E689" s="81"/>
      <c r="F689" s="81">
        <v>9.693630983798357</v>
      </c>
    </row>
    <row r="690">
      <c r="A690" s="52" t="str">
        <f>IFERROR(__xludf.DUMMYFUNCTION("""COMPUTED_VALUE"""),"GUN-10689")</f>
        <v>GUN-10689</v>
      </c>
      <c r="B690" s="50">
        <f>IFERROR(__xludf.DUMMYFUNCTION("""COMPUTED_VALUE"""),44677.81662140047)</f>
        <v>44677.81662</v>
      </c>
      <c r="C690" s="52" t="str">
        <f>IFERROR(__xludf.DUMMYFUNCTION("""COMPUTED_VALUE"""),"CEM UNINORTE")</f>
        <v>CEM UNINORTE</v>
      </c>
      <c r="D690" s="53">
        <f>IFERROR(__xludf.DUMMYFUNCTION("""COMPUTED_VALUE"""),44694.1875)</f>
        <v>44694.1875</v>
      </c>
      <c r="E690" s="81"/>
      <c r="F690" s="81">
        <v>16.37087859953317</v>
      </c>
    </row>
    <row r="691">
      <c r="A691" s="52" t="str">
        <f>IFERROR(__xludf.DUMMYFUNCTION("""COMPUTED_VALUE"""),"GUN-10690")</f>
        <v>GUN-10690</v>
      </c>
      <c r="B691" s="50">
        <f>IFERROR(__xludf.DUMMYFUNCTION("""COMPUTED_VALUE"""),44678.533393460646)</f>
        <v>44678.53339</v>
      </c>
      <c r="C691" s="52" t="str">
        <f>IFERROR(__xludf.DUMMYFUNCTION("""COMPUTED_VALUE"""),"CEM UNINORTE")</f>
        <v>CEM UNINORTE</v>
      </c>
      <c r="D691" s="53">
        <f>IFERROR(__xludf.DUMMYFUNCTION("""COMPUTED_VALUE"""),44680.33333333333)</f>
        <v>44680.33333</v>
      </c>
      <c r="E691" s="81"/>
      <c r="F691" s="81">
        <v>1.7999398726824438</v>
      </c>
    </row>
    <row r="692">
      <c r="A692" s="52" t="str">
        <f>IFERROR(__xludf.DUMMYFUNCTION("""COMPUTED_VALUE"""),"GUN-10691")</f>
        <v>GUN-10691</v>
      </c>
      <c r="B692" s="50">
        <f>IFERROR(__xludf.DUMMYFUNCTION("""COMPUTED_VALUE"""),44678.54021608796)</f>
        <v>44678.54022</v>
      </c>
      <c r="C692" s="52" t="str">
        <f>IFERROR(__xludf.DUMMYFUNCTION("""COMPUTED_VALUE"""),"CEM UNINORTE")</f>
        <v>CEM UNINORTE</v>
      </c>
      <c r="D692" s="53">
        <f>IFERROR(__xludf.DUMMYFUNCTION("""COMPUTED_VALUE"""),44653.375)</f>
        <v>44653.375</v>
      </c>
      <c r="E692" s="81"/>
      <c r="F692" s="81">
        <v>-25.16521608796029</v>
      </c>
    </row>
    <row r="693">
      <c r="A693" s="52" t="str">
        <f>IFERROR(__xludf.DUMMYFUNCTION("""COMPUTED_VALUE"""),"GUN-10692")</f>
        <v>GUN-10692</v>
      </c>
      <c r="B693" s="50">
        <f>IFERROR(__xludf.DUMMYFUNCTION("""COMPUTED_VALUE"""),44678.544331840276)</f>
        <v>44678.54433</v>
      </c>
      <c r="C693" s="52" t="str">
        <f>IFERROR(__xludf.DUMMYFUNCTION("""COMPUTED_VALUE"""),"CEM UNINORTE")</f>
        <v>CEM UNINORTE</v>
      </c>
      <c r="D693" s="53">
        <f>IFERROR(__xludf.DUMMYFUNCTION("""COMPUTED_VALUE"""),44628.75)</f>
        <v>44628.75</v>
      </c>
      <c r="E693" s="81"/>
      <c r="F693" s="81">
        <v>-49.794331840275845</v>
      </c>
    </row>
    <row r="694">
      <c r="A694" s="52" t="str">
        <f>IFERROR(__xludf.DUMMYFUNCTION("""COMPUTED_VALUE"""),"GUN-10693")</f>
        <v>GUN-10693</v>
      </c>
      <c r="B694" s="50">
        <f>IFERROR(__xludf.DUMMYFUNCTION("""COMPUTED_VALUE"""),44678.617456030086)</f>
        <v>44678.61746</v>
      </c>
      <c r="C694" s="52" t="str">
        <f>IFERROR(__xludf.DUMMYFUNCTION("""COMPUTED_VALUE"""),"LINGUA")</f>
        <v>LINGUA</v>
      </c>
      <c r="D694" s="53">
        <f>IFERROR(__xludf.DUMMYFUNCTION("""COMPUTED_VALUE"""),44687.6875)</f>
        <v>44687.6875</v>
      </c>
      <c r="E694" s="81"/>
      <c r="F694" s="81">
        <v>9.070043969913968</v>
      </c>
    </row>
    <row r="695">
      <c r="A695" s="52" t="str">
        <f>IFERROR(__xludf.DUMMYFUNCTION("""COMPUTED_VALUE"""),"GUN-10694")</f>
        <v>GUN-10694</v>
      </c>
      <c r="B695" s="50">
        <f>IFERROR(__xludf.DUMMYFUNCTION("""COMPUTED_VALUE"""),44678.6360308912)</f>
        <v>44678.63603</v>
      </c>
      <c r="C695" s="52" t="str">
        <f>IFERROR(__xludf.DUMMYFUNCTION("""COMPUTED_VALUE"""),"UNINORTE CAPAZ")</f>
        <v>UNINORTE CAPAZ</v>
      </c>
      <c r="D695" s="53">
        <f>IFERROR(__xludf.DUMMYFUNCTION("""COMPUTED_VALUE"""),44684.4375)</f>
        <v>44684.4375</v>
      </c>
      <c r="E695" s="81"/>
      <c r="F695" s="81">
        <v>5.8014691088028485</v>
      </c>
    </row>
    <row r="696">
      <c r="A696" s="52" t="str">
        <f>IFERROR(__xludf.DUMMYFUNCTION("""COMPUTED_VALUE"""),"GUN-10695")</f>
        <v>GUN-10695</v>
      </c>
      <c r="B696" s="50">
        <f>IFERROR(__xludf.DUMMYFUNCTION("""COMPUTED_VALUE"""),44678.712189178244)</f>
        <v>44678.71219</v>
      </c>
      <c r="C696" s="52" t="str">
        <f>IFERROR(__xludf.DUMMYFUNCTION("""COMPUTED_VALUE"""),"CERI")</f>
        <v>CERI</v>
      </c>
      <c r="D696" s="53">
        <f>IFERROR(__xludf.DUMMYFUNCTION("""COMPUTED_VALUE"""),44687.6875)</f>
        <v>44687.6875</v>
      </c>
      <c r="E696" s="81"/>
      <c r="F696" s="81">
        <v>8.975310821755556</v>
      </c>
    </row>
    <row r="697">
      <c r="A697" s="52" t="str">
        <f>IFERROR(__xludf.DUMMYFUNCTION("""COMPUTED_VALUE"""),"GUN-10696")</f>
        <v>GUN-10696</v>
      </c>
      <c r="B697" s="50">
        <f>IFERROR(__xludf.DUMMYFUNCTION("""COMPUTED_VALUE"""),44678.83417895833)</f>
        <v>44678.83418</v>
      </c>
      <c r="C697" s="52" t="str">
        <f>IFERROR(__xludf.DUMMYFUNCTION("""COMPUTED_VALUE"""),"BK2")</f>
        <v>BK2</v>
      </c>
      <c r="D697" s="53">
        <f>IFERROR(__xludf.DUMMYFUNCTION("""COMPUTED_VALUE"""),44687.39583333333)</f>
        <v>44687.39583</v>
      </c>
      <c r="E697" s="81"/>
      <c r="F697" s="81">
        <v>8.561654375000217</v>
      </c>
    </row>
    <row r="698">
      <c r="A698" s="52" t="str">
        <f>IFERROR(__xludf.DUMMYFUNCTION("""COMPUTED_VALUE"""),"GUN-10697")</f>
        <v>GUN-10697</v>
      </c>
      <c r="B698" s="50">
        <f>IFERROR(__xludf.DUMMYFUNCTION("""COMPUTED_VALUE"""),44678.93368643518)</f>
        <v>44678.93369</v>
      </c>
      <c r="C698" s="52" t="str">
        <f>IFERROR(__xludf.DUMMYFUNCTION("""COMPUTED_VALUE"""),"FELINORTE")</f>
        <v>FELINORTE</v>
      </c>
      <c r="D698" s="53">
        <f>IFERROR(__xludf.DUMMYFUNCTION("""COMPUTED_VALUE"""),44687.4375)</f>
        <v>44687.4375</v>
      </c>
      <c r="E698" s="81"/>
      <c r="F698" s="81">
        <v>8.50381356482103</v>
      </c>
    </row>
    <row r="699">
      <c r="A699" s="52" t="str">
        <f>IFERROR(__xludf.DUMMYFUNCTION("""COMPUTED_VALUE"""),"GUN-10698")</f>
        <v>GUN-10698</v>
      </c>
      <c r="B699" s="50">
        <f>IFERROR(__xludf.DUMMYFUNCTION("""COMPUTED_VALUE"""),44678.93930532408)</f>
        <v>44678.93931</v>
      </c>
      <c r="C699" s="52" t="str">
        <f>IFERROR(__xludf.DUMMYFUNCTION("""COMPUTED_VALUE"""),"FELINORTE")</f>
        <v>FELINORTE</v>
      </c>
      <c r="D699" s="53">
        <f>IFERROR(__xludf.DUMMYFUNCTION("""COMPUTED_VALUE"""),44687.72916666667)</f>
        <v>44687.72917</v>
      </c>
      <c r="E699" s="81"/>
      <c r="F699" s="81">
        <v>8.789861342593213</v>
      </c>
    </row>
    <row r="700">
      <c r="A700" s="52" t="str">
        <f>IFERROR(__xludf.DUMMYFUNCTION("""COMPUTED_VALUE"""),"GUN-10699")</f>
        <v>GUN-10699</v>
      </c>
      <c r="B700" s="50">
        <f>IFERROR(__xludf.DUMMYFUNCTION("""COMPUTED_VALUE"""),44678.94119561342)</f>
        <v>44678.9412</v>
      </c>
      <c r="C700" s="52" t="str">
        <f>IFERROR(__xludf.DUMMYFUNCTION("""COMPUTED_VALUE"""),"FELINORTE")</f>
        <v>FELINORTE</v>
      </c>
      <c r="D700" s="53">
        <f>IFERROR(__xludf.DUMMYFUNCTION("""COMPUTED_VALUE"""),44688.58333333333)</f>
        <v>44688.58333</v>
      </c>
      <c r="E700" s="81"/>
      <c r="F700" s="81">
        <v>9.642137719907623</v>
      </c>
    </row>
    <row r="701">
      <c r="A701" s="52" t="str">
        <f>IFERROR(__xludf.DUMMYFUNCTION("""COMPUTED_VALUE"""),"GUN-10700")</f>
        <v>GUN-10700</v>
      </c>
      <c r="B701" s="50">
        <f>IFERROR(__xludf.DUMMYFUNCTION("""COMPUTED_VALUE"""),44679.014188148154)</f>
        <v>44679.01419</v>
      </c>
      <c r="C701" s="52" t="str">
        <f>IFERROR(__xludf.DUMMYFUNCTION("""COMPUTED_VALUE"""),"CIG-UN")</f>
        <v>CIG-UN</v>
      </c>
      <c r="D701" s="53">
        <f>IFERROR(__xludf.DUMMYFUNCTION("""COMPUTED_VALUE"""),44683.70833333333)</f>
        <v>44683.70833</v>
      </c>
      <c r="E701" s="81"/>
      <c r="F701" s="81">
        <v>4.6941451851744205</v>
      </c>
    </row>
    <row r="702">
      <c r="A702" s="52" t="str">
        <f>IFERROR(__xludf.DUMMYFUNCTION("""COMPUTED_VALUE"""),"GUN-10701")</f>
        <v>GUN-10701</v>
      </c>
      <c r="B702" s="50">
        <f>IFERROR(__xludf.DUMMYFUNCTION("""COMPUTED_VALUE"""),44679.01532760417)</f>
        <v>44679.01533</v>
      </c>
      <c r="C702" s="52" t="str">
        <f>IFERROR(__xludf.DUMMYFUNCTION("""COMPUTED_VALUE"""),"CIG-UN")</f>
        <v>CIG-UN</v>
      </c>
      <c r="D702" s="53">
        <f>IFERROR(__xludf.DUMMYFUNCTION("""COMPUTED_VALUE"""),44685.79166666667)</f>
        <v>44685.79167</v>
      </c>
      <c r="E702" s="81"/>
      <c r="F702" s="81">
        <v>6.776339062504121</v>
      </c>
    </row>
    <row r="703">
      <c r="A703" s="52" t="str">
        <f>IFERROR(__xludf.DUMMYFUNCTION("""COMPUTED_VALUE"""),"GUN-10702")</f>
        <v>GUN-10702</v>
      </c>
      <c r="B703" s="50">
        <f>IFERROR(__xludf.DUMMYFUNCTION("""COMPUTED_VALUE"""),44679.42537722222)</f>
        <v>44679.42538</v>
      </c>
      <c r="C703" s="52" t="str">
        <f>IFERROR(__xludf.DUMMYFUNCTION("""COMPUTED_VALUE"""),"CEIM UNINORTE")</f>
        <v>CEIM UNINORTE</v>
      </c>
      <c r="D703" s="53">
        <f>IFERROR(__xludf.DUMMYFUNCTION("""COMPUTED_VALUE"""),44683.41666666667)</f>
        <v>44683.41667</v>
      </c>
      <c r="E703" s="81"/>
      <c r="F703" s="81">
        <v>3.9912894444496487</v>
      </c>
    </row>
    <row r="704">
      <c r="A704" s="52" t="str">
        <f>IFERROR(__xludf.DUMMYFUNCTION("""COMPUTED_VALUE"""),"GUN-10703")</f>
        <v>GUN-10703</v>
      </c>
      <c r="B704" s="50">
        <f>IFERROR(__xludf.DUMMYFUNCTION("""COMPUTED_VALUE"""),44679.426083125)</f>
        <v>44679.42608</v>
      </c>
      <c r="C704" s="52" t="str">
        <f>IFERROR(__xludf.DUMMYFUNCTION("""COMPUTED_VALUE"""),"CEIM UNINORTE")</f>
        <v>CEIM UNINORTE</v>
      </c>
      <c r="D704" s="53">
        <f>IFERROR(__xludf.DUMMYFUNCTION("""COMPUTED_VALUE"""),44686.58333333333)</f>
        <v>44686.58333</v>
      </c>
      <c r="E704" s="81"/>
      <c r="F704" s="81">
        <v>7.15725020832906</v>
      </c>
    </row>
    <row r="705">
      <c r="A705" s="52" t="str">
        <f>IFERROR(__xludf.DUMMYFUNCTION("""COMPUTED_VALUE"""),"GUN-10704")</f>
        <v>GUN-10704</v>
      </c>
      <c r="B705" s="50">
        <f>IFERROR(__xludf.DUMMYFUNCTION("""COMPUTED_VALUE"""),44679.42688539352)</f>
        <v>44679.42689</v>
      </c>
      <c r="C705" s="52" t="str">
        <f>IFERROR(__xludf.DUMMYFUNCTION("""COMPUTED_VALUE"""),"CEIM UNINORTE")</f>
        <v>CEIM UNINORTE</v>
      </c>
      <c r="D705" s="53">
        <f>IFERROR(__xludf.DUMMYFUNCTION("""COMPUTED_VALUE"""),44693.58333333333)</f>
        <v>44693.58333</v>
      </c>
      <c r="E705" s="81"/>
      <c r="F705" s="81">
        <v>14.15644793980755</v>
      </c>
    </row>
    <row r="706">
      <c r="A706" s="52" t="str">
        <f>IFERROR(__xludf.DUMMYFUNCTION("""COMPUTED_VALUE"""),"GUN-10705")</f>
        <v>GUN-10705</v>
      </c>
      <c r="B706" s="50">
        <f>IFERROR(__xludf.DUMMYFUNCTION("""COMPUTED_VALUE"""),44679.42771444444)</f>
        <v>44679.42771</v>
      </c>
      <c r="C706" s="52" t="str">
        <f>IFERROR(__xludf.DUMMYFUNCTION("""COMPUTED_VALUE"""),"CEIM UNINORTE")</f>
        <v>CEIM UNINORTE</v>
      </c>
      <c r="D706" s="53">
        <f>IFERROR(__xludf.DUMMYFUNCTION("""COMPUTED_VALUE"""),44687.39583333333)</f>
        <v>44687.39583</v>
      </c>
      <c r="E706" s="81"/>
      <c r="F706" s="81">
        <v>7.968118888886238</v>
      </c>
    </row>
    <row r="707">
      <c r="A707" s="52" t="str">
        <f>IFERROR(__xludf.DUMMYFUNCTION("""COMPUTED_VALUE"""),"GUN-10706")</f>
        <v>GUN-10706</v>
      </c>
      <c r="B707" s="50">
        <f>IFERROR(__xludf.DUMMYFUNCTION("""COMPUTED_VALUE"""),44679.42836893518)</f>
        <v>44679.42837</v>
      </c>
      <c r="C707" s="52" t="str">
        <f>IFERROR(__xludf.DUMMYFUNCTION("""COMPUTED_VALUE"""),"CEIM UNINORTE")</f>
        <v>CEIM UNINORTE</v>
      </c>
      <c r="D707" s="53">
        <f>IFERROR(__xludf.DUMMYFUNCTION("""COMPUTED_VALUE"""),44687.6875)</f>
        <v>44687.6875</v>
      </c>
      <c r="E707" s="81"/>
      <c r="F707" s="81">
        <v>8.259131064820394</v>
      </c>
    </row>
    <row r="708">
      <c r="A708" s="52" t="str">
        <f>IFERROR(__xludf.DUMMYFUNCTION("""COMPUTED_VALUE"""),"GUN-10707")</f>
        <v>GUN-10707</v>
      </c>
      <c r="B708" s="50">
        <f>IFERROR(__xludf.DUMMYFUNCTION("""COMPUTED_VALUE"""),44679.44402689815)</f>
        <v>44679.44403</v>
      </c>
      <c r="C708" s="52" t="str">
        <f>IFERROR(__xludf.DUMMYFUNCTION("""COMPUTED_VALUE"""),"CEIM UNINORTE")</f>
        <v>CEIM UNINORTE</v>
      </c>
      <c r="D708" s="53">
        <f>IFERROR(__xludf.DUMMYFUNCTION("""COMPUTED_VALUE"""),44687.77083333333)</f>
        <v>44687.77083</v>
      </c>
      <c r="E708" s="81"/>
      <c r="F708" s="81">
        <v>8.326806435179606</v>
      </c>
    </row>
    <row r="709">
      <c r="A709" s="52" t="str">
        <f>IFERROR(__xludf.DUMMYFUNCTION("""COMPUTED_VALUE"""),"GUN-10708")</f>
        <v>GUN-10708</v>
      </c>
      <c r="B709" s="50">
        <f>IFERROR(__xludf.DUMMYFUNCTION("""COMPUTED_VALUE"""),44679.5202068287)</f>
        <v>44679.52021</v>
      </c>
      <c r="C709" s="52" t="str">
        <f>IFERROR(__xludf.DUMMYFUNCTION("""COMPUTED_VALUE"""),"FELINORTE")</f>
        <v>FELINORTE</v>
      </c>
      <c r="D709" s="53">
        <f>IFERROR(__xludf.DUMMYFUNCTION("""COMPUTED_VALUE"""),44683.4375)</f>
        <v>44683.4375</v>
      </c>
      <c r="E709" s="81"/>
      <c r="F709" s="81">
        <v>3.9172931712964782</v>
      </c>
    </row>
    <row r="710">
      <c r="A710" s="52" t="str">
        <f>IFERROR(__xludf.DUMMYFUNCTION("""COMPUTED_VALUE"""),"GUN-10709")</f>
        <v>GUN-10709</v>
      </c>
      <c r="B710" s="50">
        <f>IFERROR(__xludf.DUMMYFUNCTION("""COMPUTED_VALUE"""),44679.56910987268)</f>
        <v>44679.56911</v>
      </c>
      <c r="C710" s="52" t="str">
        <f>IFERROR(__xludf.DUMMYFUNCTION("""COMPUTED_VALUE"""),"FEMINUN")</f>
        <v>FEMINUN</v>
      </c>
      <c r="D710" s="53">
        <f>IFERROR(__xludf.DUMMYFUNCTION("""COMPUTED_VALUE"""),44680.375)</f>
        <v>44680.375</v>
      </c>
      <c r="E710" s="81"/>
      <c r="F710" s="81">
        <v>0.8058901273179799</v>
      </c>
    </row>
    <row r="711">
      <c r="A711" s="52" t="str">
        <f>IFERROR(__xludf.DUMMYFUNCTION("""COMPUTED_VALUE"""),"GUN-10710")</f>
        <v>GUN-10710</v>
      </c>
      <c r="B711" s="50">
        <f>IFERROR(__xludf.DUMMYFUNCTION("""COMPUTED_VALUE"""),44679.57645193287)</f>
        <v>44679.57645</v>
      </c>
      <c r="C711" s="52" t="str">
        <f>IFERROR(__xludf.DUMMYFUNCTION("""COMPUTED_VALUE"""),"FEMINUN")</f>
        <v>FEMINUN</v>
      </c>
      <c r="D711" s="53">
        <f>IFERROR(__xludf.DUMMYFUNCTION("""COMPUTED_VALUE"""),44683.6875)</f>
        <v>44683.6875</v>
      </c>
      <c r="E711" s="81"/>
      <c r="F711" s="81">
        <v>4.111048067126831</v>
      </c>
    </row>
    <row r="712">
      <c r="A712" s="52" t="str">
        <f>IFERROR(__xludf.DUMMYFUNCTION("""COMPUTED_VALUE"""),"GUN-10711")</f>
        <v>GUN-10711</v>
      </c>
      <c r="B712" s="50">
        <f>IFERROR(__xludf.DUMMYFUNCTION("""COMPUTED_VALUE"""),44679.57738944444)</f>
        <v>44679.57739</v>
      </c>
      <c r="C712" s="52" t="str">
        <f>IFERROR(__xludf.DUMMYFUNCTION("""COMPUTED_VALUE"""),"FEMINUN")</f>
        <v>FEMINUN</v>
      </c>
      <c r="D712" s="53">
        <f>IFERROR(__xludf.DUMMYFUNCTION("""COMPUTED_VALUE"""),44687.60416666667)</f>
        <v>44687.60417</v>
      </c>
      <c r="E712" s="81"/>
      <c r="F712" s="81">
        <v>8.026777222228702</v>
      </c>
    </row>
    <row r="713">
      <c r="A713" s="52" t="str">
        <f>IFERROR(__xludf.DUMMYFUNCTION("""COMPUTED_VALUE"""),"GUN-10712")</f>
        <v>GUN-10712</v>
      </c>
      <c r="B713" s="50">
        <f>IFERROR(__xludf.DUMMYFUNCTION("""COMPUTED_VALUE"""),44679.57890699074)</f>
        <v>44679.57891</v>
      </c>
      <c r="C713" s="52" t="str">
        <f>IFERROR(__xludf.DUMMYFUNCTION("""COMPUTED_VALUE"""),"FEMINUN")</f>
        <v>FEMINUN</v>
      </c>
      <c r="D713" s="53">
        <f>IFERROR(__xludf.DUMMYFUNCTION("""COMPUTED_VALUE"""),44693.60416666667)</f>
        <v>44693.60417</v>
      </c>
      <c r="E713" s="81"/>
      <c r="F713" s="81">
        <v>14.02525967593101</v>
      </c>
    </row>
    <row r="714">
      <c r="A714" s="52" t="str">
        <f>IFERROR(__xludf.DUMMYFUNCTION("""COMPUTED_VALUE"""),"GUN-10713")</f>
        <v>GUN-10713</v>
      </c>
      <c r="B714" s="50">
        <f>IFERROR(__xludf.DUMMYFUNCTION("""COMPUTED_VALUE"""),44679.58252388889)</f>
        <v>44679.58252</v>
      </c>
      <c r="C714" s="52" t="str">
        <f>IFERROR(__xludf.DUMMYFUNCTION("""COMPUTED_VALUE"""),"FEMINUN")</f>
        <v>FEMINUN</v>
      </c>
      <c r="D714" s="53">
        <f>IFERROR(__xludf.DUMMYFUNCTION("""COMPUTED_VALUE"""),44684.625)</f>
        <v>44684.625</v>
      </c>
      <c r="E714" s="81"/>
      <c r="F714" s="81">
        <v>5.042476111113501</v>
      </c>
    </row>
    <row r="715">
      <c r="A715" s="52" t="str">
        <f>IFERROR(__xludf.DUMMYFUNCTION("""COMPUTED_VALUE"""),"GUN-10714")</f>
        <v>GUN-10714</v>
      </c>
      <c r="B715" s="50">
        <f>IFERROR(__xludf.DUMMYFUNCTION("""COMPUTED_VALUE"""),44679.58380206019)</f>
        <v>44679.5838</v>
      </c>
      <c r="C715" s="52" t="str">
        <f>IFERROR(__xludf.DUMMYFUNCTION("""COMPUTED_VALUE"""),"FEMINUN")</f>
        <v>FEMINUN</v>
      </c>
      <c r="D715" s="53">
        <f>IFERROR(__xludf.DUMMYFUNCTION("""COMPUTED_VALUE"""),44686.625)</f>
        <v>44686.625</v>
      </c>
      <c r="E715" s="81"/>
      <c r="F715" s="81">
        <v>7.041197939812264</v>
      </c>
    </row>
    <row r="716">
      <c r="A716" s="52" t="str">
        <f>IFERROR(__xludf.DUMMYFUNCTION("""COMPUTED_VALUE"""),"GUN-10715")</f>
        <v>GUN-10715</v>
      </c>
      <c r="B716" s="50">
        <f>IFERROR(__xludf.DUMMYFUNCTION("""COMPUTED_VALUE"""),44679.58511143519)</f>
        <v>44679.58511</v>
      </c>
      <c r="C716" s="52" t="str">
        <f>IFERROR(__xludf.DUMMYFUNCTION("""COMPUTED_VALUE"""),"FEMINUN")</f>
        <v>FEMINUN</v>
      </c>
      <c r="D716" s="53">
        <f>IFERROR(__xludf.DUMMYFUNCTION("""COMPUTED_VALUE"""),44683.625)</f>
        <v>44683.625</v>
      </c>
      <c r="E716" s="81"/>
      <c r="F716" s="81">
        <v>4.039888564810099</v>
      </c>
    </row>
    <row r="717">
      <c r="A717" s="52" t="str">
        <f>IFERROR(__xludf.DUMMYFUNCTION("""COMPUTED_VALUE"""),"GUN-10716")</f>
        <v>GUN-10716</v>
      </c>
      <c r="B717" s="50">
        <f>IFERROR(__xludf.DUMMYFUNCTION("""COMPUTED_VALUE"""),44679.61091987269)</f>
        <v>44679.61092</v>
      </c>
      <c r="C717" s="52" t="str">
        <f>IFERROR(__xludf.DUMMYFUNCTION("""COMPUTED_VALUE"""),"CEIM UNINORTE")</f>
        <v>CEIM UNINORTE</v>
      </c>
      <c r="D717" s="53">
        <f>IFERROR(__xludf.DUMMYFUNCTION("""COMPUTED_VALUE"""),44692.35416666667)</f>
        <v>44692.35417</v>
      </c>
      <c r="E717" s="81"/>
      <c r="F717" s="81">
        <v>12.743246793979779</v>
      </c>
    </row>
    <row r="718">
      <c r="A718" s="52" t="str">
        <f>IFERROR(__xludf.DUMMYFUNCTION("""COMPUTED_VALUE"""),"GUN-10717")</f>
        <v>GUN-10717</v>
      </c>
      <c r="B718" s="50">
        <f>IFERROR(__xludf.DUMMYFUNCTION("""COMPUTED_VALUE"""),44679.61261604167)</f>
        <v>44679.61262</v>
      </c>
      <c r="C718" s="52" t="str">
        <f>IFERROR(__xludf.DUMMYFUNCTION("""COMPUTED_VALUE"""),"CEIM UNINORTE")</f>
        <v>CEIM UNINORTE</v>
      </c>
      <c r="D718" s="53">
        <f>IFERROR(__xludf.DUMMYFUNCTION("""COMPUTED_VALUE"""),44694.4375)</f>
        <v>44694.4375</v>
      </c>
      <c r="E718" s="81"/>
      <c r="F718" s="81">
        <v>14.824883958332066</v>
      </c>
    </row>
    <row r="719">
      <c r="A719" s="52" t="str">
        <f>IFERROR(__xludf.DUMMYFUNCTION("""COMPUTED_VALUE"""),"GUN-10718")</f>
        <v>GUN-10718</v>
      </c>
      <c r="B719" s="50">
        <f>IFERROR(__xludf.DUMMYFUNCTION("""COMPUTED_VALUE"""),44679.62155373843)</f>
        <v>44679.62155</v>
      </c>
      <c r="C719" s="52" t="str">
        <f>IFERROR(__xludf.DUMMYFUNCTION("""COMPUTED_VALUE"""),"CEIM UNINORTE")</f>
        <v>CEIM UNINORTE</v>
      </c>
      <c r="D719" s="53">
        <f>IFERROR(__xludf.DUMMYFUNCTION("""COMPUTED_VALUE"""),44690.60416666667)</f>
        <v>44690.60417</v>
      </c>
      <c r="E719" s="81"/>
      <c r="F719" s="81">
        <v>10.982612928244635</v>
      </c>
    </row>
    <row r="720">
      <c r="A720" s="52" t="str">
        <f>IFERROR(__xludf.DUMMYFUNCTION("""COMPUTED_VALUE"""),"GUN-10719")</f>
        <v>GUN-10719</v>
      </c>
      <c r="B720" s="50">
        <f>IFERROR(__xludf.DUMMYFUNCTION("""COMPUTED_VALUE"""),44679.63040422453)</f>
        <v>44679.6304</v>
      </c>
      <c r="C720" s="52" t="str">
        <f>IFERROR(__xludf.DUMMYFUNCTION("""COMPUTED_VALUE"""),"CAFTA")</f>
        <v>CAFTA</v>
      </c>
      <c r="D720" s="53">
        <f>IFERROR(__xludf.DUMMYFUNCTION("""COMPUTED_VALUE"""),44680.60416666667)</f>
        <v>44680.60417</v>
      </c>
      <c r="E720" s="81"/>
      <c r="F720" s="81">
        <v>0.9737624421395594</v>
      </c>
    </row>
    <row r="721">
      <c r="A721" s="52" t="str">
        <f>IFERROR(__xludf.DUMMYFUNCTION("""COMPUTED_VALUE"""),"GUN-10720")</f>
        <v>GUN-10720</v>
      </c>
      <c r="B721" s="50">
        <f>IFERROR(__xludf.DUMMYFUNCTION("""COMPUTED_VALUE"""),44680.055514629625)</f>
        <v>44680.05551</v>
      </c>
      <c r="C721" s="52" t="str">
        <f>IFERROR(__xludf.DUMMYFUNCTION("""COMPUTED_VALUE"""),"BOURBAKI")</f>
        <v>BOURBAKI</v>
      </c>
      <c r="D721" s="53">
        <f>IFERROR(__xludf.DUMMYFUNCTION("""COMPUTED_VALUE"""),44685.64583333333)</f>
        <v>44685.64583</v>
      </c>
      <c r="E721" s="81"/>
      <c r="F721" s="81">
        <v>5.590318703703815</v>
      </c>
    </row>
    <row r="722">
      <c r="A722" s="52" t="str">
        <f>IFERROR(__xludf.DUMMYFUNCTION("""COMPUTED_VALUE"""),"GUN-10721")</f>
        <v>GUN-10721</v>
      </c>
      <c r="B722" s="50">
        <f>IFERROR(__xludf.DUMMYFUNCTION("""COMPUTED_VALUE"""),44680.42100809028)</f>
        <v>44680.42101</v>
      </c>
      <c r="C722" s="52" t="str">
        <f>IFERROR(__xludf.DUMMYFUNCTION("""COMPUTED_VALUE"""),"CDIEP")</f>
        <v>CDIEP</v>
      </c>
      <c r="D722" s="53">
        <f>IFERROR(__xludf.DUMMYFUNCTION("""COMPUTED_VALUE"""),44687.70833333333)</f>
        <v>44687.70833</v>
      </c>
      <c r="E722" s="81"/>
      <c r="F722" s="81">
        <v>7.287325243050873</v>
      </c>
    </row>
    <row r="723">
      <c r="A723" s="52" t="str">
        <f>IFERROR(__xludf.DUMMYFUNCTION("""COMPUTED_VALUE"""),"GUN-10722")</f>
        <v>GUN-10722</v>
      </c>
      <c r="B723" s="50">
        <f>IFERROR(__xludf.DUMMYFUNCTION("""COMPUTED_VALUE"""),44680.50733670139)</f>
        <v>44680.50734</v>
      </c>
      <c r="C723" s="52" t="str">
        <f>IFERROR(__xludf.DUMMYFUNCTION("""COMPUTED_VALUE"""),"CEARQ")</f>
        <v>CEARQ</v>
      </c>
      <c r="D723" s="53">
        <f>IFERROR(__xludf.DUMMYFUNCTION("""COMPUTED_VALUE"""),44697.64583333333)</f>
        <v>44697.64583</v>
      </c>
      <c r="E723" s="81"/>
      <c r="F723" s="81">
        <v>17.138496631938324</v>
      </c>
    </row>
    <row r="724">
      <c r="A724" s="52" t="str">
        <f>IFERROR(__xludf.DUMMYFUNCTION("""COMPUTED_VALUE"""),"GUN-10723")</f>
        <v>GUN-10723</v>
      </c>
      <c r="B724" s="50">
        <f>IFERROR(__xludf.DUMMYFUNCTION("""COMPUTED_VALUE"""),44680.59710373843)</f>
        <v>44680.5971</v>
      </c>
      <c r="C724" s="52" t="str">
        <f>IFERROR(__xludf.DUMMYFUNCTION("""COMPUTED_VALUE"""),"FEMINUN")</f>
        <v>FEMINUN</v>
      </c>
      <c r="D724" s="53">
        <f>IFERROR(__xludf.DUMMYFUNCTION("""COMPUTED_VALUE"""),44685.4375)</f>
        <v>44685.4375</v>
      </c>
      <c r="E724" s="81"/>
      <c r="F724" s="81">
        <v>4.840396261570277</v>
      </c>
    </row>
    <row r="725">
      <c r="A725" s="52" t="str">
        <f>IFERROR(__xludf.DUMMYFUNCTION("""COMPUTED_VALUE"""),"GUN-10724")</f>
        <v>GUN-10724</v>
      </c>
      <c r="B725" s="50">
        <f>IFERROR(__xludf.DUMMYFUNCTION("""COMPUTED_VALUE"""),44680.59850423611)</f>
        <v>44680.5985</v>
      </c>
      <c r="C725" s="52" t="str">
        <f>IFERROR(__xludf.DUMMYFUNCTION("""COMPUTED_VALUE"""),"FEMINUN")</f>
        <v>FEMINUN</v>
      </c>
      <c r="D725" s="53">
        <f>IFERROR(__xludf.DUMMYFUNCTION("""COMPUTED_VALUE"""),44687.4375)</f>
        <v>44687.4375</v>
      </c>
      <c r="E725" s="81"/>
      <c r="F725" s="81">
        <v>6.838995763886487</v>
      </c>
    </row>
    <row r="726">
      <c r="A726" s="52" t="str">
        <f>IFERROR(__xludf.DUMMYFUNCTION("""COMPUTED_VALUE"""),"GUN-10725")</f>
        <v>GUN-10725</v>
      </c>
      <c r="B726" s="50">
        <f>IFERROR(__xludf.DUMMYFUNCTION("""COMPUTED_VALUE"""),44680.6010746875)</f>
        <v>44680.60107</v>
      </c>
      <c r="C726" s="52" t="str">
        <f>IFERROR(__xludf.DUMMYFUNCTION("""COMPUTED_VALUE"""),"CREATINN EDUCATION")</f>
        <v>CREATINN EDUCATION</v>
      </c>
      <c r="D726" s="53">
        <f>IFERROR(__xludf.DUMMYFUNCTION("""COMPUTED_VALUE"""),44681.39583333333)</f>
        <v>44681.39583</v>
      </c>
      <c r="E726" s="81"/>
      <c r="F726" s="81">
        <v>0.7947586458249134</v>
      </c>
    </row>
    <row r="727">
      <c r="A727" s="52" t="str">
        <f>IFERROR(__xludf.DUMMYFUNCTION("""COMPUTED_VALUE"""),"GUN-10726")</f>
        <v>GUN-10726</v>
      </c>
      <c r="B727" s="50">
        <f>IFERROR(__xludf.DUMMYFUNCTION("""COMPUTED_VALUE"""),44680.605683761576)</f>
        <v>44680.60568</v>
      </c>
      <c r="C727" s="52" t="str">
        <f>IFERROR(__xludf.DUMMYFUNCTION("""COMPUTED_VALUE"""),"CREATINN EDUCATION")</f>
        <v>CREATINN EDUCATION</v>
      </c>
      <c r="D727" s="53">
        <f>IFERROR(__xludf.DUMMYFUNCTION("""COMPUTED_VALUE"""),44681.39583333333)</f>
        <v>44681.39583</v>
      </c>
      <c r="E727" s="81"/>
      <c r="F727" s="81">
        <v>0.7901495717524085</v>
      </c>
    </row>
    <row r="728">
      <c r="A728" s="52" t="str">
        <f>IFERROR(__xludf.DUMMYFUNCTION("""COMPUTED_VALUE"""),"GUN-10727")</f>
        <v>GUN-10727</v>
      </c>
      <c r="B728" s="50">
        <f>IFERROR(__xludf.DUMMYFUNCTION("""COMPUTED_VALUE"""),44680.60957591435)</f>
        <v>44680.60958</v>
      </c>
      <c r="C728" s="52" t="str">
        <f>IFERROR(__xludf.DUMMYFUNCTION("""COMPUTED_VALUE"""),"FEMINUN")</f>
        <v>FEMINUN</v>
      </c>
      <c r="D728" s="53">
        <f>IFERROR(__xludf.DUMMYFUNCTION("""COMPUTED_VALUE"""),44701.60416666667)</f>
        <v>44701.60417</v>
      </c>
      <c r="E728" s="81"/>
      <c r="F728" s="81">
        <v>20.99459075232153</v>
      </c>
    </row>
    <row r="729">
      <c r="A729" s="52" t="str">
        <f>IFERROR(__xludf.DUMMYFUNCTION("""COMPUTED_VALUE"""),"GUN-10728")</f>
        <v>GUN-10728</v>
      </c>
      <c r="B729" s="50">
        <f>IFERROR(__xludf.DUMMYFUNCTION("""COMPUTED_VALUE"""),44680.61369115741)</f>
        <v>44680.61369</v>
      </c>
      <c r="C729" s="52" t="str">
        <f>IFERROR(__xludf.DUMMYFUNCTION("""COMPUTED_VALUE"""),"FEMINUN")</f>
        <v>FEMINUN</v>
      </c>
      <c r="D729" s="53">
        <f>IFERROR(__xludf.DUMMYFUNCTION("""COMPUTED_VALUE"""),44708.60416666667)</f>
        <v>44708.60417</v>
      </c>
      <c r="E729" s="81"/>
      <c r="F729" s="81">
        <v>27.990475509264797</v>
      </c>
    </row>
    <row r="730">
      <c r="A730" s="52" t="str">
        <f>IFERROR(__xludf.DUMMYFUNCTION("""COMPUTED_VALUE"""),"GUN-10729")</f>
        <v>GUN-10729</v>
      </c>
      <c r="B730" s="50">
        <f>IFERROR(__xludf.DUMMYFUNCTION("""COMPUTED_VALUE"""),44680.65537818287)</f>
        <v>44680.65538</v>
      </c>
      <c r="C730" s="52" t="str">
        <f>IFERROR(__xludf.DUMMYFUNCTION("""COMPUTED_VALUE"""),"ACM Student Chapter")</f>
        <v>ACM Student Chapter</v>
      </c>
      <c r="D730" s="53">
        <f>IFERROR(__xludf.DUMMYFUNCTION("""COMPUTED_VALUE"""),44702.5625)</f>
        <v>44702.5625</v>
      </c>
      <c r="E730" s="81"/>
      <c r="F730" s="81">
        <v>21.907121817130246</v>
      </c>
    </row>
    <row r="731">
      <c r="A731" s="52" t="str">
        <f>IFERROR(__xludf.DUMMYFUNCTION("""COMPUTED_VALUE"""),"GUN-10730")</f>
        <v>GUN-10730</v>
      </c>
      <c r="B731" s="50">
        <f>IFERROR(__xludf.DUMMYFUNCTION("""COMPUTED_VALUE"""),44680.725875335644)</f>
        <v>44680.72588</v>
      </c>
      <c r="C731" s="52" t="str">
        <f>IFERROR(__xludf.DUMMYFUNCTION("""COMPUTED_VALUE"""),"CEO")</f>
        <v>CEO</v>
      </c>
      <c r="D731" s="53">
        <f>IFERROR(__xludf.DUMMYFUNCTION("""COMPUTED_VALUE"""),44687.60416666667)</f>
        <v>44687.60417</v>
      </c>
      <c r="E731" s="81"/>
      <c r="F731" s="81">
        <v>6.878291331027867</v>
      </c>
    </row>
    <row r="732">
      <c r="A732" s="52" t="str">
        <f>IFERROR(__xludf.DUMMYFUNCTION("""COMPUTED_VALUE"""),"GUN-10731")</f>
        <v>GUN-10731</v>
      </c>
      <c r="B732" s="50">
        <f>IFERROR(__xludf.DUMMYFUNCTION("""COMPUTED_VALUE"""),44680.730611238425)</f>
        <v>44680.73061</v>
      </c>
      <c r="C732" s="52" t="str">
        <f>IFERROR(__xludf.DUMMYFUNCTION("""COMPUTED_VALUE"""),"CEO")</f>
        <v>CEO</v>
      </c>
      <c r="D732" s="53">
        <f>IFERROR(__xludf.DUMMYFUNCTION("""COMPUTED_VALUE"""),44685.52083333333)</f>
        <v>44685.52083</v>
      </c>
      <c r="E732" s="81"/>
      <c r="F732" s="81">
        <v>4.790222094903584</v>
      </c>
    </row>
    <row r="733">
      <c r="A733" s="52" t="str">
        <f>IFERROR(__xludf.DUMMYFUNCTION("""COMPUTED_VALUE"""),"GUN-10732")</f>
        <v>GUN-10732</v>
      </c>
      <c r="B733" s="50">
        <f>IFERROR(__xludf.DUMMYFUNCTION("""COMPUTED_VALUE"""),44680.87717788194)</f>
        <v>44680.87718</v>
      </c>
      <c r="C733" s="52" t="str">
        <f>IFERROR(__xludf.DUMMYFUNCTION("""COMPUTED_VALUE"""),"UNINORTE DIVERSO")</f>
        <v>UNINORTE DIVERSO</v>
      </c>
      <c r="D733" s="53">
        <f>IFERROR(__xludf.DUMMYFUNCTION("""COMPUTED_VALUE"""),44687.52083333333)</f>
        <v>44687.52083</v>
      </c>
      <c r="E733" s="81"/>
      <c r="F733" s="81">
        <v>6.643655451385712</v>
      </c>
    </row>
    <row r="734">
      <c r="A734" s="52" t="str">
        <f>IFERROR(__xludf.DUMMYFUNCTION("""COMPUTED_VALUE"""),"GUN-10733")</f>
        <v>GUN-10733</v>
      </c>
      <c r="B734" s="50">
        <f>IFERROR(__xludf.DUMMYFUNCTION("""COMPUTED_VALUE"""),44680.87948152778)</f>
        <v>44680.87948</v>
      </c>
      <c r="C734" s="52" t="str">
        <f>IFERROR(__xludf.DUMMYFUNCTION("""COMPUTED_VALUE"""),"UNINORTE DIVERSO")</f>
        <v>UNINORTE DIVERSO</v>
      </c>
      <c r="D734" s="53">
        <f>IFERROR(__xludf.DUMMYFUNCTION("""COMPUTED_VALUE"""),44694.52083333333)</f>
        <v>44694.52083</v>
      </c>
      <c r="E734" s="81"/>
      <c r="F734" s="81">
        <v>13.641351805548766</v>
      </c>
    </row>
    <row r="735">
      <c r="A735" s="52" t="str">
        <f>IFERROR(__xludf.DUMMYFUNCTION("""COMPUTED_VALUE"""),"GUN-10734")</f>
        <v>GUN-10734</v>
      </c>
      <c r="B735" s="50">
        <f>IFERROR(__xludf.DUMMYFUNCTION("""COMPUTED_VALUE"""),44680.88084549768)</f>
        <v>44680.88085</v>
      </c>
      <c r="C735" s="52" t="str">
        <f>IFERROR(__xludf.DUMMYFUNCTION("""COMPUTED_VALUE"""),"UNINORTE DIVERSO")</f>
        <v>UNINORTE DIVERSO</v>
      </c>
      <c r="D735" s="53">
        <f>IFERROR(__xludf.DUMMYFUNCTION("""COMPUTED_VALUE"""),44701.52083333333)</f>
        <v>44701.52083</v>
      </c>
      <c r="E735" s="81"/>
      <c r="F735" s="81">
        <v>20.639987835646025</v>
      </c>
    </row>
    <row r="736">
      <c r="A736" s="52" t="str">
        <f>IFERROR(__xludf.DUMMYFUNCTION("""COMPUTED_VALUE"""),"GUN-10735")</f>
        <v>GUN-10735</v>
      </c>
      <c r="B736" s="50">
        <f>IFERROR(__xludf.DUMMYFUNCTION("""COMPUTED_VALUE"""),44680.882632141205)</f>
        <v>44680.88263</v>
      </c>
      <c r="C736" s="52" t="str">
        <f>IFERROR(__xludf.DUMMYFUNCTION("""COMPUTED_VALUE"""),"UNINORTE DIVERSO")</f>
        <v>UNINORTE DIVERSO</v>
      </c>
      <c r="D736" s="53">
        <f>IFERROR(__xludf.DUMMYFUNCTION("""COMPUTED_VALUE"""),44708.52083333333)</f>
        <v>44708.52083</v>
      </c>
      <c r="E736" s="81"/>
      <c r="F736" s="81">
        <v>27.638201192123233</v>
      </c>
    </row>
    <row r="737">
      <c r="A737" s="52" t="str">
        <f>IFERROR(__xludf.DUMMYFUNCTION("""COMPUTED_VALUE"""),"GUN-10736")</f>
        <v>GUN-10736</v>
      </c>
      <c r="B737" s="50">
        <f>IFERROR(__xludf.DUMMYFUNCTION("""COMPUTED_VALUE"""),44680.88391013889)</f>
        <v>44680.88391</v>
      </c>
      <c r="C737" s="52" t="str">
        <f>IFERROR(__xludf.DUMMYFUNCTION("""COMPUTED_VALUE"""),"UNINORTE DIVERSO")</f>
        <v>UNINORTE DIVERSO</v>
      </c>
      <c r="D737" s="53">
        <f>IFERROR(__xludf.DUMMYFUNCTION("""COMPUTED_VALUE"""),44715.52083333333)</f>
        <v>44715.52083</v>
      </c>
      <c r="E737" s="81"/>
      <c r="F737" s="81">
        <v>34.6369231944409</v>
      </c>
    </row>
    <row r="738">
      <c r="A738" s="52" t="str">
        <f>IFERROR(__xludf.DUMMYFUNCTION("""COMPUTED_VALUE"""),"GUN-10737")</f>
        <v>GUN-10737</v>
      </c>
      <c r="B738" s="50">
        <f>IFERROR(__xludf.DUMMYFUNCTION("""COMPUTED_VALUE"""),44681.93932403935)</f>
        <v>44681.93932</v>
      </c>
      <c r="C738" s="52" t="str">
        <f>IFERROR(__xludf.DUMMYFUNCTION("""COMPUTED_VALUE"""),"FAUNATICOS")</f>
        <v>FAUNATICOS</v>
      </c>
      <c r="D738" s="53">
        <f>IFERROR(__xludf.DUMMYFUNCTION("""COMPUTED_VALUE"""),44693.625)</f>
        <v>44693.625</v>
      </c>
      <c r="E738" s="81"/>
      <c r="F738" s="81">
        <v>11.685675960652588</v>
      </c>
    </row>
    <row r="739">
      <c r="A739" s="52" t="str">
        <f>IFERROR(__xludf.DUMMYFUNCTION("""COMPUTED_VALUE"""),"GUN-10738")</f>
        <v>GUN-10738</v>
      </c>
      <c r="B739" s="50">
        <f>IFERROR(__xludf.DUMMYFUNCTION("""COMPUTED_VALUE"""),44681.94440490741)</f>
        <v>44681.9444</v>
      </c>
      <c r="C739" s="52" t="str">
        <f>IFERROR(__xludf.DUMMYFUNCTION("""COMPUTED_VALUE"""),"FAUNATICOS")</f>
        <v>FAUNATICOS</v>
      </c>
      <c r="D739" s="53">
        <f>IFERROR(__xludf.DUMMYFUNCTION("""COMPUTED_VALUE"""),44694.60416666667)</f>
        <v>44694.60417</v>
      </c>
      <c r="E739" s="81"/>
      <c r="F739" s="81">
        <v>12.659761759263347</v>
      </c>
    </row>
    <row r="740">
      <c r="A740" s="52" t="str">
        <f>IFERROR(__xludf.DUMMYFUNCTION("""COMPUTED_VALUE"""),"GUN-10739")</f>
        <v>GUN-10739</v>
      </c>
      <c r="B740" s="50">
        <f>IFERROR(__xludf.DUMMYFUNCTION("""COMPUTED_VALUE"""),44681.95365840278)</f>
        <v>44681.95366</v>
      </c>
      <c r="C740" s="52" t="str">
        <f>IFERROR(__xludf.DUMMYFUNCTION("""COMPUTED_VALUE"""),"FAUNATICOS")</f>
        <v>FAUNATICOS</v>
      </c>
      <c r="D740" s="53">
        <f>IFERROR(__xludf.DUMMYFUNCTION("""COMPUTED_VALUE"""),44693.41666666667)</f>
        <v>44693.41667</v>
      </c>
      <c r="E740" s="81"/>
      <c r="F740" s="81">
        <v>11.463008263890515</v>
      </c>
    </row>
    <row r="741">
      <c r="A741" s="52" t="str">
        <f>IFERROR(__xludf.DUMMYFUNCTION("""COMPUTED_VALUE"""),"GUN-10740")</f>
        <v>GUN-10740</v>
      </c>
      <c r="B741" s="50">
        <f>IFERROR(__xludf.DUMMYFUNCTION("""COMPUTED_VALUE"""),44683.36241138889)</f>
        <v>44683.36241</v>
      </c>
      <c r="C741" s="52" t="str">
        <f>IFERROR(__xludf.DUMMYFUNCTION("""COMPUTED_VALUE"""),"SIGN-UN")</f>
        <v>SIGN-UN</v>
      </c>
      <c r="D741" s="53">
        <f>IFERROR(__xludf.DUMMYFUNCTION("""COMPUTED_VALUE"""),44686.79166666667)</f>
        <v>44686.79167</v>
      </c>
      <c r="E741" s="81"/>
      <c r="F741" s="81">
        <v>3.42925527778425</v>
      </c>
    </row>
    <row r="742">
      <c r="A742" s="52" t="str">
        <f>IFERROR(__xludf.DUMMYFUNCTION("""COMPUTED_VALUE"""),"GUN-10741")</f>
        <v>GUN-10741</v>
      </c>
      <c r="B742" s="50">
        <f>IFERROR(__xludf.DUMMYFUNCTION("""COMPUTED_VALUE"""),44683.370796898154)</f>
        <v>44683.3708</v>
      </c>
      <c r="C742" s="52" t="str">
        <f>IFERROR(__xludf.DUMMYFUNCTION("""COMPUTED_VALUE"""),"LINGUA")</f>
        <v>LINGUA</v>
      </c>
      <c r="D742" s="53">
        <f>IFERROR(__xludf.DUMMYFUNCTION("""COMPUTED_VALUE"""),44644.39583333333)</f>
        <v>44644.39583</v>
      </c>
      <c r="E742" s="81"/>
      <c r="F742" s="81">
        <v>-38.974963564825885</v>
      </c>
    </row>
    <row r="743">
      <c r="A743" s="52" t="str">
        <f>IFERROR(__xludf.DUMMYFUNCTION("""COMPUTED_VALUE"""),"GUN-10742")</f>
        <v>GUN-10742</v>
      </c>
      <c r="B743" s="50">
        <f>IFERROR(__xludf.DUMMYFUNCTION("""COMPUTED_VALUE"""),44683.37503682871)</f>
        <v>44683.37504</v>
      </c>
      <c r="C743" s="52" t="str">
        <f>IFERROR(__xludf.DUMMYFUNCTION("""COMPUTED_VALUE"""),"LINGUA")</f>
        <v>LINGUA</v>
      </c>
      <c r="D743" s="53">
        <f>IFERROR(__xludf.DUMMYFUNCTION("""COMPUTED_VALUE"""),44672.39583333333)</f>
        <v>44672.39583</v>
      </c>
      <c r="E743" s="81"/>
      <c r="F743" s="81">
        <v>-10.979203495378897</v>
      </c>
    </row>
    <row r="744">
      <c r="A744" s="52" t="str">
        <f>IFERROR(__xludf.DUMMYFUNCTION("""COMPUTED_VALUE"""),"GUN-10743")</f>
        <v>GUN-10743</v>
      </c>
      <c r="B744" s="50">
        <f>IFERROR(__xludf.DUMMYFUNCTION("""COMPUTED_VALUE"""),44683.39739381945)</f>
        <v>44683.39739</v>
      </c>
      <c r="C744" s="52" t="str">
        <f>IFERROR(__xludf.DUMMYFUNCTION("""COMPUTED_VALUE"""),"PANGEA")</f>
        <v>PANGEA</v>
      </c>
      <c r="D744" s="53">
        <f>IFERROR(__xludf.DUMMYFUNCTION("""COMPUTED_VALUE"""),44695.375)</f>
        <v>44695.375</v>
      </c>
      <c r="E744" s="81"/>
      <c r="F744" s="81">
        <v>11.977606180553266</v>
      </c>
    </row>
    <row r="745">
      <c r="A745" s="52" t="str">
        <f>IFERROR(__xludf.DUMMYFUNCTION("""COMPUTED_VALUE"""),"GUN-10744")</f>
        <v>GUN-10744</v>
      </c>
      <c r="B745" s="50">
        <f>IFERROR(__xludf.DUMMYFUNCTION("""COMPUTED_VALUE"""),44683.447466944446)</f>
        <v>44683.44747</v>
      </c>
      <c r="C745" s="52" t="str">
        <f>IFERROR(__xludf.DUMMYFUNCTION("""COMPUTED_VALUE"""),"SIGN-UN")</f>
        <v>SIGN-UN</v>
      </c>
      <c r="D745" s="53">
        <f>IFERROR(__xludf.DUMMYFUNCTION("""COMPUTED_VALUE"""),44693.79166666667)</f>
        <v>44693.79167</v>
      </c>
      <c r="E745" s="81"/>
      <c r="F745" s="81">
        <v>10.344199722225312</v>
      </c>
    </row>
    <row r="746">
      <c r="A746" s="52" t="str">
        <f>IFERROR(__xludf.DUMMYFUNCTION("""COMPUTED_VALUE"""),"GUN-10745")</f>
        <v>GUN-10745</v>
      </c>
      <c r="B746" s="50">
        <f>IFERROR(__xludf.DUMMYFUNCTION("""COMPUTED_VALUE"""),44683.49629762732)</f>
        <v>44683.4963</v>
      </c>
      <c r="C746" s="52" t="str">
        <f>IFERROR(__xludf.DUMMYFUNCTION("""COMPUTED_VALUE"""),"PARTNERS CAMPUS")</f>
        <v>PARTNERS CAMPUS</v>
      </c>
      <c r="D746" s="53">
        <f>IFERROR(__xludf.DUMMYFUNCTION("""COMPUTED_VALUE"""),44688.35416666667)</f>
        <v>44688.35417</v>
      </c>
      <c r="E746" s="81"/>
      <c r="F746" s="81">
        <v>4.857869039355137</v>
      </c>
    </row>
    <row r="747">
      <c r="A747" s="52" t="str">
        <f>IFERROR(__xludf.DUMMYFUNCTION("""COMPUTED_VALUE"""),"GUN-10746")</f>
        <v>GUN-10746</v>
      </c>
      <c r="B747" s="50">
        <f>IFERROR(__xludf.DUMMYFUNCTION("""COMPUTED_VALUE"""),44683.49776133102)</f>
        <v>44683.49776</v>
      </c>
      <c r="C747" s="52" t="str">
        <f>IFERROR(__xludf.DUMMYFUNCTION("""COMPUTED_VALUE"""),"PARTNERS CAMPUS")</f>
        <v>PARTNERS CAMPUS</v>
      </c>
      <c r="D747" s="53">
        <f>IFERROR(__xludf.DUMMYFUNCTION("""COMPUTED_VALUE"""),44686.39583333333)</f>
        <v>44686.39583</v>
      </c>
      <c r="E747" s="81"/>
      <c r="F747" s="81">
        <v>2.898072002310073</v>
      </c>
    </row>
    <row r="748">
      <c r="A748" s="52" t="str">
        <f>IFERROR(__xludf.DUMMYFUNCTION("""COMPUTED_VALUE"""),"GUN-10747")</f>
        <v>GUN-10747</v>
      </c>
      <c r="B748" s="50">
        <f>IFERROR(__xludf.DUMMYFUNCTION("""COMPUTED_VALUE"""),44683.508683437496)</f>
        <v>44683.50868</v>
      </c>
      <c r="C748" s="52" t="str">
        <f>IFERROR(__xludf.DUMMYFUNCTION("""COMPUTED_VALUE"""),"PARTNERS CAMPUS")</f>
        <v>PARTNERS CAMPUS</v>
      </c>
      <c r="D748" s="53">
        <f>IFERROR(__xludf.DUMMYFUNCTION("""COMPUTED_VALUE"""),44688.35416666667)</f>
        <v>44688.35417</v>
      </c>
      <c r="E748" s="81"/>
      <c r="F748" s="81">
        <v>4.845483229175443</v>
      </c>
    </row>
    <row r="749">
      <c r="A749" s="52" t="str">
        <f>IFERROR(__xludf.DUMMYFUNCTION("""COMPUTED_VALUE"""),"GUN-10748")</f>
        <v>GUN-10748</v>
      </c>
      <c r="B749" s="50">
        <f>IFERROR(__xludf.DUMMYFUNCTION("""COMPUTED_VALUE"""),44683.51146356481)</f>
        <v>44683.51146</v>
      </c>
      <c r="C749" s="52" t="str">
        <f>IFERROR(__xludf.DUMMYFUNCTION("""COMPUTED_VALUE"""),"PARTNERS CAMPUS")</f>
        <v>PARTNERS CAMPUS</v>
      </c>
      <c r="D749" s="53">
        <f>IFERROR(__xludf.DUMMYFUNCTION("""COMPUTED_VALUE"""),44695.35416666667)</f>
        <v>44695.35417</v>
      </c>
      <c r="E749" s="81"/>
      <c r="F749" s="81">
        <v>11.842703101858206</v>
      </c>
    </row>
    <row r="750">
      <c r="A750" s="52" t="str">
        <f>IFERROR(__xludf.DUMMYFUNCTION("""COMPUTED_VALUE"""),"GUN-10749")</f>
        <v>GUN-10749</v>
      </c>
      <c r="B750" s="50">
        <f>IFERROR(__xludf.DUMMYFUNCTION("""COMPUTED_VALUE"""),44683.513002245374)</f>
        <v>44683.513</v>
      </c>
      <c r="C750" s="52" t="str">
        <f>IFERROR(__xludf.DUMMYFUNCTION("""COMPUTED_VALUE"""),"PARTNERS CAMPUS")</f>
        <v>PARTNERS CAMPUS</v>
      </c>
      <c r="D750" s="53">
        <f>IFERROR(__xludf.DUMMYFUNCTION("""COMPUTED_VALUE"""),44693.39583333333)</f>
        <v>44693.39583</v>
      </c>
      <c r="E750" s="81"/>
      <c r="F750" s="81">
        <v>9.8828310879544</v>
      </c>
    </row>
    <row r="751">
      <c r="A751" s="52" t="str">
        <f>IFERROR(__xludf.DUMMYFUNCTION("""COMPUTED_VALUE"""),"GUN-10750")</f>
        <v>GUN-10750</v>
      </c>
      <c r="B751" s="50">
        <f>IFERROR(__xludf.DUMMYFUNCTION("""COMPUTED_VALUE"""),44683.52089777778)</f>
        <v>44683.5209</v>
      </c>
      <c r="C751" s="52" t="str">
        <f>IFERROR(__xludf.DUMMYFUNCTION("""COMPUTED_VALUE"""),"PARTNERS CAMPUS")</f>
        <v>PARTNERS CAMPUS</v>
      </c>
      <c r="D751" s="53">
        <f>IFERROR(__xludf.DUMMYFUNCTION("""COMPUTED_VALUE"""),44688.35416666667)</f>
        <v>44688.35417</v>
      </c>
      <c r="E751" s="81"/>
      <c r="F751" s="81">
        <v>4.833268888891325</v>
      </c>
    </row>
    <row r="752">
      <c r="A752" s="52" t="str">
        <f>IFERROR(__xludf.DUMMYFUNCTION("""COMPUTED_VALUE"""),"GUN-10751")</f>
        <v>GUN-10751</v>
      </c>
      <c r="B752" s="50">
        <f>IFERROR(__xludf.DUMMYFUNCTION("""COMPUTED_VALUE"""),44683.523160219906)</f>
        <v>44683.52316</v>
      </c>
      <c r="C752" s="52" t="str">
        <f>IFERROR(__xludf.DUMMYFUNCTION("""COMPUTED_VALUE"""),"PARTNERS CAMPUS")</f>
        <v>PARTNERS CAMPUS</v>
      </c>
      <c r="D752" s="53">
        <f>IFERROR(__xludf.DUMMYFUNCTION("""COMPUTED_VALUE"""),44692.35416666667)</f>
        <v>44692.35417</v>
      </c>
      <c r="E752" s="81"/>
      <c r="F752" s="81">
        <v>8.831006446765969</v>
      </c>
    </row>
    <row r="753">
      <c r="A753" s="52" t="str">
        <f>IFERROR(__xludf.DUMMYFUNCTION("""COMPUTED_VALUE"""),"GUN-10752")</f>
        <v>GUN-10752</v>
      </c>
      <c r="B753" s="50">
        <f>IFERROR(__xludf.DUMMYFUNCTION("""COMPUTED_VALUE"""),44683.52548167824)</f>
        <v>44683.52548</v>
      </c>
      <c r="C753" s="52" t="str">
        <f>IFERROR(__xludf.DUMMYFUNCTION("""COMPUTED_VALUE"""),"PARTNERS CAMPUS")</f>
        <v>PARTNERS CAMPUS</v>
      </c>
      <c r="D753" s="53">
        <f>IFERROR(__xludf.DUMMYFUNCTION("""COMPUTED_VALUE"""),44696.35416666667)</f>
        <v>44696.35417</v>
      </c>
      <c r="E753" s="81"/>
      <c r="F753" s="81">
        <v>12.828684988431633</v>
      </c>
    </row>
    <row r="754">
      <c r="A754" s="52" t="str">
        <f>IFERROR(__xludf.DUMMYFUNCTION("""COMPUTED_VALUE"""),"GUN-10753")</f>
        <v>GUN-10753</v>
      </c>
      <c r="B754" s="50">
        <f>IFERROR(__xludf.DUMMYFUNCTION("""COMPUTED_VALUE"""),44683.52743341435)</f>
        <v>44683.52743</v>
      </c>
      <c r="C754" s="52" t="str">
        <f>IFERROR(__xludf.DUMMYFUNCTION("""COMPUTED_VALUE"""),"CEO")</f>
        <v>CEO</v>
      </c>
      <c r="D754" s="53">
        <f>IFERROR(__xludf.DUMMYFUNCTION("""COMPUTED_VALUE"""),44717.375)</f>
        <v>44717.375</v>
      </c>
      <c r="E754" s="81"/>
      <c r="F754" s="81">
        <v>33.84756658565311</v>
      </c>
    </row>
    <row r="755">
      <c r="A755" s="52" t="str">
        <f>IFERROR(__xludf.DUMMYFUNCTION("""COMPUTED_VALUE"""),"GUN-10754")</f>
        <v>GUN-10754</v>
      </c>
      <c r="B755" s="50">
        <f>IFERROR(__xludf.DUMMYFUNCTION("""COMPUTED_VALUE"""),44683.5276241551)</f>
        <v>44683.52762</v>
      </c>
      <c r="C755" s="52" t="str">
        <f>IFERROR(__xludf.DUMMYFUNCTION("""COMPUTED_VALUE"""),"PARTNERS CAMPUS")</f>
        <v>PARTNERS CAMPUS</v>
      </c>
      <c r="D755" s="53">
        <f>IFERROR(__xludf.DUMMYFUNCTION("""COMPUTED_VALUE"""),44687.6875)</f>
        <v>44687.6875</v>
      </c>
      <c r="E755" s="81"/>
      <c r="F755" s="81">
        <v>4.159875844903581</v>
      </c>
    </row>
    <row r="756">
      <c r="A756" s="52" t="str">
        <f>IFERROR(__xludf.DUMMYFUNCTION("""COMPUTED_VALUE"""),"GUN-10755")</f>
        <v>GUN-10755</v>
      </c>
      <c r="B756" s="50">
        <f>IFERROR(__xludf.DUMMYFUNCTION("""COMPUTED_VALUE"""),44683.609577951385)</f>
        <v>44683.60958</v>
      </c>
      <c r="C756" s="52" t="str">
        <f>IFERROR(__xludf.DUMMYFUNCTION("""COMPUTED_VALUE"""),"LINGUA")</f>
        <v>LINGUA</v>
      </c>
      <c r="D756" s="53">
        <f>IFERROR(__xludf.DUMMYFUNCTION("""COMPUTED_VALUE"""),44694.6875)</f>
        <v>44694.6875</v>
      </c>
      <c r="E756" s="81"/>
      <c r="F756" s="81">
        <v>11.07792204861471</v>
      </c>
    </row>
    <row r="757">
      <c r="A757" s="52" t="str">
        <f>IFERROR(__xludf.DUMMYFUNCTION("""COMPUTED_VALUE"""),"GUN-10756")</f>
        <v>GUN-10756</v>
      </c>
      <c r="B757" s="50">
        <f>IFERROR(__xludf.DUMMYFUNCTION("""COMPUTED_VALUE"""),44683.614594004626)</f>
        <v>44683.61459</v>
      </c>
      <c r="C757" s="52" t="str">
        <f>IFERROR(__xludf.DUMMYFUNCTION("""COMPUTED_VALUE"""),"LINGUA")</f>
        <v>LINGUA</v>
      </c>
      <c r="D757" s="53">
        <f>IFERROR(__xludf.DUMMYFUNCTION("""COMPUTED_VALUE"""),44669.52083333333)</f>
        <v>44669.52083</v>
      </c>
      <c r="E757" s="81"/>
      <c r="F757" s="81">
        <v>-14.093760671297787</v>
      </c>
    </row>
    <row r="758">
      <c r="A758" s="52" t="str">
        <f>IFERROR(__xludf.DUMMYFUNCTION("""COMPUTED_VALUE"""),"GUN-10757")</f>
        <v>GUN-10757</v>
      </c>
      <c r="B758" s="50">
        <f>IFERROR(__xludf.DUMMYFUNCTION("""COMPUTED_VALUE"""),44683.62541201389)</f>
        <v>44683.62541</v>
      </c>
      <c r="C758" s="52" t="str">
        <f>IFERROR(__xludf.DUMMYFUNCTION("""COMPUTED_VALUE"""),"FEMINUN")</f>
        <v>FEMINUN</v>
      </c>
      <c r="D758" s="53">
        <f>IFERROR(__xludf.DUMMYFUNCTION("""COMPUTED_VALUE"""),44683.75)</f>
        <v>44683.75</v>
      </c>
      <c r="E758" s="81"/>
      <c r="F758" s="81">
        <v>0.12458798610896338</v>
      </c>
    </row>
    <row r="759">
      <c r="A759" s="52" t="str">
        <f>IFERROR(__xludf.DUMMYFUNCTION("""COMPUTED_VALUE"""),"GUN-10758")</f>
        <v>GUN-10758</v>
      </c>
      <c r="B759" s="50">
        <f>IFERROR(__xludf.DUMMYFUNCTION("""COMPUTED_VALUE"""),44683.76948930555)</f>
        <v>44683.76949</v>
      </c>
      <c r="C759" s="52" t="str">
        <f>IFERROR(__xludf.DUMMYFUNCTION("""COMPUTED_VALUE"""),"CIRCULO KDHARMA")</f>
        <v>CIRCULO KDHARMA</v>
      </c>
      <c r="D759" s="53">
        <f>IFERROR(__xludf.DUMMYFUNCTION("""COMPUTED_VALUE"""),44695.33333333333)</f>
        <v>44695.33333</v>
      </c>
      <c r="E759" s="81"/>
      <c r="F759" s="81">
        <v>11.563844027776213</v>
      </c>
    </row>
    <row r="760">
      <c r="A760" s="52" t="str">
        <f>IFERROR(__xludf.DUMMYFUNCTION("""COMPUTED_VALUE"""),"GUN-10759")</f>
        <v>GUN-10759</v>
      </c>
      <c r="B760" s="50">
        <f>IFERROR(__xludf.DUMMYFUNCTION("""COMPUTED_VALUE"""),44683.772364490746)</f>
        <v>44683.77236</v>
      </c>
      <c r="C760" s="52" t="str">
        <f>IFERROR(__xludf.DUMMYFUNCTION("""COMPUTED_VALUE"""),"CIRCULO KDHARMA")</f>
        <v>CIRCULO KDHARMA</v>
      </c>
      <c r="D760" s="53">
        <f>IFERROR(__xludf.DUMMYFUNCTION("""COMPUTED_VALUE"""),44695.33333333333)</f>
        <v>44695.33333</v>
      </c>
      <c r="E760" s="81"/>
      <c r="F760" s="81">
        <v>11.560968842582952</v>
      </c>
    </row>
    <row r="761">
      <c r="A761" s="52" t="str">
        <f>IFERROR(__xludf.DUMMYFUNCTION("""COMPUTED_VALUE"""),"GUN-10760")</f>
        <v>GUN-10760</v>
      </c>
      <c r="B761" s="50">
        <f>IFERROR(__xludf.DUMMYFUNCTION("""COMPUTED_VALUE"""),44683.7874227662)</f>
        <v>44683.78742</v>
      </c>
      <c r="C761" s="52" t="str">
        <f>IFERROR(__xludf.DUMMYFUNCTION("""COMPUTED_VALUE"""),"ANEIAP UNINORTE")</f>
        <v>ANEIAP UNINORTE</v>
      </c>
      <c r="D761" s="53">
        <f>IFERROR(__xludf.DUMMYFUNCTION("""COMPUTED_VALUE"""),44695.14583333333)</f>
        <v>44695.14583</v>
      </c>
      <c r="E761" s="81"/>
      <c r="F761" s="81">
        <v>11.358410567125247</v>
      </c>
    </row>
    <row r="762">
      <c r="A762" s="52" t="str">
        <f>IFERROR(__xludf.DUMMYFUNCTION("""COMPUTED_VALUE"""),"GUN-10761")</f>
        <v>GUN-10761</v>
      </c>
      <c r="B762" s="50">
        <f>IFERROR(__xludf.DUMMYFUNCTION("""COMPUTED_VALUE"""),44684.41459644676)</f>
        <v>44684.4146</v>
      </c>
      <c r="C762" s="52" t="str">
        <f>IFERROR(__xludf.DUMMYFUNCTION("""COMPUTED_VALUE"""),"CEIM UNINORTE")</f>
        <v>CEIM UNINORTE</v>
      </c>
      <c r="D762" s="53">
        <f>IFERROR(__xludf.DUMMYFUNCTION("""COMPUTED_VALUE"""),44690.35416666667)</f>
        <v>44690.35417</v>
      </c>
      <c r="E762" s="81"/>
      <c r="F762" s="81">
        <v>5.93957021991082</v>
      </c>
    </row>
    <row r="763">
      <c r="A763" s="52" t="str">
        <f>IFERROR(__xludf.DUMMYFUNCTION("""COMPUTED_VALUE"""),"GUN-10762")</f>
        <v>GUN-10762</v>
      </c>
      <c r="B763" s="50">
        <f>IFERROR(__xludf.DUMMYFUNCTION("""COMPUTED_VALUE"""),44684.41568894676)</f>
        <v>44684.41569</v>
      </c>
      <c r="C763" s="52" t="str">
        <f>IFERROR(__xludf.DUMMYFUNCTION("""COMPUTED_VALUE"""),"CEIM UNINORTE")</f>
        <v>CEIM UNINORTE</v>
      </c>
      <c r="D763" s="53">
        <f>IFERROR(__xludf.DUMMYFUNCTION("""COMPUTED_VALUE"""),44694.35416666667)</f>
        <v>44694.35417</v>
      </c>
      <c r="E763" s="81"/>
      <c r="F763" s="81">
        <v>9.938477719908406</v>
      </c>
    </row>
    <row r="764">
      <c r="A764" s="52" t="str">
        <f>IFERROR(__xludf.DUMMYFUNCTION("""COMPUTED_VALUE"""),"GUN-10763")</f>
        <v>GUN-10763</v>
      </c>
      <c r="B764" s="50">
        <f>IFERROR(__xludf.DUMMYFUNCTION("""COMPUTED_VALUE"""),44684.41669690972)</f>
        <v>44684.4167</v>
      </c>
      <c r="C764" s="52" t="str">
        <f>IFERROR(__xludf.DUMMYFUNCTION("""COMPUTED_VALUE"""),"CEIM UNINORTE")</f>
        <v>CEIM UNINORTE</v>
      </c>
      <c r="D764" s="53">
        <f>IFERROR(__xludf.DUMMYFUNCTION("""COMPUTED_VALUE"""),44694.4375)</f>
        <v>44694.4375</v>
      </c>
      <c r="E764" s="81"/>
      <c r="F764" s="81">
        <v>10.020803090279514</v>
      </c>
    </row>
    <row r="765">
      <c r="A765" s="52" t="str">
        <f>IFERROR(__xludf.DUMMYFUNCTION("""COMPUTED_VALUE"""),"GUN-10764")</f>
        <v>GUN-10764</v>
      </c>
      <c r="B765" s="50">
        <f>IFERROR(__xludf.DUMMYFUNCTION("""COMPUTED_VALUE"""),44684.43126299769)</f>
        <v>44684.43126</v>
      </c>
      <c r="C765" s="52" t="str">
        <f>IFERROR(__xludf.DUMMYFUNCTION("""COMPUTED_VALUE"""),"CEIM UNINORTE")</f>
        <v>CEIM UNINORTE</v>
      </c>
      <c r="D765" s="53">
        <f>IFERROR(__xludf.DUMMYFUNCTION("""COMPUTED_VALUE"""),44691.52083333333)</f>
        <v>44691.52083</v>
      </c>
      <c r="E765" s="81"/>
      <c r="F765" s="81">
        <v>7.089570335636381</v>
      </c>
    </row>
    <row r="766">
      <c r="A766" s="52" t="str">
        <f>IFERROR(__xludf.DUMMYFUNCTION("""COMPUTED_VALUE"""),"GUN-10765")</f>
        <v>GUN-10765</v>
      </c>
      <c r="B766" s="50">
        <f>IFERROR(__xludf.DUMMYFUNCTION("""COMPUTED_VALUE"""),44684.43334052083)</f>
        <v>44684.43334</v>
      </c>
      <c r="C766" s="52" t="str">
        <f>IFERROR(__xludf.DUMMYFUNCTION("""COMPUTED_VALUE"""),"CEIM UNINORTE")</f>
        <v>CEIM UNINORTE</v>
      </c>
      <c r="D766" s="53">
        <f>IFERROR(__xludf.DUMMYFUNCTION("""COMPUTED_VALUE"""),44691.6875)</f>
        <v>44691.6875</v>
      </c>
      <c r="E766" s="81"/>
      <c r="F766" s="81">
        <v>7.254159479169175</v>
      </c>
    </row>
    <row r="767">
      <c r="A767" s="52" t="str">
        <f>IFERROR(__xludf.DUMMYFUNCTION("""COMPUTED_VALUE"""),"GUN-10766")</f>
        <v>GUN-10766</v>
      </c>
      <c r="B767" s="50">
        <f>IFERROR(__xludf.DUMMYFUNCTION("""COMPUTED_VALUE"""),44684.4674084838)</f>
        <v>44684.46741</v>
      </c>
      <c r="C767" s="52" t="str">
        <f>IFERROR(__xludf.DUMMYFUNCTION("""COMPUTED_VALUE"""),"CEIM UNINORTE")</f>
        <v>CEIM UNINORTE</v>
      </c>
      <c r="D767" s="53">
        <f>IFERROR(__xludf.DUMMYFUNCTION("""COMPUTED_VALUE"""),44694.60416666667)</f>
        <v>44694.60417</v>
      </c>
      <c r="E767" s="81"/>
      <c r="F767" s="81">
        <v>10.136758182874473</v>
      </c>
    </row>
    <row r="768">
      <c r="A768" s="52" t="str">
        <f>IFERROR(__xludf.DUMMYFUNCTION("""COMPUTED_VALUE"""),"GUN-10767")</f>
        <v>GUN-10767</v>
      </c>
      <c r="B768" s="50">
        <f>IFERROR(__xludf.DUMMYFUNCTION("""COMPUTED_VALUE"""),44684.476157337966)</f>
        <v>44684.47616</v>
      </c>
      <c r="C768" s="52" t="str">
        <f>IFERROR(__xludf.DUMMYFUNCTION("""COMPUTED_VALUE"""),"CEIM UNINORTE")</f>
        <v>CEIM UNINORTE</v>
      </c>
      <c r="D768" s="53">
        <f>IFERROR(__xludf.DUMMYFUNCTION("""COMPUTED_VALUE"""),44690.35416666667)</f>
        <v>44690.35417</v>
      </c>
      <c r="E768" s="81"/>
      <c r="F768" s="81">
        <v>5.878009328705957</v>
      </c>
    </row>
    <row r="769">
      <c r="A769" s="52" t="str">
        <f>IFERROR(__xludf.DUMMYFUNCTION("""COMPUTED_VALUE"""),"GUN-10768")</f>
        <v>GUN-10768</v>
      </c>
      <c r="B769" s="50">
        <f>IFERROR(__xludf.DUMMYFUNCTION("""COMPUTED_VALUE"""),44684.583340196754)</f>
        <v>44684.58334</v>
      </c>
      <c r="C769" s="52" t="str">
        <f>IFERROR(__xludf.DUMMYFUNCTION("""COMPUTED_VALUE"""),"ZARATUSTRA")</f>
        <v>ZARATUSTRA</v>
      </c>
      <c r="D769" s="53">
        <f>IFERROR(__xludf.DUMMYFUNCTION("""COMPUTED_VALUE"""),44686.72916666667)</f>
        <v>44686.72917</v>
      </c>
      <c r="E769" s="81"/>
      <c r="F769" s="81">
        <v>2.1458264699176652</v>
      </c>
    </row>
    <row r="770">
      <c r="A770" s="52" t="str">
        <f>IFERROR(__xludf.DUMMYFUNCTION("""COMPUTED_VALUE"""),"GUN-10769")</f>
        <v>GUN-10769</v>
      </c>
      <c r="B770" s="50">
        <f>IFERROR(__xludf.DUMMYFUNCTION("""COMPUTED_VALUE"""),44684.60700251157)</f>
        <v>44684.607</v>
      </c>
      <c r="C770" s="52" t="str">
        <f>IFERROR(__xludf.DUMMYFUNCTION("""COMPUTED_VALUE"""),"CEIM UNINORTE")</f>
        <v>CEIM UNINORTE</v>
      </c>
      <c r="D770" s="53">
        <f>IFERROR(__xludf.DUMMYFUNCTION("""COMPUTED_VALUE"""),44692.72916666667)</f>
        <v>44692.72917</v>
      </c>
      <c r="E770" s="81"/>
      <c r="F770" s="81">
        <v>8.122164155101927</v>
      </c>
    </row>
    <row r="771">
      <c r="A771" s="52" t="str">
        <f>IFERROR(__xludf.DUMMYFUNCTION("""COMPUTED_VALUE"""),"GUN-10770")</f>
        <v>GUN-10770</v>
      </c>
      <c r="B771" s="50">
        <f>IFERROR(__xludf.DUMMYFUNCTION("""COMPUTED_VALUE"""),44684.607530810186)</f>
        <v>44684.60753</v>
      </c>
      <c r="C771" s="52" t="str">
        <f>IFERROR(__xludf.DUMMYFUNCTION("""COMPUTED_VALUE"""),"CEIM UNINORTE")</f>
        <v>CEIM UNINORTE</v>
      </c>
      <c r="D771" s="53">
        <f>IFERROR(__xludf.DUMMYFUNCTION("""COMPUTED_VALUE"""),44693.72916666667)</f>
        <v>44693.72917</v>
      </c>
      <c r="E771" s="81"/>
      <c r="F771" s="81">
        <v>9.121635856485227</v>
      </c>
    </row>
    <row r="772">
      <c r="A772" s="52" t="str">
        <f>IFERROR(__xludf.DUMMYFUNCTION("""COMPUTED_VALUE"""),"GUN-10771")</f>
        <v>GUN-10771</v>
      </c>
      <c r="B772" s="50">
        <f>IFERROR(__xludf.DUMMYFUNCTION("""COMPUTED_VALUE"""),44684.60812101852)</f>
        <v>44684.60812</v>
      </c>
      <c r="C772" s="52" t="str">
        <f>IFERROR(__xludf.DUMMYFUNCTION("""COMPUTED_VALUE"""),"CEIM UNINORTE")</f>
        <v>CEIM UNINORTE</v>
      </c>
      <c r="D772" s="53">
        <f>IFERROR(__xludf.DUMMYFUNCTION("""COMPUTED_VALUE"""),44692.625)</f>
        <v>44692.625</v>
      </c>
      <c r="E772" s="81"/>
      <c r="F772" s="81">
        <v>8.01687898147793</v>
      </c>
    </row>
    <row r="773">
      <c r="A773" s="52" t="str">
        <f>IFERROR(__xludf.DUMMYFUNCTION("""COMPUTED_VALUE"""),"GUN-10772")</f>
        <v>GUN-10772</v>
      </c>
      <c r="B773" s="50">
        <f>IFERROR(__xludf.DUMMYFUNCTION("""COMPUTED_VALUE"""),44684.60861700231)</f>
        <v>44684.60862</v>
      </c>
      <c r="C773" s="52" t="str">
        <f>IFERROR(__xludf.DUMMYFUNCTION("""COMPUTED_VALUE"""),"CEIM UNINORTE")</f>
        <v>CEIM UNINORTE</v>
      </c>
      <c r="D773" s="53">
        <f>IFERROR(__xludf.DUMMYFUNCTION("""COMPUTED_VALUE"""),44693.625)</f>
        <v>44693.625</v>
      </c>
      <c r="E773" s="81"/>
      <c r="F773" s="81">
        <v>9.016382997688197</v>
      </c>
    </row>
    <row r="774">
      <c r="A774" s="52" t="str">
        <f>IFERROR(__xludf.DUMMYFUNCTION("""COMPUTED_VALUE"""),"GUN-10773")</f>
        <v>GUN-10773</v>
      </c>
      <c r="B774" s="50">
        <f>IFERROR(__xludf.DUMMYFUNCTION("""COMPUTED_VALUE"""),44684.686442962964)</f>
        <v>44684.68644</v>
      </c>
      <c r="C774" s="52" t="str">
        <f>IFERROR(__xludf.DUMMYFUNCTION("""COMPUTED_VALUE"""),"PANGEA")</f>
        <v>PANGEA</v>
      </c>
      <c r="D774" s="53">
        <f>IFERROR(__xludf.DUMMYFUNCTION("""COMPUTED_VALUE"""),44687.60416666667)</f>
        <v>44687.60417</v>
      </c>
      <c r="E774" s="81"/>
      <c r="F774" s="81">
        <v>2.917723703707452</v>
      </c>
    </row>
    <row r="775">
      <c r="A775" s="52" t="str">
        <f>IFERROR(__xludf.DUMMYFUNCTION("""COMPUTED_VALUE"""),"GUN-10774")</f>
        <v>GUN-10774</v>
      </c>
      <c r="B775" s="50">
        <f>IFERROR(__xludf.DUMMYFUNCTION("""COMPUTED_VALUE"""),44684.77338018519)</f>
        <v>44684.77338</v>
      </c>
      <c r="C775" s="52" t="str">
        <f>IFERROR(__xludf.DUMMYFUNCTION("""COMPUTED_VALUE"""),"CEO")</f>
        <v>CEO</v>
      </c>
      <c r="D775" s="53">
        <f>IFERROR(__xludf.DUMMYFUNCTION("""COMPUTED_VALUE"""),44716.375)</f>
        <v>44716.375</v>
      </c>
      <c r="E775" s="81"/>
      <c r="F775" s="81">
        <v>31.601619814813603</v>
      </c>
    </row>
    <row r="776">
      <c r="A776" s="52" t="str">
        <f>IFERROR(__xludf.DUMMYFUNCTION("""COMPUTED_VALUE"""),"GUN-10775")</f>
        <v>GUN-10775</v>
      </c>
      <c r="B776" s="50">
        <f>IFERROR(__xludf.DUMMYFUNCTION("""COMPUTED_VALUE"""),44685.39623773148)</f>
        <v>44685.39624</v>
      </c>
      <c r="C776" s="52" t="str">
        <f>IFERROR(__xludf.DUMMYFUNCTION("""COMPUTED_VALUE"""),"FELINORTE")</f>
        <v>FELINORTE</v>
      </c>
      <c r="D776" s="53">
        <f>IFERROR(__xludf.DUMMYFUNCTION("""COMPUTED_VALUE"""),44690.64583333333)</f>
        <v>44690.64583</v>
      </c>
      <c r="E776" s="81"/>
      <c r="F776" s="81">
        <v>5.249595601846522</v>
      </c>
    </row>
    <row r="777">
      <c r="A777" s="52" t="str">
        <f>IFERROR(__xludf.DUMMYFUNCTION("""COMPUTED_VALUE"""),"GUN-10776")</f>
        <v>GUN-10776</v>
      </c>
      <c r="B777" s="50">
        <f>IFERROR(__xludf.DUMMYFUNCTION("""COMPUTED_VALUE"""),44685.400437233795)</f>
        <v>44685.40044</v>
      </c>
      <c r="C777" s="52" t="str">
        <f>IFERROR(__xludf.DUMMYFUNCTION("""COMPUTED_VALUE"""),"FELINORTE")</f>
        <v>FELINORTE</v>
      </c>
      <c r="D777" s="53">
        <f>IFERROR(__xludf.DUMMYFUNCTION("""COMPUTED_VALUE"""),44691.39583333333)</f>
        <v>44691.39583</v>
      </c>
      <c r="E777" s="81"/>
      <c r="F777" s="81">
        <v>5.9953960995335365</v>
      </c>
    </row>
    <row r="778">
      <c r="A778" s="52" t="str">
        <f>IFERROR(__xludf.DUMMYFUNCTION("""COMPUTED_VALUE"""),"GUN-10777")</f>
        <v>GUN-10777</v>
      </c>
      <c r="B778" s="50">
        <f>IFERROR(__xludf.DUMMYFUNCTION("""COMPUTED_VALUE"""),44685.40309898148)</f>
        <v>44685.4031</v>
      </c>
      <c r="C778" s="52" t="str">
        <f>IFERROR(__xludf.DUMMYFUNCTION("""COMPUTED_VALUE"""),"FELINORTE")</f>
        <v>FELINORTE</v>
      </c>
      <c r="D778" s="53">
        <f>IFERROR(__xludf.DUMMYFUNCTION("""COMPUTED_VALUE"""),44692.39583333333)</f>
        <v>44692.39583</v>
      </c>
      <c r="E778" s="81"/>
      <c r="F778" s="81">
        <v>6.992734351850231</v>
      </c>
    </row>
    <row r="779">
      <c r="A779" s="52" t="str">
        <f>IFERROR(__xludf.DUMMYFUNCTION("""COMPUTED_VALUE"""),"GUN-10778")</f>
        <v>GUN-10778</v>
      </c>
      <c r="B779" s="50">
        <f>IFERROR(__xludf.DUMMYFUNCTION("""COMPUTED_VALUE"""),44685.47732583334)</f>
        <v>44685.47733</v>
      </c>
      <c r="C779" s="52" t="str">
        <f>IFERROR(__xludf.DUMMYFUNCTION("""COMPUTED_VALUE"""),"FEMINUN")</f>
        <v>FEMINUN</v>
      </c>
      <c r="D779" s="53">
        <f>IFERROR(__xludf.DUMMYFUNCTION("""COMPUTED_VALUE"""),44690.6875)</f>
        <v>44690.6875</v>
      </c>
      <c r="E779" s="81"/>
      <c r="F779" s="81">
        <v>5.21017416666291</v>
      </c>
    </row>
    <row r="780">
      <c r="A780" s="52" t="str">
        <f>IFERROR(__xludf.DUMMYFUNCTION("""COMPUTED_VALUE"""),"GUN-10779")</f>
        <v>GUN-10779</v>
      </c>
      <c r="B780" s="50">
        <f>IFERROR(__xludf.DUMMYFUNCTION("""COMPUTED_VALUE"""),44685.48095913194)</f>
        <v>44685.48096</v>
      </c>
      <c r="C780" s="52" t="str">
        <f>IFERROR(__xludf.DUMMYFUNCTION("""COMPUTED_VALUE"""),"FEMINUN")</f>
        <v>FEMINUN</v>
      </c>
      <c r="D780" s="53">
        <f>IFERROR(__xludf.DUMMYFUNCTION("""COMPUTED_VALUE"""),44689.625)</f>
        <v>44689.625</v>
      </c>
      <c r="E780" s="81"/>
      <c r="F780" s="81">
        <v>4.1440408680573455</v>
      </c>
    </row>
    <row r="781">
      <c r="A781" s="52" t="str">
        <f>IFERROR(__xludf.DUMMYFUNCTION("""COMPUTED_VALUE"""),"GUN-10780")</f>
        <v>GUN-10780</v>
      </c>
      <c r="B781" s="50">
        <f>IFERROR(__xludf.DUMMYFUNCTION("""COMPUTED_VALUE"""),44685.4821291088)</f>
        <v>44685.48213</v>
      </c>
      <c r="C781" s="52" t="str">
        <f>IFERROR(__xludf.DUMMYFUNCTION("""COMPUTED_VALUE"""),"FEMINUN")</f>
        <v>FEMINUN</v>
      </c>
      <c r="D781" s="53">
        <f>IFERROR(__xludf.DUMMYFUNCTION("""COMPUTED_VALUE"""),44690.625)</f>
        <v>44690.625</v>
      </c>
      <c r="E781" s="81"/>
      <c r="F781" s="81">
        <v>5.1428708911989816</v>
      </c>
    </row>
    <row r="782">
      <c r="A782" s="52" t="str">
        <f>IFERROR(__xludf.DUMMYFUNCTION("""COMPUTED_VALUE"""),"GUN-10781")</f>
        <v>GUN-10781</v>
      </c>
      <c r="B782" s="50">
        <f>IFERROR(__xludf.DUMMYFUNCTION("""COMPUTED_VALUE"""),44685.48399256944)</f>
        <v>44685.48399</v>
      </c>
      <c r="C782" s="52" t="str">
        <f>IFERROR(__xludf.DUMMYFUNCTION("""COMPUTED_VALUE"""),"FEMINUN")</f>
        <v>FEMINUN</v>
      </c>
      <c r="D782" s="53">
        <f>IFERROR(__xludf.DUMMYFUNCTION("""COMPUTED_VALUE"""),44691.625)</f>
        <v>44691.625</v>
      </c>
      <c r="E782" s="81"/>
      <c r="F782" s="81">
        <v>6.141007430560421</v>
      </c>
    </row>
    <row r="783">
      <c r="A783" s="52" t="str">
        <f>IFERROR(__xludf.DUMMYFUNCTION("""COMPUTED_VALUE"""),"GUN-10782")</f>
        <v>GUN-10782</v>
      </c>
      <c r="B783" s="50">
        <f>IFERROR(__xludf.DUMMYFUNCTION("""COMPUTED_VALUE"""),44685.48589498842)</f>
        <v>44685.48589</v>
      </c>
      <c r="C783" s="52" t="str">
        <f>IFERROR(__xludf.DUMMYFUNCTION("""COMPUTED_VALUE"""),"FEMINUN")</f>
        <v>FEMINUN</v>
      </c>
      <c r="D783" s="53">
        <f>IFERROR(__xludf.DUMMYFUNCTION("""COMPUTED_VALUE"""),44692.625)</f>
        <v>44692.625</v>
      </c>
      <c r="E783" s="81"/>
      <c r="F783" s="81">
        <v>7.139105011578067</v>
      </c>
    </row>
    <row r="784">
      <c r="A784" s="52" t="str">
        <f>IFERROR(__xludf.DUMMYFUNCTION("""COMPUTED_VALUE"""),"GUN-10783")</f>
        <v>GUN-10783</v>
      </c>
      <c r="B784" s="50">
        <f>IFERROR(__xludf.DUMMYFUNCTION("""COMPUTED_VALUE"""),44685.48694516204)</f>
        <v>44685.48695</v>
      </c>
      <c r="C784" s="52" t="str">
        <f>IFERROR(__xludf.DUMMYFUNCTION("""COMPUTED_VALUE"""),"FEMINUN")</f>
        <v>FEMINUN</v>
      </c>
      <c r="D784" s="53">
        <f>IFERROR(__xludf.DUMMYFUNCTION("""COMPUTED_VALUE"""),44693.625)</f>
        <v>44693.625</v>
      </c>
      <c r="E784" s="81"/>
      <c r="F784" s="81">
        <v>8.138054837960226</v>
      </c>
    </row>
    <row r="785">
      <c r="A785" s="52" t="str">
        <f>IFERROR(__xludf.DUMMYFUNCTION("""COMPUTED_VALUE"""),"GUN-10784")</f>
        <v>GUN-10784</v>
      </c>
      <c r="B785" s="50">
        <f>IFERROR(__xludf.DUMMYFUNCTION("""COMPUTED_VALUE"""),44685.488082662036)</f>
        <v>44685.48808</v>
      </c>
      <c r="C785" s="52" t="str">
        <f>IFERROR(__xludf.DUMMYFUNCTION("""COMPUTED_VALUE"""),"FEMINUN")</f>
        <v>FEMINUN</v>
      </c>
      <c r="D785" s="53">
        <f>IFERROR(__xludf.DUMMYFUNCTION("""COMPUTED_VALUE"""),44694.625)</f>
        <v>44694.625</v>
      </c>
      <c r="E785" s="81"/>
      <c r="F785" s="81">
        <v>9.136917337964405</v>
      </c>
    </row>
    <row r="786">
      <c r="A786" s="52" t="str">
        <f>IFERROR(__xludf.DUMMYFUNCTION("""COMPUTED_VALUE"""),"GUN-10785")</f>
        <v>GUN-10785</v>
      </c>
      <c r="B786" s="50">
        <f>IFERROR(__xludf.DUMMYFUNCTION("""COMPUTED_VALUE"""),44686.43266274306)</f>
        <v>44686.43266</v>
      </c>
      <c r="C786" s="52" t="str">
        <f>IFERROR(__xludf.DUMMYFUNCTION("""COMPUTED_VALUE"""),"CAFTA")</f>
        <v>CAFTA</v>
      </c>
      <c r="D786" s="53">
        <f>IFERROR(__xludf.DUMMYFUNCTION("""COMPUTED_VALUE"""),44694.6875)</f>
        <v>44694.6875</v>
      </c>
      <c r="E786" s="81"/>
      <c r="F786" s="81">
        <v>8.254837256943574</v>
      </c>
    </row>
    <row r="787">
      <c r="A787" s="52" t="str">
        <f>IFERROR(__xludf.DUMMYFUNCTION("""COMPUTED_VALUE"""),"GUN-10786")</f>
        <v>GUN-10786</v>
      </c>
      <c r="B787" s="50">
        <f>IFERROR(__xludf.DUMMYFUNCTION("""COMPUTED_VALUE"""),44686.46280699074)</f>
        <v>44686.46281</v>
      </c>
      <c r="C787" s="52" t="str">
        <f>IFERROR(__xludf.DUMMYFUNCTION("""COMPUTED_VALUE"""),"CEIM UNINORTE")</f>
        <v>CEIM UNINORTE</v>
      </c>
      <c r="D787" s="53">
        <f>IFERROR(__xludf.DUMMYFUNCTION("""COMPUTED_VALUE"""),44700.35416666667)</f>
        <v>44700.35417</v>
      </c>
      <c r="E787" s="81" t="str">
        <f>IFERROR(__xludf.DUMMYFUNCTION("""COMPUTED_VALUE"""),"CHICOS ME GUSTRAIA CONVERSAR CON USTEDES OSBRE ESTA ACTIVIDAD, AGRADEZCO ME INDIQUEN SU DISPONIBILIDAD PARA AGENDAR")</f>
        <v>CHICOS ME GUSTRAIA CONVERSAR CON USTEDES OSBRE ESTA ACTIVIDAD, AGRADEZCO ME INDIQUEN SU DISPONIBILIDAD PARA AGENDAR</v>
      </c>
      <c r="F787" s="81">
        <v>13.891359675930289</v>
      </c>
    </row>
    <row r="788">
      <c r="A788" s="52" t="str">
        <f>IFERROR(__xludf.DUMMYFUNCTION("""COMPUTED_VALUE"""),"GUN-10787")</f>
        <v>GUN-10787</v>
      </c>
      <c r="B788" s="50">
        <f>IFERROR(__xludf.DUMMYFUNCTION("""COMPUTED_VALUE"""),44686.52077983796)</f>
        <v>44686.52078</v>
      </c>
      <c r="C788" s="52" t="str">
        <f>IFERROR(__xludf.DUMMYFUNCTION("""COMPUTED_VALUE"""),"CAFTA")</f>
        <v>CAFTA</v>
      </c>
      <c r="D788" s="53">
        <f>IFERROR(__xludf.DUMMYFUNCTION("""COMPUTED_VALUE"""),44688.35416666667)</f>
        <v>44688.35417</v>
      </c>
      <c r="E788" s="81"/>
      <c r="F788" s="81">
        <v>1.8333868287081714</v>
      </c>
    </row>
    <row r="789">
      <c r="A789" s="52" t="str">
        <f>IFERROR(__xludf.DUMMYFUNCTION("""COMPUTED_VALUE"""),"GUN-10788")</f>
        <v>GUN-10788</v>
      </c>
      <c r="B789" s="50">
        <f>IFERROR(__xludf.DUMMYFUNCTION("""COMPUTED_VALUE"""),44686.54198594907)</f>
        <v>44686.54199</v>
      </c>
      <c r="C789" s="52" t="str">
        <f>IFERROR(__xludf.DUMMYFUNCTION("""COMPUTED_VALUE"""),"GEN'S")</f>
        <v>GEN'S</v>
      </c>
      <c r="D789" s="53">
        <f>IFERROR(__xludf.DUMMYFUNCTION("""COMPUTED_VALUE"""),44694.1875)</f>
        <v>44694.1875</v>
      </c>
      <c r="E789" s="81"/>
      <c r="F789" s="81">
        <v>7.645514050927886</v>
      </c>
    </row>
    <row r="790">
      <c r="A790" s="52" t="str">
        <f>IFERROR(__xludf.DUMMYFUNCTION("""COMPUTED_VALUE"""),"GUN-10789")</f>
        <v>GUN-10789</v>
      </c>
      <c r="B790" s="50">
        <f>IFERROR(__xludf.DUMMYFUNCTION("""COMPUTED_VALUE"""),44686.6455334375)</f>
        <v>44686.64553</v>
      </c>
      <c r="C790" s="52" t="str">
        <f>IFERROR(__xludf.DUMMYFUNCTION("""COMPUTED_VALUE"""),"IISE")</f>
        <v>IISE</v>
      </c>
      <c r="D790" s="53">
        <f>IFERROR(__xludf.DUMMYFUNCTION("""COMPUTED_VALUE"""),44692.5625)</f>
        <v>44692.5625</v>
      </c>
      <c r="E790" s="81"/>
      <c r="F790" s="81">
        <v>5.9169665625013295</v>
      </c>
    </row>
    <row r="791">
      <c r="A791" s="52" t="str">
        <f>IFERROR(__xludf.DUMMYFUNCTION("""COMPUTED_VALUE"""),"GUN-10790")</f>
        <v>GUN-10790</v>
      </c>
      <c r="B791" s="50">
        <f>IFERROR(__xludf.DUMMYFUNCTION("""COMPUTED_VALUE"""),44686.65439373843)</f>
        <v>44686.65439</v>
      </c>
      <c r="C791" s="52" t="str">
        <f>IFERROR(__xludf.DUMMYFUNCTION("""COMPUTED_VALUE"""),"IISE")</f>
        <v>IISE</v>
      </c>
      <c r="D791" s="53">
        <f>IFERROR(__xludf.DUMMYFUNCTION("""COMPUTED_VALUE"""),44693.35416666667)</f>
        <v>44693.35417</v>
      </c>
      <c r="E791" s="81"/>
      <c r="F791" s="81">
        <v>6.6997729282447835</v>
      </c>
    </row>
    <row r="792">
      <c r="A792" s="52" t="str">
        <f>IFERROR(__xludf.DUMMYFUNCTION("""COMPUTED_VALUE"""),"GUN-10791")</f>
        <v>GUN-10791</v>
      </c>
      <c r="B792" s="50">
        <f>IFERROR(__xludf.DUMMYFUNCTION("""COMPUTED_VALUE"""),44686.807734421294)</f>
        <v>44686.80773</v>
      </c>
      <c r="C792" s="52" t="str">
        <f>IFERROR(__xludf.DUMMYFUNCTION("""COMPUTED_VALUE"""),"ANEIAP UNINORTE")</f>
        <v>ANEIAP UNINORTE</v>
      </c>
      <c r="D792" s="53">
        <f>IFERROR(__xludf.DUMMYFUNCTION("""COMPUTED_VALUE"""),44692.45833333333)</f>
        <v>44692.45833</v>
      </c>
      <c r="E792" s="81"/>
      <c r="F792" s="81">
        <v>5.650598912034184</v>
      </c>
    </row>
    <row r="793">
      <c r="A793" s="52" t="str">
        <f>IFERROR(__xludf.DUMMYFUNCTION("""COMPUTED_VALUE"""),"GUN-10792")</f>
        <v>GUN-10792</v>
      </c>
      <c r="B793" s="50">
        <f>IFERROR(__xludf.DUMMYFUNCTION("""COMPUTED_VALUE"""),44686.81039729167)</f>
        <v>44686.8104</v>
      </c>
      <c r="C793" s="52" t="str">
        <f>IFERROR(__xludf.DUMMYFUNCTION("""COMPUTED_VALUE"""),"COMITÉ JURIDICO")</f>
        <v>COMITÉ JURIDICO</v>
      </c>
      <c r="D793" s="53">
        <f>IFERROR(__xludf.DUMMYFUNCTION("""COMPUTED_VALUE"""),44687.375)</f>
        <v>44687.375</v>
      </c>
      <c r="E793" s="81"/>
      <c r="F793" s="81">
        <v>0.564602708327584</v>
      </c>
    </row>
    <row r="794">
      <c r="A794" s="52" t="str">
        <f>IFERROR(__xludf.DUMMYFUNCTION("""COMPUTED_VALUE"""),"GUN-10793")</f>
        <v>GUN-10793</v>
      </c>
      <c r="B794" s="50">
        <f>IFERROR(__xludf.DUMMYFUNCTION("""COMPUTED_VALUE"""),44686.8139716088)</f>
        <v>44686.81397</v>
      </c>
      <c r="C794" s="52" t="str">
        <f>IFERROR(__xludf.DUMMYFUNCTION("""COMPUTED_VALUE"""),"COMITÉ JURIDICO")</f>
        <v>COMITÉ JURIDICO</v>
      </c>
      <c r="D794" s="53">
        <f>IFERROR(__xludf.DUMMYFUNCTION("""COMPUTED_VALUE"""),44686.08333333333)</f>
        <v>44686.08333</v>
      </c>
      <c r="E794" s="81"/>
      <c r="F794" s="81">
        <v>-0.7306382754686638</v>
      </c>
    </row>
    <row r="795">
      <c r="A795" s="52" t="str">
        <f>IFERROR(__xludf.DUMMYFUNCTION("""COMPUTED_VALUE"""),"GUN-10794")</f>
        <v>GUN-10794</v>
      </c>
      <c r="B795" s="50">
        <f>IFERROR(__xludf.DUMMYFUNCTION("""COMPUTED_VALUE"""),44686.8182162963)</f>
        <v>44686.81822</v>
      </c>
      <c r="C795" s="52" t="str">
        <f>IFERROR(__xludf.DUMMYFUNCTION("""COMPUTED_VALUE"""),"COMITÉ JURIDICO")</f>
        <v>COMITÉ JURIDICO</v>
      </c>
      <c r="D795" s="53">
        <f>IFERROR(__xludf.DUMMYFUNCTION("""COMPUTED_VALUE"""),44686.08333333333)</f>
        <v>44686.08333</v>
      </c>
      <c r="E795" s="81"/>
      <c r="F795" s="81">
        <v>-0.7348829629700049</v>
      </c>
    </row>
    <row r="796">
      <c r="A796" s="52" t="str">
        <f>IFERROR(__xludf.DUMMYFUNCTION("""COMPUTED_VALUE"""),"GUN-10795")</f>
        <v>GUN-10795</v>
      </c>
      <c r="B796" s="50">
        <f>IFERROR(__xludf.DUMMYFUNCTION("""COMPUTED_VALUE"""),44686.86802847222)</f>
        <v>44686.86803</v>
      </c>
      <c r="C796" s="52" t="str">
        <f>IFERROR(__xludf.DUMMYFUNCTION("""COMPUTED_VALUE"""),"BK2")</f>
        <v>BK2</v>
      </c>
      <c r="D796" s="53">
        <f>IFERROR(__xludf.DUMMYFUNCTION("""COMPUTED_VALUE"""),44692.52083333333)</f>
        <v>44692.52083</v>
      </c>
      <c r="E796" s="81"/>
      <c r="F796" s="81">
        <v>5.652804861107143</v>
      </c>
    </row>
    <row r="797">
      <c r="A797" s="52" t="str">
        <f>IFERROR(__xludf.DUMMYFUNCTION("""COMPUTED_VALUE"""),"GUN-10796")</f>
        <v>GUN-10796</v>
      </c>
      <c r="B797" s="50">
        <f>IFERROR(__xludf.DUMMYFUNCTION("""COMPUTED_VALUE"""),44686.88030322917)</f>
        <v>44686.8803</v>
      </c>
      <c r="C797" s="52" t="str">
        <f>IFERROR(__xludf.DUMMYFUNCTION("""COMPUTED_VALUE"""),"BK2")</f>
        <v>BK2</v>
      </c>
      <c r="D797" s="53">
        <f>IFERROR(__xludf.DUMMYFUNCTION("""COMPUTED_VALUE"""),44692.52083333333)</f>
        <v>44692.52083</v>
      </c>
      <c r="E797" s="81"/>
      <c r="F797" s="81">
        <v>5.640530104159552</v>
      </c>
    </row>
    <row r="798">
      <c r="A798" s="52" t="str">
        <f>IFERROR(__xludf.DUMMYFUNCTION("""COMPUTED_VALUE"""),"GUN-10797")</f>
        <v>GUN-10797</v>
      </c>
      <c r="B798" s="50">
        <f>IFERROR(__xludf.DUMMYFUNCTION("""COMPUTED_VALUE"""),44686.88186850694)</f>
        <v>44686.88187</v>
      </c>
      <c r="C798" s="52" t="str">
        <f>IFERROR(__xludf.DUMMYFUNCTION("""COMPUTED_VALUE"""),"BK2")</f>
        <v>BK2</v>
      </c>
      <c r="D798" s="53">
        <f>IFERROR(__xludf.DUMMYFUNCTION("""COMPUTED_VALUE"""),44694.60416666667)</f>
        <v>44694.60417</v>
      </c>
      <c r="E798" s="81"/>
      <c r="F798" s="81">
        <v>7.722298159729689</v>
      </c>
    </row>
    <row r="799">
      <c r="A799" s="52" t="str">
        <f>IFERROR(__xludf.DUMMYFUNCTION("""COMPUTED_VALUE"""),"GUN-10798")</f>
        <v>GUN-10798</v>
      </c>
      <c r="B799" s="50">
        <f>IFERROR(__xludf.DUMMYFUNCTION("""COMPUTED_VALUE"""),44687.627839340275)</f>
        <v>44687.62784</v>
      </c>
      <c r="C799" s="52" t="str">
        <f>IFERROR(__xludf.DUMMYFUNCTION("""COMPUTED_VALUE"""),"BK2")</f>
        <v>BK2</v>
      </c>
      <c r="D799" s="53">
        <f>IFERROR(__xludf.DUMMYFUNCTION("""COMPUTED_VALUE"""),44694.60416666667)</f>
        <v>44694.60417</v>
      </c>
      <c r="E799" s="81"/>
      <c r="F799" s="81">
        <v>6.976327326396131</v>
      </c>
    </row>
    <row r="800">
      <c r="A800" s="52" t="str">
        <f>IFERROR(__xludf.DUMMYFUNCTION("""COMPUTED_VALUE"""),"GUN-10799")</f>
        <v>GUN-10799</v>
      </c>
      <c r="B800" s="50">
        <f>IFERROR(__xludf.DUMMYFUNCTION("""COMPUTED_VALUE"""),44690.501695798615)</f>
        <v>44690.5017</v>
      </c>
      <c r="C800" s="52" t="str">
        <f>IFERROR(__xludf.DUMMYFUNCTION("""COMPUTED_VALUE"""),"ÁGORA")</f>
        <v>ÁGORA</v>
      </c>
      <c r="D800" s="53">
        <f>IFERROR(__xludf.DUMMYFUNCTION("""COMPUTED_VALUE"""),44693.52083333333)</f>
        <v>44693.52083</v>
      </c>
      <c r="E800" s="81"/>
      <c r="F800" s="81">
        <v>3.0191375347130815</v>
      </c>
    </row>
    <row r="801">
      <c r="A801" s="52" t="str">
        <f>IFERROR(__xludf.DUMMYFUNCTION("""COMPUTED_VALUE"""),"GUN-10800")</f>
        <v>GUN-10800</v>
      </c>
      <c r="B801" s="50">
        <f>IFERROR(__xludf.DUMMYFUNCTION("""COMPUTED_VALUE"""),44690.893037152775)</f>
        <v>44690.89304</v>
      </c>
      <c r="C801" s="52" t="str">
        <f>IFERROR(__xludf.DUMMYFUNCTION("""COMPUTED_VALUE"""),"CAFTA")</f>
        <v>CAFTA</v>
      </c>
      <c r="D801" s="53">
        <f>IFERROR(__xludf.DUMMYFUNCTION("""COMPUTED_VALUE"""),44695.35416666667)</f>
        <v>44695.35417</v>
      </c>
      <c r="E801" s="81"/>
      <c r="F801" s="81">
        <v>4.461129513896594</v>
      </c>
    </row>
    <row r="802">
      <c r="A802" s="52" t="str">
        <f>IFERROR(__xludf.DUMMYFUNCTION("""COMPUTED_VALUE"""),"GUN-10801")</f>
        <v>GUN-10801</v>
      </c>
      <c r="B802" s="50">
        <f>IFERROR(__xludf.DUMMYFUNCTION("""COMPUTED_VALUE"""),44690.91329809028)</f>
        <v>44690.9133</v>
      </c>
      <c r="C802" s="52" t="str">
        <f>IFERROR(__xludf.DUMMYFUNCTION("""COMPUTED_VALUE"""),"ANEIC")</f>
        <v>ANEIC</v>
      </c>
      <c r="D802" s="53">
        <f>IFERROR(__xludf.DUMMYFUNCTION("""COMPUTED_VALUE"""),44692.16666666667)</f>
        <v>44692.16667</v>
      </c>
      <c r="E802" s="81"/>
      <c r="F802" s="81">
        <v>1.2533685763919493</v>
      </c>
    </row>
    <row r="803">
      <c r="A803" s="52" t="str">
        <f>IFERROR(__xludf.DUMMYFUNCTION("""COMPUTED_VALUE"""),"GUN-10802")</f>
        <v>GUN-10802</v>
      </c>
      <c r="B803" s="50">
        <f>IFERROR(__xludf.DUMMYFUNCTION("""COMPUTED_VALUE"""),44690.92118402778)</f>
        <v>44690.92118</v>
      </c>
      <c r="C803" s="52" t="str">
        <f>IFERROR(__xludf.DUMMYFUNCTION("""COMPUTED_VALUE"""),"ANEIC")</f>
        <v>ANEIC</v>
      </c>
      <c r="D803" s="53">
        <f>IFERROR(__xludf.DUMMYFUNCTION("""COMPUTED_VALUE"""),44693.35416666667)</f>
        <v>44693.35417</v>
      </c>
      <c r="E803" s="81"/>
      <c r="F803" s="81">
        <v>2.4329826388930087</v>
      </c>
    </row>
    <row r="804">
      <c r="A804" s="52" t="str">
        <f>IFERROR(__xludf.DUMMYFUNCTION("""COMPUTED_VALUE"""),"GUN-10803")</f>
        <v>GUN-10803</v>
      </c>
      <c r="B804" s="50">
        <f>IFERROR(__xludf.DUMMYFUNCTION("""COMPUTED_VALUE"""),44691.40204777778)</f>
        <v>44691.40205</v>
      </c>
      <c r="C804" s="52" t="str">
        <f>IFERROR(__xludf.DUMMYFUNCTION("""COMPUTED_VALUE"""),"PANGEA")</f>
        <v>PANGEA</v>
      </c>
      <c r="D804" s="53">
        <f>IFERROR(__xludf.DUMMYFUNCTION("""COMPUTED_VALUE"""),44694.60416666667)</f>
        <v>44694.60417</v>
      </c>
      <c r="E804" s="81"/>
      <c r="F804" s="81">
        <v>3.2021188888902543</v>
      </c>
    </row>
    <row r="805">
      <c r="A805" s="52" t="str">
        <f>IFERROR(__xludf.DUMMYFUNCTION("""COMPUTED_VALUE"""),"GUN-10804")</f>
        <v>GUN-10804</v>
      </c>
      <c r="B805" s="50">
        <f>IFERROR(__xludf.DUMMYFUNCTION("""COMPUTED_VALUE"""),44691.44877164352)</f>
        <v>44691.44877</v>
      </c>
      <c r="C805" s="52" t="str">
        <f>IFERROR(__xludf.DUMMYFUNCTION("""COMPUTED_VALUE"""),"CEO")</f>
        <v>CEO</v>
      </c>
      <c r="D805" s="53">
        <f>IFERROR(__xludf.DUMMYFUNCTION("""COMPUTED_VALUE"""),44701.60416666667)</f>
        <v>44701.60417</v>
      </c>
      <c r="E805" s="81"/>
      <c r="F805" s="81">
        <v>10.155395023153687</v>
      </c>
    </row>
    <row r="806">
      <c r="A806" s="52" t="str">
        <f>IFERROR(__xludf.DUMMYFUNCTION("""COMPUTED_VALUE"""),"GUN-10805")</f>
        <v>GUN-10805</v>
      </c>
      <c r="B806" s="50">
        <f>IFERROR(__xludf.DUMMYFUNCTION("""COMPUTED_VALUE"""),44691.454337615745)</f>
        <v>44691.45434</v>
      </c>
      <c r="C806" s="52" t="str">
        <f>IFERROR(__xludf.DUMMYFUNCTION("""COMPUTED_VALUE"""),"CEO")</f>
        <v>CEO</v>
      </c>
      <c r="D806" s="53">
        <f>IFERROR(__xludf.DUMMYFUNCTION("""COMPUTED_VALUE"""),44694.6875)</f>
        <v>44694.6875</v>
      </c>
      <c r="E806" s="81"/>
      <c r="F806" s="81">
        <v>3.2331623842546833</v>
      </c>
    </row>
    <row r="807">
      <c r="A807" s="52" t="str">
        <f>IFERROR(__xludf.DUMMYFUNCTION("""COMPUTED_VALUE"""),"GUN-10806")</f>
        <v>GUN-10806</v>
      </c>
      <c r="B807" s="50">
        <f>IFERROR(__xludf.DUMMYFUNCTION("""COMPUTED_VALUE"""),44691.60075982639)</f>
        <v>44691.60076</v>
      </c>
      <c r="C807" s="52" t="str">
        <f>IFERROR(__xludf.DUMMYFUNCTION("""COMPUTED_VALUE"""),"CIRCULO KDHARMA")</f>
        <v>CIRCULO KDHARMA</v>
      </c>
      <c r="D807" s="53">
        <f>IFERROR(__xludf.DUMMYFUNCTION("""COMPUTED_VALUE"""),44702.35416666667)</f>
        <v>44702.35417</v>
      </c>
      <c r="E807" s="81"/>
      <c r="F807" s="81">
        <v>10.753406840281968</v>
      </c>
    </row>
    <row r="808">
      <c r="A808" s="52" t="str">
        <f>IFERROR(__xludf.DUMMYFUNCTION("""COMPUTED_VALUE"""),"GUN-10807")</f>
        <v>GUN-10807</v>
      </c>
      <c r="B808" s="50">
        <f>IFERROR(__xludf.DUMMYFUNCTION("""COMPUTED_VALUE"""),44691.61728074074)</f>
        <v>44691.61728</v>
      </c>
      <c r="C808" s="52" t="str">
        <f>IFERROR(__xludf.DUMMYFUNCTION("""COMPUTED_VALUE"""),"FEMINUN")</f>
        <v>FEMINUN</v>
      </c>
      <c r="D808" s="53">
        <f>IFERROR(__xludf.DUMMYFUNCTION("""COMPUTED_VALUE"""),44699.6875)</f>
        <v>44699.6875</v>
      </c>
      <c r="E808" s="81"/>
      <c r="F808" s="81">
        <v>8.07021925925801</v>
      </c>
    </row>
    <row r="809">
      <c r="A809" s="52" t="str">
        <f>IFERROR(__xludf.DUMMYFUNCTION("""COMPUTED_VALUE"""),"GUN-10808")</f>
        <v>GUN-10808</v>
      </c>
      <c r="B809" s="50">
        <f>IFERROR(__xludf.DUMMYFUNCTION("""COMPUTED_VALUE"""),44691.88773542824)</f>
        <v>44691.88774</v>
      </c>
      <c r="C809" s="52" t="str">
        <f>IFERROR(__xludf.DUMMYFUNCTION("""COMPUTED_VALUE"""),"CAFTA")</f>
        <v>CAFTA</v>
      </c>
      <c r="D809" s="53">
        <f>IFERROR(__xludf.DUMMYFUNCTION("""COMPUTED_VALUE"""),44695.35416666667)</f>
        <v>44695.35417</v>
      </c>
      <c r="E809" s="81"/>
      <c r="F809" s="81">
        <v>3.46643123843387</v>
      </c>
    </row>
    <row r="810">
      <c r="A810" s="52" t="str">
        <f>IFERROR(__xludf.DUMMYFUNCTION("""COMPUTED_VALUE"""),"GUN-10809")</f>
        <v>GUN-10809</v>
      </c>
      <c r="B810" s="50">
        <f>IFERROR(__xludf.DUMMYFUNCTION("""COMPUTED_VALUE"""),44691.957630046294)</f>
        <v>44691.95763</v>
      </c>
      <c r="C810" s="52" t="str">
        <f>IFERROR(__xludf.DUMMYFUNCTION("""COMPUTED_VALUE"""),"SIGN-UN")</f>
        <v>SIGN-UN</v>
      </c>
      <c r="D810" s="53">
        <f>IFERROR(__xludf.DUMMYFUNCTION("""COMPUTED_VALUE"""),44700.79166666667)</f>
        <v>44700.79167</v>
      </c>
      <c r="E810" s="81"/>
      <c r="F810" s="81">
        <v>8.834036620377447</v>
      </c>
    </row>
    <row r="811">
      <c r="A811" s="52" t="str">
        <f>IFERROR(__xludf.DUMMYFUNCTION("""COMPUTED_VALUE"""),"GUN-10810")</f>
        <v>GUN-10810</v>
      </c>
      <c r="B811" s="50">
        <f>IFERROR(__xludf.DUMMYFUNCTION("""COMPUTED_VALUE"""),44692.70759578703)</f>
        <v>44692.7076</v>
      </c>
      <c r="C811" s="52" t="str">
        <f>IFERROR(__xludf.DUMMYFUNCTION("""COMPUTED_VALUE"""),"CEM UNINORTE")</f>
        <v>CEM UNINORTE</v>
      </c>
      <c r="D811" s="53">
        <f>IFERROR(__xludf.DUMMYFUNCTION("""COMPUTED_VALUE"""),44694.6875)</f>
        <v>44694.6875</v>
      </c>
      <c r="E811" s="81"/>
      <c r="F811" s="81">
        <v>1.9799042129670852</v>
      </c>
    </row>
    <row r="812">
      <c r="A812" s="52" t="str">
        <f>IFERROR(__xludf.DUMMYFUNCTION("""COMPUTED_VALUE"""),"GUN-10811")</f>
        <v>GUN-10811</v>
      </c>
      <c r="B812" s="50">
        <f>IFERROR(__xludf.DUMMYFUNCTION("""COMPUTED_VALUE"""),44692.727437650465)</f>
        <v>44692.72744</v>
      </c>
      <c r="C812" s="52" t="str">
        <f>IFERROR(__xludf.DUMMYFUNCTION("""COMPUTED_VALUE"""),"AIESEC")</f>
        <v>AIESEC</v>
      </c>
      <c r="D812" s="53">
        <f>IFERROR(__xludf.DUMMYFUNCTION("""COMPUTED_VALUE"""),44702.54166666667)</f>
        <v>44702.54167</v>
      </c>
      <c r="E812" s="81"/>
      <c r="F812" s="81">
        <v>9.81422901620681</v>
      </c>
    </row>
    <row r="813">
      <c r="A813" s="52" t="str">
        <f>IFERROR(__xludf.DUMMYFUNCTION("""COMPUTED_VALUE"""),"GUN-10812")</f>
        <v>GUN-10812</v>
      </c>
      <c r="B813" s="50">
        <f>IFERROR(__xludf.DUMMYFUNCTION("""COMPUTED_VALUE"""),44692.84041972222)</f>
        <v>44692.84042</v>
      </c>
      <c r="C813" s="52" t="str">
        <f>IFERROR(__xludf.DUMMYFUNCTION("""COMPUTED_VALUE"""),"CEARQ")</f>
        <v>CEARQ</v>
      </c>
      <c r="D813" s="53">
        <f>IFERROR(__xludf.DUMMYFUNCTION("""COMPUTED_VALUE"""),44706.58333333333)</f>
        <v>44706.58333</v>
      </c>
      <c r="E813" s="81"/>
      <c r="F813" s="81">
        <v>13.742913611109543</v>
      </c>
    </row>
    <row r="814">
      <c r="A814" s="52" t="str">
        <f>IFERROR(__xludf.DUMMYFUNCTION("""COMPUTED_VALUE"""),"GUN-10813")</f>
        <v>GUN-10813</v>
      </c>
      <c r="B814" s="50">
        <f>IFERROR(__xludf.DUMMYFUNCTION("""COMPUTED_VALUE"""),44692.89905508103)</f>
        <v>44692.89906</v>
      </c>
      <c r="C814" s="52" t="str">
        <f>IFERROR(__xludf.DUMMYFUNCTION("""COMPUTED_VALUE"""),"ANEIAP UNINORTE")</f>
        <v>ANEIAP UNINORTE</v>
      </c>
      <c r="D814" s="53">
        <f>IFERROR(__xludf.DUMMYFUNCTION("""COMPUTED_VALUE"""),44700.35416666667)</f>
        <v>44700.35417</v>
      </c>
      <c r="E814" s="81"/>
      <c r="F814" s="81">
        <v>7.455111585644772</v>
      </c>
    </row>
    <row r="815">
      <c r="A815" s="52" t="str">
        <f>IFERROR(__xludf.DUMMYFUNCTION("""COMPUTED_VALUE"""),"GUN-10814")</f>
        <v>GUN-10814</v>
      </c>
      <c r="B815" s="50">
        <f>IFERROR(__xludf.DUMMYFUNCTION("""COMPUTED_VALUE"""),44693.38732141203)</f>
        <v>44693.38732</v>
      </c>
      <c r="C815" s="52" t="str">
        <f>IFERROR(__xludf.DUMMYFUNCTION("""COMPUTED_VALUE"""),"CEIM UNINORTE")</f>
        <v>CEIM UNINORTE</v>
      </c>
      <c r="D815" s="53">
        <f>IFERROR(__xludf.DUMMYFUNCTION("""COMPUTED_VALUE"""),44701.77083333333)</f>
        <v>44701.77083</v>
      </c>
      <c r="E815" s="81"/>
      <c r="F815" s="81">
        <v>8.383511921296304</v>
      </c>
    </row>
    <row r="816">
      <c r="A816" s="52" t="str">
        <f>IFERROR(__xludf.DUMMYFUNCTION("""COMPUTED_VALUE"""),"GUN-10815")</f>
        <v>GUN-10815</v>
      </c>
      <c r="B816" s="50">
        <f>IFERROR(__xludf.DUMMYFUNCTION("""COMPUTED_VALUE"""),44693.389545983795)</f>
        <v>44693.38955</v>
      </c>
      <c r="C816" s="52" t="str">
        <f>IFERROR(__xludf.DUMMYFUNCTION("""COMPUTED_VALUE"""),"CEIM UNINORTE")</f>
        <v>CEIM UNINORTE</v>
      </c>
      <c r="D816" s="53">
        <f>IFERROR(__xludf.DUMMYFUNCTION("""COMPUTED_VALUE"""),44699.64583333333)</f>
        <v>44699.64583</v>
      </c>
      <c r="E816" s="81"/>
      <c r="F816" s="81">
        <v>6.2562873495335225</v>
      </c>
    </row>
    <row r="817">
      <c r="A817" s="52" t="str">
        <f>IFERROR(__xludf.DUMMYFUNCTION("""COMPUTED_VALUE"""),"GUN-10816")</f>
        <v>GUN-10816</v>
      </c>
      <c r="B817" s="50">
        <f>IFERROR(__xludf.DUMMYFUNCTION("""COMPUTED_VALUE"""),44693.41191665509)</f>
        <v>44693.41192</v>
      </c>
      <c r="C817" s="52" t="str">
        <f>IFERROR(__xludf.DUMMYFUNCTION("""COMPUTED_VALUE"""),"FELINORTE")</f>
        <v>FELINORTE</v>
      </c>
      <c r="D817" s="53">
        <f>IFERROR(__xludf.DUMMYFUNCTION("""COMPUTED_VALUE"""),44701.6875)</f>
        <v>44701.6875</v>
      </c>
      <c r="E817" s="81"/>
      <c r="F817" s="81">
        <v>8.275583344911865</v>
      </c>
    </row>
    <row r="818">
      <c r="A818" s="52" t="str">
        <f>IFERROR(__xludf.DUMMYFUNCTION("""COMPUTED_VALUE"""),"GUN-10817")</f>
        <v>GUN-10817</v>
      </c>
      <c r="B818" s="50">
        <f>IFERROR(__xludf.DUMMYFUNCTION("""COMPUTED_VALUE"""),44693.44955113426)</f>
        <v>44693.44955</v>
      </c>
      <c r="C818" s="52" t="str">
        <f>IFERROR(__xludf.DUMMYFUNCTION("""COMPUTED_VALUE"""),"COSMOPOLITICA")</f>
        <v>COSMOPOLITICA</v>
      </c>
      <c r="D818" s="53">
        <f>IFERROR(__xludf.DUMMYFUNCTION("""COMPUTED_VALUE"""),44697.6875)</f>
        <v>44697.6875</v>
      </c>
      <c r="E818" s="81"/>
      <c r="F818" s="81">
        <v>4.237948865738872</v>
      </c>
    </row>
    <row r="819">
      <c r="A819" s="52" t="str">
        <f>IFERROR(__xludf.DUMMYFUNCTION("""COMPUTED_VALUE"""),"GUN-10818")</f>
        <v>GUN-10818</v>
      </c>
      <c r="B819" s="50">
        <f>IFERROR(__xludf.DUMMYFUNCTION("""COMPUTED_VALUE"""),44693.45438043981)</f>
        <v>44693.45438</v>
      </c>
      <c r="C819" s="52" t="str">
        <f>IFERROR(__xludf.DUMMYFUNCTION("""COMPUTED_VALUE"""),"CEIM UNINORTE")</f>
        <v>CEIM UNINORTE</v>
      </c>
      <c r="D819" s="53">
        <f>IFERROR(__xludf.DUMMYFUNCTION("""COMPUTED_VALUE"""),44697.4375)</f>
        <v>44697.4375</v>
      </c>
      <c r="E819" s="81"/>
      <c r="F819" s="81">
        <v>3.9831195601873333</v>
      </c>
    </row>
    <row r="820">
      <c r="A820" s="52" t="str">
        <f>IFERROR(__xludf.DUMMYFUNCTION("""COMPUTED_VALUE"""),"GUN-10819")</f>
        <v>GUN-10819</v>
      </c>
      <c r="B820" s="50">
        <f>IFERROR(__xludf.DUMMYFUNCTION("""COMPUTED_VALUE"""),44693.470220208335)</f>
        <v>44693.47022</v>
      </c>
      <c r="C820" s="52" t="str">
        <f>IFERROR(__xludf.DUMMYFUNCTION("""COMPUTED_VALUE"""),"LINGUA")</f>
        <v>LINGUA</v>
      </c>
      <c r="D820" s="53">
        <f>IFERROR(__xludf.DUMMYFUNCTION("""COMPUTED_VALUE"""),44700.39583333333)</f>
        <v>44700.39583</v>
      </c>
      <c r="E820" s="81"/>
      <c r="F820" s="81">
        <v>6.925613124993106</v>
      </c>
    </row>
    <row r="821">
      <c r="A821" s="52" t="str">
        <f>IFERROR(__xludf.DUMMYFUNCTION("""COMPUTED_VALUE"""),"GUN-10820")</f>
        <v>GUN-10820</v>
      </c>
      <c r="B821" s="50">
        <f>IFERROR(__xludf.DUMMYFUNCTION("""COMPUTED_VALUE"""),44693.474687037036)</f>
        <v>44693.47469</v>
      </c>
      <c r="C821" s="52" t="str">
        <f>IFERROR(__xludf.DUMMYFUNCTION("""COMPUTED_VALUE"""),"LINGUA")</f>
        <v>LINGUA</v>
      </c>
      <c r="D821" s="53">
        <f>IFERROR(__xludf.DUMMYFUNCTION("""COMPUTED_VALUE"""),44672.72916666667)</f>
        <v>44672.72917</v>
      </c>
      <c r="E821" s="81"/>
      <c r="F821" s="81">
        <v>-20.74552037036483</v>
      </c>
    </row>
    <row r="822">
      <c r="A822" s="52" t="str">
        <f>IFERROR(__xludf.DUMMYFUNCTION("""COMPUTED_VALUE"""),"GUN-10821")</f>
        <v>GUN-10821</v>
      </c>
      <c r="B822" s="50">
        <f>IFERROR(__xludf.DUMMYFUNCTION("""COMPUTED_VALUE"""),44693.53192465277)</f>
        <v>44693.53192</v>
      </c>
      <c r="C822" s="52" t="str">
        <f>IFERROR(__xludf.DUMMYFUNCTION("""COMPUTED_VALUE"""),"UNINORTE DIVERSO")</f>
        <v>UNINORTE DIVERSO</v>
      </c>
      <c r="D822" s="53">
        <f>IFERROR(__xludf.DUMMYFUNCTION("""COMPUTED_VALUE"""),44697.58333333333)</f>
        <v>44697.58333</v>
      </c>
      <c r="E822" s="81"/>
      <c r="F822" s="81">
        <v>4.051408680556051</v>
      </c>
    </row>
    <row r="823">
      <c r="A823" s="52" t="str">
        <f>IFERROR(__xludf.DUMMYFUNCTION("""COMPUTED_VALUE"""),"GUN-10822")</f>
        <v>GUN-10822</v>
      </c>
      <c r="B823" s="50">
        <f>IFERROR(__xludf.DUMMYFUNCTION("""COMPUTED_VALUE"""),44693.54963932871)</f>
        <v>44693.54964</v>
      </c>
      <c r="C823" s="52" t="str">
        <f>IFERROR(__xludf.DUMMYFUNCTION("""COMPUTED_VALUE"""),"IEEE")</f>
        <v>IEEE</v>
      </c>
      <c r="D823" s="53">
        <f>IFERROR(__xludf.DUMMYFUNCTION("""COMPUTED_VALUE"""),44702.375)</f>
        <v>44702.375</v>
      </c>
      <c r="E823" s="81"/>
      <c r="F823" s="81">
        <v>8.825360671289673</v>
      </c>
    </row>
    <row r="824">
      <c r="A824" s="52" t="str">
        <f>IFERROR(__xludf.DUMMYFUNCTION("""COMPUTED_VALUE"""),"GUN-10823")</f>
        <v>GUN-10823</v>
      </c>
      <c r="B824" s="50">
        <f>IFERROR(__xludf.DUMMYFUNCTION("""COMPUTED_VALUE"""),44693.61077802083)</f>
        <v>44693.61078</v>
      </c>
      <c r="C824" s="52" t="str">
        <f>IFERROR(__xludf.DUMMYFUNCTION("""COMPUTED_VALUE"""),"FEMINUN")</f>
        <v>FEMINUN</v>
      </c>
      <c r="D824" s="53">
        <f>IFERROR(__xludf.DUMMYFUNCTION("""COMPUTED_VALUE"""),44700.5625)</f>
        <v>44700.5625</v>
      </c>
      <c r="E824" s="81"/>
      <c r="F824" s="81">
        <v>6.951721979166905</v>
      </c>
    </row>
    <row r="825">
      <c r="A825" s="52" t="str">
        <f>IFERROR(__xludf.DUMMYFUNCTION("""COMPUTED_VALUE"""),"GUN-10824")</f>
        <v>GUN-10824</v>
      </c>
      <c r="B825" s="50">
        <f>IFERROR(__xludf.DUMMYFUNCTION("""COMPUTED_VALUE"""),44693.85640232638)</f>
        <v>44693.8564</v>
      </c>
      <c r="C825" s="52" t="str">
        <f>IFERROR(__xludf.DUMMYFUNCTION("""COMPUTED_VALUE"""),"CEO")</f>
        <v>CEO</v>
      </c>
      <c r="D825" s="53">
        <f>IFERROR(__xludf.DUMMYFUNCTION("""COMPUTED_VALUE"""),44708.60416666667)</f>
        <v>44708.60417</v>
      </c>
      <c r="E825" s="81"/>
      <c r="F825" s="81">
        <v>14.747764340288995</v>
      </c>
    </row>
    <row r="826">
      <c r="A826" s="52" t="str">
        <f>IFERROR(__xludf.DUMMYFUNCTION("""COMPUTED_VALUE"""),"GUN-10825")</f>
        <v>GUN-10825</v>
      </c>
      <c r="B826" s="50">
        <f>IFERROR(__xludf.DUMMYFUNCTION("""COMPUTED_VALUE"""),44693.94122184028)</f>
        <v>44693.94122</v>
      </c>
      <c r="C826" s="52" t="str">
        <f>IFERROR(__xludf.DUMMYFUNCTION("""COMPUTED_VALUE"""),"ANEIAP UNINORTE")</f>
        <v>ANEIAP UNINORTE</v>
      </c>
      <c r="D826" s="53">
        <f>IFERROR(__xludf.DUMMYFUNCTION("""COMPUTED_VALUE"""),44699.45833333333)</f>
        <v>44699.45833</v>
      </c>
      <c r="E826" s="81"/>
      <c r="F826" s="81">
        <v>5.517111493049015</v>
      </c>
    </row>
    <row r="827">
      <c r="A827" s="52" t="str">
        <f>IFERROR(__xludf.DUMMYFUNCTION("""COMPUTED_VALUE"""),"GUN-10826")</f>
        <v>GUN-10826</v>
      </c>
      <c r="B827" s="50">
        <f>IFERROR(__xludf.DUMMYFUNCTION("""COMPUTED_VALUE"""),44694.38815315972)</f>
        <v>44694.38815</v>
      </c>
      <c r="C827" s="52" t="str">
        <f>IFERROR(__xludf.DUMMYFUNCTION("""COMPUTED_VALUE"""),"IEEE")</f>
        <v>IEEE</v>
      </c>
      <c r="D827" s="53">
        <f>IFERROR(__xludf.DUMMYFUNCTION("""COMPUTED_VALUE"""),44699.39583333333)</f>
        <v>44699.39583</v>
      </c>
      <c r="E827" s="81"/>
      <c r="F827" s="81">
        <v>5.007680173606786</v>
      </c>
    </row>
    <row r="828">
      <c r="A828" s="52" t="str">
        <f>IFERROR(__xludf.DUMMYFUNCTION("""COMPUTED_VALUE"""),"GUN-10827")</f>
        <v>GUN-10827</v>
      </c>
      <c r="B828" s="50">
        <f>IFERROR(__xludf.DUMMYFUNCTION("""COMPUTED_VALUE"""),44694.501496516204)</f>
        <v>44694.5015</v>
      </c>
      <c r="C828" s="52" t="str">
        <f>IFERROR(__xludf.DUMMYFUNCTION("""COMPUTED_VALUE"""),"ÁGORA")</f>
        <v>ÁGORA</v>
      </c>
      <c r="D828" s="53">
        <f>IFERROR(__xludf.DUMMYFUNCTION("""COMPUTED_VALUE"""),44705.60416666667)</f>
        <v>44705.60417</v>
      </c>
      <c r="E828" s="81"/>
      <c r="F828" s="81">
        <v>11.10267015046702</v>
      </c>
    </row>
    <row r="829">
      <c r="A829" s="52" t="str">
        <f>IFERROR(__xludf.DUMMYFUNCTION("""COMPUTED_VALUE"""),"GUN-10828")</f>
        <v>GUN-10828</v>
      </c>
      <c r="B829" s="50">
        <f>IFERROR(__xludf.DUMMYFUNCTION("""COMPUTED_VALUE"""),44694.610265868054)</f>
        <v>44694.61027</v>
      </c>
      <c r="C829" s="52" t="str">
        <f>IFERROR(__xludf.DUMMYFUNCTION("""COMPUTED_VALUE"""),"FEMINUN")</f>
        <v>FEMINUN</v>
      </c>
      <c r="D829" s="53">
        <f>IFERROR(__xludf.DUMMYFUNCTION("""COMPUTED_VALUE"""),44697.625)</f>
        <v>44697.625</v>
      </c>
      <c r="E829" s="81"/>
      <c r="F829" s="81">
        <v>3.0147341319461702</v>
      </c>
    </row>
    <row r="830">
      <c r="A830" s="52" t="str">
        <f>IFERROR(__xludf.DUMMYFUNCTION("""COMPUTED_VALUE"""),"GUN-10829")</f>
        <v>GUN-10829</v>
      </c>
      <c r="B830" s="50">
        <f>IFERROR(__xludf.DUMMYFUNCTION("""COMPUTED_VALUE"""),44694.61125752315)</f>
        <v>44694.61126</v>
      </c>
      <c r="C830" s="52" t="str">
        <f>IFERROR(__xludf.DUMMYFUNCTION("""COMPUTED_VALUE"""),"FEMINUN")</f>
        <v>FEMINUN</v>
      </c>
      <c r="D830" s="53">
        <f>IFERROR(__xludf.DUMMYFUNCTION("""COMPUTED_VALUE"""),44699.625)</f>
        <v>44699.625</v>
      </c>
      <c r="E830" s="81"/>
      <c r="F830" s="81">
        <v>5.013742476847256</v>
      </c>
    </row>
    <row r="831">
      <c r="A831" s="52" t="str">
        <f>IFERROR(__xludf.DUMMYFUNCTION("""COMPUTED_VALUE"""),"GUN-10830")</f>
        <v>GUN-10830</v>
      </c>
      <c r="B831" s="50">
        <f>IFERROR(__xludf.DUMMYFUNCTION("""COMPUTED_VALUE"""),44694.6122693287)</f>
        <v>44694.61227</v>
      </c>
      <c r="C831" s="52" t="str">
        <f>IFERROR(__xludf.DUMMYFUNCTION("""COMPUTED_VALUE"""),"FEMINUN")</f>
        <v>FEMINUN</v>
      </c>
      <c r="D831" s="53">
        <f>IFERROR(__xludf.DUMMYFUNCTION("""COMPUTED_VALUE"""),44701.625)</f>
        <v>44701.625</v>
      </c>
      <c r="E831" s="81"/>
      <c r="F831" s="81">
        <v>7.012730671296595</v>
      </c>
    </row>
    <row r="832">
      <c r="A832" s="52" t="str">
        <f>IFERROR(__xludf.DUMMYFUNCTION("""COMPUTED_VALUE"""),"GUN-10831")</f>
        <v>GUN-10831</v>
      </c>
      <c r="B832" s="50">
        <f>IFERROR(__xludf.DUMMYFUNCTION("""COMPUTED_VALUE"""),44694.61902068287)</f>
        <v>44694.61902</v>
      </c>
      <c r="C832" s="52" t="str">
        <f>IFERROR(__xludf.DUMMYFUNCTION("""COMPUTED_VALUE"""),"GEO-ENERGÍA")</f>
        <v>GEO-ENERGÍA</v>
      </c>
      <c r="D832" s="53">
        <f>IFERROR(__xludf.DUMMYFUNCTION("""COMPUTED_VALUE"""),44697.41666666667)</f>
        <v>44697.41667</v>
      </c>
      <c r="E832" s="81"/>
      <c r="F832" s="81">
        <v>2.797645983802795</v>
      </c>
    </row>
    <row r="833">
      <c r="A833" s="52" t="str">
        <f>IFERROR(__xludf.DUMMYFUNCTION("""COMPUTED_VALUE"""),"GUN-10832")</f>
        <v>GUN-10832</v>
      </c>
      <c r="B833" s="50">
        <f>IFERROR(__xludf.DUMMYFUNCTION("""COMPUTED_VALUE"""),44694.888004189816)</f>
        <v>44694.888</v>
      </c>
      <c r="C833" s="52" t="str">
        <f>IFERROR(__xludf.DUMMYFUNCTION("""COMPUTED_VALUE"""),"ZARATUSTRA")</f>
        <v>ZARATUSTRA</v>
      </c>
      <c r="D833" s="53">
        <f>IFERROR(__xludf.DUMMYFUNCTION("""COMPUTED_VALUE"""),44700.72916666667)</f>
        <v>44700.72917</v>
      </c>
      <c r="E833" s="81"/>
      <c r="F833" s="81">
        <v>5.8411624768559705</v>
      </c>
    </row>
    <row r="834">
      <c r="A834" s="52" t="str">
        <f>IFERROR(__xludf.DUMMYFUNCTION("""COMPUTED_VALUE"""),"GUN-10833")</f>
        <v>GUN-10833</v>
      </c>
      <c r="B834" s="50">
        <f>IFERROR(__xludf.DUMMYFUNCTION("""COMPUTED_VALUE"""),44694.94587216435)</f>
        <v>44694.94587</v>
      </c>
      <c r="C834" s="52" t="str">
        <f>IFERROR(__xludf.DUMMYFUNCTION("""COMPUTED_VALUE"""),"ZARATUSTRA")</f>
        <v>ZARATUSTRA</v>
      </c>
      <c r="D834" s="53">
        <f>IFERROR(__xludf.DUMMYFUNCTION("""COMPUTED_VALUE"""),44701.60416666667)</f>
        <v>44701.60417</v>
      </c>
      <c r="E834" s="81"/>
      <c r="F834" s="81">
        <v>6.658294502318313</v>
      </c>
    </row>
    <row r="835">
      <c r="A835" s="52" t="str">
        <f>IFERROR(__xludf.DUMMYFUNCTION("""COMPUTED_VALUE"""),"GUN-10834")</f>
        <v>GUN-10834</v>
      </c>
      <c r="B835" s="50">
        <f>IFERROR(__xludf.DUMMYFUNCTION("""COMPUTED_VALUE"""),44696.77714814815)</f>
        <v>44696.77715</v>
      </c>
      <c r="C835" s="52" t="str">
        <f>IFERROR(__xludf.DUMMYFUNCTION("""COMPUTED_VALUE"""),"LINGUA")</f>
        <v>LINGUA</v>
      </c>
      <c r="D835" s="53">
        <f>IFERROR(__xludf.DUMMYFUNCTION("""COMPUTED_VALUE"""),44697.39583333333)</f>
        <v>44697.39583</v>
      </c>
      <c r="E835" s="81"/>
      <c r="F835" s="81">
        <v>0.6186851851816755</v>
      </c>
    </row>
    <row r="836">
      <c r="A836" s="52" t="str">
        <f>IFERROR(__xludf.DUMMYFUNCTION("""COMPUTED_VALUE"""),"GUN-10835")</f>
        <v>GUN-10835</v>
      </c>
      <c r="B836" s="50">
        <f>IFERROR(__xludf.DUMMYFUNCTION("""COMPUTED_VALUE"""),44696.7799803588)</f>
        <v>44696.77998</v>
      </c>
      <c r="C836" s="52" t="str">
        <f>IFERROR(__xludf.DUMMYFUNCTION("""COMPUTED_VALUE"""),"LINGUA")</f>
        <v>LINGUA</v>
      </c>
      <c r="D836" s="53">
        <f>IFERROR(__xludf.DUMMYFUNCTION("""COMPUTED_VALUE"""),44694.6875)</f>
        <v>44694.6875</v>
      </c>
      <c r="E836" s="81"/>
      <c r="F836" s="81">
        <v>-2.092480358798639</v>
      </c>
    </row>
    <row r="837">
      <c r="A837" s="52" t="str">
        <f>IFERROR(__xludf.DUMMYFUNCTION("""COMPUTED_VALUE"""),"GUN-10836")</f>
        <v>GUN-10836</v>
      </c>
      <c r="B837" s="50">
        <f>IFERROR(__xludf.DUMMYFUNCTION("""COMPUTED_VALUE"""),44697.44989118056)</f>
        <v>44697.44989</v>
      </c>
      <c r="C837" s="52" t="str">
        <f>IFERROR(__xludf.DUMMYFUNCTION("""COMPUTED_VALUE"""),"IISE")</f>
        <v>IISE</v>
      </c>
      <c r="D837" s="53">
        <f>IFERROR(__xludf.DUMMYFUNCTION("""COMPUTED_VALUE"""),44699.60416666667)</f>
        <v>44699.60417</v>
      </c>
      <c r="E837" s="81"/>
      <c r="F837" s="81">
        <v>2.154275486114784</v>
      </c>
    </row>
    <row r="838">
      <c r="A838" s="52" t="str">
        <f>IFERROR(__xludf.DUMMYFUNCTION("""COMPUTED_VALUE"""),"GUN-10837")</f>
        <v>GUN-10837</v>
      </c>
      <c r="B838" s="50">
        <f>IFERROR(__xludf.DUMMYFUNCTION("""COMPUTED_VALUE"""),44697.453581898146)</f>
        <v>44697.45358</v>
      </c>
      <c r="C838" s="52" t="str">
        <f>IFERROR(__xludf.DUMMYFUNCTION("""COMPUTED_VALUE"""),"IISE")</f>
        <v>IISE</v>
      </c>
      <c r="D838" s="53">
        <f>IFERROR(__xludf.DUMMYFUNCTION("""COMPUTED_VALUE"""),44699.72916666667)</f>
        <v>44699.72917</v>
      </c>
      <c r="E838" s="81"/>
      <c r="F838" s="81">
        <v>2.275584768525732</v>
      </c>
    </row>
    <row r="839">
      <c r="A839" s="52" t="str">
        <f>IFERROR(__xludf.DUMMYFUNCTION("""COMPUTED_VALUE"""),"GUN-10838")</f>
        <v>GUN-10838</v>
      </c>
      <c r="B839" s="50">
        <f>IFERROR(__xludf.DUMMYFUNCTION("""COMPUTED_VALUE"""),44697.486284756946)</f>
        <v>44697.48628</v>
      </c>
      <c r="C839" s="52" t="str">
        <f>IFERROR(__xludf.DUMMYFUNCTION("""COMPUTED_VALUE"""),"CIRCULO KDHARMA")</f>
        <v>CIRCULO KDHARMA</v>
      </c>
      <c r="D839" s="53">
        <f>IFERROR(__xludf.DUMMYFUNCTION("""COMPUTED_VALUE"""),44709.33333333333)</f>
        <v>44709.33333</v>
      </c>
      <c r="E839" s="81"/>
      <c r="F839" s="81">
        <v>11.847048576382804</v>
      </c>
    </row>
    <row r="840">
      <c r="A840" s="52" t="str">
        <f>IFERROR(__xludf.DUMMYFUNCTION("""COMPUTED_VALUE"""),"GUN-10839")</f>
        <v>GUN-10839</v>
      </c>
      <c r="B840" s="50">
        <f>IFERROR(__xludf.DUMMYFUNCTION("""COMPUTED_VALUE"""),44698.43672427084)</f>
        <v>44698.43672</v>
      </c>
      <c r="C840" s="52" t="str">
        <f>IFERROR(__xludf.DUMMYFUNCTION("""COMPUTED_VALUE"""),"PANGEA")</f>
        <v>PANGEA</v>
      </c>
      <c r="D840" s="53">
        <f>IFERROR(__xludf.DUMMYFUNCTION("""COMPUTED_VALUE"""),44709.47916666667)</f>
        <v>44709.47917</v>
      </c>
      <c r="E840" s="81"/>
      <c r="F840" s="81">
        <v>11.04244239583204</v>
      </c>
    </row>
    <row r="841">
      <c r="A841" s="52" t="str">
        <f>IFERROR(__xludf.DUMMYFUNCTION("""COMPUTED_VALUE"""),"GUN-10840")</f>
        <v>GUN-10840</v>
      </c>
      <c r="B841" s="50">
        <f>IFERROR(__xludf.DUMMYFUNCTION("""COMPUTED_VALUE"""),44698.452901215285)</f>
        <v>44698.4529</v>
      </c>
      <c r="C841" s="52" t="str">
        <f>IFERROR(__xludf.DUMMYFUNCTION("""COMPUTED_VALUE"""),"ÁGORA")</f>
        <v>ÁGORA</v>
      </c>
      <c r="D841" s="53">
        <f>IFERROR(__xludf.DUMMYFUNCTION("""COMPUTED_VALUE"""),44708.35416666667)</f>
        <v>44708.35417</v>
      </c>
      <c r="E841" s="81"/>
      <c r="F841" s="81">
        <v>9.90126545138628</v>
      </c>
    </row>
    <row r="842">
      <c r="A842" s="52" t="str">
        <f>IFERROR(__xludf.DUMMYFUNCTION("""COMPUTED_VALUE"""),"GUN-10841")</f>
        <v>GUN-10841</v>
      </c>
      <c r="B842" s="50">
        <f>IFERROR(__xludf.DUMMYFUNCTION("""COMPUTED_VALUE"""),44698.508572418985)</f>
        <v>44698.50857</v>
      </c>
      <c r="C842" s="52" t="str">
        <f>IFERROR(__xludf.DUMMYFUNCTION("""COMPUTED_VALUE"""),"CAFTA")</f>
        <v>CAFTA</v>
      </c>
      <c r="D842" s="53">
        <f>IFERROR(__xludf.DUMMYFUNCTION("""COMPUTED_VALUE"""),44702.35416666667)</f>
        <v>44702.35417</v>
      </c>
      <c r="E842" s="81"/>
      <c r="F842" s="81">
        <v>3.8455942476866767</v>
      </c>
    </row>
    <row r="843">
      <c r="A843" s="52" t="str">
        <f>IFERROR(__xludf.DUMMYFUNCTION("""COMPUTED_VALUE"""),"GUN-10842")</f>
        <v>GUN-10842</v>
      </c>
      <c r="B843" s="50">
        <f>IFERROR(__xludf.DUMMYFUNCTION("""COMPUTED_VALUE"""),44698.78434248843)</f>
        <v>44698.78434</v>
      </c>
      <c r="C843" s="52" t="str">
        <f>IFERROR(__xludf.DUMMYFUNCTION("""COMPUTED_VALUE"""),"CDIEP")</f>
        <v>CDIEP</v>
      </c>
      <c r="D843" s="53">
        <f>IFERROR(__xludf.DUMMYFUNCTION("""COMPUTED_VALUE"""),44702.58333333333)</f>
        <v>44702.58333</v>
      </c>
      <c r="E843" s="81"/>
      <c r="F843" s="81">
        <v>3.7989908449017094</v>
      </c>
    </row>
    <row r="844">
      <c r="A844" s="52" t="str">
        <f>IFERROR(__xludf.DUMMYFUNCTION("""COMPUTED_VALUE"""),"GUN-10843")</f>
        <v>GUN-10843</v>
      </c>
      <c r="B844" s="50">
        <f>IFERROR(__xludf.DUMMYFUNCTION("""COMPUTED_VALUE"""),44698.88120275463)</f>
        <v>44698.8812</v>
      </c>
      <c r="C844" s="52" t="str">
        <f>IFERROR(__xludf.DUMMYFUNCTION("""COMPUTED_VALUE"""),"COSMOPOLITICA")</f>
        <v>COSMOPOLITICA</v>
      </c>
      <c r="D844" s="53">
        <f>IFERROR(__xludf.DUMMYFUNCTION("""COMPUTED_VALUE"""),44700.6875)</f>
        <v>44700.6875</v>
      </c>
      <c r="E844" s="81"/>
      <c r="F844" s="81">
        <v>1.806297245369933</v>
      </c>
    </row>
    <row r="845">
      <c r="A845" s="52" t="str">
        <f>IFERROR(__xludf.DUMMYFUNCTION("""COMPUTED_VALUE"""),"GUN-10844")</f>
        <v>GUN-10844</v>
      </c>
      <c r="B845" s="50">
        <f>IFERROR(__xludf.DUMMYFUNCTION("""COMPUTED_VALUE"""),44699.45858359954)</f>
        <v>44699.45858</v>
      </c>
      <c r="C845" s="52" t="str">
        <f>IFERROR(__xludf.DUMMYFUNCTION("""COMPUTED_VALUE"""),"FEMINUN")</f>
        <v>FEMINUN</v>
      </c>
      <c r="D845" s="53">
        <f>IFERROR(__xludf.DUMMYFUNCTION("""COMPUTED_VALUE"""),44701.4375)</f>
        <v>44701.4375</v>
      </c>
      <c r="E845" s="81"/>
      <c r="F845" s="81">
        <v>1.9789164004614577</v>
      </c>
    </row>
    <row r="846">
      <c r="A846" s="52" t="str">
        <f>IFERROR(__xludf.DUMMYFUNCTION("""COMPUTED_VALUE"""),"GUN-10845")</f>
        <v>GUN-10845</v>
      </c>
      <c r="B846" s="50">
        <f>IFERROR(__xludf.DUMMYFUNCTION("""COMPUTED_VALUE"""),44699.462316458324)</f>
        <v>44699.46232</v>
      </c>
      <c r="C846" s="52" t="str">
        <f>IFERROR(__xludf.DUMMYFUNCTION("""COMPUTED_VALUE"""),"FEMINUN")</f>
        <v>FEMINUN</v>
      </c>
      <c r="D846" s="53">
        <f>IFERROR(__xludf.DUMMYFUNCTION("""COMPUTED_VALUE"""),44705.4375)</f>
        <v>44705.4375</v>
      </c>
      <c r="E846" s="81"/>
      <c r="F846" s="81">
        <v>5.975183541675506</v>
      </c>
    </row>
    <row r="847">
      <c r="A847" s="52" t="str">
        <f>IFERROR(__xludf.DUMMYFUNCTION("""COMPUTED_VALUE"""),"GUN-10846")</f>
        <v>GUN-10846</v>
      </c>
      <c r="B847" s="50">
        <f>IFERROR(__xludf.DUMMYFUNCTION("""COMPUTED_VALUE"""),44699.46329143519)</f>
        <v>44699.46329</v>
      </c>
      <c r="C847" s="52" t="str">
        <f>IFERROR(__xludf.DUMMYFUNCTION("""COMPUTED_VALUE"""),"FEMINUN")</f>
        <v>FEMINUN</v>
      </c>
      <c r="D847" s="53">
        <f>IFERROR(__xludf.DUMMYFUNCTION("""COMPUTED_VALUE"""),44708.4375)</f>
        <v>44708.4375</v>
      </c>
      <c r="E847" s="81"/>
      <c r="F847" s="81">
        <v>8.974208564810397</v>
      </c>
    </row>
    <row r="848">
      <c r="A848" s="52" t="str">
        <f>IFERROR(__xludf.DUMMYFUNCTION("""COMPUTED_VALUE"""),"GUN-10847")</f>
        <v>GUN-10847</v>
      </c>
      <c r="B848" s="50">
        <f>IFERROR(__xludf.DUMMYFUNCTION("""COMPUTED_VALUE"""),44699.474669537034)</f>
        <v>44699.47467</v>
      </c>
      <c r="C848" s="52" t="str">
        <f>IFERROR(__xludf.DUMMYFUNCTION("""COMPUTED_VALUE"""),"FEMINUN")</f>
        <v>FEMINUN</v>
      </c>
      <c r="D848" s="53">
        <f>IFERROR(__xludf.DUMMYFUNCTION("""COMPUTED_VALUE"""),44707.60416666667)</f>
        <v>44707.60417</v>
      </c>
      <c r="E848" s="81"/>
      <c r="F848" s="81">
        <v>8.129497129637457</v>
      </c>
    </row>
    <row r="849">
      <c r="A849" s="52" t="str">
        <f>IFERROR(__xludf.DUMMYFUNCTION("""COMPUTED_VALUE"""),"GUN-10848")</f>
        <v>GUN-10848</v>
      </c>
      <c r="B849" s="50">
        <f>IFERROR(__xludf.DUMMYFUNCTION("""COMPUTED_VALUE"""),44699.76297921296)</f>
        <v>44699.76298</v>
      </c>
      <c r="C849" s="52" t="str">
        <f>IFERROR(__xludf.DUMMYFUNCTION("""COMPUTED_VALUE"""),"ANEIAP UNINORTE")</f>
        <v>ANEIAP UNINORTE</v>
      </c>
      <c r="D849" s="53">
        <f>IFERROR(__xludf.DUMMYFUNCTION("""COMPUTED_VALUE"""),44707.35416666667)</f>
        <v>44707.35417</v>
      </c>
      <c r="E849" s="81"/>
      <c r="F849" s="81">
        <v>7.591187453712337</v>
      </c>
    </row>
    <row r="850">
      <c r="A850" s="52" t="str">
        <f>IFERROR(__xludf.DUMMYFUNCTION("""COMPUTED_VALUE"""),"GUN-10849")</f>
        <v>GUN-10849</v>
      </c>
      <c r="B850" s="50">
        <f>IFERROR(__xludf.DUMMYFUNCTION("""COMPUTED_VALUE"""),44700.41742273148)</f>
        <v>44700.41742</v>
      </c>
      <c r="C850" s="52" t="str">
        <f>IFERROR(__xludf.DUMMYFUNCTION("""COMPUTED_VALUE"""),"PANGEA")</f>
        <v>PANGEA</v>
      </c>
      <c r="D850" s="53">
        <f>IFERROR(__xludf.DUMMYFUNCTION("""COMPUTED_VALUE"""),44701.60416666667)</f>
        <v>44701.60417</v>
      </c>
      <c r="E850" s="81"/>
      <c r="F850" s="81">
        <v>1.186743935191771</v>
      </c>
    </row>
    <row r="851">
      <c r="A851" s="52" t="str">
        <f>IFERROR(__xludf.DUMMYFUNCTION("""COMPUTED_VALUE"""),"GUN-10850")</f>
        <v>GUN-10850</v>
      </c>
      <c r="B851" s="50">
        <f>IFERROR(__xludf.DUMMYFUNCTION("""COMPUTED_VALUE"""),44700.42420193287)</f>
        <v>44700.4242</v>
      </c>
      <c r="C851" s="52" t="str">
        <f>IFERROR(__xludf.DUMMYFUNCTION("""COMPUTED_VALUE"""),"FELINORTE")</f>
        <v>FELINORTE</v>
      </c>
      <c r="D851" s="53">
        <f>IFERROR(__xludf.DUMMYFUNCTION("""COMPUTED_VALUE"""),44707.33333333333)</f>
        <v>44707.33333</v>
      </c>
      <c r="E851" s="81"/>
      <c r="F851" s="81">
        <v>6.909131400461774</v>
      </c>
    </row>
    <row r="852">
      <c r="A852" s="52" t="str">
        <f>IFERROR(__xludf.DUMMYFUNCTION("""COMPUTED_VALUE"""),"GUN-10851")</f>
        <v>GUN-10851</v>
      </c>
      <c r="B852" s="50">
        <f>IFERROR(__xludf.DUMMYFUNCTION("""COMPUTED_VALUE"""),44700.450404560186)</f>
        <v>44700.4504</v>
      </c>
      <c r="C852" s="52" t="str">
        <f>IFERROR(__xludf.DUMMYFUNCTION("""COMPUTED_VALUE"""),"ANEIAP UNINORTE")</f>
        <v>ANEIAP UNINORTE</v>
      </c>
      <c r="D852" s="53">
        <f>IFERROR(__xludf.DUMMYFUNCTION("""COMPUTED_VALUE"""),44706.10416666667)</f>
        <v>44706.10417</v>
      </c>
      <c r="E852" s="81"/>
      <c r="F852" s="81">
        <v>5.653762106485374</v>
      </c>
    </row>
    <row r="853">
      <c r="A853" s="52" t="str">
        <f>IFERROR(__xludf.DUMMYFUNCTION("""COMPUTED_VALUE"""),"GUN-10852")</f>
        <v>GUN-10852</v>
      </c>
      <c r="B853" s="50">
        <f>IFERROR(__xludf.DUMMYFUNCTION("""COMPUTED_VALUE"""),44700.450925150464)</f>
        <v>44700.45093</v>
      </c>
      <c r="C853" s="52" t="str">
        <f>IFERROR(__xludf.DUMMYFUNCTION("""COMPUTED_VALUE"""),"GREEN GENERATION")</f>
        <v>GREEN GENERATION</v>
      </c>
      <c r="D853" s="53">
        <f>IFERROR(__xludf.DUMMYFUNCTION("""COMPUTED_VALUE"""),44704.39583333333)</f>
        <v>44704.39583</v>
      </c>
      <c r="E853" s="81"/>
      <c r="F853" s="81">
        <v>3.94490818286431</v>
      </c>
    </row>
    <row r="854">
      <c r="A854" s="52" t="str">
        <f>IFERROR(__xludf.DUMMYFUNCTION("""COMPUTED_VALUE"""),"GUN-10853")</f>
        <v>GUN-10853</v>
      </c>
      <c r="B854" s="50">
        <f>IFERROR(__xludf.DUMMYFUNCTION("""COMPUTED_VALUE"""),44700.49129435185)</f>
        <v>44700.49129</v>
      </c>
      <c r="C854" s="52" t="str">
        <f>IFERROR(__xludf.DUMMYFUNCTION("""COMPUTED_VALUE"""),"GREEN GENERATION")</f>
        <v>GREEN GENERATION</v>
      </c>
      <c r="D854" s="53">
        <f>IFERROR(__xludf.DUMMYFUNCTION("""COMPUTED_VALUE"""),44707.39583333333)</f>
        <v>44707.39583</v>
      </c>
      <c r="E854" s="81"/>
      <c r="F854" s="81">
        <v>6.904538981478254</v>
      </c>
    </row>
    <row r="855">
      <c r="A855" s="52" t="str">
        <f>IFERROR(__xludf.DUMMYFUNCTION("""COMPUTED_VALUE"""),"GUN-10854")</f>
        <v>GUN-10854</v>
      </c>
      <c r="B855" s="50">
        <f>IFERROR(__xludf.DUMMYFUNCTION("""COMPUTED_VALUE"""),44700.70875246528)</f>
        <v>44700.70875</v>
      </c>
      <c r="C855" s="52" t="str">
        <f>IFERROR(__xludf.DUMMYFUNCTION("""COMPUTED_VALUE"""),"GEN'S")</f>
        <v>GEN'S</v>
      </c>
      <c r="D855" s="53">
        <f>IFERROR(__xludf.DUMMYFUNCTION("""COMPUTED_VALUE"""),44708.1875)</f>
        <v>44708.1875</v>
      </c>
      <c r="E855" s="81"/>
      <c r="F855" s="81">
        <v>7.478747534718423</v>
      </c>
    </row>
    <row r="856">
      <c r="A856" s="52" t="str">
        <f>IFERROR(__xludf.DUMMYFUNCTION("""COMPUTED_VALUE"""),"GUN-10855")</f>
        <v>GUN-10855</v>
      </c>
      <c r="B856" s="50">
        <f>IFERROR(__xludf.DUMMYFUNCTION("""COMPUTED_VALUE"""),44701.41851412037)</f>
        <v>44701.41851</v>
      </c>
      <c r="C856" s="52" t="str">
        <f>IFERROR(__xludf.DUMMYFUNCTION("""COMPUTED_VALUE"""),"FEMINUN")</f>
        <v>FEMINUN</v>
      </c>
      <c r="D856" s="53">
        <f>IFERROR(__xludf.DUMMYFUNCTION("""COMPUTED_VALUE"""),44705.625)</f>
        <v>44705.625</v>
      </c>
      <c r="E856" s="81"/>
      <c r="F856" s="81">
        <v>4.2064858796293265</v>
      </c>
    </row>
    <row r="857">
      <c r="A857" s="52" t="str">
        <f>IFERROR(__xludf.DUMMYFUNCTION("""COMPUTED_VALUE"""),"GUN-10856")</f>
        <v>GUN-10856</v>
      </c>
      <c r="B857" s="50">
        <f>IFERROR(__xludf.DUMMYFUNCTION("""COMPUTED_VALUE"""),44701.41948171296)</f>
        <v>44701.41948</v>
      </c>
      <c r="C857" s="52" t="str">
        <f>IFERROR(__xludf.DUMMYFUNCTION("""COMPUTED_VALUE"""),"FEMINUN")</f>
        <v>FEMINUN</v>
      </c>
      <c r="D857" s="53">
        <f>IFERROR(__xludf.DUMMYFUNCTION("""COMPUTED_VALUE"""),44707.625)</f>
        <v>44707.625</v>
      </c>
      <c r="E857" s="81"/>
      <c r="F857" s="81">
        <v>6.205518287039013</v>
      </c>
    </row>
    <row r="858">
      <c r="A858" s="52" t="str">
        <f>IFERROR(__xludf.DUMMYFUNCTION("""COMPUTED_VALUE"""),"GUN-10857")</f>
        <v>GUN-10857</v>
      </c>
      <c r="B858" s="50">
        <f>IFERROR(__xludf.DUMMYFUNCTION("""COMPUTED_VALUE"""),44701.44233622685)</f>
        <v>44701.44234</v>
      </c>
      <c r="C858" s="52" t="str">
        <f>IFERROR(__xludf.DUMMYFUNCTION("""COMPUTED_VALUE"""),"AIESEC")</f>
        <v>AIESEC</v>
      </c>
      <c r="D858" s="53">
        <f>IFERROR(__xludf.DUMMYFUNCTION("""COMPUTED_VALUE"""),44709.60416666667)</f>
        <v>44709.60417</v>
      </c>
      <c r="E858" s="81"/>
      <c r="F858" s="81">
        <v>8.161830439821642</v>
      </c>
    </row>
    <row r="859">
      <c r="A859" s="52" t="str">
        <f>IFERROR(__xludf.DUMMYFUNCTION("""COMPUTED_VALUE"""),"GUN-10858")</f>
        <v>GUN-10858</v>
      </c>
      <c r="B859" s="50">
        <f>IFERROR(__xludf.DUMMYFUNCTION("""COMPUTED_VALUE"""),44701.62989053241)</f>
        <v>44701.62989</v>
      </c>
      <c r="C859" s="52" t="str">
        <f>IFERROR(__xludf.DUMMYFUNCTION("""COMPUTED_VALUE"""),"FEMINUN")</f>
        <v>FEMINUN</v>
      </c>
      <c r="D859" s="53">
        <f>IFERROR(__xludf.DUMMYFUNCTION("""COMPUTED_VALUE"""),44706.6875)</f>
        <v>44706.6875</v>
      </c>
      <c r="E859" s="81"/>
      <c r="F859" s="81">
        <v>5.057609467592556</v>
      </c>
    </row>
    <row r="860">
      <c r="A860" s="52" t="str">
        <f>IFERROR(__xludf.DUMMYFUNCTION("""COMPUTED_VALUE"""),"GUN-10859")</f>
        <v>GUN-10859</v>
      </c>
      <c r="B860" s="50">
        <f>IFERROR(__xludf.DUMMYFUNCTION("""COMPUTED_VALUE"""),44701.63298671297)</f>
        <v>44701.63299</v>
      </c>
      <c r="C860" s="52" t="str">
        <f>IFERROR(__xludf.DUMMYFUNCTION("""COMPUTED_VALUE"""),"FEMINUN")</f>
        <v>FEMINUN</v>
      </c>
      <c r="D860" s="53">
        <f>IFERROR(__xludf.DUMMYFUNCTION("""COMPUTED_VALUE"""),44708.60416666667)</f>
        <v>44708.60417</v>
      </c>
      <c r="E860" s="81"/>
      <c r="F860" s="81">
        <v>6.97117995370354</v>
      </c>
    </row>
    <row r="861">
      <c r="A861" s="52" t="str">
        <f>IFERROR(__xludf.DUMMYFUNCTION("""COMPUTED_VALUE"""),"GUN-10860")</f>
        <v>GUN-10860</v>
      </c>
      <c r="B861" s="50">
        <f>IFERROR(__xludf.DUMMYFUNCTION("""COMPUTED_VALUE"""),44703.47511944445)</f>
        <v>44703.47512</v>
      </c>
      <c r="C861" s="52" t="str">
        <f>IFERROR(__xludf.DUMMYFUNCTION("""COMPUTED_VALUE"""),"CAFTA")</f>
        <v>CAFTA</v>
      </c>
      <c r="D861" s="53">
        <f>IFERROR(__xludf.DUMMYFUNCTION("""COMPUTED_VALUE"""),44707.10416666667)</f>
        <v>44707.10417</v>
      </c>
      <c r="E861" s="81"/>
      <c r="F861" s="81">
        <v>3.6290472222244716</v>
      </c>
    </row>
    <row r="862">
      <c r="A862" s="52" t="str">
        <f>IFERROR(__xludf.DUMMYFUNCTION("""COMPUTED_VALUE"""),"GUN-10861")</f>
        <v>GUN-10861</v>
      </c>
      <c r="B862" s="50">
        <f>IFERROR(__xludf.DUMMYFUNCTION("""COMPUTED_VALUE"""),44704.44923438657)</f>
        <v>44704.44923</v>
      </c>
      <c r="C862" s="52" t="str">
        <f>IFERROR(__xludf.DUMMYFUNCTION("""COMPUTED_VALUE"""),"GEO-ENERGÍA")</f>
        <v>GEO-ENERGÍA</v>
      </c>
      <c r="D862" s="53">
        <f>IFERROR(__xludf.DUMMYFUNCTION("""COMPUTED_VALUE"""),44708.1875)</f>
        <v>44708.1875</v>
      </c>
      <c r="E862" s="81"/>
      <c r="F862" s="81">
        <v>3.7382656134286663</v>
      </c>
    </row>
    <row r="863">
      <c r="A863" s="52" t="str">
        <f>IFERROR(__xludf.DUMMYFUNCTION("""COMPUTED_VALUE"""),"GUN-10862")</f>
        <v>GUN-10862</v>
      </c>
      <c r="B863" s="50">
        <f>IFERROR(__xludf.DUMMYFUNCTION("""COMPUTED_VALUE"""),44704.45784913194)</f>
        <v>44704.45785</v>
      </c>
      <c r="C863" s="52" t="str">
        <f>IFERROR(__xludf.DUMMYFUNCTION("""COMPUTED_VALUE"""),"BK2")</f>
        <v>BK2</v>
      </c>
      <c r="D863" s="53">
        <f>IFERROR(__xludf.DUMMYFUNCTION("""COMPUTED_VALUE"""),44708.375)</f>
        <v>44708.375</v>
      </c>
      <c r="E863" s="81"/>
      <c r="F863" s="81">
        <v>3.9171508680592524</v>
      </c>
    </row>
    <row r="864">
      <c r="A864" s="52" t="str">
        <f>IFERROR(__xludf.DUMMYFUNCTION("""COMPUTED_VALUE"""),"GUN-10863")</f>
        <v>GUN-10863</v>
      </c>
      <c r="B864" s="50">
        <f>IFERROR(__xludf.DUMMYFUNCTION("""COMPUTED_VALUE"""),44704.474312951395)</f>
        <v>44704.47431</v>
      </c>
      <c r="C864" s="52" t="str">
        <f>IFERROR(__xludf.DUMMYFUNCTION("""COMPUTED_VALUE"""),"PANGEA")</f>
        <v>PANGEA</v>
      </c>
      <c r="D864" s="53">
        <f>IFERROR(__xludf.DUMMYFUNCTION("""COMPUTED_VALUE"""),44708.60416666667)</f>
        <v>44708.60417</v>
      </c>
      <c r="E864" s="81"/>
      <c r="F864" s="81">
        <v>4.129853715276113</v>
      </c>
    </row>
    <row r="865">
      <c r="A865" s="52" t="str">
        <f>IFERROR(__xludf.DUMMYFUNCTION("""COMPUTED_VALUE"""),"GUN-10864")</f>
        <v>GUN-10864</v>
      </c>
      <c r="B865" s="50">
        <f>IFERROR(__xludf.DUMMYFUNCTION("""COMPUTED_VALUE"""),44704.50386539352)</f>
        <v>44704.50387</v>
      </c>
      <c r="C865" s="52" t="str">
        <f>IFERROR(__xludf.DUMMYFUNCTION("""COMPUTED_VALUE"""),"JUVENTUDES CRITICAS")</f>
        <v>JUVENTUDES CRITICAS</v>
      </c>
      <c r="D865" s="53">
        <f>IFERROR(__xludf.DUMMYFUNCTION("""COMPUTED_VALUE"""),44706.64583333333)</f>
        <v>44706.64583</v>
      </c>
      <c r="E865" s="81"/>
      <c r="F865" s="81">
        <v>2.141967939809547</v>
      </c>
    </row>
    <row r="866">
      <c r="A866" s="52" t="str">
        <f>IFERROR(__xludf.DUMMYFUNCTION("""COMPUTED_VALUE"""),"GUN-10865")</f>
        <v>GUN-10865</v>
      </c>
      <c r="B866" s="50">
        <f>IFERROR(__xludf.DUMMYFUNCTION("""COMPUTED_VALUE"""),44704.51772965278)</f>
        <v>44704.51773</v>
      </c>
      <c r="C866" s="52" t="str">
        <f>IFERROR(__xludf.DUMMYFUNCTION("""COMPUTED_VALUE"""),"LINGUA")</f>
        <v>LINGUA</v>
      </c>
      <c r="D866" s="53">
        <f>IFERROR(__xludf.DUMMYFUNCTION("""COMPUTED_VALUE"""),44715.60416666667)</f>
        <v>44715.60417</v>
      </c>
      <c r="E866" s="81"/>
      <c r="F866" s="81">
        <v>11.086437013887917</v>
      </c>
    </row>
    <row r="867">
      <c r="A867" s="52" t="str">
        <f>IFERROR(__xludf.DUMMYFUNCTION("""COMPUTED_VALUE"""),"GUN-10866")</f>
        <v>GUN-10866</v>
      </c>
      <c r="B867" s="50">
        <f>IFERROR(__xludf.DUMMYFUNCTION("""COMPUTED_VALUE"""),44705.27262565972)</f>
        <v>44705.27263</v>
      </c>
      <c r="C867" s="52" t="str">
        <f>IFERROR(__xludf.DUMMYFUNCTION("""COMPUTED_VALUE"""),"CDIEP")</f>
        <v>CDIEP</v>
      </c>
      <c r="D867" s="53">
        <f>IFERROR(__xludf.DUMMYFUNCTION("""COMPUTED_VALUE"""),44706.54166666667)</f>
        <v>44706.54167</v>
      </c>
      <c r="E867" s="81"/>
      <c r="F867" s="81">
        <v>1.2690410069481004</v>
      </c>
    </row>
    <row r="868">
      <c r="A868" s="52" t="str">
        <f>IFERROR(__xludf.DUMMYFUNCTION("""COMPUTED_VALUE"""),"GUN-10867")</f>
        <v>GUN-10867</v>
      </c>
      <c r="B868" s="50">
        <f>IFERROR(__xludf.DUMMYFUNCTION("""COMPUTED_VALUE"""),44705.34658208334)</f>
        <v>44705.34658</v>
      </c>
      <c r="C868" s="52" t="str">
        <f>IFERROR(__xludf.DUMMYFUNCTION("""COMPUTED_VALUE"""),"BK2")</f>
        <v>BK2</v>
      </c>
      <c r="D868" s="53">
        <f>IFERROR(__xludf.DUMMYFUNCTION("""COMPUTED_VALUE"""),44708.4375)</f>
        <v>44708.4375</v>
      </c>
      <c r="E868" s="81"/>
      <c r="F868" s="81">
        <v>3.0909179166628746</v>
      </c>
    </row>
    <row r="869">
      <c r="A869" s="52" t="str">
        <f>IFERROR(__xludf.DUMMYFUNCTION("""COMPUTED_VALUE"""),"GUN-10868")</f>
        <v>GUN-10868</v>
      </c>
      <c r="B869" s="50">
        <f>IFERROR(__xludf.DUMMYFUNCTION("""COMPUTED_VALUE"""),44705.42160221065)</f>
        <v>44705.4216</v>
      </c>
      <c r="C869" s="52" t="str">
        <f>IFERROR(__xludf.DUMMYFUNCTION("""COMPUTED_VALUE"""),"COSMOPOLITICA")</f>
        <v>COSMOPOLITICA</v>
      </c>
      <c r="D869" s="53">
        <f>IFERROR(__xludf.DUMMYFUNCTION("""COMPUTED_VALUE"""),44707.33333333333)</f>
        <v>44707.33333</v>
      </c>
      <c r="E869" s="81"/>
      <c r="F869" s="81">
        <v>1.9117311226800666</v>
      </c>
    </row>
    <row r="870">
      <c r="A870" s="52" t="str">
        <f>IFERROR(__xludf.DUMMYFUNCTION("""COMPUTED_VALUE"""),"GUN-10869")</f>
        <v>GUN-10869</v>
      </c>
      <c r="B870" s="50">
        <f>IFERROR(__xludf.DUMMYFUNCTION("""COMPUTED_VALUE"""),44705.90307403936)</f>
        <v>44705.90307</v>
      </c>
      <c r="C870" s="52" t="str">
        <f>IFERROR(__xludf.DUMMYFUNCTION("""COMPUTED_VALUE"""),"ANEIAP UNINORTE")</f>
        <v>ANEIAP UNINORTE</v>
      </c>
      <c r="D870" s="53">
        <f>IFERROR(__xludf.DUMMYFUNCTION("""COMPUTED_VALUE"""),44711.10416666667)</f>
        <v>44711.10417</v>
      </c>
      <c r="E870" s="81"/>
      <c r="F870" s="81">
        <v>5.20109262731421</v>
      </c>
    </row>
    <row r="871">
      <c r="A871" s="52" t="str">
        <f>IFERROR(__xludf.DUMMYFUNCTION("""COMPUTED_VALUE"""),"GUN-10870")</f>
        <v>GUN-10870</v>
      </c>
      <c r="B871" s="50">
        <f>IFERROR(__xludf.DUMMYFUNCTION("""COMPUTED_VALUE"""),44706.053179814815)</f>
        <v>44706.05318</v>
      </c>
      <c r="C871" s="52" t="str">
        <f>IFERROR(__xludf.DUMMYFUNCTION("""COMPUTED_VALUE"""),"CREATINN EDUCATION")</f>
        <v>CREATINN EDUCATION</v>
      </c>
      <c r="D871" s="53">
        <f>IFERROR(__xludf.DUMMYFUNCTION("""COMPUTED_VALUE"""),44692.10416666667)</f>
        <v>44692.10417</v>
      </c>
      <c r="E871" s="81"/>
      <c r="F871" s="81">
        <v>-13.949013148143422</v>
      </c>
    </row>
    <row r="872">
      <c r="A872" s="52" t="str">
        <f>IFERROR(__xludf.DUMMYFUNCTION("""COMPUTED_VALUE"""),"GUN-10871")</f>
        <v>GUN-10871</v>
      </c>
      <c r="B872" s="50">
        <f>IFERROR(__xludf.DUMMYFUNCTION("""COMPUTED_VALUE"""),44706.565290115745)</f>
        <v>44706.56529</v>
      </c>
      <c r="C872" s="52" t="str">
        <f>IFERROR(__xludf.DUMMYFUNCTION("""COMPUTED_VALUE"""),"FEMINUN")</f>
        <v>FEMINUN</v>
      </c>
      <c r="D872" s="53">
        <f>IFERROR(__xludf.DUMMYFUNCTION("""COMPUTED_VALUE"""),44707.625)</f>
        <v>44707.625</v>
      </c>
      <c r="E872" s="81"/>
      <c r="F872" s="81">
        <v>1.059709884255426</v>
      </c>
    </row>
    <row r="873">
      <c r="A873" s="52" t="str">
        <f>IFERROR(__xludf.DUMMYFUNCTION("""COMPUTED_VALUE"""),"GUN-10872")</f>
        <v>GUN-10872</v>
      </c>
      <c r="B873" s="50">
        <f>IFERROR(__xludf.DUMMYFUNCTION("""COMPUTED_VALUE"""),44706.73157733796)</f>
        <v>44706.73158</v>
      </c>
      <c r="C873" s="52" t="str">
        <f>IFERROR(__xludf.DUMMYFUNCTION("""COMPUTED_VALUE"""),"CDIEP")</f>
        <v>CDIEP</v>
      </c>
      <c r="D873" s="53">
        <f>IFERROR(__xludf.DUMMYFUNCTION("""COMPUTED_VALUE"""),44709.58333333333)</f>
        <v>44709.58333</v>
      </c>
      <c r="E873" s="81"/>
      <c r="F873" s="81">
        <v>2.851755995368876</v>
      </c>
    </row>
    <row r="874">
      <c r="A874" s="52" t="str">
        <f>IFERROR(__xludf.DUMMYFUNCTION("""COMPUTED_VALUE"""),"GUN-10873")</f>
        <v>GUN-10873</v>
      </c>
      <c r="B874" s="50">
        <f>IFERROR(__xludf.DUMMYFUNCTION("""COMPUTED_VALUE"""),44707.44237686342)</f>
        <v>44707.44238</v>
      </c>
      <c r="C874" s="52" t="str">
        <f>IFERROR(__xludf.DUMMYFUNCTION("""COMPUTED_VALUE"""),"GREEN GENERATION")</f>
        <v>GREEN GENERATION</v>
      </c>
      <c r="D874" s="53">
        <f>IFERROR(__xludf.DUMMYFUNCTION("""COMPUTED_VALUE"""),44715.5625)</f>
        <v>44715.5625</v>
      </c>
      <c r="E874" s="81"/>
      <c r="F874" s="81">
        <v>8.120123136577604</v>
      </c>
    </row>
    <row r="875">
      <c r="A875" s="52" t="str">
        <f>IFERROR(__xludf.DUMMYFUNCTION("""COMPUTED_VALUE"""),"GUN-10874")</f>
        <v>GUN-10874</v>
      </c>
      <c r="B875" s="50">
        <f>IFERROR(__xludf.DUMMYFUNCTION("""COMPUTED_VALUE"""),44707.455443136576)</f>
        <v>44707.45544</v>
      </c>
      <c r="C875" s="52" t="str">
        <f>IFERROR(__xludf.DUMMYFUNCTION("""COMPUTED_VALUE"""),"CEIM UNINORTE")</f>
        <v>CEIM UNINORTE</v>
      </c>
      <c r="D875" s="53">
        <f>IFERROR(__xludf.DUMMYFUNCTION("""COMPUTED_VALUE"""),44715.77083333333)</f>
        <v>44715.77083</v>
      </c>
      <c r="E875" s="81"/>
      <c r="F875" s="81">
        <v>8.31539019675256</v>
      </c>
    </row>
    <row r="876">
      <c r="A876" s="52" t="str">
        <f>IFERROR(__xludf.DUMMYFUNCTION("""COMPUTED_VALUE"""),"GUN-10875")</f>
        <v>GUN-10875</v>
      </c>
      <c r="B876" s="50">
        <f>IFERROR(__xludf.DUMMYFUNCTION("""COMPUTED_VALUE"""),44707.70039060185)</f>
        <v>44707.70039</v>
      </c>
      <c r="C876" s="52" t="str">
        <f>IFERROR(__xludf.DUMMYFUNCTION("""COMPUTED_VALUE"""),"W-STEM")</f>
        <v>W-STEM</v>
      </c>
      <c r="D876" s="53">
        <f>IFERROR(__xludf.DUMMYFUNCTION("""COMPUTED_VALUE"""),44722.4375)</f>
        <v>44722.4375</v>
      </c>
      <c r="E876" s="81"/>
      <c r="F876" s="81">
        <v>14.737109398149187</v>
      </c>
    </row>
    <row r="877">
      <c r="A877" s="52" t="str">
        <f>IFERROR(__xludf.DUMMYFUNCTION("""COMPUTED_VALUE"""),"GUN-10876")</f>
        <v>GUN-10876</v>
      </c>
      <c r="B877" s="50">
        <f>IFERROR(__xludf.DUMMYFUNCTION("""COMPUTED_VALUE"""),44708.58013347222)</f>
        <v>44708.58013</v>
      </c>
      <c r="C877" s="52" t="str">
        <f>IFERROR(__xludf.DUMMYFUNCTION("""COMPUTED_VALUE"""),"FEMINUN")</f>
        <v>FEMINUN</v>
      </c>
      <c r="D877" s="53">
        <f>IFERROR(__xludf.DUMMYFUNCTION("""COMPUTED_VALUE"""),44715.60416666667)</f>
        <v>44715.60417</v>
      </c>
      <c r="E877" s="81"/>
      <c r="F877" s="81">
        <v>7.0240331944514764</v>
      </c>
    </row>
    <row r="878">
      <c r="A878" s="52" t="str">
        <f>IFERROR(__xludf.DUMMYFUNCTION("""COMPUTED_VALUE"""),"GUN-10877")</f>
        <v>GUN-10877</v>
      </c>
      <c r="B878" s="50">
        <f>IFERROR(__xludf.DUMMYFUNCTION("""COMPUTED_VALUE"""),44708.58243804398)</f>
        <v>44708.58244</v>
      </c>
      <c r="C878" s="52" t="str">
        <f>IFERROR(__xludf.DUMMYFUNCTION("""COMPUTED_VALUE"""),"FEMINUN")</f>
        <v>FEMINUN</v>
      </c>
      <c r="D878" s="53">
        <f>IFERROR(__xludf.DUMMYFUNCTION("""COMPUTED_VALUE"""),44713.5625)</f>
        <v>44713.5625</v>
      </c>
      <c r="E878" s="81"/>
      <c r="F878" s="81">
        <v>4.980061956019199</v>
      </c>
    </row>
    <row r="879">
      <c r="A879" s="52" t="str">
        <f>IFERROR(__xludf.DUMMYFUNCTION("""COMPUTED_VALUE"""),"GUN-10878")</f>
        <v>GUN-10878</v>
      </c>
      <c r="B879" s="50">
        <f>IFERROR(__xludf.DUMMYFUNCTION("""COMPUTED_VALUE"""),44708.583430914354)</f>
        <v>44708.58343</v>
      </c>
      <c r="C879" s="52" t="str">
        <f>IFERROR(__xludf.DUMMYFUNCTION("""COMPUTED_VALUE"""),"FEMINUN")</f>
        <v>FEMINUN</v>
      </c>
      <c r="D879" s="53">
        <f>IFERROR(__xludf.DUMMYFUNCTION("""COMPUTED_VALUE"""),44714.5625)</f>
        <v>44714.5625</v>
      </c>
      <c r="E879" s="81"/>
      <c r="F879" s="81">
        <v>5.979069085646188</v>
      </c>
    </row>
    <row r="880">
      <c r="A880" s="52" t="str">
        <f>IFERROR(__xludf.DUMMYFUNCTION("""COMPUTED_VALUE"""),"GUN-10879")</f>
        <v>GUN-10879</v>
      </c>
      <c r="B880" s="50">
        <f>IFERROR(__xludf.DUMMYFUNCTION("""COMPUTED_VALUE"""),44708.65094834491)</f>
        <v>44708.65095</v>
      </c>
      <c r="C880" s="52" t="str">
        <f>IFERROR(__xludf.DUMMYFUNCTION("""COMPUTED_VALUE"""),"FEMINUN")</f>
        <v>FEMINUN</v>
      </c>
      <c r="D880" s="53">
        <f>IFERROR(__xludf.DUMMYFUNCTION("""COMPUTED_VALUE"""),44712.625)</f>
        <v>44712.625</v>
      </c>
      <c r="E880" s="81"/>
      <c r="F880" s="81">
        <v>3.9740516550882603</v>
      </c>
    </row>
    <row r="881">
      <c r="A881" s="52" t="str">
        <f>IFERROR(__xludf.DUMMYFUNCTION("""COMPUTED_VALUE"""),"GUN-10880")</f>
        <v>GUN-10880</v>
      </c>
      <c r="B881" s="50">
        <f>IFERROR(__xludf.DUMMYFUNCTION("""COMPUTED_VALUE"""),44708.65204858797)</f>
        <v>44708.65205</v>
      </c>
      <c r="C881" s="52" t="str">
        <f>IFERROR(__xludf.DUMMYFUNCTION("""COMPUTED_VALUE"""),"FEMINUN")</f>
        <v>FEMINUN</v>
      </c>
      <c r="D881" s="53">
        <f>IFERROR(__xludf.DUMMYFUNCTION("""COMPUTED_VALUE"""),44714.625)</f>
        <v>44714.625</v>
      </c>
      <c r="E881" s="81"/>
      <c r="F881" s="81">
        <v>5.972951412033581</v>
      </c>
    </row>
    <row r="882">
      <c r="A882" s="52" t="str">
        <f>IFERROR(__xludf.DUMMYFUNCTION("""COMPUTED_VALUE"""),"GUN-10881")</f>
        <v>GUN-10881</v>
      </c>
      <c r="B882" s="50">
        <f>IFERROR(__xludf.DUMMYFUNCTION("""COMPUTED_VALUE"""),44712.86244106482)</f>
        <v>44712.86244</v>
      </c>
      <c r="C882" s="52" t="str">
        <f>IFERROR(__xludf.DUMMYFUNCTION("""COMPUTED_VALUE"""),"CAFTA")</f>
        <v>CAFTA</v>
      </c>
      <c r="D882" s="53">
        <f>IFERROR(__xludf.DUMMYFUNCTION("""COMPUTED_VALUE"""),44716.35416666667)</f>
        <v>44716.35417</v>
      </c>
      <c r="E882" s="81"/>
      <c r="F882" s="81">
        <v>3.4917256018525222</v>
      </c>
    </row>
    <row r="883">
      <c r="A883" s="52" t="str">
        <f>IFERROR(__xludf.DUMMYFUNCTION("""COMPUTED_VALUE"""),"GUN-10882")</f>
        <v>GUN-10882</v>
      </c>
      <c r="B883" s="50">
        <f>IFERROR(__xludf.DUMMYFUNCTION("""COMPUTED_VALUE"""),44713.49462252315)</f>
        <v>44713.49462</v>
      </c>
      <c r="C883" s="52" t="str">
        <f>IFERROR(__xludf.DUMMYFUNCTION("""COMPUTED_VALUE"""),"CERI")</f>
        <v>CERI</v>
      </c>
      <c r="D883" s="53">
        <f>IFERROR(__xludf.DUMMYFUNCTION("""COMPUTED_VALUE"""),44714.60416666667)</f>
        <v>44714.60417</v>
      </c>
      <c r="E883" s="81"/>
      <c r="F883" s="81">
        <v>1.1095441435245448</v>
      </c>
    </row>
    <row r="884">
      <c r="A884" s="52" t="str">
        <f>IFERROR(__xludf.DUMMYFUNCTION("""COMPUTED_VALUE"""),"GUN-10883")</f>
        <v>GUN-10883</v>
      </c>
      <c r="B884" s="50">
        <f>IFERROR(__xludf.DUMMYFUNCTION("""COMPUTED_VALUE"""),44714.73909728009)</f>
        <v>44714.7391</v>
      </c>
      <c r="C884" s="52" t="str">
        <f>IFERROR(__xludf.DUMMYFUNCTION("""COMPUTED_VALUE"""),"CDIEP")</f>
        <v>CDIEP</v>
      </c>
      <c r="D884" s="53">
        <f>IFERROR(__xludf.DUMMYFUNCTION("""COMPUTED_VALUE"""),44716.58333333333)</f>
        <v>44716.58333</v>
      </c>
      <c r="E884" s="81"/>
      <c r="F884" s="81">
        <v>1.8442360532353632</v>
      </c>
    </row>
    <row r="885">
      <c r="A885" s="52" t="str">
        <f>IFERROR(__xludf.DUMMYFUNCTION("""COMPUTED_VALUE"""),"GUN-10884")</f>
        <v>GUN-10884</v>
      </c>
      <c r="B885" s="50">
        <f>IFERROR(__xludf.DUMMYFUNCTION("""COMPUTED_VALUE"""),44714.74102722222)</f>
        <v>44714.74103</v>
      </c>
      <c r="C885" s="52" t="str">
        <f>IFERROR(__xludf.DUMMYFUNCTION("""COMPUTED_VALUE"""),"CDIEP")</f>
        <v>CDIEP</v>
      </c>
      <c r="D885" s="53">
        <f>IFERROR(__xludf.DUMMYFUNCTION("""COMPUTED_VALUE"""),44717.58333333333)</f>
        <v>44717.58333</v>
      </c>
      <c r="E885" s="81"/>
      <c r="F885" s="81">
        <v>2.8423061111097923</v>
      </c>
    </row>
    <row r="886">
      <c r="A886" s="52" t="str">
        <f>IFERROR(__xludf.DUMMYFUNCTION("""COMPUTED_VALUE"""),"GUN-10885")</f>
        <v>GUN-10885</v>
      </c>
      <c r="B886" s="50">
        <f>IFERROR(__xludf.DUMMYFUNCTION("""COMPUTED_VALUE"""),44715.47344905092)</f>
        <v>44715.47345</v>
      </c>
      <c r="C886" s="52" t="str">
        <f>IFERROR(__xludf.DUMMYFUNCTION("""COMPUTED_VALUE"""),"LINGUA")</f>
        <v>LINGUA</v>
      </c>
      <c r="D886" s="53">
        <f>IFERROR(__xludf.DUMMYFUNCTION("""COMPUTED_VALUE"""),44720.10416666667)</f>
        <v>44720.10417</v>
      </c>
      <c r="E886" s="81"/>
      <c r="F886" s="81">
        <v>4.630717615749745</v>
      </c>
    </row>
    <row r="887">
      <c r="A887" s="52" t="str">
        <f>IFERROR(__xludf.DUMMYFUNCTION("""COMPUTED_VALUE"""),"GUN-10886")</f>
        <v>GUN-10886</v>
      </c>
      <c r="B887" s="50">
        <f>IFERROR(__xludf.DUMMYFUNCTION("""COMPUTED_VALUE"""),44718.54833509259)</f>
        <v>44718.54834</v>
      </c>
      <c r="C887" s="52" t="str">
        <f>IFERROR(__xludf.DUMMYFUNCTION("""COMPUTED_VALUE"""),"GREEN GENERATION")</f>
        <v>GREEN GENERATION</v>
      </c>
      <c r="D887" s="53">
        <f>IFERROR(__xludf.DUMMYFUNCTION("""COMPUTED_VALUE"""),44729.45833333333)</f>
        <v>44729.45833</v>
      </c>
      <c r="E887" s="81"/>
      <c r="F887" s="81">
        <v>10.909998240735149</v>
      </c>
    </row>
    <row r="888">
      <c r="A888" s="52" t="str">
        <f>IFERROR(__xludf.DUMMYFUNCTION("""COMPUTED_VALUE"""),"GUN-10887")</f>
        <v>GUN-10887</v>
      </c>
      <c r="B888" s="50">
        <f>IFERROR(__xludf.DUMMYFUNCTION("""COMPUTED_VALUE"""),44719.63889274306)</f>
        <v>44719.63889</v>
      </c>
      <c r="C888" s="52" t="str">
        <f>IFERROR(__xludf.DUMMYFUNCTION("""COMPUTED_VALUE"""),"FEMINUN")</f>
        <v>FEMINUN</v>
      </c>
      <c r="D888" s="53">
        <f>IFERROR(__xludf.DUMMYFUNCTION("""COMPUTED_VALUE"""),44728.625)</f>
        <v>44728.625</v>
      </c>
      <c r="E888" s="81"/>
      <c r="F888" s="81">
        <v>8.986107256940159</v>
      </c>
    </row>
    <row r="889">
      <c r="A889" s="52" t="str">
        <f>IFERROR(__xludf.DUMMYFUNCTION("""COMPUTED_VALUE"""),"GUN-10888")</f>
        <v>GUN-10888</v>
      </c>
      <c r="B889" s="50">
        <f>IFERROR(__xludf.DUMMYFUNCTION("""COMPUTED_VALUE"""),44720.43877509259)</f>
        <v>44720.43878</v>
      </c>
      <c r="C889" s="52" t="str">
        <f>IFERROR(__xludf.DUMMYFUNCTION("""COMPUTED_VALUE"""),"FELINORTE")</f>
        <v>FELINORTE</v>
      </c>
      <c r="D889" s="53">
        <f>IFERROR(__xludf.DUMMYFUNCTION("""COMPUTED_VALUE"""),44697.33333333333)</f>
        <v>44697.33333</v>
      </c>
      <c r="E889" s="81"/>
      <c r="F889" s="81">
        <v>-23.10544175926043</v>
      </c>
    </row>
    <row r="890">
      <c r="A890" s="52" t="str">
        <f>IFERROR(__xludf.DUMMYFUNCTION("""COMPUTED_VALUE"""),"GUN-10889")</f>
        <v>GUN-10889</v>
      </c>
      <c r="B890" s="50">
        <f>IFERROR(__xludf.DUMMYFUNCTION("""COMPUTED_VALUE"""),44720.48863619213)</f>
        <v>44720.48864</v>
      </c>
      <c r="C890" s="52" t="str">
        <f>IFERROR(__xludf.DUMMYFUNCTION("""COMPUTED_VALUE"""),"GREEN GENERATION")</f>
        <v>GREEN GENERATION</v>
      </c>
      <c r="D890" s="53">
        <f>IFERROR(__xludf.DUMMYFUNCTION("""COMPUTED_VALUE"""),44716.35416666667)</f>
        <v>44716.35417</v>
      </c>
      <c r="E890" s="81"/>
      <c r="F890" s="81">
        <v>-4.134469525459281</v>
      </c>
    </row>
    <row r="891">
      <c r="A891" s="52" t="str">
        <f>IFERROR(__xludf.DUMMYFUNCTION("""COMPUTED_VALUE"""),"GUN-10890")</f>
        <v>GUN-10890</v>
      </c>
      <c r="B891" s="50">
        <f>IFERROR(__xludf.DUMMYFUNCTION("""COMPUTED_VALUE"""),44720.49218197917)</f>
        <v>44720.49218</v>
      </c>
      <c r="C891" s="52" t="str">
        <f>IFERROR(__xludf.DUMMYFUNCTION("""COMPUTED_VALUE"""),"NSIG")</f>
        <v>NSIG</v>
      </c>
      <c r="D891" s="53">
        <f>IFERROR(__xludf.DUMMYFUNCTION("""COMPUTED_VALUE"""),44721.8125)</f>
        <v>44721.8125</v>
      </c>
      <c r="E891" s="81"/>
      <c r="F891" s="81">
        <v>1.3203180208292906</v>
      </c>
    </row>
    <row r="892">
      <c r="A892" s="52" t="str">
        <f>IFERROR(__xludf.DUMMYFUNCTION("""COMPUTED_VALUE"""),"GUN-10891")</f>
        <v>GUN-10891</v>
      </c>
      <c r="B892" s="50">
        <f>IFERROR(__xludf.DUMMYFUNCTION("""COMPUTED_VALUE"""),44720.4953531713)</f>
        <v>44720.49535</v>
      </c>
      <c r="C892" s="52" t="str">
        <f>IFERROR(__xludf.DUMMYFUNCTION("""COMPUTED_VALUE"""),"NSIG")</f>
        <v>NSIG</v>
      </c>
      <c r="D892" s="53">
        <f>IFERROR(__xludf.DUMMYFUNCTION("""COMPUTED_VALUE"""),44722.70833333333)</f>
        <v>44722.70833</v>
      </c>
      <c r="E892" s="81"/>
      <c r="F892" s="81">
        <v>2.2129801620249054</v>
      </c>
    </row>
    <row r="893">
      <c r="A893" s="52" t="str">
        <f>IFERROR(__xludf.DUMMYFUNCTION("""COMPUTED_VALUE"""),"GUN-10892")</f>
        <v>GUN-10892</v>
      </c>
      <c r="B893" s="50">
        <f>IFERROR(__xludf.DUMMYFUNCTION("""COMPUTED_VALUE"""),44720.49776189815)</f>
        <v>44720.49776</v>
      </c>
      <c r="C893" s="52" t="str">
        <f>IFERROR(__xludf.DUMMYFUNCTION("""COMPUTED_VALUE"""),"NSIG")</f>
        <v>NSIG</v>
      </c>
      <c r="D893" s="53">
        <f>IFERROR(__xludf.DUMMYFUNCTION("""COMPUTED_VALUE"""),44698.79166666667)</f>
        <v>44698.79167</v>
      </c>
      <c r="E893" s="81"/>
      <c r="F893" s="81">
        <v>-21.706095231478685</v>
      </c>
    </row>
    <row r="894">
      <c r="A894" s="52" t="str">
        <f>IFERROR(__xludf.DUMMYFUNCTION("""COMPUTED_VALUE"""),"GUN-10893")</f>
        <v>GUN-10893</v>
      </c>
      <c r="B894" s="50">
        <f>IFERROR(__xludf.DUMMYFUNCTION("""COMPUTED_VALUE"""),44722.424438587965)</f>
        <v>44722.42444</v>
      </c>
      <c r="C894" s="52" t="str">
        <f>IFERROR(__xludf.DUMMYFUNCTION("""COMPUTED_VALUE"""),"FEMINUN")</f>
        <v>FEMINUN</v>
      </c>
      <c r="D894" s="53">
        <f>IFERROR(__xludf.DUMMYFUNCTION("""COMPUTED_VALUE"""),44723.625)</f>
        <v>44723.625</v>
      </c>
      <c r="E894" s="81"/>
      <c r="F894" s="81">
        <v>1.200561412035313</v>
      </c>
    </row>
    <row r="895">
      <c r="A895" s="52" t="str">
        <f>IFERROR(__xludf.DUMMYFUNCTION("""COMPUTED_VALUE"""),"GUN-10894")</f>
        <v>GUN-10894</v>
      </c>
      <c r="B895" s="50">
        <f>IFERROR(__xludf.DUMMYFUNCTION("""COMPUTED_VALUE"""),44722.426174699074)</f>
        <v>44722.42617</v>
      </c>
      <c r="C895" s="52" t="str">
        <f>IFERROR(__xludf.DUMMYFUNCTION("""COMPUTED_VALUE"""),"FEMINUN")</f>
        <v>FEMINUN</v>
      </c>
      <c r="D895" s="53">
        <f>IFERROR(__xludf.DUMMYFUNCTION("""COMPUTED_VALUE"""),44727.625)</f>
        <v>44727.625</v>
      </c>
      <c r="E895" s="81"/>
      <c r="F895" s="81">
        <v>5.198825300925819</v>
      </c>
    </row>
    <row r="896">
      <c r="A896" s="52" t="str">
        <f>IFERROR(__xludf.DUMMYFUNCTION("""COMPUTED_VALUE"""),"GUN-10895")</f>
        <v>GUN-10895</v>
      </c>
      <c r="B896" s="50">
        <f>IFERROR(__xludf.DUMMYFUNCTION("""COMPUTED_VALUE"""),44722.42783193287)</f>
        <v>44722.42783</v>
      </c>
      <c r="C896" s="52" t="str">
        <f>IFERROR(__xludf.DUMMYFUNCTION("""COMPUTED_VALUE"""),"FEMINUN")</f>
        <v>FEMINUN</v>
      </c>
      <c r="D896" s="53">
        <f>IFERROR(__xludf.DUMMYFUNCTION("""COMPUTED_VALUE"""),44729.625)</f>
        <v>44729.625</v>
      </c>
      <c r="E896" s="81"/>
      <c r="F896" s="81">
        <v>7.197168067126768</v>
      </c>
    </row>
    <row r="897">
      <c r="A897" s="52" t="str">
        <f>IFERROR(__xludf.DUMMYFUNCTION("""COMPUTED_VALUE"""),"GUN-10896")</f>
        <v>GUN-10896</v>
      </c>
      <c r="B897" s="50">
        <f>IFERROR(__xludf.DUMMYFUNCTION("""COMPUTED_VALUE"""),44740.49970997685)</f>
        <v>44740.49971</v>
      </c>
      <c r="C897" s="52" t="str">
        <f>IFERROR(__xludf.DUMMYFUNCTION("""COMPUTED_VALUE"""),"FELINORTE")</f>
        <v>FELINORTE</v>
      </c>
      <c r="D897" s="53">
        <f>IFERROR(__xludf.DUMMYFUNCTION("""COMPUTED_VALUE"""),44742.375)</f>
        <v>44742.375</v>
      </c>
      <c r="E897" s="81"/>
      <c r="F897" s="81">
        <v>1.875290023148409</v>
      </c>
    </row>
    <row r="898">
      <c r="A898" s="52" t="str">
        <f>IFERROR(__xludf.DUMMYFUNCTION("""COMPUTED_VALUE"""),"GUN-10897")</f>
        <v>GUN-10897</v>
      </c>
      <c r="B898" s="50">
        <f>IFERROR(__xludf.DUMMYFUNCTION("""COMPUTED_VALUE"""),44748.5681015625)</f>
        <v>44748.5681</v>
      </c>
      <c r="C898" s="52" t="str">
        <f>IFERROR(__xludf.DUMMYFUNCTION("""COMPUTED_VALUE"""),"FELINORTE")</f>
        <v>FELINORTE</v>
      </c>
      <c r="D898" s="53">
        <f>IFERROR(__xludf.DUMMYFUNCTION("""COMPUTED_VALUE"""),44757.66666666667)</f>
        <v>44757.66667</v>
      </c>
      <c r="E898" s="81"/>
      <c r="F898" s="81">
        <v>9.09856510417012</v>
      </c>
    </row>
    <row r="899">
      <c r="A899" s="52" t="str">
        <f>IFERROR(__xludf.DUMMYFUNCTION("""COMPUTED_VALUE"""),"GUN-10898")</f>
        <v>GUN-10898</v>
      </c>
      <c r="B899" s="50">
        <f>IFERROR(__xludf.DUMMYFUNCTION("""COMPUTED_VALUE"""),44753.57108011575)</f>
        <v>44753.57108</v>
      </c>
      <c r="C899" s="52" t="str">
        <f>IFERROR(__xludf.DUMMYFUNCTION("""COMPUTED_VALUE"""),"FEMINUN")</f>
        <v>FEMINUN</v>
      </c>
      <c r="D899" s="53">
        <f>IFERROR(__xludf.DUMMYFUNCTION("""COMPUTED_VALUE"""),44755.625)</f>
        <v>44755.625</v>
      </c>
      <c r="E899" s="81"/>
      <c r="F899" s="81">
        <v>2.0539198842525366</v>
      </c>
    </row>
    <row r="900">
      <c r="A900" s="52" t="str">
        <f>IFERROR(__xludf.DUMMYFUNCTION("""COMPUTED_VALUE"""),"GUN-10899")</f>
        <v>GUN-10899</v>
      </c>
      <c r="B900" s="50">
        <f>IFERROR(__xludf.DUMMYFUNCTION("""COMPUTED_VALUE"""),44756.659314247685)</f>
        <v>44756.65931</v>
      </c>
      <c r="C900" s="52" t="str">
        <f>IFERROR(__xludf.DUMMYFUNCTION("""COMPUTED_VALUE"""),"GEO-ENERGÍA")</f>
        <v>GEO-ENERGÍA</v>
      </c>
      <c r="D900" s="53">
        <f>IFERROR(__xludf.DUMMYFUNCTION("""COMPUTED_VALUE"""),44772.375)</f>
        <v>44772.375</v>
      </c>
      <c r="E900" s="81"/>
      <c r="F900" s="81">
        <v>15.71568575231504</v>
      </c>
    </row>
    <row r="901">
      <c r="A901" s="52" t="str">
        <f>IFERROR(__xludf.DUMMYFUNCTION("""COMPUTED_VALUE"""),"GUN-10900")</f>
        <v>GUN-10900</v>
      </c>
      <c r="B901" s="50">
        <f>IFERROR(__xludf.DUMMYFUNCTION("""COMPUTED_VALUE"""),44767.64518733797)</f>
        <v>44767.64519</v>
      </c>
      <c r="C901" s="52" t="str">
        <f>IFERROR(__xludf.DUMMYFUNCTION("""COMPUTED_VALUE"""),"FEMINUN")</f>
        <v>FEMINUN</v>
      </c>
      <c r="D901" s="53">
        <f>IFERROR(__xludf.DUMMYFUNCTION("""COMPUTED_VALUE"""),44771.60416666667)</f>
        <v>44771.60417</v>
      </c>
      <c r="E901" s="81"/>
      <c r="F901" s="81">
        <v>3.958979328701389</v>
      </c>
    </row>
    <row r="902">
      <c r="A902" s="52" t="str">
        <f>IFERROR(__xludf.DUMMYFUNCTION("""COMPUTED_VALUE"""),"GUN-10901")</f>
        <v>GUN-10901</v>
      </c>
      <c r="B902" s="50">
        <f>IFERROR(__xludf.DUMMYFUNCTION("""COMPUTED_VALUE"""),44768.54854793981)</f>
        <v>44768.54855</v>
      </c>
      <c r="C902" s="52" t="str">
        <f>IFERROR(__xludf.DUMMYFUNCTION("""COMPUTED_VALUE"""),"FEMINUN")</f>
        <v>FEMINUN</v>
      </c>
      <c r="D902" s="53">
        <f>IFERROR(__xludf.DUMMYFUNCTION("""COMPUTED_VALUE"""),44769.625)</f>
        <v>44769.625</v>
      </c>
      <c r="E902" s="81"/>
      <c r="F902" s="81">
        <v>1.0764520601878758</v>
      </c>
    </row>
    <row r="903">
      <c r="A903" s="52" t="str">
        <f>IFERROR(__xludf.DUMMYFUNCTION("""COMPUTED_VALUE"""),"GUN-10902")</f>
        <v>GUN-10902</v>
      </c>
      <c r="B903" s="50">
        <f>IFERROR(__xludf.DUMMYFUNCTION("""COMPUTED_VALUE"""),44768.54954465277)</f>
        <v>44768.54954</v>
      </c>
      <c r="C903" s="52" t="str">
        <f>IFERROR(__xludf.DUMMYFUNCTION("""COMPUTED_VALUE"""),"FEMINUN")</f>
        <v>FEMINUN</v>
      </c>
      <c r="D903" s="53">
        <f>IFERROR(__xludf.DUMMYFUNCTION("""COMPUTED_VALUE"""),44769.625)</f>
        <v>44769.625</v>
      </c>
      <c r="E903" s="81"/>
      <c r="F903" s="81">
        <v>1.0754553472288535</v>
      </c>
    </row>
    <row r="904">
      <c r="A904" s="52" t="str">
        <f>IFERROR(__xludf.DUMMYFUNCTION("""COMPUTED_VALUE"""),"GUN-10903")</f>
        <v>GUN-10903</v>
      </c>
      <c r="B904" s="50">
        <f>IFERROR(__xludf.DUMMYFUNCTION("""COMPUTED_VALUE"""),44791.468080405095)</f>
        <v>44791.46808</v>
      </c>
      <c r="C904" s="52" t="str">
        <f>IFERROR(__xludf.DUMMYFUNCTION("""COMPUTED_VALUE"""),"CEARQ")</f>
        <v>CEARQ</v>
      </c>
      <c r="D904" s="53">
        <f>IFERROR(__xludf.DUMMYFUNCTION("""COMPUTED_VALUE"""),44798.4375)</f>
        <v>44798.4375</v>
      </c>
      <c r="E904" s="81"/>
      <c r="F904" s="81">
        <v>6.969419594905048</v>
      </c>
    </row>
    <row r="905">
      <c r="A905" s="52"/>
      <c r="B905" s="50"/>
      <c r="C905" s="52"/>
      <c r="D905" s="53"/>
      <c r="E905" s="81"/>
      <c r="F905" s="81" t="s">
        <v>6172</v>
      </c>
    </row>
    <row r="906">
      <c r="A906" s="52"/>
      <c r="B906" s="50"/>
      <c r="C906" s="52"/>
      <c r="D906" s="53"/>
      <c r="E906" s="81"/>
      <c r="F906" s="81" t="s">
        <v>6172</v>
      </c>
    </row>
    <row r="907">
      <c r="A907" s="52"/>
      <c r="B907" s="50"/>
      <c r="C907" s="52"/>
      <c r="D907" s="53"/>
      <c r="E907" s="81"/>
      <c r="F907" s="81" t="s">
        <v>6172</v>
      </c>
    </row>
    <row r="908">
      <c r="A908" s="52"/>
      <c r="B908" s="50"/>
      <c r="C908" s="52"/>
      <c r="D908" s="53"/>
      <c r="E908" s="81"/>
      <c r="F908" s="81" t="s">
        <v>6172</v>
      </c>
    </row>
    <row r="909">
      <c r="A909" s="52"/>
      <c r="B909" s="50"/>
      <c r="C909" s="52"/>
      <c r="D909" s="53"/>
      <c r="E909" s="81"/>
      <c r="F909" s="81" t="s">
        <v>6172</v>
      </c>
    </row>
    <row r="910">
      <c r="A910" s="52"/>
      <c r="B910" s="50"/>
      <c r="C910" s="52"/>
      <c r="D910" s="53"/>
      <c r="E910" s="81"/>
      <c r="F910" s="81" t="s">
        <v>6172</v>
      </c>
    </row>
    <row r="911">
      <c r="A911" s="52"/>
      <c r="B911" s="50"/>
      <c r="C911" s="52"/>
      <c r="D911" s="53"/>
      <c r="E911" s="81"/>
      <c r="F911" s="81" t="s">
        <v>6172</v>
      </c>
    </row>
    <row r="912">
      <c r="A912" s="52"/>
      <c r="B912" s="50"/>
      <c r="C912" s="52"/>
      <c r="D912" s="53"/>
      <c r="E912" s="81"/>
      <c r="F912" s="81" t="s">
        <v>6172</v>
      </c>
    </row>
    <row r="913">
      <c r="A913" s="52"/>
      <c r="B913" s="50"/>
      <c r="C913" s="52"/>
      <c r="D913" s="53"/>
      <c r="E913" s="81"/>
      <c r="F913" s="81" t="s">
        <v>6172</v>
      </c>
    </row>
    <row r="914">
      <c r="A914" s="52"/>
      <c r="B914" s="50"/>
      <c r="C914" s="52"/>
      <c r="D914" s="53"/>
      <c r="E914" s="81"/>
      <c r="F914" s="81" t="s">
        <v>6172</v>
      </c>
    </row>
    <row r="915">
      <c r="A915" s="52"/>
      <c r="B915" s="50"/>
      <c r="C915" s="52"/>
      <c r="D915" s="53"/>
      <c r="E915" s="81"/>
      <c r="F915" s="81" t="s">
        <v>6172</v>
      </c>
    </row>
    <row r="916">
      <c r="A916" s="52"/>
      <c r="B916" s="50"/>
      <c r="C916" s="52"/>
      <c r="D916" s="53"/>
      <c r="E916" s="81"/>
      <c r="F916" s="81" t="s">
        <v>6172</v>
      </c>
    </row>
    <row r="917">
      <c r="A917" s="52"/>
      <c r="B917" s="50"/>
      <c r="C917" s="52"/>
      <c r="D917" s="53"/>
      <c r="E917" s="81"/>
      <c r="F917" s="81" t="s">
        <v>6172</v>
      </c>
    </row>
    <row r="918">
      <c r="A918" s="52"/>
      <c r="B918" s="50"/>
      <c r="C918" s="52"/>
      <c r="D918" s="53"/>
      <c r="E918" s="81"/>
      <c r="F918" s="81" t="s">
        <v>6172</v>
      </c>
    </row>
    <row r="919">
      <c r="A919" s="52"/>
      <c r="B919" s="50"/>
      <c r="C919" s="52"/>
      <c r="D919" s="53"/>
      <c r="E919" s="81"/>
      <c r="F919" s="81" t="s">
        <v>6172</v>
      </c>
    </row>
    <row r="920">
      <c r="A920" s="52"/>
      <c r="B920" s="50"/>
      <c r="C920" s="52"/>
      <c r="D920" s="53"/>
      <c r="E920" s="81"/>
      <c r="F920" s="81" t="s">
        <v>6172</v>
      </c>
    </row>
    <row r="921">
      <c r="A921" s="52"/>
      <c r="B921" s="50"/>
      <c r="C921" s="52"/>
      <c r="D921" s="53"/>
      <c r="E921" s="81"/>
      <c r="F921" s="81" t="s">
        <v>6172</v>
      </c>
    </row>
    <row r="922">
      <c r="A922" s="52"/>
      <c r="B922" s="50"/>
      <c r="C922" s="52"/>
      <c r="D922" s="53"/>
      <c r="E922" s="81"/>
      <c r="F922" s="81" t="s">
        <v>6172</v>
      </c>
    </row>
    <row r="923">
      <c r="A923" s="52"/>
      <c r="B923" s="50"/>
      <c r="C923" s="52"/>
      <c r="D923" s="53"/>
      <c r="E923" s="81"/>
      <c r="F923" s="81" t="s">
        <v>6172</v>
      </c>
    </row>
    <row r="924">
      <c r="A924" s="52"/>
      <c r="B924" s="50"/>
      <c r="C924" s="52"/>
      <c r="D924" s="53"/>
      <c r="E924" s="81"/>
      <c r="F924" s="81" t="s">
        <v>6172</v>
      </c>
    </row>
    <row r="925">
      <c r="A925" s="52"/>
      <c r="B925" s="50"/>
      <c r="C925" s="52"/>
      <c r="D925" s="53"/>
      <c r="E925" s="81"/>
      <c r="F925" s="81" t="s">
        <v>6172</v>
      </c>
    </row>
    <row r="926">
      <c r="A926" s="52"/>
      <c r="B926" s="50"/>
      <c r="C926" s="52"/>
      <c r="D926" s="53"/>
      <c r="E926" s="81"/>
      <c r="F926" s="81" t="s">
        <v>6172</v>
      </c>
    </row>
    <row r="927">
      <c r="A927" s="52"/>
      <c r="B927" s="50"/>
      <c r="C927" s="52"/>
      <c r="D927" s="53"/>
      <c r="E927" s="81"/>
      <c r="F927" s="81" t="s">
        <v>6172</v>
      </c>
    </row>
    <row r="928">
      <c r="A928" s="52"/>
      <c r="B928" s="50"/>
      <c r="C928" s="52"/>
      <c r="D928" s="53"/>
      <c r="E928" s="81"/>
      <c r="F928" s="81" t="s">
        <v>6172</v>
      </c>
    </row>
    <row r="929">
      <c r="A929" s="52"/>
      <c r="B929" s="50"/>
      <c r="C929" s="52"/>
      <c r="D929" s="53"/>
      <c r="E929" s="81"/>
      <c r="F929" s="81" t="s">
        <v>6172</v>
      </c>
    </row>
    <row r="930">
      <c r="A930" s="52"/>
      <c r="B930" s="50"/>
      <c r="C930" s="52"/>
      <c r="D930" s="53"/>
      <c r="E930" s="81"/>
      <c r="F930" s="81" t="s">
        <v>6172</v>
      </c>
    </row>
    <row r="931">
      <c r="A931" s="52"/>
      <c r="B931" s="50"/>
      <c r="C931" s="52"/>
      <c r="D931" s="53"/>
      <c r="E931" s="81"/>
      <c r="F931" s="81" t="s">
        <v>6172</v>
      </c>
    </row>
    <row r="932">
      <c r="A932" s="52"/>
      <c r="B932" s="50"/>
      <c r="C932" s="52"/>
      <c r="D932" s="53"/>
      <c r="E932" s="81"/>
      <c r="F932" s="81" t="s">
        <v>6172</v>
      </c>
    </row>
    <row r="933">
      <c r="A933" s="52"/>
      <c r="B933" s="50"/>
      <c r="C933" s="52"/>
      <c r="D933" s="53"/>
      <c r="E933" s="81"/>
      <c r="F933" s="81" t="s">
        <v>6172</v>
      </c>
    </row>
    <row r="934">
      <c r="A934" s="52"/>
      <c r="B934" s="50"/>
      <c r="C934" s="52"/>
      <c r="D934" s="53"/>
      <c r="E934" s="81"/>
      <c r="F934" s="81" t="s">
        <v>6172</v>
      </c>
    </row>
    <row r="935">
      <c r="A935" s="52"/>
      <c r="B935" s="50"/>
      <c r="C935" s="52"/>
      <c r="D935" s="53"/>
      <c r="E935" s="81"/>
      <c r="F935" s="81" t="s">
        <v>6172</v>
      </c>
    </row>
    <row r="936">
      <c r="A936" s="52"/>
      <c r="B936" s="50"/>
      <c r="C936" s="52"/>
      <c r="D936" s="53"/>
      <c r="E936" s="81"/>
      <c r="F936" s="81" t="s">
        <v>6172</v>
      </c>
    </row>
    <row r="937">
      <c r="A937" s="52"/>
      <c r="B937" s="50"/>
      <c r="C937" s="52"/>
      <c r="D937" s="53"/>
      <c r="E937" s="81"/>
      <c r="F937" s="81" t="s">
        <v>6172</v>
      </c>
    </row>
    <row r="938">
      <c r="A938" s="52"/>
      <c r="B938" s="50"/>
      <c r="C938" s="52"/>
      <c r="D938" s="53"/>
      <c r="E938" s="81"/>
      <c r="F938" s="81" t="s">
        <v>6172</v>
      </c>
    </row>
    <row r="939">
      <c r="A939" s="52"/>
      <c r="B939" s="50"/>
      <c r="C939" s="52"/>
      <c r="D939" s="53"/>
      <c r="E939" s="81"/>
      <c r="F939" s="81" t="s">
        <v>6172</v>
      </c>
    </row>
    <row r="940">
      <c r="A940" s="52"/>
      <c r="B940" s="50"/>
      <c r="C940" s="52"/>
      <c r="D940" s="53"/>
      <c r="E940" s="81"/>
      <c r="F940" s="81" t="s">
        <v>6172</v>
      </c>
    </row>
    <row r="941">
      <c r="A941" s="52"/>
      <c r="B941" s="50"/>
      <c r="C941" s="52"/>
      <c r="D941" s="53"/>
      <c r="E941" s="81"/>
      <c r="F941" s="81" t="s">
        <v>6172</v>
      </c>
    </row>
    <row r="942">
      <c r="A942" s="52"/>
      <c r="B942" s="50"/>
      <c r="C942" s="52"/>
      <c r="D942" s="53"/>
      <c r="E942" s="81"/>
      <c r="F942" s="81" t="s">
        <v>6172</v>
      </c>
    </row>
    <row r="943">
      <c r="A943" s="52"/>
      <c r="B943" s="50"/>
      <c r="C943" s="52"/>
      <c r="D943" s="53"/>
      <c r="E943" s="81"/>
      <c r="F943" s="81" t="s">
        <v>6172</v>
      </c>
    </row>
    <row r="944">
      <c r="A944" s="52"/>
      <c r="B944" s="50"/>
      <c r="C944" s="52"/>
      <c r="D944" s="53"/>
      <c r="E944" s="81"/>
      <c r="F944" s="81" t="s">
        <v>6172</v>
      </c>
    </row>
    <row r="945">
      <c r="A945" s="52"/>
      <c r="B945" s="50"/>
      <c r="C945" s="52"/>
      <c r="D945" s="53"/>
      <c r="E945" s="81"/>
      <c r="F945" s="81" t="s">
        <v>6172</v>
      </c>
    </row>
    <row r="946">
      <c r="A946" s="52"/>
      <c r="B946" s="50"/>
      <c r="C946" s="52"/>
      <c r="D946" s="53"/>
      <c r="E946" s="81"/>
      <c r="F946" s="81" t="s">
        <v>6172</v>
      </c>
    </row>
    <row r="947">
      <c r="A947" s="52"/>
      <c r="B947" s="50"/>
      <c r="C947" s="52"/>
      <c r="D947" s="53"/>
      <c r="E947" s="81"/>
      <c r="F947" s="81" t="s">
        <v>6172</v>
      </c>
    </row>
    <row r="948">
      <c r="A948" s="52"/>
      <c r="B948" s="50"/>
      <c r="C948" s="52"/>
      <c r="D948" s="53"/>
      <c r="E948" s="81"/>
      <c r="F948" s="81" t="s">
        <v>6172</v>
      </c>
    </row>
    <row r="949">
      <c r="A949" s="52"/>
      <c r="B949" s="50"/>
      <c r="C949" s="52"/>
      <c r="D949" s="53"/>
      <c r="E949" s="81"/>
      <c r="F949" s="81" t="s">
        <v>6172</v>
      </c>
    </row>
    <row r="950">
      <c r="A950" s="52"/>
      <c r="B950" s="50"/>
      <c r="C950" s="52"/>
      <c r="D950" s="53"/>
      <c r="E950" s="81"/>
      <c r="F950" s="81" t="s">
        <v>6172</v>
      </c>
    </row>
    <row r="951">
      <c r="A951" s="52"/>
      <c r="B951" s="50"/>
      <c r="C951" s="52"/>
      <c r="D951" s="53"/>
      <c r="E951" s="81"/>
      <c r="F951" s="81" t="s">
        <v>6172</v>
      </c>
    </row>
    <row r="952">
      <c r="A952" s="52"/>
      <c r="B952" s="50"/>
      <c r="C952" s="52"/>
      <c r="D952" s="53"/>
      <c r="E952" s="81"/>
      <c r="F952" s="81" t="s">
        <v>6172</v>
      </c>
    </row>
    <row r="953">
      <c r="A953" s="52"/>
      <c r="B953" s="50"/>
      <c r="C953" s="52"/>
      <c r="D953" s="53"/>
      <c r="E953" s="81"/>
      <c r="F953" s="81" t="s">
        <v>6172</v>
      </c>
    </row>
    <row r="954">
      <c r="A954" s="52"/>
      <c r="B954" s="50"/>
      <c r="C954" s="52"/>
      <c r="D954" s="53"/>
      <c r="E954" s="81"/>
      <c r="F954" s="81" t="s">
        <v>6172</v>
      </c>
    </row>
    <row r="955">
      <c r="A955" s="52"/>
      <c r="B955" s="50"/>
      <c r="C955" s="52"/>
      <c r="D955" s="53"/>
      <c r="E955" s="81"/>
      <c r="F955" s="81" t="s">
        <v>6172</v>
      </c>
    </row>
    <row r="956">
      <c r="A956" s="52"/>
      <c r="B956" s="50"/>
      <c r="C956" s="52"/>
      <c r="D956" s="53"/>
      <c r="E956" s="81"/>
      <c r="F956" s="81" t="s">
        <v>6172</v>
      </c>
    </row>
    <row r="957">
      <c r="A957" s="52"/>
      <c r="B957" s="50"/>
      <c r="C957" s="52"/>
      <c r="D957" s="53"/>
      <c r="E957" s="81"/>
      <c r="F957" s="81" t="s">
        <v>6172</v>
      </c>
    </row>
    <row r="958">
      <c r="A958" s="52"/>
      <c r="B958" s="50"/>
      <c r="C958" s="52"/>
      <c r="D958" s="53"/>
      <c r="E958" s="81"/>
      <c r="F958" s="81" t="s">
        <v>6172</v>
      </c>
    </row>
    <row r="959">
      <c r="A959" s="52"/>
      <c r="B959" s="50"/>
      <c r="C959" s="52"/>
      <c r="D959" s="53"/>
      <c r="E959" s="81"/>
      <c r="F959" s="81" t="s">
        <v>6172</v>
      </c>
    </row>
    <row r="960">
      <c r="A960" s="52"/>
      <c r="B960" s="50"/>
      <c r="C960" s="52"/>
      <c r="D960" s="53"/>
      <c r="E960" s="81"/>
      <c r="F960" s="81" t="s">
        <v>6172</v>
      </c>
    </row>
    <row r="961">
      <c r="A961" s="52"/>
      <c r="B961" s="50"/>
      <c r="C961" s="52"/>
      <c r="D961" s="53"/>
      <c r="E961" s="81"/>
      <c r="F961" s="81" t="s">
        <v>6172</v>
      </c>
    </row>
    <row r="962">
      <c r="A962" s="52"/>
      <c r="B962" s="50"/>
      <c r="C962" s="52"/>
      <c r="D962" s="53"/>
      <c r="E962" s="81"/>
      <c r="F962" s="81" t="s">
        <v>6172</v>
      </c>
    </row>
    <row r="963">
      <c r="A963" s="52"/>
      <c r="B963" s="50"/>
      <c r="C963" s="52"/>
      <c r="D963" s="53"/>
      <c r="E963" s="81"/>
      <c r="F963" s="81" t="s">
        <v>6172</v>
      </c>
    </row>
    <row r="964">
      <c r="A964" s="52"/>
      <c r="B964" s="50"/>
      <c r="C964" s="52"/>
      <c r="D964" s="53"/>
      <c r="E964" s="81"/>
      <c r="F964" s="81" t="s">
        <v>6172</v>
      </c>
    </row>
    <row r="965">
      <c r="A965" s="52"/>
      <c r="B965" s="50"/>
      <c r="C965" s="52"/>
      <c r="D965" s="53"/>
      <c r="E965" s="81"/>
      <c r="F965" s="81" t="s">
        <v>6172</v>
      </c>
    </row>
    <row r="966">
      <c r="A966" s="52"/>
      <c r="B966" s="50"/>
      <c r="C966" s="52"/>
      <c r="D966" s="53"/>
      <c r="E966" s="81"/>
      <c r="F966" s="81" t="s">
        <v>6172</v>
      </c>
    </row>
    <row r="967">
      <c r="A967" s="52"/>
      <c r="B967" s="50"/>
      <c r="C967" s="52"/>
      <c r="D967" s="53"/>
      <c r="E967" s="81"/>
      <c r="F967" s="81" t="s">
        <v>6172</v>
      </c>
    </row>
    <row r="968">
      <c r="A968" s="52"/>
      <c r="B968" s="50"/>
      <c r="C968" s="52"/>
      <c r="D968" s="53"/>
      <c r="E968" s="81"/>
      <c r="F968" s="81" t="s">
        <v>6172</v>
      </c>
    </row>
    <row r="969">
      <c r="A969" s="52"/>
      <c r="B969" s="50"/>
      <c r="C969" s="52"/>
      <c r="D969" s="53"/>
      <c r="E969" s="81"/>
      <c r="F969" s="81" t="s">
        <v>6172</v>
      </c>
    </row>
    <row r="970">
      <c r="A970" s="52"/>
      <c r="B970" s="50"/>
      <c r="C970" s="52"/>
      <c r="D970" s="53"/>
      <c r="E970" s="81"/>
      <c r="F970" s="81" t="s">
        <v>6172</v>
      </c>
    </row>
    <row r="971">
      <c r="A971" s="52"/>
      <c r="B971" s="50"/>
      <c r="C971" s="52"/>
      <c r="D971" s="53"/>
      <c r="E971" s="81"/>
      <c r="F971" s="81" t="s">
        <v>6172</v>
      </c>
    </row>
    <row r="972">
      <c r="A972" s="52"/>
      <c r="B972" s="50"/>
      <c r="C972" s="52"/>
      <c r="D972" s="53"/>
      <c r="E972" s="81"/>
      <c r="F972" s="81" t="s">
        <v>6172</v>
      </c>
    </row>
    <row r="973">
      <c r="A973" s="52"/>
      <c r="B973" s="50"/>
      <c r="C973" s="52"/>
      <c r="D973" s="53"/>
      <c r="E973" s="81"/>
      <c r="F973" s="81" t="s">
        <v>6172</v>
      </c>
    </row>
    <row r="974">
      <c r="A974" s="52"/>
      <c r="B974" s="50"/>
      <c r="C974" s="52"/>
      <c r="D974" s="53"/>
      <c r="E974" s="81"/>
      <c r="F974" s="81" t="s">
        <v>6172</v>
      </c>
    </row>
    <row r="975">
      <c r="A975" s="52"/>
      <c r="B975" s="50"/>
      <c r="C975" s="52"/>
      <c r="D975" s="53"/>
      <c r="E975" s="81"/>
      <c r="F975" s="81" t="s">
        <v>6172</v>
      </c>
    </row>
    <row r="976">
      <c r="A976" s="52"/>
      <c r="B976" s="50"/>
      <c r="C976" s="52"/>
      <c r="D976" s="53"/>
      <c r="E976" s="81"/>
      <c r="F976" s="81" t="s">
        <v>6172</v>
      </c>
    </row>
    <row r="977">
      <c r="A977" s="52"/>
      <c r="B977" s="50"/>
      <c r="C977" s="52"/>
      <c r="D977" s="53"/>
      <c r="E977" s="81"/>
      <c r="F977" s="81" t="s">
        <v>6172</v>
      </c>
    </row>
    <row r="978">
      <c r="A978" s="52"/>
      <c r="B978" s="50"/>
      <c r="C978" s="52"/>
      <c r="D978" s="53"/>
      <c r="E978" s="81"/>
      <c r="F978" s="81" t="s">
        <v>6172</v>
      </c>
    </row>
    <row r="979">
      <c r="A979" s="52"/>
      <c r="B979" s="50"/>
      <c r="C979" s="52"/>
      <c r="D979" s="53"/>
      <c r="E979" s="81"/>
      <c r="F979" s="81" t="s">
        <v>6172</v>
      </c>
    </row>
    <row r="980">
      <c r="A980" s="52"/>
      <c r="B980" s="50"/>
      <c r="C980" s="52"/>
      <c r="D980" s="53"/>
      <c r="E980" s="81"/>
      <c r="F980" s="81" t="s">
        <v>6172</v>
      </c>
    </row>
    <row r="981">
      <c r="A981" s="52"/>
      <c r="B981" s="50"/>
      <c r="C981" s="52"/>
      <c r="D981" s="53"/>
      <c r="E981" s="81"/>
      <c r="F981" s="81" t="s">
        <v>6172</v>
      </c>
    </row>
    <row r="982">
      <c r="A982" s="52"/>
      <c r="B982" s="50"/>
      <c r="C982" s="52"/>
      <c r="D982" s="53"/>
      <c r="E982" s="81"/>
      <c r="F982" s="81" t="s">
        <v>6172</v>
      </c>
    </row>
    <row r="983">
      <c r="A983" s="52"/>
      <c r="B983" s="50"/>
      <c r="C983" s="52"/>
      <c r="D983" s="53"/>
      <c r="E983" s="81"/>
      <c r="F983" s="81" t="s">
        <v>6172</v>
      </c>
    </row>
    <row r="984">
      <c r="A984" s="52"/>
      <c r="B984" s="50"/>
      <c r="C984" s="52"/>
      <c r="D984" s="53"/>
      <c r="E984" s="81"/>
      <c r="F984" s="81" t="s">
        <v>6172</v>
      </c>
    </row>
    <row r="985">
      <c r="A985" s="52"/>
      <c r="B985" s="50"/>
      <c r="C985" s="52"/>
      <c r="D985" s="53"/>
      <c r="E985" s="81"/>
      <c r="F985" s="81" t="s">
        <v>6172</v>
      </c>
    </row>
    <row r="986">
      <c r="A986" s="52"/>
      <c r="B986" s="50"/>
      <c r="C986" s="52"/>
      <c r="D986" s="53"/>
      <c r="E986" s="81"/>
      <c r="F986" s="81" t="s">
        <v>6172</v>
      </c>
    </row>
    <row r="987">
      <c r="A987" s="52"/>
      <c r="B987" s="50"/>
      <c r="C987" s="52"/>
      <c r="D987" s="53"/>
      <c r="E987" s="81"/>
      <c r="F987" s="81" t="s">
        <v>6172</v>
      </c>
    </row>
    <row r="988">
      <c r="A988" s="52"/>
      <c r="B988" s="50"/>
      <c r="C988" s="52"/>
      <c r="D988" s="53"/>
      <c r="E988" s="81"/>
      <c r="F988" s="81" t="s">
        <v>6172</v>
      </c>
    </row>
    <row r="989">
      <c r="A989" s="52"/>
      <c r="B989" s="50"/>
      <c r="C989" s="52"/>
      <c r="D989" s="53"/>
      <c r="E989" s="81"/>
      <c r="F989" s="81" t="s">
        <v>6172</v>
      </c>
    </row>
    <row r="990">
      <c r="A990" s="52"/>
      <c r="B990" s="50"/>
      <c r="C990" s="52"/>
      <c r="D990" s="53"/>
      <c r="E990" s="81"/>
      <c r="F990" s="81" t="s">
        <v>6172</v>
      </c>
    </row>
    <row r="991">
      <c r="A991" s="52"/>
      <c r="B991" s="50"/>
      <c r="C991" s="52"/>
      <c r="D991" s="53"/>
      <c r="E991" s="81"/>
      <c r="F991" s="81" t="s">
        <v>6172</v>
      </c>
    </row>
    <row r="992">
      <c r="A992" s="52"/>
      <c r="B992" s="50"/>
      <c r="C992" s="52"/>
      <c r="D992" s="53"/>
      <c r="E992" s="81"/>
      <c r="F992" s="81" t="s">
        <v>6172</v>
      </c>
    </row>
    <row r="993">
      <c r="A993" s="52"/>
      <c r="B993" s="50"/>
      <c r="C993" s="52"/>
      <c r="D993" s="53"/>
      <c r="E993" s="81"/>
      <c r="F993" s="81" t="s">
        <v>6172</v>
      </c>
    </row>
    <row r="994">
      <c r="A994" s="52"/>
      <c r="B994" s="50"/>
      <c r="C994" s="52"/>
      <c r="D994" s="53"/>
      <c r="E994" s="81"/>
      <c r="F994" s="81" t="s">
        <v>6172</v>
      </c>
    </row>
    <row r="995">
      <c r="A995" s="52"/>
      <c r="B995" s="50"/>
      <c r="C995" s="52"/>
      <c r="D995" s="53"/>
      <c r="E995" s="81"/>
      <c r="F995" s="81" t="s">
        <v>6172</v>
      </c>
    </row>
    <row r="996">
      <c r="A996" s="52"/>
      <c r="B996" s="50"/>
      <c r="C996" s="52"/>
      <c r="D996" s="53"/>
      <c r="E996" s="81"/>
      <c r="F996" s="81" t="s">
        <v>6172</v>
      </c>
    </row>
    <row r="997">
      <c r="A997" s="52"/>
      <c r="B997" s="50"/>
      <c r="C997" s="52"/>
      <c r="D997" s="53"/>
      <c r="E997" s="81"/>
      <c r="F997" s="81" t="s">
        <v>6172</v>
      </c>
    </row>
    <row r="998">
      <c r="A998" s="52"/>
      <c r="B998" s="50"/>
      <c r="C998" s="52"/>
      <c r="D998" s="53"/>
      <c r="E998" s="81"/>
      <c r="F998" s="81" t="s">
        <v>6172</v>
      </c>
    </row>
    <row r="999">
      <c r="A999" s="52"/>
      <c r="B999" s="50"/>
      <c r="C999" s="52"/>
      <c r="D999" s="53"/>
      <c r="E999" s="81"/>
      <c r="F999" s="81" t="s">
        <v>6172</v>
      </c>
    </row>
    <row r="1000">
      <c r="A1000" s="52"/>
      <c r="B1000" s="50"/>
      <c r="C1000" s="52"/>
      <c r="D1000" s="53"/>
      <c r="E1000" s="81"/>
      <c r="F1000" s="81" t="s">
        <v>6172</v>
      </c>
    </row>
    <row r="1001">
      <c r="A1001" s="52"/>
      <c r="B1001" s="50"/>
      <c r="C1001" s="52"/>
      <c r="D1001" s="53"/>
      <c r="E1001" s="81"/>
      <c r="F1001" s="81" t="s">
        <v>6172</v>
      </c>
    </row>
    <row r="1002">
      <c r="A1002" s="52"/>
      <c r="B1002" s="50"/>
      <c r="C1002" s="52"/>
      <c r="D1002" s="53"/>
      <c r="E1002" s="81"/>
      <c r="F1002" s="81" t="s">
        <v>6172</v>
      </c>
    </row>
    <row r="1003">
      <c r="A1003" s="52"/>
      <c r="B1003" s="50"/>
      <c r="C1003" s="52"/>
      <c r="D1003" s="53"/>
      <c r="E1003" s="81"/>
      <c r="F1003" s="81" t="s">
        <v>6172</v>
      </c>
    </row>
    <row r="1004">
      <c r="A1004" s="52"/>
      <c r="B1004" s="50"/>
      <c r="C1004" s="52"/>
      <c r="D1004" s="53"/>
      <c r="E1004" s="81"/>
      <c r="F1004" s="81" t="s">
        <v>6172</v>
      </c>
    </row>
    <row r="1005">
      <c r="A1005" s="52"/>
      <c r="B1005" s="50"/>
      <c r="C1005" s="52"/>
      <c r="D1005" s="53"/>
      <c r="E1005" s="81"/>
      <c r="F1005" s="81" t="s">
        <v>6172</v>
      </c>
    </row>
    <row r="1006">
      <c r="A1006" s="52"/>
      <c r="B1006" s="50"/>
      <c r="C1006" s="52"/>
      <c r="D1006" s="53"/>
      <c r="E1006" s="81"/>
      <c r="F1006" s="81" t="s">
        <v>6172</v>
      </c>
    </row>
    <row r="1007">
      <c r="A1007" s="52"/>
      <c r="B1007" s="50"/>
      <c r="C1007" s="52"/>
      <c r="D1007" s="53"/>
      <c r="E1007" s="81"/>
      <c r="F1007" s="81" t="s">
        <v>6172</v>
      </c>
    </row>
    <row r="1008">
      <c r="A1008" s="52"/>
      <c r="B1008" s="50"/>
      <c r="C1008" s="52"/>
      <c r="D1008" s="53"/>
      <c r="E1008" s="81"/>
      <c r="F1008" s="81" t="s">
        <v>6172</v>
      </c>
    </row>
    <row r="1009">
      <c r="A1009" s="52"/>
      <c r="B1009" s="50"/>
      <c r="C1009" s="52"/>
      <c r="D1009" s="53"/>
      <c r="E1009" s="81"/>
      <c r="F1009" s="81" t="s">
        <v>6172</v>
      </c>
    </row>
    <row r="1010">
      <c r="A1010" s="52"/>
      <c r="B1010" s="50"/>
      <c r="C1010" s="52"/>
      <c r="D1010" s="53"/>
      <c r="E1010" s="81"/>
      <c r="F1010" s="81" t="s">
        <v>6172</v>
      </c>
    </row>
    <row r="1011">
      <c r="A1011" s="52"/>
      <c r="B1011" s="50"/>
      <c r="C1011" s="52"/>
      <c r="D1011" s="53"/>
      <c r="E1011" s="81"/>
      <c r="F1011" s="81" t="s">
        <v>6172</v>
      </c>
    </row>
    <row r="1012">
      <c r="A1012" s="52"/>
      <c r="B1012" s="50"/>
      <c r="C1012" s="52"/>
      <c r="D1012" s="53"/>
      <c r="E1012" s="81"/>
      <c r="F1012" s="81" t="s">
        <v>6172</v>
      </c>
    </row>
    <row r="1013">
      <c r="A1013" s="52"/>
      <c r="B1013" s="50"/>
      <c r="C1013" s="52"/>
      <c r="D1013" s="53"/>
      <c r="E1013" s="81"/>
      <c r="F1013" s="81" t="s">
        <v>6172</v>
      </c>
    </row>
    <row r="1014">
      <c r="A1014" s="52"/>
      <c r="B1014" s="50"/>
      <c r="C1014" s="52"/>
      <c r="D1014" s="53"/>
      <c r="E1014" s="81"/>
      <c r="F1014" s="81" t="s">
        <v>6172</v>
      </c>
    </row>
    <row r="1015">
      <c r="A1015" s="52"/>
      <c r="B1015" s="50"/>
      <c r="C1015" s="52"/>
      <c r="D1015" s="53"/>
      <c r="E1015" s="81"/>
      <c r="F1015" s="81" t="s">
        <v>6172</v>
      </c>
    </row>
    <row r="1016">
      <c r="A1016" s="52"/>
      <c r="B1016" s="50"/>
      <c r="C1016" s="52"/>
      <c r="D1016" s="53"/>
      <c r="E1016" s="81"/>
      <c r="F1016" s="81" t="s">
        <v>6172</v>
      </c>
    </row>
    <row r="1017">
      <c r="A1017" s="52"/>
      <c r="B1017" s="50"/>
      <c r="C1017" s="52"/>
      <c r="D1017" s="53"/>
      <c r="E1017" s="81"/>
      <c r="F1017" s="81" t="s">
        <v>6172</v>
      </c>
    </row>
    <row r="1018">
      <c r="A1018" s="52"/>
      <c r="B1018" s="50"/>
      <c r="C1018" s="52"/>
      <c r="D1018" s="53"/>
      <c r="E1018" s="81"/>
      <c r="F1018" s="81" t="s">
        <v>6172</v>
      </c>
    </row>
    <row r="1019">
      <c r="A1019" s="52"/>
      <c r="B1019" s="50"/>
      <c r="C1019" s="52"/>
      <c r="D1019" s="53"/>
      <c r="E1019" s="81"/>
      <c r="F1019" s="81" t="s">
        <v>6172</v>
      </c>
    </row>
    <row r="1020">
      <c r="A1020" s="52"/>
      <c r="B1020" s="50"/>
      <c r="C1020" s="52"/>
      <c r="D1020" s="53"/>
      <c r="E1020" s="81"/>
      <c r="F1020" s="81" t="s">
        <v>6172</v>
      </c>
    </row>
    <row r="1021">
      <c r="A1021" s="52"/>
      <c r="B1021" s="50"/>
      <c r="C1021" s="52"/>
      <c r="D1021" s="53"/>
      <c r="E1021" s="81"/>
      <c r="F1021" s="81" t="s">
        <v>6172</v>
      </c>
    </row>
    <row r="1022">
      <c r="A1022" s="52"/>
      <c r="B1022" s="50"/>
      <c r="C1022" s="52"/>
      <c r="D1022" s="53"/>
      <c r="E1022" s="81"/>
      <c r="F1022" s="81" t="s">
        <v>6172</v>
      </c>
    </row>
    <row r="1023">
      <c r="A1023" s="52"/>
      <c r="B1023" s="50"/>
      <c r="C1023" s="52"/>
      <c r="D1023" s="53"/>
      <c r="E1023" s="81"/>
      <c r="F1023" s="81" t="s">
        <v>6172</v>
      </c>
    </row>
    <row r="1024">
      <c r="A1024" s="52"/>
      <c r="B1024" s="50"/>
      <c r="C1024" s="52"/>
      <c r="D1024" s="53"/>
      <c r="E1024" s="81"/>
      <c r="F1024" s="81" t="s">
        <v>6172</v>
      </c>
    </row>
    <row r="1025">
      <c r="A1025" s="52"/>
      <c r="B1025" s="50"/>
      <c r="C1025" s="52"/>
      <c r="D1025" s="53"/>
      <c r="E1025" s="81"/>
      <c r="F1025" s="81" t="s">
        <v>6172</v>
      </c>
    </row>
    <row r="1026">
      <c r="A1026" s="52"/>
      <c r="B1026" s="50"/>
      <c r="C1026" s="52"/>
      <c r="D1026" s="53"/>
      <c r="E1026" s="81"/>
      <c r="F1026" s="81" t="s">
        <v>6172</v>
      </c>
    </row>
    <row r="1027">
      <c r="A1027" s="52"/>
      <c r="B1027" s="50"/>
      <c r="C1027" s="52"/>
      <c r="D1027" s="53"/>
      <c r="E1027" s="81"/>
      <c r="F1027" s="81" t="s">
        <v>6172</v>
      </c>
    </row>
    <row r="1028">
      <c r="A1028" s="52"/>
      <c r="B1028" s="50"/>
      <c r="C1028" s="52"/>
      <c r="D1028" s="53"/>
      <c r="E1028" s="81"/>
      <c r="F1028" s="81" t="s">
        <v>6172</v>
      </c>
    </row>
    <row r="1029">
      <c r="A1029" s="52"/>
      <c r="B1029" s="50"/>
      <c r="C1029" s="52"/>
      <c r="D1029" s="53"/>
      <c r="E1029" s="81"/>
      <c r="F1029" s="81" t="s">
        <v>6172</v>
      </c>
    </row>
    <row r="1030">
      <c r="A1030" s="52"/>
      <c r="B1030" s="50"/>
      <c r="C1030" s="52"/>
      <c r="D1030" s="53"/>
      <c r="E1030" s="81"/>
      <c r="F1030" s="81" t="s">
        <v>6172</v>
      </c>
    </row>
    <row r="1031">
      <c r="A1031" s="52"/>
      <c r="B1031" s="50"/>
      <c r="C1031" s="52"/>
      <c r="D1031" s="53"/>
      <c r="E1031" s="81"/>
      <c r="F1031" s="81" t="s">
        <v>6172</v>
      </c>
    </row>
    <row r="1032">
      <c r="A1032" s="52"/>
      <c r="B1032" s="50"/>
      <c r="C1032" s="52"/>
      <c r="D1032" s="53"/>
      <c r="E1032" s="81"/>
      <c r="F1032" s="81" t="s">
        <v>6172</v>
      </c>
    </row>
    <row r="1033">
      <c r="A1033" s="52"/>
      <c r="B1033" s="50"/>
      <c r="C1033" s="52"/>
      <c r="D1033" s="53"/>
      <c r="E1033" s="81"/>
      <c r="F1033" s="81" t="s">
        <v>6172</v>
      </c>
    </row>
    <row r="1034">
      <c r="A1034" s="52"/>
      <c r="B1034" s="50"/>
      <c r="C1034" s="52"/>
      <c r="D1034" s="53"/>
      <c r="E1034" s="81"/>
      <c r="F1034" s="81" t="s">
        <v>6172</v>
      </c>
    </row>
    <row r="1035">
      <c r="A1035" s="52"/>
      <c r="B1035" s="50"/>
      <c r="C1035" s="52"/>
      <c r="D1035" s="53"/>
      <c r="E1035" s="81"/>
      <c r="F1035" s="81" t="s">
        <v>6172</v>
      </c>
    </row>
    <row r="1036">
      <c r="A1036" s="52"/>
      <c r="B1036" s="50"/>
      <c r="C1036" s="52"/>
      <c r="D1036" s="53"/>
      <c r="E1036" s="81"/>
      <c r="F1036" s="81" t="s">
        <v>6172</v>
      </c>
    </row>
    <row r="1037">
      <c r="A1037" s="52"/>
      <c r="B1037" s="50"/>
      <c r="C1037" s="52"/>
      <c r="D1037" s="53"/>
      <c r="E1037" s="81"/>
      <c r="F1037" s="81" t="s">
        <v>6172</v>
      </c>
    </row>
    <row r="1038">
      <c r="A1038" s="52"/>
      <c r="B1038" s="50"/>
      <c r="C1038" s="52"/>
      <c r="D1038" s="53"/>
      <c r="E1038" s="81"/>
      <c r="F1038" s="81" t="s">
        <v>6172</v>
      </c>
    </row>
    <row r="1039">
      <c r="A1039" s="52"/>
      <c r="B1039" s="50"/>
      <c r="C1039" s="52"/>
      <c r="D1039" s="53"/>
      <c r="E1039" s="81"/>
      <c r="F1039" s="81" t="s">
        <v>6172</v>
      </c>
    </row>
    <row r="1040">
      <c r="A1040" s="52"/>
      <c r="B1040" s="50"/>
      <c r="C1040" s="52"/>
      <c r="D1040" s="53"/>
      <c r="E1040" s="81"/>
      <c r="F1040" s="81" t="s">
        <v>6172</v>
      </c>
    </row>
    <row r="1041">
      <c r="A1041" s="52"/>
      <c r="B1041" s="50"/>
      <c r="C1041" s="52"/>
      <c r="D1041" s="53"/>
      <c r="E1041" s="81"/>
      <c r="F1041" s="81" t="s">
        <v>6172</v>
      </c>
    </row>
    <row r="1042">
      <c r="A1042" s="52"/>
      <c r="B1042" s="50"/>
      <c r="C1042" s="52"/>
      <c r="D1042" s="53"/>
      <c r="E1042" s="81"/>
      <c r="F1042" s="81" t="s">
        <v>6172</v>
      </c>
    </row>
    <row r="1043">
      <c r="A1043" s="52"/>
      <c r="B1043" s="50"/>
      <c r="C1043" s="52"/>
      <c r="D1043" s="53"/>
      <c r="E1043" s="81"/>
      <c r="F1043" s="81" t="s">
        <v>6172</v>
      </c>
    </row>
    <row r="1044">
      <c r="A1044" s="52"/>
      <c r="B1044" s="50"/>
      <c r="C1044" s="52"/>
      <c r="D1044" s="53"/>
      <c r="E1044" s="81"/>
      <c r="F1044" s="81" t="s">
        <v>6172</v>
      </c>
    </row>
    <row r="1045">
      <c r="A1045" s="52"/>
      <c r="B1045" s="50"/>
      <c r="C1045" s="52"/>
      <c r="D1045" s="53"/>
      <c r="E1045" s="81"/>
      <c r="F1045" s="81" t="s">
        <v>6172</v>
      </c>
    </row>
    <row r="1046">
      <c r="A1046" s="52"/>
      <c r="B1046" s="50"/>
      <c r="C1046" s="52"/>
      <c r="D1046" s="53"/>
      <c r="E1046" s="81"/>
      <c r="F1046" s="81" t="s">
        <v>6172</v>
      </c>
    </row>
    <row r="1047">
      <c r="A1047" s="52"/>
      <c r="B1047" s="50"/>
      <c r="C1047" s="52"/>
      <c r="D1047" s="53"/>
      <c r="E1047" s="81"/>
      <c r="F1047" s="81" t="s">
        <v>6172</v>
      </c>
    </row>
    <row r="1048">
      <c r="A1048" s="52"/>
      <c r="B1048" s="50"/>
      <c r="C1048" s="52"/>
      <c r="D1048" s="53"/>
      <c r="E1048" s="81"/>
      <c r="F1048" s="81" t="s">
        <v>6172</v>
      </c>
    </row>
    <row r="1049">
      <c r="A1049" s="52"/>
      <c r="B1049" s="50"/>
      <c r="C1049" s="52"/>
      <c r="D1049" s="53"/>
      <c r="E1049" s="81"/>
      <c r="F1049" s="81" t="s">
        <v>6172</v>
      </c>
    </row>
    <row r="1050">
      <c r="A1050" s="52"/>
      <c r="B1050" s="50"/>
      <c r="C1050" s="52"/>
      <c r="D1050" s="53"/>
      <c r="E1050" s="81"/>
      <c r="F1050" s="81" t="s">
        <v>6172</v>
      </c>
    </row>
    <row r="1051">
      <c r="A1051" s="52"/>
      <c r="B1051" s="50"/>
      <c r="C1051" s="52"/>
      <c r="D1051" s="53"/>
      <c r="E1051" s="81"/>
      <c r="F1051" s="81" t="s">
        <v>6172</v>
      </c>
    </row>
    <row r="1052">
      <c r="A1052" s="52"/>
      <c r="B1052" s="50"/>
      <c r="C1052" s="52"/>
      <c r="D1052" s="53"/>
      <c r="E1052" s="81"/>
      <c r="F1052" s="81" t="s">
        <v>6172</v>
      </c>
    </row>
    <row r="1053">
      <c r="A1053" s="52"/>
      <c r="B1053" s="50"/>
      <c r="C1053" s="52"/>
      <c r="D1053" s="53"/>
      <c r="E1053" s="81"/>
      <c r="F1053" s="81" t="s">
        <v>6172</v>
      </c>
    </row>
    <row r="1054">
      <c r="A1054" s="52"/>
      <c r="B1054" s="50"/>
      <c r="C1054" s="52"/>
      <c r="D1054" s="53"/>
      <c r="E1054" s="81"/>
      <c r="F1054" s="81" t="s">
        <v>6172</v>
      </c>
    </row>
    <row r="1055">
      <c r="A1055" s="52"/>
      <c r="B1055" s="50"/>
      <c r="C1055" s="52"/>
      <c r="D1055" s="53"/>
      <c r="E1055" s="81"/>
      <c r="F1055" s="81" t="s">
        <v>6172</v>
      </c>
    </row>
    <row r="1056">
      <c r="A1056" s="52"/>
      <c r="B1056" s="50"/>
      <c r="C1056" s="52"/>
      <c r="D1056" s="53"/>
      <c r="E1056" s="81"/>
      <c r="F1056" s="81" t="s">
        <v>6172</v>
      </c>
    </row>
    <row r="1057">
      <c r="A1057" s="52"/>
      <c r="B1057" s="50"/>
      <c r="C1057" s="52"/>
      <c r="D1057" s="53"/>
      <c r="E1057" s="81"/>
      <c r="F1057" s="81" t="s">
        <v>6172</v>
      </c>
    </row>
    <row r="1058">
      <c r="A1058" s="52"/>
      <c r="B1058" s="50"/>
      <c r="C1058" s="52"/>
      <c r="D1058" s="53"/>
      <c r="E1058" s="81"/>
      <c r="F1058" s="81" t="s">
        <v>6172</v>
      </c>
    </row>
    <row r="1059">
      <c r="A1059" s="52"/>
      <c r="B1059" s="50"/>
      <c r="C1059" s="52"/>
      <c r="D1059" s="53"/>
      <c r="E1059" s="81"/>
      <c r="F1059" s="81" t="s">
        <v>6172</v>
      </c>
    </row>
    <row r="1060">
      <c r="A1060" s="52"/>
      <c r="B1060" s="50"/>
      <c r="C1060" s="52"/>
      <c r="D1060" s="53"/>
      <c r="E1060" s="81"/>
      <c r="F1060" s="81" t="s">
        <v>6172</v>
      </c>
    </row>
    <row r="1061">
      <c r="A1061" s="52"/>
      <c r="B1061" s="50"/>
      <c r="C1061" s="52"/>
      <c r="D1061" s="53"/>
      <c r="E1061" s="81"/>
      <c r="F1061" s="81" t="s">
        <v>6172</v>
      </c>
    </row>
    <row r="1062">
      <c r="A1062" s="52"/>
      <c r="B1062" s="50"/>
      <c r="C1062" s="52"/>
      <c r="D1062" s="53"/>
      <c r="E1062" s="81"/>
      <c r="F1062" s="81" t="s">
        <v>6172</v>
      </c>
    </row>
    <row r="1063">
      <c r="A1063" s="52"/>
      <c r="B1063" s="50"/>
      <c r="C1063" s="52"/>
      <c r="D1063" s="53"/>
      <c r="E1063" s="81"/>
      <c r="F1063" s="81" t="s">
        <v>6172</v>
      </c>
    </row>
    <row r="1064">
      <c r="A1064" s="52"/>
      <c r="B1064" s="50"/>
      <c r="C1064" s="52"/>
      <c r="D1064" s="53"/>
      <c r="E1064" s="81"/>
      <c r="F1064" s="81" t="s">
        <v>6172</v>
      </c>
    </row>
    <row r="1065">
      <c r="A1065" s="52"/>
      <c r="B1065" s="50"/>
      <c r="C1065" s="52"/>
      <c r="D1065" s="53"/>
      <c r="E1065" s="81"/>
      <c r="F1065" s="81" t="s">
        <v>6172</v>
      </c>
    </row>
    <row r="1066">
      <c r="A1066" s="52"/>
      <c r="B1066" s="50"/>
      <c r="C1066" s="52"/>
      <c r="D1066" s="53"/>
      <c r="E1066" s="81"/>
      <c r="F1066" s="81" t="s">
        <v>6172</v>
      </c>
    </row>
    <row r="1067">
      <c r="A1067" s="52"/>
      <c r="B1067" s="50"/>
      <c r="C1067" s="52"/>
      <c r="D1067" s="53"/>
      <c r="E1067" s="81"/>
      <c r="F1067" s="81" t="s">
        <v>6172</v>
      </c>
    </row>
    <row r="1068">
      <c r="A1068" s="52"/>
      <c r="B1068" s="50"/>
      <c r="C1068" s="52"/>
      <c r="D1068" s="53"/>
      <c r="E1068" s="81"/>
      <c r="F1068" s="81" t="s">
        <v>6172</v>
      </c>
    </row>
    <row r="1069">
      <c r="A1069" s="52"/>
      <c r="B1069" s="50"/>
      <c r="C1069" s="52"/>
      <c r="D1069" s="53"/>
      <c r="E1069" s="81"/>
      <c r="F1069" s="81" t="s">
        <v>6172</v>
      </c>
    </row>
    <row r="1070">
      <c r="A1070" s="52"/>
      <c r="B1070" s="50"/>
      <c r="C1070" s="52"/>
      <c r="D1070" s="53"/>
      <c r="E1070" s="81"/>
      <c r="F1070" s="81" t="s">
        <v>6172</v>
      </c>
    </row>
    <row r="1071">
      <c r="A1071" s="52"/>
      <c r="B1071" s="50"/>
      <c r="C1071" s="52"/>
      <c r="D1071" s="53"/>
      <c r="E1071" s="81"/>
      <c r="F1071" s="81" t="s">
        <v>6172</v>
      </c>
    </row>
    <row r="1072">
      <c r="A1072" s="52"/>
      <c r="B1072" s="50"/>
      <c r="C1072" s="52"/>
      <c r="D1072" s="53"/>
      <c r="E1072" s="81"/>
      <c r="F1072" s="81" t="s">
        <v>6172</v>
      </c>
    </row>
    <row r="1073">
      <c r="A1073" s="52"/>
      <c r="B1073" s="50"/>
      <c r="C1073" s="52"/>
      <c r="D1073" s="53"/>
      <c r="E1073" s="81"/>
      <c r="F1073" s="81" t="s">
        <v>6172</v>
      </c>
    </row>
    <row r="1074">
      <c r="A1074" s="52"/>
      <c r="B1074" s="50"/>
      <c r="C1074" s="52"/>
      <c r="D1074" s="53"/>
      <c r="E1074" s="81"/>
      <c r="F1074" s="81" t="s">
        <v>6172</v>
      </c>
    </row>
    <row r="1075">
      <c r="A1075" s="52"/>
      <c r="B1075" s="50"/>
      <c r="C1075" s="52"/>
      <c r="D1075" s="53"/>
      <c r="E1075" s="81"/>
      <c r="F1075" s="81" t="s">
        <v>6172</v>
      </c>
    </row>
    <row r="1076">
      <c r="A1076" s="52"/>
      <c r="B1076" s="50"/>
      <c r="C1076" s="52"/>
      <c r="D1076" s="53"/>
      <c r="E1076" s="81"/>
      <c r="F1076" s="81" t="s">
        <v>6172</v>
      </c>
    </row>
    <row r="1077">
      <c r="A1077" s="52"/>
      <c r="B1077" s="50"/>
      <c r="C1077" s="52"/>
      <c r="D1077" s="53"/>
      <c r="E1077" s="81"/>
      <c r="F1077" s="81" t="s">
        <v>6172</v>
      </c>
    </row>
    <row r="1078">
      <c r="A1078" s="52"/>
      <c r="B1078" s="50"/>
      <c r="C1078" s="52"/>
      <c r="D1078" s="53"/>
      <c r="E1078" s="81"/>
      <c r="F1078" s="81" t="s">
        <v>6172</v>
      </c>
    </row>
    <row r="1079">
      <c r="A1079" s="52"/>
      <c r="B1079" s="50"/>
      <c r="C1079" s="52"/>
      <c r="D1079" s="53"/>
      <c r="E1079" s="81"/>
      <c r="F1079" s="81" t="s">
        <v>6172</v>
      </c>
    </row>
    <row r="1080">
      <c r="A1080" s="52"/>
      <c r="B1080" s="50"/>
      <c r="C1080" s="52"/>
      <c r="D1080" s="53"/>
      <c r="E1080" s="81"/>
      <c r="F1080" s="81" t="s">
        <v>6172</v>
      </c>
    </row>
    <row r="1081">
      <c r="A1081" s="52"/>
      <c r="B1081" s="50"/>
      <c r="C1081" s="52"/>
      <c r="D1081" s="53"/>
      <c r="E1081" s="81"/>
      <c r="F1081" s="81" t="s">
        <v>6172</v>
      </c>
    </row>
    <row r="1082">
      <c r="A1082" s="52"/>
      <c r="B1082" s="50"/>
      <c r="C1082" s="52"/>
      <c r="D1082" s="53"/>
      <c r="E1082" s="81"/>
      <c r="F1082" s="81" t="s">
        <v>6172</v>
      </c>
    </row>
    <row r="1083">
      <c r="A1083" s="52"/>
      <c r="B1083" s="50"/>
      <c r="C1083" s="52"/>
      <c r="D1083" s="53"/>
      <c r="E1083" s="81"/>
      <c r="F1083" s="81" t="s">
        <v>6172</v>
      </c>
    </row>
    <row r="1084">
      <c r="A1084" s="52"/>
      <c r="B1084" s="50"/>
      <c r="C1084" s="52"/>
      <c r="D1084" s="53"/>
      <c r="E1084" s="81"/>
      <c r="F1084" s="81" t="s">
        <v>6172</v>
      </c>
    </row>
    <row r="1085">
      <c r="A1085" s="52"/>
      <c r="B1085" s="50"/>
      <c r="C1085" s="52"/>
      <c r="D1085" s="53"/>
      <c r="E1085" s="81"/>
      <c r="F1085" s="81" t="s">
        <v>6172</v>
      </c>
    </row>
    <row r="1086">
      <c r="A1086" s="52"/>
      <c r="B1086" s="50"/>
      <c r="C1086" s="52"/>
      <c r="D1086" s="53"/>
      <c r="E1086" s="81"/>
      <c r="F1086" s="81" t="s">
        <v>6172</v>
      </c>
    </row>
    <row r="1087">
      <c r="A1087" s="52"/>
      <c r="B1087" s="50"/>
      <c r="C1087" s="52"/>
      <c r="D1087" s="53"/>
      <c r="E1087" s="81"/>
      <c r="F1087" s="81" t="s">
        <v>6172</v>
      </c>
    </row>
    <row r="1088">
      <c r="A1088" s="52"/>
      <c r="B1088" s="50"/>
      <c r="C1088" s="52"/>
      <c r="D1088" s="53"/>
      <c r="E1088" s="81"/>
      <c r="F1088" s="81" t="s">
        <v>6172</v>
      </c>
    </row>
    <row r="1089">
      <c r="A1089" s="52"/>
      <c r="B1089" s="50"/>
      <c r="C1089" s="52"/>
      <c r="D1089" s="53"/>
      <c r="E1089" s="81"/>
      <c r="F1089" s="81" t="s">
        <v>6172</v>
      </c>
    </row>
    <row r="1090">
      <c r="A1090" s="52"/>
      <c r="B1090" s="50"/>
      <c r="C1090" s="52"/>
      <c r="D1090" s="53"/>
      <c r="E1090" s="81"/>
      <c r="F1090" s="81" t="s">
        <v>6172</v>
      </c>
    </row>
    <row r="1091">
      <c r="A1091" s="52"/>
      <c r="B1091" s="50"/>
      <c r="C1091" s="52"/>
      <c r="D1091" s="53"/>
      <c r="E1091" s="81"/>
      <c r="F1091" s="81" t="s">
        <v>6172</v>
      </c>
    </row>
    <row r="1092">
      <c r="A1092" s="52"/>
      <c r="B1092" s="50"/>
      <c r="C1092" s="52"/>
      <c r="D1092" s="53"/>
      <c r="E1092" s="81"/>
      <c r="F1092" s="81" t="s">
        <v>6172</v>
      </c>
    </row>
    <row r="1093">
      <c r="A1093" s="52"/>
      <c r="B1093" s="50"/>
      <c r="C1093" s="52"/>
      <c r="D1093" s="53"/>
      <c r="E1093" s="81"/>
      <c r="F1093" s="81" t="s">
        <v>6172</v>
      </c>
    </row>
    <row r="1094">
      <c r="A1094" s="52"/>
      <c r="B1094" s="50"/>
      <c r="C1094" s="52"/>
      <c r="D1094" s="53"/>
      <c r="E1094" s="81"/>
      <c r="F1094" s="81" t="s">
        <v>6172</v>
      </c>
    </row>
    <row r="1095">
      <c r="A1095" s="52"/>
      <c r="B1095" s="50"/>
      <c r="C1095" s="52"/>
      <c r="D1095" s="53"/>
      <c r="E1095" s="81"/>
      <c r="F1095" s="81" t="s">
        <v>6172</v>
      </c>
    </row>
    <row r="1096">
      <c r="A1096" s="52"/>
      <c r="B1096" s="50"/>
      <c r="C1096" s="52"/>
      <c r="D1096" s="53"/>
      <c r="E1096" s="81"/>
      <c r="F1096" s="81" t="s">
        <v>6172</v>
      </c>
    </row>
    <row r="1097">
      <c r="A1097" s="52"/>
      <c r="B1097" s="50"/>
      <c r="C1097" s="52"/>
      <c r="D1097" s="53"/>
      <c r="E1097" s="81"/>
      <c r="F1097" s="81" t="s">
        <v>6172</v>
      </c>
    </row>
    <row r="1098">
      <c r="A1098" s="52"/>
      <c r="B1098" s="50"/>
      <c r="C1098" s="52"/>
      <c r="D1098" s="53"/>
      <c r="E1098" s="81"/>
      <c r="F1098" s="81" t="s">
        <v>6172</v>
      </c>
    </row>
    <row r="1099">
      <c r="A1099" s="52"/>
      <c r="B1099" s="50"/>
      <c r="C1099" s="52"/>
      <c r="D1099" s="53"/>
      <c r="E1099" s="81"/>
      <c r="F1099" s="81" t="s">
        <v>6172</v>
      </c>
    </row>
    <row r="1100">
      <c r="A1100" s="52"/>
      <c r="B1100" s="50"/>
      <c r="C1100" s="52"/>
      <c r="D1100" s="53"/>
      <c r="E1100" s="81"/>
      <c r="F1100" s="81" t="s">
        <v>6172</v>
      </c>
    </row>
    <row r="1101">
      <c r="A1101" s="52"/>
      <c r="B1101" s="50"/>
      <c r="C1101" s="52"/>
      <c r="D1101" s="53"/>
      <c r="E1101" s="81"/>
      <c r="F1101" s="81" t="s">
        <v>6172</v>
      </c>
    </row>
    <row r="1102">
      <c r="A1102" s="52"/>
      <c r="B1102" s="50"/>
      <c r="C1102" s="52"/>
      <c r="D1102" s="53"/>
      <c r="E1102" s="81"/>
      <c r="F1102" s="81" t="s">
        <v>6172</v>
      </c>
    </row>
    <row r="1103">
      <c r="A1103" s="52"/>
      <c r="B1103" s="50"/>
      <c r="C1103" s="52"/>
      <c r="D1103" s="53"/>
      <c r="E1103" s="81"/>
      <c r="F1103" s="81" t="s">
        <v>6172</v>
      </c>
    </row>
    <row r="1104">
      <c r="A1104" s="52"/>
      <c r="B1104" s="50"/>
      <c r="C1104" s="52"/>
      <c r="D1104" s="53"/>
      <c r="E1104" s="81"/>
      <c r="F1104" s="81" t="s">
        <v>6172</v>
      </c>
    </row>
    <row r="1105">
      <c r="A1105" s="52"/>
      <c r="B1105" s="50"/>
      <c r="C1105" s="52"/>
      <c r="D1105" s="53"/>
      <c r="E1105" s="81"/>
      <c r="F1105" s="81" t="s">
        <v>6172</v>
      </c>
    </row>
    <row r="1106">
      <c r="A1106" s="52"/>
      <c r="B1106" s="50"/>
      <c r="C1106" s="52"/>
      <c r="D1106" s="53"/>
      <c r="E1106" s="81"/>
      <c r="F1106" s="81" t="s">
        <v>6172</v>
      </c>
    </row>
    <row r="1107">
      <c r="A1107" s="52"/>
      <c r="B1107" s="50"/>
      <c r="C1107" s="52"/>
      <c r="D1107" s="53"/>
      <c r="E1107" s="81"/>
      <c r="F1107" s="81" t="s">
        <v>6172</v>
      </c>
    </row>
    <row r="1108">
      <c r="A1108" s="52"/>
      <c r="B1108" s="50"/>
      <c r="C1108" s="52"/>
      <c r="D1108" s="53"/>
      <c r="E1108" s="81"/>
      <c r="F1108" s="81" t="s">
        <v>6172</v>
      </c>
    </row>
    <row r="1109">
      <c r="A1109" s="52"/>
      <c r="B1109" s="50"/>
      <c r="C1109" s="52"/>
      <c r="D1109" s="53"/>
      <c r="E1109" s="81"/>
      <c r="F1109" s="81" t="s">
        <v>6172</v>
      </c>
    </row>
    <row r="1110">
      <c r="A1110" s="52"/>
      <c r="B1110" s="50"/>
      <c r="C1110" s="52"/>
      <c r="D1110" s="53"/>
      <c r="E1110" s="81"/>
      <c r="F1110" s="81" t="s">
        <v>6172</v>
      </c>
    </row>
    <row r="1111">
      <c r="A1111" s="52"/>
      <c r="B1111" s="50"/>
      <c r="C1111" s="52"/>
      <c r="D1111" s="53"/>
      <c r="E1111" s="81"/>
      <c r="F1111" s="81" t="s">
        <v>6172</v>
      </c>
    </row>
    <row r="1112">
      <c r="A1112" s="52"/>
      <c r="B1112" s="50"/>
      <c r="C1112" s="52"/>
      <c r="D1112" s="53"/>
      <c r="E1112" s="81"/>
      <c r="F1112" s="81" t="s">
        <v>6172</v>
      </c>
    </row>
    <row r="1113">
      <c r="A1113" s="52"/>
      <c r="B1113" s="50"/>
      <c r="C1113" s="52"/>
      <c r="D1113" s="53"/>
      <c r="E1113" s="81"/>
      <c r="F1113" s="81" t="s">
        <v>6172</v>
      </c>
    </row>
    <row r="1114">
      <c r="A1114" s="52"/>
      <c r="B1114" s="50"/>
      <c r="C1114" s="52"/>
      <c r="D1114" s="53"/>
      <c r="E1114" s="81"/>
      <c r="F1114" s="81" t="s">
        <v>6172</v>
      </c>
    </row>
    <row r="1115">
      <c r="A1115" s="52"/>
      <c r="B1115" s="50"/>
      <c r="C1115" s="52"/>
      <c r="D1115" s="53"/>
      <c r="E1115" s="81"/>
      <c r="F1115" s="81" t="s">
        <v>6172</v>
      </c>
    </row>
    <row r="1116">
      <c r="A1116" s="52"/>
      <c r="B1116" s="50"/>
      <c r="C1116" s="52"/>
      <c r="D1116" s="53"/>
      <c r="E1116" s="81"/>
      <c r="F1116" s="81" t="s">
        <v>6172</v>
      </c>
    </row>
    <row r="1117">
      <c r="A1117" s="52"/>
      <c r="B1117" s="50"/>
      <c r="C1117" s="52"/>
      <c r="D1117" s="53"/>
      <c r="E1117" s="81"/>
      <c r="F1117" s="81" t="s">
        <v>6172</v>
      </c>
    </row>
    <row r="1118">
      <c r="A1118" s="52"/>
      <c r="B1118" s="50"/>
      <c r="C1118" s="52"/>
      <c r="D1118" s="53"/>
      <c r="E1118" s="81"/>
      <c r="F1118" s="81" t="s">
        <v>6172</v>
      </c>
    </row>
    <row r="1119">
      <c r="A1119" s="52"/>
      <c r="B1119" s="50"/>
      <c r="C1119" s="52"/>
      <c r="D1119" s="53"/>
      <c r="E1119" s="81"/>
      <c r="F1119" s="81" t="s">
        <v>6172</v>
      </c>
    </row>
    <row r="1120">
      <c r="A1120" s="52"/>
      <c r="B1120" s="50"/>
      <c r="C1120" s="52"/>
      <c r="D1120" s="53"/>
      <c r="E1120" s="81"/>
      <c r="F1120" s="81" t="s">
        <v>6172</v>
      </c>
    </row>
    <row r="1121">
      <c r="A1121" s="52"/>
      <c r="B1121" s="50"/>
      <c r="C1121" s="52"/>
      <c r="D1121" s="53"/>
      <c r="E1121" s="81"/>
      <c r="F1121" s="81" t="s">
        <v>6172</v>
      </c>
    </row>
    <row r="1122">
      <c r="A1122" s="52"/>
      <c r="B1122" s="50"/>
      <c r="C1122" s="52"/>
      <c r="D1122" s="53"/>
      <c r="E1122" s="81"/>
      <c r="F1122" s="81" t="s">
        <v>6172</v>
      </c>
    </row>
    <row r="1123">
      <c r="A1123" s="52"/>
      <c r="B1123" s="50"/>
      <c r="C1123" s="52"/>
      <c r="D1123" s="53"/>
      <c r="E1123" s="81"/>
      <c r="F1123" s="81" t="s">
        <v>6172</v>
      </c>
    </row>
    <row r="1124">
      <c r="A1124" s="52"/>
      <c r="B1124" s="50"/>
      <c r="C1124" s="52"/>
      <c r="D1124" s="53"/>
      <c r="E1124" s="81"/>
      <c r="F1124" s="81" t="s">
        <v>6172</v>
      </c>
    </row>
    <row r="1125">
      <c r="A1125" s="52"/>
      <c r="B1125" s="50"/>
      <c r="C1125" s="52"/>
      <c r="D1125" s="53"/>
      <c r="E1125" s="81"/>
      <c r="F1125" s="81" t="s">
        <v>6172</v>
      </c>
    </row>
    <row r="1126">
      <c r="A1126" s="52"/>
      <c r="B1126" s="50"/>
      <c r="C1126" s="52"/>
      <c r="D1126" s="53"/>
      <c r="E1126" s="81"/>
      <c r="F1126" s="81" t="s">
        <v>6172</v>
      </c>
    </row>
    <row r="1127">
      <c r="A1127" s="52"/>
      <c r="B1127" s="50"/>
      <c r="C1127" s="52"/>
      <c r="D1127" s="53"/>
      <c r="E1127" s="81"/>
      <c r="F1127" s="81" t="s">
        <v>6172</v>
      </c>
    </row>
    <row r="1128">
      <c r="A1128" s="52"/>
      <c r="B1128" s="50"/>
      <c r="C1128" s="52"/>
      <c r="D1128" s="53"/>
      <c r="E1128" s="81"/>
      <c r="F1128" s="81" t="s">
        <v>6172</v>
      </c>
    </row>
    <row r="1129">
      <c r="A1129" s="52"/>
      <c r="B1129" s="50"/>
      <c r="C1129" s="52"/>
      <c r="D1129" s="53"/>
      <c r="E1129" s="81"/>
      <c r="F1129" s="81" t="s">
        <v>6172</v>
      </c>
    </row>
    <row r="1130">
      <c r="A1130" s="52"/>
      <c r="B1130" s="50"/>
      <c r="C1130" s="52"/>
      <c r="D1130" s="53"/>
      <c r="E1130" s="81"/>
      <c r="F1130" s="81" t="s">
        <v>6172</v>
      </c>
    </row>
    <row r="1131">
      <c r="A1131" s="52"/>
      <c r="B1131" s="50"/>
      <c r="C1131" s="52"/>
      <c r="D1131" s="53"/>
      <c r="E1131" s="81"/>
      <c r="F1131" s="81" t="s">
        <v>6172</v>
      </c>
    </row>
    <row r="1132">
      <c r="A1132" s="52"/>
      <c r="B1132" s="50"/>
      <c r="C1132" s="52"/>
      <c r="D1132" s="53"/>
      <c r="E1132" s="81"/>
      <c r="F1132" s="81" t="s">
        <v>6172</v>
      </c>
    </row>
    <row r="1133">
      <c r="A1133" s="52"/>
      <c r="B1133" s="50"/>
      <c r="C1133" s="52"/>
      <c r="D1133" s="53"/>
      <c r="E1133" s="81"/>
      <c r="F1133" s="81" t="s">
        <v>6172</v>
      </c>
    </row>
    <row r="1134">
      <c r="A1134" s="52"/>
      <c r="B1134" s="50"/>
      <c r="C1134" s="52"/>
      <c r="D1134" s="53"/>
      <c r="E1134" s="81"/>
      <c r="F1134" s="81" t="s">
        <v>6172</v>
      </c>
    </row>
    <row r="1135">
      <c r="A1135" s="52"/>
      <c r="B1135" s="50"/>
      <c r="C1135" s="52"/>
      <c r="D1135" s="53"/>
      <c r="E1135" s="81"/>
      <c r="F1135" s="81" t="s">
        <v>6172</v>
      </c>
    </row>
    <row r="1136">
      <c r="A1136" s="52"/>
      <c r="B1136" s="50"/>
      <c r="C1136" s="52"/>
      <c r="D1136" s="53"/>
      <c r="E1136" s="81"/>
      <c r="F1136" s="81" t="s">
        <v>6172</v>
      </c>
    </row>
    <row r="1137">
      <c r="A1137" s="52"/>
      <c r="B1137" s="50"/>
      <c r="C1137" s="52"/>
      <c r="D1137" s="53"/>
      <c r="E1137" s="81"/>
      <c r="F1137" s="81" t="s">
        <v>6172</v>
      </c>
    </row>
    <row r="1138">
      <c r="A1138" s="52"/>
      <c r="B1138" s="50"/>
      <c r="C1138" s="52"/>
      <c r="D1138" s="53"/>
      <c r="E1138" s="81"/>
      <c r="F1138" s="81" t="s">
        <v>6172</v>
      </c>
    </row>
    <row r="1139">
      <c r="A1139" s="52"/>
      <c r="B1139" s="50"/>
      <c r="C1139" s="52"/>
      <c r="D1139" s="53"/>
      <c r="E1139" s="81"/>
      <c r="F1139" s="81" t="s">
        <v>6172</v>
      </c>
    </row>
    <row r="1140">
      <c r="A1140" s="52"/>
      <c r="B1140" s="50"/>
      <c r="C1140" s="52"/>
      <c r="D1140" s="53"/>
      <c r="E1140" s="81"/>
      <c r="F1140" s="81" t="s">
        <v>6172</v>
      </c>
    </row>
    <row r="1141">
      <c r="A1141" s="52"/>
      <c r="B1141" s="50"/>
      <c r="C1141" s="52"/>
      <c r="D1141" s="53"/>
      <c r="E1141" s="81"/>
      <c r="F1141" s="81" t="s">
        <v>6172</v>
      </c>
    </row>
    <row r="1142">
      <c r="A1142" s="52"/>
      <c r="B1142" s="50"/>
      <c r="C1142" s="52"/>
      <c r="D1142" s="53"/>
      <c r="E1142" s="81"/>
      <c r="F1142" s="81" t="s">
        <v>6172</v>
      </c>
    </row>
    <row r="1143">
      <c r="A1143" s="52"/>
      <c r="B1143" s="50"/>
      <c r="C1143" s="52"/>
      <c r="D1143" s="53"/>
      <c r="E1143" s="81"/>
      <c r="F1143" s="81" t="s">
        <v>6172</v>
      </c>
    </row>
    <row r="1144">
      <c r="A1144" s="52"/>
      <c r="B1144" s="50"/>
      <c r="C1144" s="52"/>
      <c r="D1144" s="53"/>
      <c r="E1144" s="81"/>
      <c r="F1144" s="81" t="s">
        <v>6172</v>
      </c>
    </row>
    <row r="1145">
      <c r="A1145" s="52"/>
      <c r="B1145" s="50"/>
      <c r="C1145" s="52"/>
      <c r="D1145" s="53"/>
      <c r="E1145" s="81"/>
      <c r="F1145" s="81" t="s">
        <v>6172</v>
      </c>
    </row>
    <row r="1146">
      <c r="A1146" s="52"/>
      <c r="B1146" s="50"/>
      <c r="C1146" s="52"/>
      <c r="D1146" s="53"/>
      <c r="E1146" s="81"/>
      <c r="F1146" s="81" t="s">
        <v>6172</v>
      </c>
    </row>
    <row r="1147">
      <c r="A1147" s="52"/>
      <c r="B1147" s="50"/>
      <c r="C1147" s="52"/>
      <c r="D1147" s="53"/>
      <c r="E1147" s="81"/>
      <c r="F1147" s="81" t="s">
        <v>6172</v>
      </c>
    </row>
    <row r="1148">
      <c r="A1148" s="52"/>
      <c r="B1148" s="50"/>
      <c r="C1148" s="52"/>
      <c r="D1148" s="53"/>
      <c r="E1148" s="81"/>
      <c r="F1148" s="81" t="s">
        <v>6172</v>
      </c>
    </row>
    <row r="1149">
      <c r="A1149" s="52"/>
      <c r="B1149" s="50"/>
      <c r="C1149" s="52"/>
      <c r="D1149" s="53"/>
      <c r="E1149" s="81"/>
      <c r="F1149" s="81" t="s">
        <v>6172</v>
      </c>
    </row>
    <row r="1150">
      <c r="A1150" s="52"/>
      <c r="B1150" s="50"/>
      <c r="C1150" s="52"/>
      <c r="D1150" s="53"/>
      <c r="E1150" s="81"/>
      <c r="F1150" s="81" t="s">
        <v>6172</v>
      </c>
    </row>
    <row r="1151">
      <c r="A1151" s="52"/>
      <c r="B1151" s="50"/>
      <c r="C1151" s="52"/>
      <c r="D1151" s="53"/>
      <c r="E1151" s="81"/>
      <c r="F1151" s="81" t="s">
        <v>6172</v>
      </c>
    </row>
    <row r="1152">
      <c r="A1152" s="52"/>
      <c r="B1152" s="50"/>
      <c r="C1152" s="52"/>
      <c r="D1152" s="53"/>
      <c r="E1152" s="81"/>
      <c r="F1152" s="81" t="s">
        <v>6172</v>
      </c>
    </row>
    <row r="1153">
      <c r="A1153" s="52"/>
      <c r="B1153" s="50"/>
      <c r="C1153" s="52"/>
      <c r="D1153" s="53"/>
      <c r="E1153" s="81"/>
      <c r="F1153" s="81" t="s">
        <v>6172</v>
      </c>
    </row>
    <row r="1154">
      <c r="A1154" s="52"/>
      <c r="B1154" s="50"/>
      <c r="C1154" s="52"/>
      <c r="D1154" s="53"/>
      <c r="E1154" s="81"/>
      <c r="F1154" s="81" t="s">
        <v>6172</v>
      </c>
    </row>
    <row r="1155">
      <c r="A1155" s="52"/>
      <c r="B1155" s="50"/>
      <c r="C1155" s="52"/>
      <c r="D1155" s="53"/>
      <c r="E1155" s="81"/>
      <c r="F1155" s="81" t="s">
        <v>6172</v>
      </c>
    </row>
    <row r="1156">
      <c r="A1156" s="52"/>
      <c r="B1156" s="50"/>
      <c r="C1156" s="52"/>
      <c r="D1156" s="53"/>
      <c r="E1156" s="81"/>
      <c r="F1156" s="81" t="s">
        <v>6172</v>
      </c>
    </row>
    <row r="1157">
      <c r="A1157" s="52"/>
      <c r="B1157" s="50"/>
      <c r="C1157" s="52"/>
      <c r="D1157" s="53"/>
      <c r="E1157" s="81"/>
      <c r="F1157" s="81" t="s">
        <v>6172</v>
      </c>
    </row>
    <row r="1158">
      <c r="A1158" s="52"/>
      <c r="B1158" s="50"/>
      <c r="C1158" s="52"/>
      <c r="D1158" s="53"/>
      <c r="E1158" s="81"/>
      <c r="F1158" s="81" t="s">
        <v>6172</v>
      </c>
    </row>
    <row r="1159">
      <c r="A1159" s="52"/>
      <c r="B1159" s="50"/>
      <c r="C1159" s="52"/>
      <c r="D1159" s="53"/>
      <c r="E1159" s="81"/>
      <c r="F1159" s="81" t="s">
        <v>6172</v>
      </c>
    </row>
    <row r="1160">
      <c r="A1160" s="52"/>
      <c r="B1160" s="50"/>
      <c r="C1160" s="52"/>
      <c r="D1160" s="53"/>
      <c r="E1160" s="81"/>
      <c r="F1160" s="81" t="s">
        <v>6172</v>
      </c>
    </row>
    <row r="1161">
      <c r="A1161" s="52"/>
      <c r="B1161" s="50"/>
      <c r="C1161" s="52"/>
      <c r="D1161" s="53"/>
      <c r="E1161" s="81"/>
      <c r="F1161" s="81" t="s">
        <v>6172</v>
      </c>
    </row>
    <row r="1162">
      <c r="A1162" s="52"/>
      <c r="B1162" s="50"/>
      <c r="C1162" s="52"/>
      <c r="D1162" s="53"/>
      <c r="E1162" s="81"/>
      <c r="F1162" s="81" t="s">
        <v>6172</v>
      </c>
    </row>
    <row r="1163">
      <c r="A1163" s="52"/>
      <c r="B1163" s="50"/>
      <c r="C1163" s="52"/>
      <c r="D1163" s="53"/>
      <c r="E1163" s="81"/>
      <c r="F1163" s="81" t="s">
        <v>6172</v>
      </c>
    </row>
    <row r="1164">
      <c r="A1164" s="52"/>
      <c r="B1164" s="50"/>
      <c r="C1164" s="52"/>
      <c r="D1164" s="53"/>
      <c r="E1164" s="81"/>
      <c r="F1164" s="81" t="s">
        <v>6172</v>
      </c>
    </row>
    <row r="1165">
      <c r="A1165" s="52"/>
      <c r="B1165" s="50"/>
      <c r="C1165" s="52"/>
      <c r="D1165" s="53"/>
      <c r="E1165" s="81"/>
      <c r="F1165" s="81" t="s">
        <v>6172</v>
      </c>
    </row>
    <row r="1166">
      <c r="A1166" s="52"/>
      <c r="B1166" s="50"/>
      <c r="C1166" s="52"/>
      <c r="D1166" s="53"/>
      <c r="E1166" s="81"/>
      <c r="F1166" s="81" t="s">
        <v>6172</v>
      </c>
    </row>
    <row r="1167">
      <c r="A1167" s="52"/>
      <c r="B1167" s="50"/>
      <c r="C1167" s="52"/>
      <c r="D1167" s="53"/>
      <c r="E1167" s="81"/>
      <c r="F1167" s="81" t="s">
        <v>6172</v>
      </c>
    </row>
    <row r="1168">
      <c r="A1168" s="52"/>
      <c r="B1168" s="50"/>
      <c r="C1168" s="52"/>
      <c r="D1168" s="53"/>
      <c r="E1168" s="81"/>
      <c r="F1168" s="81" t="s">
        <v>6172</v>
      </c>
    </row>
    <row r="1169">
      <c r="A1169" s="52"/>
      <c r="B1169" s="50"/>
      <c r="C1169" s="52"/>
      <c r="D1169" s="53"/>
      <c r="E1169" s="81"/>
      <c r="F1169" s="81" t="s">
        <v>6172</v>
      </c>
    </row>
    <row r="1170">
      <c r="A1170" s="52"/>
      <c r="B1170" s="50"/>
      <c r="C1170" s="52"/>
      <c r="D1170" s="53"/>
      <c r="E1170" s="81"/>
      <c r="F1170" s="81" t="s">
        <v>6172</v>
      </c>
    </row>
    <row r="1171">
      <c r="A1171" s="52"/>
      <c r="B1171" s="50"/>
      <c r="C1171" s="52"/>
      <c r="D1171" s="53"/>
      <c r="E1171" s="81"/>
      <c r="F1171" s="81" t="s">
        <v>6172</v>
      </c>
    </row>
    <row r="1172">
      <c r="A1172" s="52"/>
      <c r="B1172" s="50"/>
      <c r="C1172" s="52"/>
      <c r="D1172" s="53"/>
      <c r="E1172" s="81"/>
      <c r="F1172" s="81" t="s">
        <v>6172</v>
      </c>
    </row>
    <row r="1173">
      <c r="A1173" s="52"/>
      <c r="B1173" s="50"/>
      <c r="C1173" s="52"/>
      <c r="D1173" s="53"/>
      <c r="E1173" s="81"/>
      <c r="F1173" s="81" t="s">
        <v>6172</v>
      </c>
    </row>
    <row r="1174">
      <c r="A1174" s="52"/>
      <c r="B1174" s="50"/>
      <c r="C1174" s="52"/>
      <c r="D1174" s="53"/>
      <c r="E1174" s="81"/>
      <c r="F1174" s="81" t="s">
        <v>6172</v>
      </c>
    </row>
    <row r="1175">
      <c r="A1175" s="52"/>
      <c r="B1175" s="50"/>
      <c r="C1175" s="52"/>
      <c r="D1175" s="53"/>
      <c r="E1175" s="81"/>
      <c r="F1175" s="81" t="s">
        <v>6172</v>
      </c>
    </row>
    <row r="1176">
      <c r="A1176" s="52"/>
      <c r="B1176" s="50"/>
      <c r="C1176" s="52"/>
      <c r="D1176" s="53"/>
      <c r="E1176" s="81"/>
      <c r="F1176" s="81" t="s">
        <v>6172</v>
      </c>
    </row>
    <row r="1177">
      <c r="A1177" s="52"/>
      <c r="B1177" s="50"/>
      <c r="C1177" s="52"/>
      <c r="D1177" s="53"/>
      <c r="E1177" s="81"/>
      <c r="F1177" s="81" t="s">
        <v>6172</v>
      </c>
    </row>
    <row r="1178">
      <c r="A1178" s="52"/>
      <c r="B1178" s="50"/>
      <c r="C1178" s="52"/>
      <c r="D1178" s="53"/>
      <c r="E1178" s="81"/>
      <c r="F1178" s="81" t="s">
        <v>6172</v>
      </c>
    </row>
    <row r="1179">
      <c r="A1179" s="52"/>
      <c r="B1179" s="50"/>
      <c r="C1179" s="52"/>
      <c r="D1179" s="53"/>
      <c r="E1179" s="81"/>
      <c r="F1179" s="81" t="s">
        <v>6172</v>
      </c>
    </row>
    <row r="1180">
      <c r="A1180" s="52"/>
      <c r="B1180" s="50"/>
      <c r="C1180" s="52"/>
      <c r="D1180" s="53"/>
      <c r="E1180" s="81"/>
      <c r="F1180" s="81" t="s">
        <v>6172</v>
      </c>
    </row>
    <row r="1181">
      <c r="A1181" s="52"/>
      <c r="B1181" s="50"/>
      <c r="C1181" s="52"/>
      <c r="D1181" s="53"/>
      <c r="E1181" s="81"/>
      <c r="F1181" s="81" t="s">
        <v>6172</v>
      </c>
    </row>
    <row r="1182">
      <c r="A1182" s="52"/>
      <c r="B1182" s="50"/>
      <c r="C1182" s="52"/>
      <c r="D1182" s="53"/>
      <c r="E1182" s="81"/>
      <c r="F1182" s="81" t="s">
        <v>6172</v>
      </c>
    </row>
    <row r="1183">
      <c r="A1183" s="52"/>
      <c r="B1183" s="50"/>
      <c r="C1183" s="52"/>
      <c r="D1183" s="53"/>
      <c r="E1183" s="81"/>
      <c r="F1183" s="81" t="s">
        <v>6172</v>
      </c>
    </row>
    <row r="1184">
      <c r="A1184" s="52"/>
      <c r="B1184" s="50"/>
      <c r="C1184" s="52"/>
      <c r="D1184" s="53"/>
      <c r="E1184" s="81"/>
      <c r="F1184" s="81" t="s">
        <v>6172</v>
      </c>
    </row>
    <row r="1185">
      <c r="A1185" s="52"/>
      <c r="B1185" s="50"/>
      <c r="C1185" s="52"/>
      <c r="D1185" s="53"/>
      <c r="E1185" s="81"/>
      <c r="F1185" s="81" t="s">
        <v>6172</v>
      </c>
    </row>
    <row r="1186">
      <c r="A1186" s="52"/>
      <c r="B1186" s="50"/>
      <c r="C1186" s="52"/>
      <c r="D1186" s="53"/>
      <c r="E1186" s="81"/>
      <c r="F1186" s="81" t="s">
        <v>6172</v>
      </c>
    </row>
    <row r="1187">
      <c r="A1187" s="52"/>
      <c r="B1187" s="50"/>
      <c r="C1187" s="52"/>
      <c r="D1187" s="53"/>
      <c r="E1187" s="81"/>
      <c r="F1187" s="81" t="s">
        <v>6172</v>
      </c>
    </row>
    <row r="1188">
      <c r="A1188" s="52"/>
      <c r="B1188" s="50"/>
      <c r="C1188" s="52"/>
      <c r="D1188" s="53"/>
      <c r="E1188" s="81"/>
      <c r="F1188" s="81" t="s">
        <v>6172</v>
      </c>
    </row>
    <row r="1189">
      <c r="A1189" s="52"/>
      <c r="B1189" s="50"/>
      <c r="C1189" s="52"/>
      <c r="D1189" s="53"/>
      <c r="E1189" s="81"/>
      <c r="F1189" s="81" t="s">
        <v>6172</v>
      </c>
    </row>
    <row r="1190">
      <c r="A1190" s="52"/>
      <c r="B1190" s="50"/>
      <c r="C1190" s="52"/>
      <c r="D1190" s="53"/>
      <c r="E1190" s="81"/>
      <c r="F1190" s="81" t="s">
        <v>6172</v>
      </c>
    </row>
    <row r="1191">
      <c r="A1191" s="52"/>
      <c r="B1191" s="50"/>
      <c r="C1191" s="52"/>
      <c r="D1191" s="53"/>
      <c r="E1191" s="81"/>
      <c r="F1191" s="81" t="s">
        <v>6172</v>
      </c>
    </row>
    <row r="1192">
      <c r="A1192" s="52"/>
      <c r="B1192" s="50"/>
      <c r="C1192" s="52"/>
      <c r="D1192" s="53"/>
      <c r="E1192" s="81"/>
      <c r="F1192" s="81" t="s">
        <v>6172</v>
      </c>
    </row>
    <row r="1193">
      <c r="A1193" s="52"/>
      <c r="B1193" s="50"/>
      <c r="C1193" s="52"/>
      <c r="D1193" s="53"/>
      <c r="E1193" s="81"/>
      <c r="F1193" s="81" t="s">
        <v>6172</v>
      </c>
    </row>
    <row r="1194">
      <c r="A1194" s="52"/>
      <c r="B1194" s="50"/>
      <c r="C1194" s="52"/>
      <c r="D1194" s="53"/>
      <c r="E1194" s="81"/>
      <c r="F1194" s="81" t="s">
        <v>6172</v>
      </c>
    </row>
    <row r="1195">
      <c r="A1195" s="52"/>
      <c r="B1195" s="50"/>
      <c r="C1195" s="52"/>
      <c r="D1195" s="53"/>
      <c r="E1195" s="81"/>
      <c r="F1195" s="81" t="s">
        <v>6172</v>
      </c>
    </row>
    <row r="1196">
      <c r="A1196" s="52"/>
      <c r="B1196" s="50"/>
      <c r="C1196" s="52"/>
      <c r="D1196" s="53"/>
      <c r="E1196" s="81"/>
      <c r="F1196" s="81" t="s">
        <v>6172</v>
      </c>
    </row>
    <row r="1197">
      <c r="A1197" s="52"/>
      <c r="B1197" s="50"/>
      <c r="C1197" s="52"/>
      <c r="D1197" s="53"/>
      <c r="E1197" s="81"/>
      <c r="F1197" s="81" t="s">
        <v>6172</v>
      </c>
    </row>
    <row r="1198">
      <c r="A1198" s="52"/>
      <c r="B1198" s="50"/>
      <c r="C1198" s="52"/>
      <c r="D1198" s="53"/>
      <c r="E1198" s="81"/>
      <c r="F1198" s="81" t="s">
        <v>6172</v>
      </c>
    </row>
    <row r="1199">
      <c r="A1199" s="52"/>
      <c r="B1199" s="50"/>
      <c r="C1199" s="52"/>
      <c r="D1199" s="53"/>
      <c r="E1199" s="81"/>
      <c r="F1199" s="81" t="s">
        <v>6172</v>
      </c>
    </row>
    <row r="1200">
      <c r="A1200" s="52"/>
      <c r="B1200" s="50"/>
      <c r="C1200" s="52"/>
      <c r="D1200" s="53"/>
      <c r="E1200" s="81"/>
      <c r="F1200" s="81" t="s">
        <v>6172</v>
      </c>
    </row>
    <row r="1201">
      <c r="A1201" s="52"/>
      <c r="B1201" s="50"/>
      <c r="C1201" s="52"/>
      <c r="D1201" s="53"/>
      <c r="E1201" s="81"/>
      <c r="F1201" s="81" t="s">
        <v>6172</v>
      </c>
    </row>
    <row r="1202">
      <c r="A1202" s="52"/>
      <c r="B1202" s="50"/>
      <c r="C1202" s="52"/>
      <c r="D1202" s="53"/>
      <c r="E1202" s="81"/>
      <c r="F1202" s="81" t="s">
        <v>6172</v>
      </c>
    </row>
    <row r="1203">
      <c r="A1203" s="52"/>
      <c r="B1203" s="50"/>
      <c r="C1203" s="52"/>
      <c r="D1203" s="53"/>
      <c r="E1203" s="81"/>
      <c r="F1203" s="81" t="s">
        <v>6172</v>
      </c>
    </row>
    <row r="1204">
      <c r="A1204" s="52"/>
      <c r="B1204" s="50"/>
      <c r="C1204" s="52"/>
      <c r="D1204" s="53"/>
      <c r="E1204" s="81"/>
      <c r="F1204" s="81" t="s">
        <v>6172</v>
      </c>
    </row>
    <row r="1205">
      <c r="A1205" s="52"/>
      <c r="B1205" s="50"/>
      <c r="C1205" s="52"/>
      <c r="D1205" s="53"/>
      <c r="E1205" s="81"/>
      <c r="F1205" s="81" t="s">
        <v>6172</v>
      </c>
    </row>
    <row r="1206">
      <c r="A1206" s="52"/>
      <c r="B1206" s="50"/>
      <c r="C1206" s="52"/>
      <c r="D1206" s="53"/>
      <c r="E1206" s="81"/>
      <c r="F1206" s="81" t="s">
        <v>6172</v>
      </c>
    </row>
    <row r="1207">
      <c r="A1207" s="52"/>
      <c r="B1207" s="50"/>
      <c r="C1207" s="52"/>
      <c r="D1207" s="53"/>
      <c r="E1207" s="81"/>
      <c r="F1207" s="81" t="s">
        <v>6172</v>
      </c>
    </row>
    <row r="1208">
      <c r="A1208" s="52"/>
      <c r="B1208" s="50"/>
      <c r="C1208" s="52"/>
      <c r="D1208" s="53"/>
      <c r="E1208" s="81"/>
      <c r="F1208" s="81" t="s">
        <v>6172</v>
      </c>
    </row>
    <row r="1209">
      <c r="A1209" s="52"/>
      <c r="B1209" s="50"/>
      <c r="C1209" s="52"/>
      <c r="D1209" s="53"/>
      <c r="E1209" s="81"/>
      <c r="F1209" s="81" t="s">
        <v>6172</v>
      </c>
    </row>
    <row r="1210">
      <c r="A1210" s="52"/>
      <c r="B1210" s="50"/>
      <c r="C1210" s="52"/>
      <c r="D1210" s="53"/>
      <c r="E1210" s="81"/>
      <c r="F1210" s="81" t="s">
        <v>6172</v>
      </c>
    </row>
    <row r="1211">
      <c r="A1211" s="52"/>
      <c r="B1211" s="50"/>
      <c r="C1211" s="52"/>
      <c r="D1211" s="53"/>
      <c r="E1211" s="81"/>
      <c r="F1211" s="81" t="s">
        <v>6172</v>
      </c>
    </row>
    <row r="1212">
      <c r="A1212" s="52"/>
      <c r="B1212" s="50"/>
      <c r="C1212" s="52"/>
      <c r="D1212" s="53"/>
      <c r="E1212" s="81"/>
      <c r="F1212" s="81" t="s">
        <v>6172</v>
      </c>
    </row>
    <row r="1213">
      <c r="A1213" s="52"/>
      <c r="B1213" s="50"/>
      <c r="C1213" s="52"/>
      <c r="D1213" s="53"/>
      <c r="E1213" s="81"/>
      <c r="F1213" s="81" t="s">
        <v>6172</v>
      </c>
    </row>
    <row r="1214">
      <c r="A1214" s="52"/>
      <c r="B1214" s="50"/>
      <c r="C1214" s="52"/>
      <c r="D1214" s="53"/>
      <c r="E1214" s="81"/>
      <c r="F1214" s="81" t="s">
        <v>6172</v>
      </c>
    </row>
    <row r="1215">
      <c r="A1215" s="52"/>
      <c r="B1215" s="50"/>
      <c r="C1215" s="52"/>
      <c r="D1215" s="53"/>
      <c r="E1215" s="81"/>
      <c r="F1215" s="81" t="s">
        <v>6172</v>
      </c>
    </row>
    <row r="1216">
      <c r="A1216" s="52"/>
      <c r="B1216" s="50"/>
      <c r="C1216" s="52"/>
      <c r="D1216" s="53"/>
      <c r="E1216" s="81"/>
      <c r="F1216" s="81" t="s">
        <v>6172</v>
      </c>
    </row>
    <row r="1217">
      <c r="A1217" s="52"/>
      <c r="B1217" s="50"/>
      <c r="C1217" s="52"/>
      <c r="D1217" s="53"/>
      <c r="E1217" s="81"/>
      <c r="F1217" s="81" t="s">
        <v>6172</v>
      </c>
    </row>
    <row r="1218">
      <c r="A1218" s="52"/>
      <c r="B1218" s="50"/>
      <c r="C1218" s="52"/>
      <c r="D1218" s="53"/>
      <c r="E1218" s="81"/>
      <c r="F1218" s="81" t="s">
        <v>6172</v>
      </c>
    </row>
    <row r="1219">
      <c r="A1219" s="52"/>
      <c r="B1219" s="50"/>
      <c r="C1219" s="52"/>
      <c r="D1219" s="53"/>
      <c r="E1219" s="81"/>
      <c r="F1219" s="81" t="s">
        <v>6172</v>
      </c>
    </row>
    <row r="1220">
      <c r="A1220" s="52"/>
      <c r="B1220" s="50"/>
      <c r="C1220" s="52"/>
      <c r="D1220" s="53"/>
      <c r="E1220" s="81"/>
      <c r="F1220" s="81" t="s">
        <v>6172</v>
      </c>
    </row>
    <row r="1221">
      <c r="A1221" s="52"/>
      <c r="B1221" s="50"/>
      <c r="C1221" s="52"/>
      <c r="D1221" s="53"/>
      <c r="E1221" s="81"/>
      <c r="F1221" s="81" t="s">
        <v>6172</v>
      </c>
    </row>
    <row r="1222">
      <c r="A1222" s="52"/>
      <c r="B1222" s="50"/>
      <c r="C1222" s="52"/>
      <c r="D1222" s="53"/>
      <c r="E1222" s="81"/>
      <c r="F1222" s="81" t="s">
        <v>6172</v>
      </c>
    </row>
    <row r="1223">
      <c r="A1223" s="52"/>
      <c r="B1223" s="50"/>
      <c r="C1223" s="52"/>
      <c r="D1223" s="53"/>
      <c r="E1223" s="81"/>
      <c r="F1223" s="81" t="s">
        <v>6172</v>
      </c>
    </row>
    <row r="1224">
      <c r="A1224" s="52"/>
      <c r="B1224" s="50"/>
      <c r="C1224" s="52"/>
      <c r="D1224" s="53"/>
      <c r="E1224" s="81"/>
      <c r="F1224" s="81" t="s">
        <v>6172</v>
      </c>
    </row>
    <row r="1225">
      <c r="A1225" s="52"/>
      <c r="B1225" s="50"/>
      <c r="C1225" s="52"/>
      <c r="D1225" s="53"/>
      <c r="E1225" s="81"/>
      <c r="F1225" s="81" t="s">
        <v>6172</v>
      </c>
    </row>
    <row r="1226">
      <c r="A1226" s="52"/>
      <c r="B1226" s="50"/>
      <c r="C1226" s="52"/>
      <c r="D1226" s="53"/>
      <c r="E1226" s="81"/>
      <c r="F1226" s="81" t="s">
        <v>6172</v>
      </c>
    </row>
    <row r="1227">
      <c r="A1227" s="52"/>
      <c r="B1227" s="50"/>
      <c r="C1227" s="52"/>
      <c r="D1227" s="53"/>
      <c r="E1227" s="81"/>
      <c r="F1227" s="81" t="s">
        <v>6172</v>
      </c>
    </row>
    <row r="1228">
      <c r="A1228" s="52"/>
      <c r="B1228" s="50"/>
      <c r="C1228" s="52"/>
      <c r="D1228" s="53"/>
      <c r="E1228" s="81"/>
      <c r="F1228" s="81" t="s">
        <v>6172</v>
      </c>
    </row>
    <row r="1229">
      <c r="A1229" s="52"/>
      <c r="B1229" s="50"/>
      <c r="C1229" s="52"/>
      <c r="D1229" s="53"/>
      <c r="E1229" s="81"/>
      <c r="F1229" s="81" t="s">
        <v>6172</v>
      </c>
    </row>
    <row r="1230">
      <c r="A1230" s="52"/>
      <c r="B1230" s="50"/>
      <c r="C1230" s="52"/>
      <c r="D1230" s="53"/>
      <c r="E1230" s="81"/>
      <c r="F1230" s="81" t="s">
        <v>6172</v>
      </c>
    </row>
    <row r="1231">
      <c r="A1231" s="52"/>
      <c r="B1231" s="50"/>
      <c r="C1231" s="52"/>
      <c r="D1231" s="53"/>
      <c r="E1231" s="81"/>
      <c r="F1231" s="81" t="s">
        <v>6172</v>
      </c>
    </row>
    <row r="1232">
      <c r="A1232" s="52"/>
      <c r="B1232" s="50"/>
      <c r="C1232" s="52"/>
      <c r="D1232" s="53"/>
      <c r="E1232" s="81"/>
      <c r="F1232" s="81" t="s">
        <v>6172</v>
      </c>
    </row>
    <row r="1233">
      <c r="A1233" s="52"/>
      <c r="B1233" s="50"/>
      <c r="C1233" s="52"/>
      <c r="D1233" s="53"/>
      <c r="E1233" s="81"/>
      <c r="F1233" s="81" t="s">
        <v>6172</v>
      </c>
    </row>
    <row r="1234">
      <c r="A1234" s="52"/>
      <c r="B1234" s="50"/>
      <c r="C1234" s="52"/>
      <c r="D1234" s="53"/>
      <c r="E1234" s="81"/>
      <c r="F1234" s="81" t="s">
        <v>6172</v>
      </c>
    </row>
    <row r="1235">
      <c r="A1235" s="52"/>
      <c r="B1235" s="50"/>
      <c r="C1235" s="52"/>
      <c r="D1235" s="53"/>
      <c r="E1235" s="81"/>
      <c r="F1235" s="81" t="s">
        <v>6172</v>
      </c>
    </row>
    <row r="1236">
      <c r="A1236" s="52"/>
      <c r="B1236" s="50"/>
      <c r="C1236" s="52"/>
      <c r="D1236" s="53"/>
      <c r="E1236" s="81"/>
      <c r="F1236" s="81" t="s">
        <v>6172</v>
      </c>
    </row>
    <row r="1237">
      <c r="A1237" s="52"/>
      <c r="B1237" s="50"/>
      <c r="C1237" s="52"/>
      <c r="D1237" s="53"/>
      <c r="E1237" s="81"/>
      <c r="F1237" s="81" t="s">
        <v>6172</v>
      </c>
    </row>
    <row r="1238">
      <c r="A1238" s="52"/>
      <c r="B1238" s="50"/>
      <c r="C1238" s="52"/>
      <c r="D1238" s="53"/>
      <c r="E1238" s="81"/>
      <c r="F1238" s="81" t="s">
        <v>6172</v>
      </c>
    </row>
    <row r="1239">
      <c r="A1239" s="52"/>
      <c r="B1239" s="50"/>
      <c r="C1239" s="52"/>
      <c r="D1239" s="53"/>
      <c r="E1239" s="81"/>
      <c r="F1239" s="81" t="s">
        <v>6172</v>
      </c>
    </row>
    <row r="1240">
      <c r="A1240" s="52"/>
      <c r="B1240" s="50"/>
      <c r="C1240" s="52"/>
      <c r="D1240" s="53"/>
      <c r="E1240" s="81"/>
      <c r="F1240" s="81" t="s">
        <v>6172</v>
      </c>
    </row>
    <row r="1241">
      <c r="A1241" s="52"/>
      <c r="B1241" s="50"/>
      <c r="C1241" s="52"/>
      <c r="D1241" s="53"/>
      <c r="E1241" s="81"/>
      <c r="F1241" s="81" t="s">
        <v>6172</v>
      </c>
    </row>
    <row r="1242">
      <c r="A1242" s="52"/>
      <c r="B1242" s="50"/>
      <c r="C1242" s="52"/>
      <c r="D1242" s="53"/>
      <c r="E1242" s="81"/>
      <c r="F1242" s="81" t="s">
        <v>6172</v>
      </c>
    </row>
    <row r="1243">
      <c r="A1243" s="52"/>
      <c r="B1243" s="50"/>
      <c r="C1243" s="52"/>
      <c r="D1243" s="53"/>
      <c r="E1243" s="81"/>
      <c r="F1243" s="81" t="s">
        <v>6172</v>
      </c>
    </row>
    <row r="1244">
      <c r="A1244" s="52"/>
      <c r="B1244" s="50"/>
      <c r="C1244" s="52"/>
      <c r="D1244" s="53"/>
      <c r="E1244" s="81"/>
      <c r="F1244" s="81" t="s">
        <v>6172</v>
      </c>
    </row>
    <row r="1245">
      <c r="A1245" s="52"/>
      <c r="B1245" s="50"/>
      <c r="C1245" s="52"/>
      <c r="D1245" s="53"/>
      <c r="E1245" s="81"/>
      <c r="F1245" s="81" t="s">
        <v>6172</v>
      </c>
    </row>
    <row r="1246">
      <c r="A1246" s="52"/>
      <c r="B1246" s="50"/>
      <c r="C1246" s="52"/>
      <c r="D1246" s="53"/>
      <c r="E1246" s="81"/>
      <c r="F1246" s="81" t="s">
        <v>6172</v>
      </c>
    </row>
    <row r="1247">
      <c r="A1247" s="52"/>
      <c r="B1247" s="50"/>
      <c r="C1247" s="52"/>
      <c r="D1247" s="53"/>
      <c r="E1247" s="81"/>
      <c r="F1247" s="81" t="s">
        <v>6172</v>
      </c>
    </row>
    <row r="1248">
      <c r="A1248" s="52"/>
      <c r="B1248" s="50"/>
      <c r="C1248" s="52"/>
      <c r="D1248" s="53"/>
      <c r="E1248" s="81"/>
      <c r="F1248" s="81" t="s">
        <v>6172</v>
      </c>
    </row>
    <row r="1249">
      <c r="A1249" s="52"/>
      <c r="B1249" s="50"/>
      <c r="C1249" s="52"/>
      <c r="D1249" s="53"/>
      <c r="E1249" s="81"/>
      <c r="F1249" s="81" t="s">
        <v>6172</v>
      </c>
    </row>
    <row r="1250">
      <c r="A1250" s="52"/>
      <c r="B1250" s="50"/>
      <c r="C1250" s="52"/>
      <c r="D1250" s="53"/>
      <c r="E1250" s="81"/>
      <c r="F1250" s="81" t="s">
        <v>6172</v>
      </c>
    </row>
    <row r="1251">
      <c r="A1251" s="52"/>
      <c r="B1251" s="50"/>
      <c r="C1251" s="52"/>
      <c r="D1251" s="53"/>
      <c r="E1251" s="81"/>
      <c r="F1251" s="81" t="s">
        <v>6172</v>
      </c>
    </row>
    <row r="1252">
      <c r="A1252" s="52"/>
      <c r="B1252" s="50"/>
      <c r="C1252" s="52"/>
      <c r="D1252" s="53"/>
      <c r="E1252" s="81"/>
      <c r="F1252" s="81" t="s">
        <v>6172</v>
      </c>
    </row>
    <row r="1253">
      <c r="A1253" s="52"/>
      <c r="B1253" s="50"/>
      <c r="C1253" s="52"/>
      <c r="D1253" s="53"/>
      <c r="E1253" s="81"/>
      <c r="F1253" s="81" t="s">
        <v>6172</v>
      </c>
    </row>
    <row r="1254">
      <c r="A1254" s="52"/>
      <c r="B1254" s="50"/>
      <c r="C1254" s="52"/>
      <c r="D1254" s="53"/>
      <c r="E1254" s="81"/>
      <c r="F1254" s="81" t="s">
        <v>6172</v>
      </c>
    </row>
    <row r="1255">
      <c r="A1255" s="52"/>
      <c r="B1255" s="50"/>
      <c r="C1255" s="52"/>
      <c r="D1255" s="53"/>
      <c r="E1255" s="81"/>
      <c r="F1255" s="81" t="s">
        <v>6172</v>
      </c>
    </row>
    <row r="1256">
      <c r="A1256" s="52"/>
      <c r="B1256" s="50"/>
      <c r="C1256" s="52"/>
      <c r="D1256" s="53"/>
      <c r="E1256" s="81"/>
      <c r="F1256" s="81" t="s">
        <v>6172</v>
      </c>
    </row>
    <row r="1257">
      <c r="A1257" s="52"/>
      <c r="B1257" s="50"/>
      <c r="C1257" s="52"/>
      <c r="D1257" s="53"/>
      <c r="E1257" s="81"/>
      <c r="F1257" s="81" t="s">
        <v>6172</v>
      </c>
    </row>
    <row r="1258">
      <c r="A1258" s="52"/>
      <c r="B1258" s="50"/>
      <c r="C1258" s="52"/>
      <c r="D1258" s="53"/>
      <c r="E1258" s="81"/>
      <c r="F1258" s="81" t="s">
        <v>6172</v>
      </c>
    </row>
    <row r="1259">
      <c r="A1259" s="52"/>
      <c r="B1259" s="50"/>
      <c r="C1259" s="52"/>
      <c r="D1259" s="53"/>
      <c r="E1259" s="81"/>
      <c r="F1259" s="81" t="s">
        <v>6172</v>
      </c>
    </row>
    <row r="1260">
      <c r="A1260" s="52"/>
      <c r="B1260" s="50"/>
      <c r="C1260" s="52"/>
      <c r="D1260" s="53"/>
      <c r="E1260" s="81"/>
      <c r="F1260" s="81" t="s">
        <v>6172</v>
      </c>
    </row>
    <row r="1261">
      <c r="A1261" s="52"/>
      <c r="B1261" s="50"/>
      <c r="C1261" s="52"/>
      <c r="D1261" s="53"/>
      <c r="E1261" s="81"/>
      <c r="F1261" s="81" t="s">
        <v>6172</v>
      </c>
    </row>
    <row r="1262">
      <c r="A1262" s="52"/>
      <c r="B1262" s="50"/>
      <c r="C1262" s="52"/>
      <c r="D1262" s="53"/>
      <c r="E1262" s="81"/>
      <c r="F1262" s="81" t="s">
        <v>6172</v>
      </c>
    </row>
    <row r="1263">
      <c r="A1263" s="52"/>
      <c r="B1263" s="50"/>
      <c r="C1263" s="52"/>
      <c r="D1263" s="53"/>
      <c r="E1263" s="81"/>
      <c r="F1263" s="81" t="s">
        <v>6172</v>
      </c>
    </row>
    <row r="1264">
      <c r="A1264" s="52"/>
      <c r="B1264" s="50"/>
      <c r="C1264" s="52"/>
      <c r="D1264" s="53"/>
      <c r="E1264" s="81"/>
      <c r="F1264" s="81" t="s">
        <v>6172</v>
      </c>
    </row>
    <row r="1265">
      <c r="A1265" s="52"/>
      <c r="B1265" s="50"/>
      <c r="C1265" s="52"/>
      <c r="D1265" s="53"/>
      <c r="E1265" s="81"/>
      <c r="F1265" s="81" t="s">
        <v>6172</v>
      </c>
    </row>
    <row r="1266">
      <c r="A1266" s="52"/>
      <c r="B1266" s="50"/>
      <c r="C1266" s="52"/>
      <c r="D1266" s="53"/>
      <c r="E1266" s="81"/>
      <c r="F1266" s="81" t="s">
        <v>6172</v>
      </c>
    </row>
    <row r="1267">
      <c r="A1267" s="52"/>
      <c r="B1267" s="50"/>
      <c r="C1267" s="52"/>
      <c r="D1267" s="53"/>
      <c r="E1267" s="81"/>
      <c r="F1267" s="81" t="s">
        <v>6172</v>
      </c>
    </row>
    <row r="1268">
      <c r="A1268" s="52"/>
      <c r="B1268" s="50"/>
      <c r="C1268" s="52"/>
      <c r="D1268" s="53"/>
      <c r="E1268" s="81"/>
      <c r="F1268" s="81" t="s">
        <v>6172</v>
      </c>
    </row>
    <row r="1269">
      <c r="A1269" s="52"/>
      <c r="B1269" s="50"/>
      <c r="C1269" s="52"/>
      <c r="D1269" s="53"/>
      <c r="E1269" s="81"/>
      <c r="F1269" s="81" t="s">
        <v>6172</v>
      </c>
    </row>
    <row r="1270">
      <c r="A1270" s="52"/>
      <c r="B1270" s="50"/>
      <c r="C1270" s="52"/>
      <c r="D1270" s="53"/>
      <c r="E1270" s="81"/>
      <c r="F1270" s="81" t="s">
        <v>6172</v>
      </c>
    </row>
    <row r="1271">
      <c r="A1271" s="52"/>
      <c r="B1271" s="50"/>
      <c r="C1271" s="52"/>
      <c r="D1271" s="53"/>
      <c r="E1271" s="81"/>
      <c r="F1271" s="81" t="s">
        <v>6172</v>
      </c>
    </row>
    <row r="1272">
      <c r="A1272" s="52"/>
      <c r="B1272" s="50"/>
      <c r="C1272" s="52"/>
      <c r="D1272" s="53"/>
      <c r="E1272" s="81"/>
      <c r="F1272" s="81" t="s">
        <v>6172</v>
      </c>
    </row>
    <row r="1273">
      <c r="A1273" s="52"/>
      <c r="B1273" s="50"/>
      <c r="C1273" s="52"/>
      <c r="D1273" s="53"/>
      <c r="E1273" s="81"/>
      <c r="F1273" s="81" t="s">
        <v>6172</v>
      </c>
    </row>
    <row r="1274">
      <c r="A1274" s="52"/>
      <c r="B1274" s="50"/>
      <c r="C1274" s="52"/>
      <c r="D1274" s="53"/>
      <c r="E1274" s="81"/>
      <c r="F1274" s="81" t="s">
        <v>6172</v>
      </c>
    </row>
    <row r="1275">
      <c r="A1275" s="52"/>
      <c r="B1275" s="50"/>
      <c r="C1275" s="52"/>
      <c r="D1275" s="53"/>
      <c r="E1275" s="81"/>
      <c r="F1275" s="81" t="s">
        <v>6172</v>
      </c>
    </row>
    <row r="1276">
      <c r="A1276" s="52"/>
      <c r="B1276" s="50"/>
      <c r="C1276" s="52"/>
      <c r="D1276" s="53"/>
      <c r="E1276" s="81"/>
      <c r="F1276" s="81" t="s">
        <v>6172</v>
      </c>
    </row>
    <row r="1277">
      <c r="A1277" s="52"/>
      <c r="B1277" s="50"/>
      <c r="C1277" s="52"/>
      <c r="D1277" s="53"/>
      <c r="E1277" s="81"/>
      <c r="F1277" s="81" t="s">
        <v>6172</v>
      </c>
    </row>
    <row r="1278">
      <c r="A1278" s="52"/>
      <c r="B1278" s="50"/>
      <c r="C1278" s="52"/>
      <c r="D1278" s="53"/>
      <c r="E1278" s="81"/>
      <c r="F1278" s="81" t="s">
        <v>6172</v>
      </c>
    </row>
    <row r="1279">
      <c r="A1279" s="52"/>
      <c r="B1279" s="50"/>
      <c r="C1279" s="52"/>
      <c r="D1279" s="53"/>
      <c r="E1279" s="81"/>
      <c r="F1279" s="81" t="s">
        <v>6172</v>
      </c>
    </row>
    <row r="1280">
      <c r="A1280" s="52"/>
      <c r="B1280" s="50"/>
      <c r="C1280" s="52"/>
      <c r="D1280" s="53"/>
      <c r="E1280" s="81"/>
      <c r="F1280" s="81" t="s">
        <v>6172</v>
      </c>
    </row>
    <row r="1281">
      <c r="A1281" s="52"/>
      <c r="B1281" s="50"/>
      <c r="C1281" s="52"/>
      <c r="D1281" s="53"/>
      <c r="E1281" s="81"/>
      <c r="F1281" s="81" t="s">
        <v>6172</v>
      </c>
    </row>
    <row r="1282">
      <c r="A1282" s="52"/>
      <c r="B1282" s="50"/>
      <c r="C1282" s="52"/>
      <c r="D1282" s="53"/>
      <c r="E1282" s="81"/>
      <c r="F1282" s="81" t="s">
        <v>6172</v>
      </c>
    </row>
    <row r="1283">
      <c r="A1283" s="52"/>
      <c r="B1283" s="50"/>
      <c r="C1283" s="52"/>
      <c r="D1283" s="53"/>
      <c r="E1283" s="81"/>
      <c r="F1283" s="81" t="s">
        <v>6172</v>
      </c>
    </row>
    <row r="1284">
      <c r="A1284" s="52"/>
      <c r="B1284" s="50"/>
      <c r="C1284" s="52"/>
      <c r="D1284" s="53"/>
      <c r="E1284" s="81"/>
      <c r="F1284" s="81" t="s">
        <v>6172</v>
      </c>
    </row>
    <row r="1285">
      <c r="A1285" s="52"/>
      <c r="B1285" s="50"/>
      <c r="C1285" s="52"/>
      <c r="D1285" s="53"/>
      <c r="E1285" s="81"/>
      <c r="F1285" s="81" t="s">
        <v>6172</v>
      </c>
    </row>
    <row r="1286">
      <c r="A1286" s="52"/>
      <c r="B1286" s="50"/>
      <c r="C1286" s="52"/>
      <c r="D1286" s="53"/>
      <c r="E1286" s="81"/>
      <c r="F1286" s="81" t="s">
        <v>6172</v>
      </c>
    </row>
    <row r="1287">
      <c r="A1287" s="52"/>
      <c r="B1287" s="50"/>
      <c r="C1287" s="52"/>
      <c r="D1287" s="53"/>
      <c r="E1287" s="81"/>
      <c r="F1287" s="81" t="s">
        <v>6172</v>
      </c>
    </row>
    <row r="1288">
      <c r="A1288" s="52"/>
      <c r="B1288" s="50"/>
      <c r="C1288" s="52"/>
      <c r="D1288" s="53"/>
      <c r="E1288" s="81"/>
      <c r="F1288" s="81" t="s">
        <v>6172</v>
      </c>
    </row>
    <row r="1289">
      <c r="A1289" s="52"/>
      <c r="B1289" s="50"/>
      <c r="C1289" s="52"/>
      <c r="D1289" s="53"/>
      <c r="E1289" s="81"/>
      <c r="F1289" s="81" t="s">
        <v>6172</v>
      </c>
    </row>
    <row r="1290">
      <c r="A1290" s="52"/>
      <c r="B1290" s="50"/>
      <c r="C1290" s="52"/>
      <c r="D1290" s="53"/>
      <c r="E1290" s="81"/>
      <c r="F1290" s="81" t="s">
        <v>6172</v>
      </c>
    </row>
    <row r="1291">
      <c r="A1291" s="52"/>
      <c r="B1291" s="50"/>
      <c r="C1291" s="52"/>
      <c r="D1291" s="53"/>
      <c r="E1291" s="81"/>
      <c r="F1291" s="81" t="s">
        <v>6172</v>
      </c>
    </row>
    <row r="1292">
      <c r="A1292" s="52"/>
      <c r="B1292" s="50"/>
      <c r="C1292" s="52"/>
      <c r="D1292" s="53"/>
      <c r="E1292" s="81"/>
      <c r="F1292" s="81" t="s">
        <v>6172</v>
      </c>
    </row>
    <row r="1293">
      <c r="A1293" s="52"/>
      <c r="B1293" s="50"/>
      <c r="C1293" s="52"/>
      <c r="D1293" s="53"/>
      <c r="E1293" s="81"/>
      <c r="F1293" s="81" t="s">
        <v>6172</v>
      </c>
    </row>
    <row r="1294">
      <c r="A1294" s="52"/>
      <c r="B1294" s="50"/>
      <c r="C1294" s="52"/>
      <c r="D1294" s="53"/>
      <c r="E1294" s="81"/>
      <c r="F1294" s="81" t="s">
        <v>6172</v>
      </c>
    </row>
    <row r="1295">
      <c r="A1295" s="52"/>
      <c r="B1295" s="50"/>
      <c r="C1295" s="52"/>
      <c r="D1295" s="53"/>
      <c r="E1295" s="81"/>
      <c r="F1295" s="81" t="s">
        <v>6172</v>
      </c>
    </row>
    <row r="1296">
      <c r="A1296" s="52"/>
      <c r="B1296" s="50"/>
      <c r="C1296" s="52"/>
      <c r="D1296" s="53"/>
      <c r="E1296" s="81"/>
      <c r="F1296" s="81" t="s">
        <v>6172</v>
      </c>
    </row>
    <row r="1297">
      <c r="A1297" s="52"/>
      <c r="B1297" s="50"/>
      <c r="C1297" s="52"/>
      <c r="D1297" s="53"/>
      <c r="E1297" s="81"/>
      <c r="F1297" s="81" t="s">
        <v>6172</v>
      </c>
    </row>
    <row r="1298">
      <c r="A1298" s="52"/>
      <c r="B1298" s="50"/>
      <c r="C1298" s="52"/>
      <c r="D1298" s="53"/>
      <c r="E1298" s="81"/>
      <c r="F1298" s="81" t="s">
        <v>6172</v>
      </c>
    </row>
    <row r="1299">
      <c r="A1299" s="52"/>
      <c r="B1299" s="50"/>
      <c r="C1299" s="52"/>
      <c r="D1299" s="53"/>
      <c r="E1299" s="81"/>
      <c r="F1299" s="81" t="s">
        <v>6172</v>
      </c>
    </row>
    <row r="1300">
      <c r="A1300" s="52"/>
      <c r="B1300" s="50"/>
      <c r="C1300" s="52"/>
      <c r="D1300" s="53"/>
      <c r="E1300" s="81"/>
      <c r="F1300" s="81" t="s">
        <v>6172</v>
      </c>
    </row>
    <row r="1301">
      <c r="A1301" s="52"/>
      <c r="B1301" s="50"/>
      <c r="C1301" s="52"/>
      <c r="D1301" s="53"/>
      <c r="E1301" s="81"/>
      <c r="F1301" s="81" t="s">
        <v>6172</v>
      </c>
    </row>
    <row r="1302">
      <c r="A1302" s="52"/>
      <c r="B1302" s="50"/>
      <c r="C1302" s="52"/>
      <c r="D1302" s="53"/>
      <c r="E1302" s="81"/>
      <c r="F1302" s="81" t="s">
        <v>6172</v>
      </c>
    </row>
    <row r="1303">
      <c r="A1303" s="52"/>
      <c r="B1303" s="50"/>
      <c r="C1303" s="52"/>
      <c r="D1303" s="53"/>
      <c r="E1303" s="81"/>
      <c r="F1303" s="81" t="s">
        <v>6172</v>
      </c>
    </row>
    <row r="1304">
      <c r="A1304" s="52"/>
      <c r="B1304" s="50"/>
      <c r="C1304" s="52"/>
      <c r="D1304" s="53"/>
      <c r="E1304" s="81"/>
      <c r="F1304" s="81" t="s">
        <v>6172</v>
      </c>
    </row>
    <row r="1305">
      <c r="A1305" s="52"/>
      <c r="B1305" s="50"/>
      <c r="C1305" s="52"/>
      <c r="D1305" s="53"/>
      <c r="E1305" s="81"/>
      <c r="F1305" s="81" t="s">
        <v>6172</v>
      </c>
    </row>
    <row r="1306">
      <c r="A1306" s="52"/>
      <c r="B1306" s="50"/>
      <c r="C1306" s="52"/>
      <c r="D1306" s="53"/>
      <c r="E1306" s="81"/>
      <c r="F1306" s="81" t="s">
        <v>6172</v>
      </c>
    </row>
    <row r="1307">
      <c r="A1307" s="52"/>
      <c r="B1307" s="50"/>
      <c r="C1307" s="52"/>
      <c r="D1307" s="53"/>
      <c r="E1307" s="81"/>
      <c r="F1307" s="81" t="s">
        <v>6172</v>
      </c>
    </row>
    <row r="1308">
      <c r="A1308" s="52"/>
      <c r="B1308" s="50"/>
      <c r="C1308" s="52"/>
      <c r="D1308" s="53"/>
      <c r="E1308" s="81"/>
      <c r="F1308" s="81" t="s">
        <v>6172</v>
      </c>
    </row>
    <row r="1309">
      <c r="A1309" s="52"/>
      <c r="B1309" s="50"/>
      <c r="C1309" s="52"/>
      <c r="D1309" s="53"/>
      <c r="E1309" s="81"/>
      <c r="F1309" s="81" t="s">
        <v>6172</v>
      </c>
    </row>
    <row r="1310">
      <c r="A1310" s="52"/>
      <c r="B1310" s="50"/>
      <c r="C1310" s="52"/>
      <c r="D1310" s="53"/>
      <c r="E1310" s="81"/>
      <c r="F1310" s="81" t="s">
        <v>6172</v>
      </c>
    </row>
    <row r="1311">
      <c r="A1311" s="52"/>
      <c r="B1311" s="50"/>
      <c r="C1311" s="52"/>
      <c r="D1311" s="53"/>
      <c r="E1311" s="81"/>
      <c r="F1311" s="81" t="s">
        <v>6172</v>
      </c>
    </row>
    <row r="1312">
      <c r="A1312" s="52"/>
      <c r="B1312" s="50"/>
      <c r="C1312" s="52"/>
      <c r="D1312" s="53"/>
      <c r="E1312" s="81"/>
      <c r="F1312" s="81" t="s">
        <v>6172</v>
      </c>
    </row>
    <row r="1313">
      <c r="A1313" s="52"/>
      <c r="B1313" s="50"/>
      <c r="C1313" s="52"/>
      <c r="D1313" s="53"/>
      <c r="E1313" s="81"/>
      <c r="F1313" s="81" t="s">
        <v>6172</v>
      </c>
    </row>
    <row r="1314">
      <c r="A1314" s="52"/>
      <c r="B1314" s="50"/>
      <c r="C1314" s="52"/>
      <c r="D1314" s="53"/>
      <c r="E1314" s="81"/>
      <c r="F1314" s="81" t="s">
        <v>6172</v>
      </c>
    </row>
    <row r="1315">
      <c r="A1315" s="52"/>
      <c r="B1315" s="50"/>
      <c r="C1315" s="52"/>
      <c r="D1315" s="53"/>
      <c r="E1315" s="81"/>
      <c r="F1315" s="81" t="s">
        <v>6172</v>
      </c>
    </row>
    <row r="1316">
      <c r="A1316" s="52"/>
      <c r="B1316" s="50"/>
      <c r="C1316" s="52"/>
      <c r="D1316" s="53"/>
      <c r="E1316" s="81"/>
      <c r="F1316" s="81" t="s">
        <v>6172</v>
      </c>
    </row>
    <row r="1317">
      <c r="A1317" s="52"/>
      <c r="B1317" s="50"/>
      <c r="C1317" s="52"/>
      <c r="D1317" s="53"/>
      <c r="E1317" s="81"/>
      <c r="F1317" s="81" t="s">
        <v>6172</v>
      </c>
    </row>
    <row r="1318">
      <c r="A1318" s="52"/>
      <c r="B1318" s="50"/>
      <c r="C1318" s="52"/>
      <c r="D1318" s="53"/>
      <c r="E1318" s="81"/>
      <c r="F1318" s="81" t="s">
        <v>6172</v>
      </c>
    </row>
    <row r="1319">
      <c r="A1319" s="52"/>
      <c r="B1319" s="50"/>
      <c r="C1319" s="52"/>
      <c r="D1319" s="53"/>
      <c r="E1319" s="81"/>
      <c r="F1319" s="81" t="s">
        <v>6172</v>
      </c>
    </row>
    <row r="1320">
      <c r="A1320" s="52"/>
      <c r="B1320" s="50"/>
      <c r="C1320" s="52"/>
      <c r="D1320" s="53"/>
      <c r="E1320" s="81"/>
      <c r="F1320" s="81" t="s">
        <v>6172</v>
      </c>
    </row>
    <row r="1321">
      <c r="A1321" s="52"/>
      <c r="B1321" s="50"/>
      <c r="C1321" s="52"/>
      <c r="D1321" s="53"/>
      <c r="E1321" s="81"/>
      <c r="F1321" s="81" t="s">
        <v>6172</v>
      </c>
    </row>
    <row r="1322">
      <c r="A1322" s="52"/>
      <c r="B1322" s="50"/>
      <c r="C1322" s="52"/>
      <c r="D1322" s="53"/>
      <c r="E1322" s="81"/>
      <c r="F1322" s="81" t="s">
        <v>6172</v>
      </c>
    </row>
    <row r="1323">
      <c r="A1323" s="52"/>
      <c r="B1323" s="50"/>
      <c r="C1323" s="52"/>
      <c r="D1323" s="53"/>
      <c r="E1323" s="81"/>
      <c r="F1323" s="81" t="s">
        <v>6172</v>
      </c>
    </row>
    <row r="1324">
      <c r="A1324" s="52"/>
      <c r="B1324" s="50"/>
      <c r="C1324" s="52"/>
      <c r="D1324" s="53"/>
      <c r="E1324" s="81"/>
      <c r="F1324" s="81" t="s">
        <v>6172</v>
      </c>
    </row>
    <row r="1325">
      <c r="A1325" s="52"/>
      <c r="B1325" s="50"/>
      <c r="C1325" s="52"/>
      <c r="D1325" s="53"/>
      <c r="E1325" s="81"/>
      <c r="F1325" s="81" t="s">
        <v>6172</v>
      </c>
    </row>
    <row r="1326">
      <c r="A1326" s="52"/>
      <c r="B1326" s="50"/>
      <c r="C1326" s="52"/>
      <c r="D1326" s="53"/>
      <c r="E1326" s="81"/>
      <c r="F1326" s="81" t="s">
        <v>6172</v>
      </c>
    </row>
    <row r="1327">
      <c r="A1327" s="52"/>
      <c r="B1327" s="50"/>
      <c r="C1327" s="52"/>
      <c r="D1327" s="53"/>
      <c r="E1327" s="81"/>
      <c r="F1327" s="81" t="s">
        <v>6172</v>
      </c>
    </row>
    <row r="1328">
      <c r="A1328" s="52"/>
      <c r="B1328" s="50"/>
      <c r="C1328" s="52"/>
      <c r="D1328" s="53"/>
      <c r="E1328" s="81"/>
      <c r="F1328" s="81" t="s">
        <v>6172</v>
      </c>
    </row>
    <row r="1329">
      <c r="A1329" s="52"/>
      <c r="B1329" s="50"/>
      <c r="C1329" s="52"/>
      <c r="D1329" s="53"/>
      <c r="E1329" s="81"/>
      <c r="F1329" s="81" t="s">
        <v>6172</v>
      </c>
    </row>
    <row r="1330">
      <c r="A1330" s="52"/>
      <c r="B1330" s="50"/>
      <c r="C1330" s="52"/>
      <c r="D1330" s="53"/>
      <c r="E1330" s="81"/>
      <c r="F1330" s="81" t="s">
        <v>6172</v>
      </c>
    </row>
    <row r="1331">
      <c r="A1331" s="52"/>
      <c r="B1331" s="50"/>
      <c r="C1331" s="52"/>
      <c r="D1331" s="53"/>
      <c r="E1331" s="81"/>
      <c r="F1331" s="81" t="s">
        <v>6172</v>
      </c>
    </row>
    <row r="1332">
      <c r="A1332" s="52"/>
      <c r="B1332" s="50"/>
      <c r="C1332" s="52"/>
      <c r="D1332" s="53"/>
      <c r="E1332" s="81"/>
      <c r="F1332" s="81" t="s">
        <v>6172</v>
      </c>
    </row>
    <row r="1333">
      <c r="A1333" s="52"/>
      <c r="B1333" s="50"/>
      <c r="C1333" s="52"/>
      <c r="D1333" s="53"/>
      <c r="E1333" s="81"/>
      <c r="F1333" s="81" t="s">
        <v>6172</v>
      </c>
    </row>
    <row r="1334">
      <c r="A1334" s="52"/>
      <c r="B1334" s="50"/>
      <c r="C1334" s="52"/>
      <c r="D1334" s="53"/>
      <c r="E1334" s="81"/>
      <c r="F1334" s="81" t="s">
        <v>6172</v>
      </c>
    </row>
    <row r="1335">
      <c r="A1335" s="52"/>
      <c r="B1335" s="50"/>
      <c r="C1335" s="52"/>
      <c r="D1335" s="53"/>
      <c r="E1335" s="81"/>
      <c r="F1335" s="81" t="s">
        <v>6172</v>
      </c>
    </row>
    <row r="1336">
      <c r="A1336" s="52"/>
      <c r="B1336" s="50"/>
      <c r="C1336" s="52"/>
      <c r="D1336" s="53"/>
      <c r="E1336" s="81"/>
      <c r="F1336" s="81" t="s">
        <v>6172</v>
      </c>
    </row>
    <row r="1337">
      <c r="A1337" s="52"/>
      <c r="B1337" s="50"/>
      <c r="C1337" s="52"/>
      <c r="D1337" s="53"/>
      <c r="E1337" s="81"/>
      <c r="F1337" s="81" t="s">
        <v>6172</v>
      </c>
    </row>
    <row r="1338">
      <c r="A1338" s="52"/>
      <c r="B1338" s="50"/>
      <c r="C1338" s="52"/>
      <c r="D1338" s="53"/>
      <c r="E1338" s="81"/>
      <c r="F1338" s="81" t="s">
        <v>6172</v>
      </c>
    </row>
    <row r="1339">
      <c r="A1339" s="52"/>
      <c r="B1339" s="50"/>
      <c r="C1339" s="52"/>
      <c r="D1339" s="53"/>
      <c r="E1339" s="81"/>
      <c r="F1339" s="81" t="s">
        <v>6172</v>
      </c>
    </row>
    <row r="1340">
      <c r="A1340" s="52"/>
      <c r="B1340" s="50"/>
      <c r="C1340" s="52"/>
      <c r="D1340" s="53"/>
      <c r="E1340" s="81"/>
      <c r="F1340" s="81" t="s">
        <v>6172</v>
      </c>
    </row>
    <row r="1341">
      <c r="A1341" s="52"/>
      <c r="B1341" s="50"/>
      <c r="C1341" s="52"/>
      <c r="D1341" s="53"/>
      <c r="E1341" s="81"/>
      <c r="F1341" s="81" t="s">
        <v>6172</v>
      </c>
    </row>
    <row r="1342">
      <c r="A1342" s="52"/>
      <c r="B1342" s="50"/>
      <c r="C1342" s="52"/>
      <c r="D1342" s="53"/>
      <c r="E1342" s="81"/>
      <c r="F1342" s="81" t="s">
        <v>6172</v>
      </c>
    </row>
    <row r="1343">
      <c r="A1343" s="52"/>
      <c r="B1343" s="50"/>
      <c r="C1343" s="52"/>
      <c r="D1343" s="53"/>
      <c r="E1343" s="81"/>
      <c r="F1343" s="81" t="s">
        <v>6172</v>
      </c>
    </row>
    <row r="1344">
      <c r="A1344" s="52"/>
      <c r="B1344" s="50"/>
      <c r="C1344" s="52"/>
      <c r="D1344" s="53"/>
      <c r="E1344" s="81"/>
      <c r="F1344" s="81" t="s">
        <v>6172</v>
      </c>
    </row>
    <row r="1345">
      <c r="A1345" s="52"/>
      <c r="B1345" s="50"/>
      <c r="C1345" s="52"/>
      <c r="D1345" s="53"/>
      <c r="E1345" s="81"/>
      <c r="F1345" s="81" t="s">
        <v>6172</v>
      </c>
    </row>
    <row r="1346">
      <c r="A1346" s="52"/>
      <c r="B1346" s="50"/>
      <c r="C1346" s="52"/>
      <c r="D1346" s="53"/>
      <c r="E1346" s="81"/>
      <c r="F1346" s="81" t="s">
        <v>6172</v>
      </c>
    </row>
    <row r="1347">
      <c r="A1347" s="52"/>
      <c r="B1347" s="50"/>
      <c r="C1347" s="52"/>
      <c r="D1347" s="53"/>
      <c r="E1347" s="81"/>
      <c r="F1347" s="81" t="s">
        <v>6172</v>
      </c>
    </row>
    <row r="1348">
      <c r="A1348" s="52"/>
      <c r="B1348" s="50"/>
      <c r="C1348" s="52"/>
      <c r="D1348" s="53"/>
      <c r="E1348" s="81"/>
      <c r="F1348" s="81" t="s">
        <v>6172</v>
      </c>
    </row>
    <row r="1349">
      <c r="A1349" s="52"/>
      <c r="B1349" s="50"/>
      <c r="C1349" s="52"/>
      <c r="D1349" s="53"/>
      <c r="E1349" s="81"/>
      <c r="F1349" s="81" t="s">
        <v>6172</v>
      </c>
    </row>
    <row r="1350">
      <c r="A1350" s="52"/>
      <c r="B1350" s="50"/>
      <c r="C1350" s="52"/>
      <c r="D1350" s="53"/>
      <c r="E1350" s="81"/>
      <c r="F1350" s="81" t="s">
        <v>6172</v>
      </c>
    </row>
    <row r="1351">
      <c r="A1351" s="52"/>
      <c r="B1351" s="50"/>
      <c r="C1351" s="52"/>
      <c r="D1351" s="53"/>
      <c r="E1351" s="81"/>
      <c r="F1351" s="81" t="s">
        <v>6172</v>
      </c>
    </row>
    <row r="1352">
      <c r="A1352" s="52"/>
      <c r="B1352" s="50"/>
      <c r="C1352" s="52"/>
      <c r="D1352" s="53"/>
      <c r="E1352" s="81"/>
      <c r="F1352" s="81" t="s">
        <v>6172</v>
      </c>
    </row>
    <row r="1353">
      <c r="A1353" s="52"/>
      <c r="B1353" s="50"/>
      <c r="C1353" s="52"/>
      <c r="D1353" s="53"/>
      <c r="E1353" s="81"/>
      <c r="F1353" s="81" t="s">
        <v>6172</v>
      </c>
    </row>
    <row r="1354">
      <c r="A1354" s="52"/>
      <c r="B1354" s="50"/>
      <c r="C1354" s="52"/>
      <c r="D1354" s="53"/>
      <c r="E1354" s="81"/>
      <c r="F1354" s="81" t="s">
        <v>6172</v>
      </c>
    </row>
    <row r="1355">
      <c r="A1355" s="52"/>
      <c r="B1355" s="50"/>
      <c r="C1355" s="52"/>
      <c r="D1355" s="53"/>
      <c r="E1355" s="81"/>
      <c r="F1355" s="81" t="s">
        <v>6172</v>
      </c>
    </row>
    <row r="1356">
      <c r="A1356" s="52"/>
      <c r="B1356" s="50"/>
      <c r="C1356" s="52"/>
      <c r="D1356" s="53"/>
      <c r="E1356" s="81"/>
      <c r="F1356" s="81" t="s">
        <v>6172</v>
      </c>
    </row>
    <row r="1357">
      <c r="A1357" s="52"/>
      <c r="B1357" s="50"/>
      <c r="C1357" s="52"/>
      <c r="D1357" s="53"/>
      <c r="E1357" s="81"/>
      <c r="F1357" s="81" t="s">
        <v>6172</v>
      </c>
    </row>
    <row r="1358">
      <c r="A1358" s="52"/>
      <c r="B1358" s="50"/>
      <c r="C1358" s="52"/>
      <c r="D1358" s="53"/>
      <c r="E1358" s="81"/>
      <c r="F1358" s="81" t="s">
        <v>6172</v>
      </c>
    </row>
    <row r="1359">
      <c r="A1359" s="52"/>
      <c r="B1359" s="50"/>
      <c r="C1359" s="52"/>
      <c r="D1359" s="53"/>
      <c r="E1359" s="81"/>
      <c r="F1359" s="81" t="s">
        <v>6172</v>
      </c>
    </row>
    <row r="1360">
      <c r="A1360" s="52"/>
      <c r="B1360" s="50"/>
      <c r="C1360" s="52"/>
      <c r="D1360" s="53"/>
      <c r="E1360" s="81"/>
      <c r="F1360" s="81" t="s">
        <v>6172</v>
      </c>
    </row>
    <row r="1361">
      <c r="A1361" s="52"/>
      <c r="B1361" s="50"/>
      <c r="C1361" s="52"/>
      <c r="D1361" s="53"/>
      <c r="E1361" s="81"/>
      <c r="F1361" s="81" t="s">
        <v>6172</v>
      </c>
    </row>
    <row r="1362">
      <c r="A1362" s="52"/>
      <c r="B1362" s="50"/>
      <c r="C1362" s="52"/>
      <c r="D1362" s="53"/>
      <c r="E1362" s="81"/>
      <c r="F1362" s="81" t="s">
        <v>6172</v>
      </c>
    </row>
    <row r="1363">
      <c r="A1363" s="52"/>
      <c r="B1363" s="50"/>
      <c r="C1363" s="52"/>
      <c r="D1363" s="53"/>
      <c r="E1363" s="81"/>
      <c r="F1363" s="81" t="s">
        <v>6172</v>
      </c>
    </row>
    <row r="1364">
      <c r="A1364" s="52"/>
      <c r="B1364" s="50"/>
      <c r="C1364" s="52"/>
      <c r="D1364" s="53"/>
      <c r="E1364" s="81"/>
      <c r="F1364" s="81" t="s">
        <v>6172</v>
      </c>
    </row>
    <row r="1365">
      <c r="A1365" s="52"/>
      <c r="B1365" s="50"/>
      <c r="C1365" s="52"/>
      <c r="D1365" s="53"/>
      <c r="E1365" s="81"/>
      <c r="F1365" s="81" t="s">
        <v>6172</v>
      </c>
    </row>
    <row r="1366">
      <c r="A1366" s="52"/>
      <c r="B1366" s="50"/>
      <c r="C1366" s="52"/>
      <c r="D1366" s="53"/>
      <c r="E1366" s="81"/>
      <c r="F1366" s="81" t="s">
        <v>6172</v>
      </c>
    </row>
    <row r="1367">
      <c r="A1367" s="52"/>
      <c r="B1367" s="50"/>
      <c r="C1367" s="52"/>
      <c r="D1367" s="53"/>
      <c r="E1367" s="81"/>
      <c r="F1367" s="81" t="s">
        <v>6172</v>
      </c>
    </row>
    <row r="1368">
      <c r="A1368" s="52"/>
      <c r="B1368" s="50"/>
      <c r="C1368" s="52"/>
      <c r="D1368" s="53"/>
      <c r="E1368" s="81"/>
      <c r="F1368" s="81" t="s">
        <v>6172</v>
      </c>
    </row>
    <row r="1369">
      <c r="A1369" s="52"/>
      <c r="B1369" s="50"/>
      <c r="C1369" s="52"/>
      <c r="D1369" s="53"/>
      <c r="E1369" s="81"/>
      <c r="F1369" s="81" t="s">
        <v>6172</v>
      </c>
    </row>
    <row r="1370">
      <c r="A1370" s="52"/>
      <c r="B1370" s="50"/>
      <c r="C1370" s="52"/>
      <c r="D1370" s="53"/>
      <c r="E1370" s="81"/>
      <c r="F1370" s="81" t="s">
        <v>6172</v>
      </c>
    </row>
    <row r="1371">
      <c r="A1371" s="52"/>
      <c r="B1371" s="50"/>
      <c r="C1371" s="52"/>
      <c r="D1371" s="53"/>
      <c r="E1371" s="81"/>
      <c r="F1371" s="81" t="s">
        <v>6172</v>
      </c>
    </row>
    <row r="1372">
      <c r="A1372" s="52"/>
      <c r="B1372" s="50"/>
      <c r="C1372" s="52"/>
      <c r="D1372" s="53"/>
      <c r="E1372" s="81"/>
      <c r="F1372" s="81" t="s">
        <v>6172</v>
      </c>
    </row>
    <row r="1373">
      <c r="A1373" s="52"/>
      <c r="B1373" s="50"/>
      <c r="C1373" s="52"/>
      <c r="D1373" s="53"/>
      <c r="E1373" s="81"/>
      <c r="F1373" s="81" t="s">
        <v>6172</v>
      </c>
    </row>
    <row r="1374">
      <c r="A1374" s="52"/>
      <c r="B1374" s="50"/>
      <c r="C1374" s="52"/>
      <c r="D1374" s="53"/>
      <c r="E1374" s="81"/>
      <c r="F1374" s="81" t="s">
        <v>6172</v>
      </c>
    </row>
    <row r="1375">
      <c r="A1375" s="52"/>
      <c r="B1375" s="50"/>
      <c r="C1375" s="52"/>
      <c r="D1375" s="53"/>
      <c r="E1375" s="81"/>
      <c r="F1375" s="81" t="s">
        <v>6172</v>
      </c>
    </row>
    <row r="1376">
      <c r="A1376" s="52"/>
      <c r="B1376" s="50"/>
      <c r="C1376" s="52"/>
      <c r="D1376" s="53"/>
      <c r="E1376" s="81"/>
      <c r="F1376" s="81" t="s">
        <v>6172</v>
      </c>
    </row>
    <row r="1377">
      <c r="A1377" s="52"/>
      <c r="B1377" s="50"/>
      <c r="C1377" s="52"/>
      <c r="D1377" s="53"/>
      <c r="E1377" s="81"/>
      <c r="F1377" s="81" t="s">
        <v>6172</v>
      </c>
    </row>
    <row r="1378">
      <c r="A1378" s="52"/>
      <c r="B1378" s="50"/>
      <c r="C1378" s="52"/>
      <c r="D1378" s="53"/>
      <c r="E1378" s="81"/>
      <c r="F1378" s="81" t="s">
        <v>6172</v>
      </c>
    </row>
    <row r="1379">
      <c r="A1379" s="52"/>
      <c r="B1379" s="50"/>
      <c r="C1379" s="52"/>
      <c r="D1379" s="53"/>
      <c r="E1379" s="81"/>
      <c r="F1379" s="81" t="s">
        <v>6172</v>
      </c>
    </row>
    <row r="1380">
      <c r="A1380" s="52"/>
      <c r="B1380" s="50"/>
      <c r="C1380" s="52"/>
      <c r="D1380" s="53"/>
      <c r="E1380" s="81"/>
      <c r="F1380" s="81" t="s">
        <v>6172</v>
      </c>
    </row>
    <row r="1381">
      <c r="A1381" s="52"/>
      <c r="B1381" s="50"/>
      <c r="C1381" s="52"/>
      <c r="D1381" s="53"/>
      <c r="E1381" s="81"/>
      <c r="F1381" s="81" t="s">
        <v>6172</v>
      </c>
    </row>
    <row r="1382">
      <c r="A1382" s="52"/>
      <c r="B1382" s="50"/>
      <c r="C1382" s="52"/>
      <c r="D1382" s="53"/>
      <c r="E1382" s="81"/>
      <c r="F1382" s="81" t="s">
        <v>6172</v>
      </c>
    </row>
    <row r="1383">
      <c r="A1383" s="52"/>
      <c r="B1383" s="50"/>
      <c r="C1383" s="52"/>
      <c r="D1383" s="53"/>
      <c r="E1383" s="81"/>
      <c r="F1383" s="81" t="s">
        <v>6172</v>
      </c>
    </row>
    <row r="1384">
      <c r="A1384" s="52"/>
      <c r="B1384" s="50"/>
      <c r="C1384" s="52"/>
      <c r="D1384" s="53"/>
      <c r="E1384" s="81"/>
      <c r="F1384" s="81" t="s">
        <v>6172</v>
      </c>
    </row>
    <row r="1385">
      <c r="A1385" s="52"/>
      <c r="B1385" s="50"/>
      <c r="C1385" s="52"/>
      <c r="D1385" s="53"/>
      <c r="E1385" s="81"/>
      <c r="F1385" s="81" t="s">
        <v>6172</v>
      </c>
    </row>
    <row r="1386">
      <c r="A1386" s="52"/>
      <c r="B1386" s="50"/>
      <c r="C1386" s="52"/>
      <c r="D1386" s="53"/>
      <c r="E1386" s="81"/>
      <c r="F1386" s="81" t="s">
        <v>6172</v>
      </c>
    </row>
    <row r="1387">
      <c r="A1387" s="52"/>
      <c r="B1387" s="50"/>
      <c r="C1387" s="52"/>
      <c r="D1387" s="53"/>
      <c r="E1387" s="81"/>
      <c r="F1387" s="81" t="s">
        <v>6172</v>
      </c>
    </row>
    <row r="1388">
      <c r="A1388" s="52"/>
      <c r="B1388" s="50"/>
      <c r="C1388" s="52"/>
      <c r="D1388" s="53"/>
      <c r="E1388" s="81"/>
      <c r="F1388" s="81" t="s">
        <v>6172</v>
      </c>
    </row>
    <row r="1389">
      <c r="A1389" s="52"/>
      <c r="B1389" s="50"/>
      <c r="C1389" s="52"/>
      <c r="D1389" s="53"/>
      <c r="E1389" s="81"/>
      <c r="F1389" s="81" t="s">
        <v>6172</v>
      </c>
    </row>
    <row r="1390">
      <c r="A1390" s="52"/>
      <c r="B1390" s="50"/>
      <c r="C1390" s="52"/>
      <c r="D1390" s="53"/>
      <c r="E1390" s="81"/>
      <c r="F1390" s="81" t="s">
        <v>6172</v>
      </c>
    </row>
    <row r="1391">
      <c r="A1391" s="52"/>
      <c r="B1391" s="50"/>
      <c r="C1391" s="52"/>
      <c r="D1391" s="53"/>
      <c r="E1391" s="81"/>
      <c r="F1391" s="81" t="s">
        <v>6172</v>
      </c>
    </row>
    <row r="1392">
      <c r="A1392" s="52"/>
      <c r="B1392" s="50"/>
      <c r="C1392" s="52"/>
      <c r="D1392" s="53"/>
      <c r="E1392" s="81"/>
      <c r="F1392" s="81" t="s">
        <v>6172</v>
      </c>
    </row>
    <row r="1393">
      <c r="A1393" s="52"/>
      <c r="B1393" s="50"/>
      <c r="C1393" s="52"/>
      <c r="D1393" s="53"/>
      <c r="E1393" s="81"/>
      <c r="F1393" s="81" t="s">
        <v>6172</v>
      </c>
    </row>
    <row r="1394">
      <c r="A1394" s="52"/>
      <c r="B1394" s="50"/>
      <c r="C1394" s="52"/>
      <c r="D1394" s="53"/>
      <c r="E1394" s="81"/>
      <c r="F1394" s="81" t="s">
        <v>6172</v>
      </c>
    </row>
    <row r="1395">
      <c r="A1395" s="52"/>
      <c r="B1395" s="50"/>
      <c r="C1395" s="52"/>
      <c r="D1395" s="53"/>
      <c r="E1395" s="81"/>
      <c r="F1395" s="81" t="s">
        <v>6172</v>
      </c>
    </row>
    <row r="1396">
      <c r="A1396" s="52"/>
      <c r="B1396" s="50"/>
      <c r="C1396" s="52"/>
      <c r="D1396" s="53"/>
      <c r="E1396" s="81"/>
      <c r="F1396" s="81" t="s">
        <v>6172</v>
      </c>
    </row>
    <row r="1397">
      <c r="A1397" s="52"/>
      <c r="B1397" s="50"/>
      <c r="C1397" s="52"/>
      <c r="D1397" s="53"/>
      <c r="E1397" s="81"/>
      <c r="F1397" s="81" t="s">
        <v>6172</v>
      </c>
    </row>
    <row r="1398">
      <c r="A1398" s="52"/>
      <c r="B1398" s="50"/>
      <c r="C1398" s="52"/>
      <c r="D1398" s="53"/>
      <c r="E1398" s="81"/>
      <c r="F1398" s="81" t="s">
        <v>6172</v>
      </c>
    </row>
    <row r="1399">
      <c r="A1399" s="52"/>
      <c r="B1399" s="50"/>
      <c r="C1399" s="52"/>
      <c r="D1399" s="53"/>
      <c r="E1399" s="81"/>
      <c r="F1399" s="81" t="s">
        <v>6172</v>
      </c>
    </row>
    <row r="1400">
      <c r="A1400" s="52"/>
      <c r="B1400" s="50"/>
      <c r="C1400" s="52"/>
      <c r="D1400" s="53"/>
      <c r="E1400" s="81"/>
      <c r="F1400" s="81" t="s">
        <v>6172</v>
      </c>
    </row>
    <row r="1401">
      <c r="A1401" s="52"/>
      <c r="B1401" s="50"/>
      <c r="C1401" s="52"/>
      <c r="D1401" s="53"/>
      <c r="E1401" s="81"/>
      <c r="F1401" s="81" t="s">
        <v>6172</v>
      </c>
    </row>
    <row r="1402">
      <c r="A1402" s="52"/>
      <c r="B1402" s="50"/>
      <c r="C1402" s="52"/>
      <c r="D1402" s="53"/>
      <c r="E1402" s="81"/>
      <c r="F1402" s="81" t="s">
        <v>6172</v>
      </c>
    </row>
    <row r="1403">
      <c r="A1403" s="52"/>
      <c r="B1403" s="50"/>
      <c r="C1403" s="52"/>
      <c r="D1403" s="53"/>
      <c r="E1403" s="81"/>
      <c r="F1403" s="81" t="s">
        <v>6172</v>
      </c>
    </row>
    <row r="1404">
      <c r="A1404" s="52"/>
      <c r="B1404" s="50"/>
      <c r="C1404" s="52"/>
      <c r="D1404" s="53"/>
      <c r="E1404" s="81"/>
      <c r="F1404" s="81" t="s">
        <v>6172</v>
      </c>
    </row>
    <row r="1405">
      <c r="A1405" s="52"/>
      <c r="B1405" s="50"/>
      <c r="C1405" s="52"/>
      <c r="D1405" s="53"/>
      <c r="E1405" s="81"/>
      <c r="F1405" s="81" t="s">
        <v>6172</v>
      </c>
    </row>
    <row r="1406">
      <c r="A1406" s="52"/>
      <c r="B1406" s="50"/>
      <c r="C1406" s="52"/>
      <c r="D1406" s="53"/>
      <c r="E1406" s="81"/>
      <c r="F1406" s="81" t="s">
        <v>6172</v>
      </c>
    </row>
    <row r="1407">
      <c r="A1407" s="52"/>
      <c r="B1407" s="50"/>
      <c r="C1407" s="52"/>
      <c r="D1407" s="53"/>
      <c r="E1407" s="81"/>
      <c r="F1407" s="81" t="s">
        <v>6172</v>
      </c>
    </row>
    <row r="1408">
      <c r="A1408" s="52"/>
      <c r="B1408" s="50"/>
      <c r="C1408" s="52"/>
      <c r="D1408" s="53"/>
      <c r="E1408" s="81"/>
      <c r="F1408" s="81" t="s">
        <v>6172</v>
      </c>
    </row>
    <row r="1409">
      <c r="A1409" s="52"/>
      <c r="B1409" s="50"/>
      <c r="C1409" s="52"/>
      <c r="D1409" s="53"/>
      <c r="E1409" s="81"/>
      <c r="F1409" s="81" t="s">
        <v>6172</v>
      </c>
    </row>
    <row r="1410">
      <c r="A1410" s="52"/>
      <c r="B1410" s="50"/>
      <c r="C1410" s="52"/>
      <c r="D1410" s="53"/>
      <c r="E1410" s="81"/>
      <c r="F1410" s="81" t="s">
        <v>6172</v>
      </c>
    </row>
    <row r="1411">
      <c r="A1411" s="52"/>
      <c r="B1411" s="50"/>
      <c r="C1411" s="52"/>
      <c r="D1411" s="53"/>
      <c r="E1411" s="81"/>
      <c r="F1411" s="81" t="s">
        <v>6172</v>
      </c>
    </row>
    <row r="1412">
      <c r="A1412" s="52"/>
      <c r="B1412" s="50"/>
      <c r="C1412" s="52"/>
      <c r="D1412" s="53"/>
      <c r="E1412" s="81"/>
      <c r="F1412" s="81" t="s">
        <v>6172</v>
      </c>
    </row>
    <row r="1413">
      <c r="A1413" s="52"/>
      <c r="B1413" s="50"/>
      <c r="C1413" s="52"/>
      <c r="D1413" s="53"/>
      <c r="E1413" s="81"/>
      <c r="F1413" s="81" t="s">
        <v>6172</v>
      </c>
    </row>
    <row r="1414">
      <c r="A1414" s="52"/>
      <c r="B1414" s="50"/>
      <c r="C1414" s="52"/>
      <c r="D1414" s="53"/>
      <c r="E1414" s="81"/>
      <c r="F1414" s="81" t="s">
        <v>6172</v>
      </c>
    </row>
    <row r="1415">
      <c r="A1415" s="52"/>
      <c r="B1415" s="50"/>
      <c r="C1415" s="52"/>
      <c r="D1415" s="53"/>
      <c r="E1415" s="81"/>
      <c r="F1415" s="81" t="s">
        <v>6172</v>
      </c>
    </row>
    <row r="1416">
      <c r="A1416" s="52"/>
      <c r="B1416" s="50"/>
      <c r="C1416" s="52"/>
      <c r="D1416" s="53"/>
      <c r="E1416" s="81"/>
      <c r="F1416" s="81" t="s">
        <v>6172</v>
      </c>
    </row>
    <row r="1417">
      <c r="A1417" s="52"/>
      <c r="B1417" s="50"/>
      <c r="C1417" s="52"/>
      <c r="D1417" s="53"/>
      <c r="E1417" s="81"/>
      <c r="F1417" s="81" t="s">
        <v>6172</v>
      </c>
    </row>
    <row r="1418">
      <c r="A1418" s="52"/>
      <c r="B1418" s="50"/>
      <c r="C1418" s="52"/>
      <c r="D1418" s="53"/>
      <c r="E1418" s="81"/>
      <c r="F1418" s="81" t="s">
        <v>6172</v>
      </c>
    </row>
    <row r="1419">
      <c r="A1419" s="52"/>
      <c r="B1419" s="50"/>
      <c r="C1419" s="52"/>
      <c r="D1419" s="53"/>
      <c r="E1419" s="81"/>
      <c r="F1419" s="81" t="s">
        <v>6172</v>
      </c>
    </row>
    <row r="1420">
      <c r="A1420" s="52"/>
      <c r="B1420" s="50"/>
      <c r="C1420" s="52"/>
      <c r="D1420" s="53"/>
      <c r="E1420" s="81"/>
      <c r="F1420" s="81" t="s">
        <v>6172</v>
      </c>
    </row>
    <row r="1421">
      <c r="A1421" s="52"/>
      <c r="B1421" s="50"/>
      <c r="C1421" s="52"/>
      <c r="D1421" s="53"/>
      <c r="E1421" s="81"/>
      <c r="F1421" s="81" t="s">
        <v>6172</v>
      </c>
    </row>
    <row r="1422">
      <c r="A1422" s="52"/>
      <c r="B1422" s="50"/>
      <c r="C1422" s="52"/>
      <c r="D1422" s="53"/>
      <c r="E1422" s="81"/>
      <c r="F1422" s="81" t="s">
        <v>6172</v>
      </c>
    </row>
    <row r="1423">
      <c r="A1423" s="52"/>
      <c r="B1423" s="50"/>
      <c r="C1423" s="52"/>
      <c r="D1423" s="53"/>
      <c r="E1423" s="81"/>
      <c r="F1423" s="81" t="s">
        <v>6172</v>
      </c>
    </row>
    <row r="1424">
      <c r="A1424" s="52"/>
      <c r="B1424" s="50"/>
      <c r="C1424" s="52"/>
      <c r="D1424" s="53"/>
      <c r="E1424" s="81"/>
      <c r="F1424" s="81" t="s">
        <v>6172</v>
      </c>
    </row>
    <row r="1425">
      <c r="A1425" s="52"/>
      <c r="B1425" s="50"/>
      <c r="C1425" s="52"/>
      <c r="D1425" s="53"/>
      <c r="E1425" s="81"/>
      <c r="F1425" s="81" t="s">
        <v>6172</v>
      </c>
    </row>
    <row r="1426">
      <c r="A1426" s="52"/>
      <c r="B1426" s="50"/>
      <c r="C1426" s="52"/>
      <c r="D1426" s="53"/>
      <c r="E1426" s="81"/>
      <c r="F1426" s="81" t="s">
        <v>6172</v>
      </c>
    </row>
    <row r="1427">
      <c r="A1427" s="52"/>
      <c r="B1427" s="50"/>
      <c r="C1427" s="52"/>
      <c r="D1427" s="53"/>
      <c r="E1427" s="81"/>
      <c r="F1427" s="81" t="s">
        <v>6172</v>
      </c>
    </row>
    <row r="1428">
      <c r="A1428" s="52"/>
      <c r="B1428" s="50"/>
      <c r="C1428" s="52"/>
      <c r="D1428" s="53"/>
      <c r="E1428" s="81"/>
      <c r="F1428" s="81" t="s">
        <v>6172</v>
      </c>
    </row>
    <row r="1429">
      <c r="A1429" s="52"/>
      <c r="B1429" s="50"/>
      <c r="C1429" s="52"/>
      <c r="D1429" s="53"/>
      <c r="E1429" s="81"/>
      <c r="F1429" s="81" t="s">
        <v>6172</v>
      </c>
    </row>
    <row r="1430">
      <c r="A1430" s="52"/>
      <c r="B1430" s="50"/>
      <c r="C1430" s="52"/>
      <c r="D1430" s="53"/>
      <c r="E1430" s="81"/>
      <c r="F1430" s="81" t="s">
        <v>6172</v>
      </c>
    </row>
    <row r="1431">
      <c r="A1431" s="52"/>
      <c r="B1431" s="50"/>
      <c r="C1431" s="52"/>
      <c r="D1431" s="53"/>
      <c r="E1431" s="81"/>
      <c r="F1431" s="81" t="s">
        <v>6172</v>
      </c>
    </row>
    <row r="1432">
      <c r="A1432" s="52"/>
      <c r="B1432" s="50"/>
      <c r="C1432" s="52"/>
      <c r="D1432" s="53"/>
      <c r="E1432" s="81"/>
      <c r="F1432" s="81" t="s">
        <v>6172</v>
      </c>
    </row>
    <row r="1433">
      <c r="A1433" s="52"/>
      <c r="B1433" s="50"/>
      <c r="C1433" s="52"/>
      <c r="D1433" s="53"/>
      <c r="E1433" s="81"/>
      <c r="F1433" s="81" t="s">
        <v>6172</v>
      </c>
    </row>
    <row r="1434">
      <c r="A1434" s="52"/>
      <c r="B1434" s="50"/>
      <c r="C1434" s="52"/>
      <c r="D1434" s="53"/>
      <c r="E1434" s="81"/>
      <c r="F1434" s="81" t="s">
        <v>6172</v>
      </c>
    </row>
    <row r="1435">
      <c r="A1435" s="52"/>
      <c r="B1435" s="50"/>
      <c r="C1435" s="52"/>
      <c r="D1435" s="53"/>
      <c r="E1435" s="81"/>
      <c r="F1435" s="81" t="s">
        <v>6172</v>
      </c>
    </row>
    <row r="1436">
      <c r="A1436" s="52"/>
      <c r="B1436" s="50"/>
      <c r="C1436" s="52"/>
      <c r="D1436" s="53"/>
      <c r="E1436" s="81"/>
      <c r="F1436" s="81" t="s">
        <v>6172</v>
      </c>
    </row>
    <row r="1437">
      <c r="A1437" s="52"/>
      <c r="B1437" s="50"/>
      <c r="C1437" s="52"/>
      <c r="D1437" s="53"/>
      <c r="E1437" s="81"/>
      <c r="F1437" s="81" t="s">
        <v>6172</v>
      </c>
    </row>
    <row r="1438">
      <c r="A1438" s="52"/>
      <c r="B1438" s="50"/>
      <c r="C1438" s="52"/>
      <c r="D1438" s="53"/>
      <c r="E1438" s="81"/>
      <c r="F1438" s="81" t="s">
        <v>6172</v>
      </c>
    </row>
    <row r="1439">
      <c r="A1439" s="52"/>
      <c r="B1439" s="50"/>
      <c r="C1439" s="52"/>
      <c r="D1439" s="53"/>
      <c r="E1439" s="81"/>
      <c r="F1439" s="81" t="s">
        <v>6172</v>
      </c>
    </row>
    <row r="1440">
      <c r="A1440" s="52"/>
      <c r="B1440" s="50"/>
      <c r="C1440" s="52"/>
      <c r="D1440" s="53"/>
      <c r="E1440" s="81"/>
      <c r="F1440" s="81" t="s">
        <v>6172</v>
      </c>
    </row>
    <row r="1441">
      <c r="A1441" s="52"/>
      <c r="B1441" s="50"/>
      <c r="C1441" s="52"/>
      <c r="D1441" s="53"/>
      <c r="E1441" s="81"/>
      <c r="F1441" s="81" t="s">
        <v>6172</v>
      </c>
    </row>
    <row r="1442">
      <c r="A1442" s="52"/>
      <c r="B1442" s="50"/>
      <c r="C1442" s="52"/>
      <c r="D1442" s="53"/>
      <c r="E1442" s="81"/>
      <c r="F1442" s="81" t="s">
        <v>6172</v>
      </c>
    </row>
    <row r="1443">
      <c r="A1443" s="52"/>
      <c r="B1443" s="50"/>
      <c r="C1443" s="52"/>
      <c r="D1443" s="53"/>
      <c r="E1443" s="81"/>
      <c r="F1443" s="81" t="s">
        <v>6172</v>
      </c>
    </row>
    <row r="1444">
      <c r="A1444" s="52"/>
      <c r="B1444" s="50"/>
      <c r="C1444" s="52"/>
      <c r="D1444" s="53"/>
      <c r="E1444" s="81"/>
      <c r="F1444" s="81" t="s">
        <v>6172</v>
      </c>
    </row>
    <row r="1445">
      <c r="A1445" s="52"/>
      <c r="B1445" s="50"/>
      <c r="C1445" s="52"/>
      <c r="D1445" s="53"/>
      <c r="E1445" s="81"/>
      <c r="F1445" s="81" t="s">
        <v>6172</v>
      </c>
    </row>
    <row r="1446">
      <c r="A1446" s="52"/>
      <c r="B1446" s="50"/>
      <c r="C1446" s="52"/>
      <c r="D1446" s="53"/>
      <c r="E1446" s="81"/>
      <c r="F1446" s="81" t="s">
        <v>6172</v>
      </c>
    </row>
    <row r="1447">
      <c r="A1447" s="52"/>
      <c r="B1447" s="50"/>
      <c r="C1447" s="52"/>
      <c r="D1447" s="53"/>
      <c r="E1447" s="81"/>
      <c r="F1447" s="81" t="s">
        <v>6172</v>
      </c>
    </row>
    <row r="1448">
      <c r="A1448" s="52"/>
      <c r="B1448" s="50"/>
      <c r="C1448" s="52"/>
      <c r="D1448" s="53"/>
      <c r="E1448" s="81"/>
      <c r="F1448" s="81" t="s">
        <v>6172</v>
      </c>
    </row>
    <row r="1449">
      <c r="A1449" s="52"/>
      <c r="B1449" s="50"/>
      <c r="C1449" s="52"/>
      <c r="D1449" s="53"/>
      <c r="E1449" s="81"/>
      <c r="F1449" s="81" t="s">
        <v>6172</v>
      </c>
    </row>
    <row r="1450">
      <c r="A1450" s="52"/>
      <c r="B1450" s="50"/>
      <c r="C1450" s="52"/>
      <c r="D1450" s="53"/>
      <c r="E1450" s="81"/>
      <c r="F1450" s="81" t="s">
        <v>6172</v>
      </c>
    </row>
    <row r="1451">
      <c r="A1451" s="52"/>
      <c r="B1451" s="50"/>
      <c r="C1451" s="52"/>
      <c r="D1451" s="53"/>
      <c r="E1451" s="81"/>
      <c r="F1451" s="81" t="s">
        <v>6172</v>
      </c>
    </row>
    <row r="1452">
      <c r="A1452" s="52"/>
      <c r="B1452" s="50"/>
      <c r="C1452" s="52"/>
      <c r="D1452" s="53"/>
      <c r="E1452" s="81"/>
      <c r="F1452" s="81" t="s">
        <v>6172</v>
      </c>
    </row>
    <row r="1453">
      <c r="A1453" s="52"/>
      <c r="B1453" s="50"/>
      <c r="C1453" s="52"/>
      <c r="D1453" s="53"/>
      <c r="E1453" s="81"/>
      <c r="F1453" s="81" t="s">
        <v>6172</v>
      </c>
    </row>
    <row r="1454">
      <c r="A1454" s="52"/>
      <c r="B1454" s="50"/>
      <c r="C1454" s="52"/>
      <c r="D1454" s="53"/>
      <c r="E1454" s="81"/>
      <c r="F1454" s="81" t="s">
        <v>6172</v>
      </c>
    </row>
    <row r="1455">
      <c r="A1455" s="52"/>
      <c r="B1455" s="50"/>
      <c r="C1455" s="52"/>
      <c r="D1455" s="53"/>
      <c r="E1455" s="81"/>
      <c r="F1455" s="81" t="s">
        <v>6172</v>
      </c>
    </row>
    <row r="1456">
      <c r="A1456" s="52"/>
      <c r="B1456" s="50"/>
      <c r="C1456" s="52"/>
      <c r="D1456" s="53"/>
      <c r="E1456" s="81"/>
      <c r="F1456" s="81" t="s">
        <v>6172</v>
      </c>
    </row>
    <row r="1457">
      <c r="A1457" s="52"/>
      <c r="B1457" s="50"/>
      <c r="C1457" s="52"/>
      <c r="D1457" s="53"/>
      <c r="E1457" s="81"/>
      <c r="F1457" s="81" t="s">
        <v>6172</v>
      </c>
    </row>
    <row r="1458">
      <c r="A1458" s="52"/>
      <c r="B1458" s="50"/>
      <c r="C1458" s="52"/>
      <c r="D1458" s="53"/>
      <c r="E1458" s="81"/>
      <c r="F1458" s="81" t="s">
        <v>6172</v>
      </c>
    </row>
    <row r="1459">
      <c r="A1459" s="52"/>
      <c r="B1459" s="50"/>
      <c r="C1459" s="52"/>
      <c r="D1459" s="53"/>
      <c r="E1459" s="81"/>
      <c r="F1459" s="81" t="s">
        <v>6172</v>
      </c>
    </row>
    <row r="1460">
      <c r="A1460" s="52"/>
      <c r="B1460" s="50"/>
      <c r="C1460" s="52"/>
      <c r="D1460" s="53"/>
      <c r="E1460" s="81"/>
      <c r="F1460" s="81" t="s">
        <v>6172</v>
      </c>
    </row>
    <row r="1461">
      <c r="A1461" s="52"/>
      <c r="B1461" s="50"/>
      <c r="C1461" s="52"/>
      <c r="D1461" s="53"/>
      <c r="E1461" s="81"/>
      <c r="F1461" s="81" t="s">
        <v>6172</v>
      </c>
    </row>
    <row r="1462">
      <c r="A1462" s="52"/>
      <c r="B1462" s="50"/>
      <c r="C1462" s="52"/>
      <c r="D1462" s="53"/>
      <c r="E1462" s="81"/>
      <c r="F1462" s="81" t="s">
        <v>6172</v>
      </c>
    </row>
    <row r="1463">
      <c r="A1463" s="52"/>
      <c r="B1463" s="50"/>
      <c r="C1463" s="52"/>
      <c r="D1463" s="53"/>
      <c r="E1463" s="81"/>
      <c r="F1463" s="81" t="s">
        <v>6172</v>
      </c>
    </row>
    <row r="1464">
      <c r="A1464" s="52"/>
      <c r="B1464" s="50"/>
      <c r="C1464" s="52"/>
      <c r="D1464" s="53"/>
      <c r="E1464" s="81"/>
      <c r="F1464" s="81" t="s">
        <v>6172</v>
      </c>
    </row>
    <row r="1465">
      <c r="A1465" s="52"/>
      <c r="B1465" s="50"/>
      <c r="C1465" s="52"/>
      <c r="D1465" s="53"/>
      <c r="E1465" s="81"/>
      <c r="F1465" s="81" t="s">
        <v>6172</v>
      </c>
    </row>
    <row r="1466">
      <c r="A1466" s="52"/>
      <c r="B1466" s="50"/>
      <c r="C1466" s="52"/>
      <c r="D1466" s="53"/>
      <c r="E1466" s="81"/>
      <c r="F1466" s="81" t="s">
        <v>6172</v>
      </c>
    </row>
    <row r="1467">
      <c r="A1467" s="52"/>
      <c r="B1467" s="50"/>
      <c r="C1467" s="52"/>
      <c r="D1467" s="53"/>
      <c r="E1467" s="81"/>
      <c r="F1467" s="81" t="s">
        <v>6172</v>
      </c>
    </row>
    <row r="1468">
      <c r="A1468" s="52"/>
      <c r="B1468" s="50"/>
      <c r="C1468" s="52"/>
      <c r="D1468" s="53"/>
      <c r="E1468" s="81"/>
      <c r="F1468" s="81" t="s">
        <v>6172</v>
      </c>
    </row>
    <row r="1469">
      <c r="A1469" s="52"/>
      <c r="B1469" s="50"/>
      <c r="C1469" s="52"/>
      <c r="D1469" s="53"/>
      <c r="E1469" s="81"/>
      <c r="F1469" s="81" t="s">
        <v>6172</v>
      </c>
    </row>
    <row r="1470">
      <c r="A1470" s="52"/>
      <c r="B1470" s="50"/>
      <c r="C1470" s="52"/>
      <c r="D1470" s="53"/>
      <c r="E1470" s="81"/>
      <c r="F1470" s="81" t="s">
        <v>6172</v>
      </c>
    </row>
    <row r="1471">
      <c r="A1471" s="52"/>
      <c r="B1471" s="50"/>
      <c r="C1471" s="52"/>
      <c r="D1471" s="53"/>
      <c r="E1471" s="81"/>
      <c r="F1471" s="81" t="s">
        <v>6172</v>
      </c>
    </row>
    <row r="1472">
      <c r="A1472" s="52"/>
      <c r="B1472" s="50"/>
      <c r="C1472" s="52"/>
      <c r="D1472" s="53"/>
      <c r="E1472" s="81"/>
      <c r="F1472" s="81" t="s">
        <v>6172</v>
      </c>
    </row>
    <row r="1473">
      <c r="A1473" s="52"/>
      <c r="B1473" s="50"/>
      <c r="C1473" s="52"/>
      <c r="D1473" s="53"/>
      <c r="E1473" s="81"/>
      <c r="F1473" s="81" t="s">
        <v>6172</v>
      </c>
    </row>
    <row r="1474">
      <c r="A1474" s="52"/>
      <c r="B1474" s="50"/>
      <c r="C1474" s="52"/>
      <c r="D1474" s="53"/>
      <c r="E1474" s="81"/>
      <c r="F1474" s="81" t="s">
        <v>6172</v>
      </c>
    </row>
    <row r="1475">
      <c r="A1475" s="52"/>
      <c r="B1475" s="50"/>
      <c r="C1475" s="52"/>
      <c r="D1475" s="53"/>
      <c r="E1475" s="81"/>
      <c r="F1475" s="81" t="s">
        <v>6172</v>
      </c>
    </row>
    <row r="1476">
      <c r="A1476" s="52"/>
      <c r="B1476" s="50"/>
      <c r="C1476" s="52"/>
      <c r="D1476" s="53"/>
      <c r="E1476" s="81"/>
      <c r="F1476" s="81" t="s">
        <v>6172</v>
      </c>
    </row>
    <row r="1477">
      <c r="A1477" s="52"/>
      <c r="B1477" s="50"/>
      <c r="C1477" s="52"/>
      <c r="D1477" s="53"/>
      <c r="E1477" s="81"/>
      <c r="F1477" s="81" t="s">
        <v>6172</v>
      </c>
    </row>
    <row r="1478">
      <c r="A1478" s="52"/>
      <c r="B1478" s="50"/>
      <c r="C1478" s="52"/>
      <c r="D1478" s="53"/>
      <c r="E1478" s="81"/>
      <c r="F1478" s="81" t="s">
        <v>6172</v>
      </c>
    </row>
    <row r="1479">
      <c r="A1479" s="52"/>
      <c r="B1479" s="50"/>
      <c r="C1479" s="52"/>
      <c r="D1479" s="53"/>
      <c r="E1479" s="81"/>
      <c r="F1479" s="81" t="s">
        <v>6172</v>
      </c>
    </row>
    <row r="1480">
      <c r="A1480" s="52"/>
      <c r="B1480" s="50"/>
      <c r="C1480" s="52"/>
      <c r="D1480" s="53"/>
      <c r="E1480" s="81"/>
      <c r="F1480" s="81" t="s">
        <v>6172</v>
      </c>
    </row>
    <row r="1481">
      <c r="A1481" s="52"/>
      <c r="B1481" s="50"/>
      <c r="C1481" s="52"/>
      <c r="D1481" s="53"/>
      <c r="E1481" s="81"/>
      <c r="F1481" s="81" t="s">
        <v>6172</v>
      </c>
    </row>
    <row r="1482">
      <c r="A1482" s="52"/>
      <c r="B1482" s="50"/>
      <c r="C1482" s="52"/>
      <c r="D1482" s="53"/>
      <c r="E1482" s="81"/>
      <c r="F1482" s="81" t="s">
        <v>6172</v>
      </c>
    </row>
    <row r="1483">
      <c r="A1483" s="52"/>
      <c r="B1483" s="50"/>
      <c r="C1483" s="52"/>
      <c r="D1483" s="53"/>
      <c r="E1483" s="81"/>
      <c r="F1483" s="81" t="s">
        <v>6172</v>
      </c>
    </row>
    <row r="1484">
      <c r="A1484" s="52"/>
      <c r="B1484" s="50"/>
      <c r="C1484" s="52"/>
      <c r="D1484" s="53"/>
      <c r="E1484" s="81"/>
      <c r="F1484" s="81" t="s">
        <v>6172</v>
      </c>
    </row>
    <row r="1485">
      <c r="A1485" s="52"/>
      <c r="B1485" s="50"/>
      <c r="C1485" s="52"/>
      <c r="D1485" s="53"/>
      <c r="E1485" s="81"/>
      <c r="F1485" s="81" t="s">
        <v>6172</v>
      </c>
    </row>
    <row r="1486">
      <c r="A1486" s="52"/>
      <c r="B1486" s="50"/>
      <c r="C1486" s="52"/>
      <c r="D1486" s="53"/>
      <c r="E1486" s="81"/>
      <c r="F1486" s="81" t="s">
        <v>6172</v>
      </c>
    </row>
    <row r="1487">
      <c r="A1487" s="52"/>
      <c r="B1487" s="50"/>
      <c r="C1487" s="52"/>
      <c r="D1487" s="53"/>
      <c r="E1487" s="81"/>
      <c r="F1487" s="81" t="s">
        <v>6172</v>
      </c>
    </row>
    <row r="1488">
      <c r="A1488" s="52"/>
      <c r="B1488" s="50"/>
      <c r="C1488" s="52"/>
      <c r="D1488" s="53"/>
      <c r="E1488" s="81"/>
      <c r="F1488" s="81" t="s">
        <v>6172</v>
      </c>
    </row>
    <row r="1489">
      <c r="A1489" s="52"/>
      <c r="B1489" s="50"/>
      <c r="C1489" s="52"/>
      <c r="D1489" s="53"/>
      <c r="E1489" s="81"/>
      <c r="F1489" s="81" t="s">
        <v>6172</v>
      </c>
    </row>
    <row r="1490">
      <c r="A1490" s="52"/>
      <c r="B1490" s="50"/>
      <c r="C1490" s="52"/>
      <c r="D1490" s="53"/>
      <c r="E1490" s="81"/>
      <c r="F1490" s="81" t="s">
        <v>6172</v>
      </c>
    </row>
    <row r="1491">
      <c r="A1491" s="52"/>
      <c r="B1491" s="50"/>
      <c r="C1491" s="52"/>
      <c r="D1491" s="53"/>
      <c r="E1491" s="81"/>
      <c r="F1491" s="81" t="s">
        <v>6172</v>
      </c>
    </row>
    <row r="1492">
      <c r="A1492" s="52"/>
      <c r="B1492" s="50"/>
      <c r="C1492" s="52"/>
      <c r="D1492" s="53"/>
      <c r="E1492" s="81"/>
      <c r="F1492" s="81" t="s">
        <v>6172</v>
      </c>
    </row>
    <row r="1493">
      <c r="A1493" s="52"/>
      <c r="B1493" s="50"/>
      <c r="C1493" s="52"/>
      <c r="D1493" s="53"/>
      <c r="E1493" s="81"/>
      <c r="F1493" s="81" t="s">
        <v>6172</v>
      </c>
    </row>
    <row r="1494">
      <c r="A1494" s="52"/>
      <c r="B1494" s="50"/>
      <c r="C1494" s="52"/>
      <c r="D1494" s="53"/>
      <c r="E1494" s="81"/>
      <c r="F1494" s="81" t="s">
        <v>6172</v>
      </c>
    </row>
    <row r="1495">
      <c r="A1495" s="52"/>
      <c r="B1495" s="50"/>
      <c r="C1495" s="52"/>
      <c r="D1495" s="53"/>
      <c r="E1495" s="81"/>
      <c r="F1495" s="81" t="s">
        <v>6172</v>
      </c>
    </row>
    <row r="1496">
      <c r="A1496" s="52"/>
      <c r="B1496" s="50"/>
      <c r="C1496" s="52"/>
      <c r="D1496" s="53"/>
      <c r="E1496" s="81"/>
      <c r="F1496" s="81" t="s">
        <v>6172</v>
      </c>
    </row>
    <row r="1497">
      <c r="A1497" s="52"/>
      <c r="B1497" s="50"/>
      <c r="C1497" s="52"/>
      <c r="D1497" s="53"/>
      <c r="E1497" s="81"/>
      <c r="F1497" s="81" t="s">
        <v>6172</v>
      </c>
    </row>
    <row r="1498">
      <c r="A1498" s="52"/>
      <c r="B1498" s="50"/>
      <c r="C1498" s="52"/>
      <c r="D1498" s="53"/>
      <c r="E1498" s="81"/>
      <c r="F1498" s="81" t="s">
        <v>6172</v>
      </c>
    </row>
    <row r="1499">
      <c r="A1499" s="52"/>
      <c r="B1499" s="50"/>
      <c r="C1499" s="52"/>
      <c r="D1499" s="53"/>
      <c r="E1499" s="81"/>
      <c r="F1499" s="81" t="s">
        <v>6172</v>
      </c>
    </row>
    <row r="1500">
      <c r="A1500" s="52"/>
      <c r="B1500" s="50"/>
      <c r="C1500" s="52"/>
      <c r="D1500" s="53"/>
      <c r="E1500" s="81"/>
      <c r="F1500" s="81" t="s">
        <v>6172</v>
      </c>
    </row>
    <row r="1501">
      <c r="A1501" s="52"/>
      <c r="B1501" s="50"/>
      <c r="C1501" s="52"/>
      <c r="D1501" s="53"/>
      <c r="E1501" s="81"/>
      <c r="F1501" s="81" t="s">
        <v>6172</v>
      </c>
    </row>
    <row r="1502">
      <c r="A1502" s="52"/>
      <c r="B1502" s="50"/>
      <c r="C1502" s="52"/>
      <c r="D1502" s="53"/>
      <c r="E1502" s="81"/>
      <c r="F1502" s="81" t="s">
        <v>6172</v>
      </c>
    </row>
    <row r="1503">
      <c r="A1503" s="52"/>
      <c r="B1503" s="50"/>
      <c r="C1503" s="52"/>
      <c r="D1503" s="53"/>
      <c r="E1503" s="81"/>
      <c r="F1503" s="81" t="s">
        <v>6172</v>
      </c>
    </row>
    <row r="1504">
      <c r="A1504" s="52"/>
      <c r="B1504" s="50"/>
      <c r="C1504" s="52"/>
      <c r="D1504" s="53"/>
      <c r="E1504" s="81"/>
      <c r="F1504" s="81" t="s">
        <v>6172</v>
      </c>
    </row>
    <row r="1505">
      <c r="A1505" s="52"/>
      <c r="B1505" s="50"/>
      <c r="C1505" s="52"/>
      <c r="D1505" s="53"/>
      <c r="E1505" s="81"/>
      <c r="F1505" s="81" t="s">
        <v>6172</v>
      </c>
    </row>
    <row r="1506">
      <c r="A1506" s="52"/>
      <c r="B1506" s="50"/>
      <c r="C1506" s="52"/>
      <c r="D1506" s="53"/>
      <c r="E1506" s="81"/>
      <c r="F1506" s="81" t="s">
        <v>6172</v>
      </c>
    </row>
    <row r="1507">
      <c r="A1507" s="52"/>
      <c r="B1507" s="50"/>
      <c r="C1507" s="52"/>
      <c r="D1507" s="53"/>
      <c r="E1507" s="81"/>
      <c r="F1507" s="81" t="s">
        <v>6172</v>
      </c>
    </row>
    <row r="1508">
      <c r="A1508" s="52"/>
      <c r="B1508" s="50"/>
      <c r="C1508" s="52"/>
      <c r="D1508" s="53"/>
      <c r="E1508" s="81"/>
      <c r="F1508" s="81" t="s">
        <v>6172</v>
      </c>
    </row>
    <row r="1509">
      <c r="A1509" s="52"/>
      <c r="B1509" s="50"/>
      <c r="C1509" s="52"/>
      <c r="D1509" s="53"/>
      <c r="E1509" s="81"/>
      <c r="F1509" s="81" t="s">
        <v>6172</v>
      </c>
    </row>
    <row r="1510">
      <c r="A1510" s="52"/>
      <c r="B1510" s="50"/>
      <c r="C1510" s="52"/>
      <c r="D1510" s="53"/>
      <c r="E1510" s="81"/>
      <c r="F1510" s="81" t="s">
        <v>6172</v>
      </c>
    </row>
    <row r="1511">
      <c r="A1511" s="52"/>
      <c r="B1511" s="50"/>
      <c r="C1511" s="52"/>
      <c r="D1511" s="53"/>
      <c r="E1511" s="81"/>
      <c r="F1511" s="81" t="s">
        <v>6172</v>
      </c>
    </row>
    <row r="1512">
      <c r="A1512" s="52"/>
      <c r="B1512" s="50"/>
      <c r="C1512" s="52"/>
      <c r="D1512" s="53"/>
      <c r="E1512" s="81"/>
      <c r="F1512" s="81" t="s">
        <v>6172</v>
      </c>
    </row>
    <row r="1513">
      <c r="A1513" s="52"/>
      <c r="B1513" s="50"/>
      <c r="C1513" s="52"/>
      <c r="D1513" s="53"/>
      <c r="E1513" s="81"/>
      <c r="F1513" s="81" t="s">
        <v>6172</v>
      </c>
    </row>
    <row r="1514">
      <c r="A1514" s="52"/>
      <c r="B1514" s="50"/>
      <c r="C1514" s="52"/>
      <c r="D1514" s="53"/>
      <c r="E1514" s="81"/>
      <c r="F1514" s="81" t="s">
        <v>6172</v>
      </c>
    </row>
    <row r="1515">
      <c r="A1515" s="52"/>
      <c r="B1515" s="50"/>
      <c r="C1515" s="52"/>
      <c r="D1515" s="53"/>
      <c r="E1515" s="81"/>
      <c r="F1515" s="81" t="s">
        <v>6172</v>
      </c>
    </row>
    <row r="1516">
      <c r="A1516" s="52"/>
      <c r="B1516" s="50"/>
      <c r="C1516" s="52"/>
      <c r="D1516" s="53"/>
      <c r="E1516" s="81"/>
      <c r="F1516" s="81" t="s">
        <v>6172</v>
      </c>
    </row>
    <row r="1517">
      <c r="A1517" s="52"/>
      <c r="B1517" s="50"/>
      <c r="C1517" s="52"/>
      <c r="D1517" s="53"/>
      <c r="E1517" s="81"/>
      <c r="F1517" s="81" t="s">
        <v>6172</v>
      </c>
    </row>
    <row r="1518">
      <c r="A1518" s="52"/>
      <c r="B1518" s="50"/>
      <c r="C1518" s="52"/>
      <c r="D1518" s="53"/>
      <c r="E1518" s="81"/>
      <c r="F1518" s="81" t="s">
        <v>6172</v>
      </c>
    </row>
    <row r="1519">
      <c r="A1519" s="52"/>
      <c r="B1519" s="50"/>
      <c r="C1519" s="52"/>
      <c r="D1519" s="53"/>
      <c r="E1519" s="81"/>
      <c r="F1519" s="81" t="s">
        <v>6172</v>
      </c>
    </row>
    <row r="1520">
      <c r="A1520" s="52"/>
      <c r="B1520" s="50"/>
      <c r="C1520" s="52"/>
      <c r="D1520" s="53"/>
      <c r="E1520" s="81"/>
      <c r="F1520" s="81" t="s">
        <v>6172</v>
      </c>
    </row>
    <row r="1521">
      <c r="A1521" s="52"/>
      <c r="B1521" s="50"/>
      <c r="C1521" s="52"/>
      <c r="D1521" s="53"/>
      <c r="E1521" s="81"/>
      <c r="F1521" s="81" t="s">
        <v>6172</v>
      </c>
    </row>
    <row r="1522">
      <c r="A1522" s="52"/>
      <c r="B1522" s="50"/>
      <c r="C1522" s="52"/>
      <c r="D1522" s="53"/>
      <c r="E1522" s="81"/>
      <c r="F1522" s="81" t="s">
        <v>6172</v>
      </c>
    </row>
    <row r="1523">
      <c r="A1523" s="52"/>
      <c r="B1523" s="50"/>
      <c r="C1523" s="52"/>
      <c r="D1523" s="53"/>
      <c r="E1523" s="81"/>
      <c r="F1523" s="81" t="s">
        <v>6172</v>
      </c>
    </row>
    <row r="1524">
      <c r="A1524" s="52"/>
      <c r="B1524" s="50"/>
      <c r="C1524" s="52"/>
      <c r="D1524" s="53"/>
      <c r="E1524" s="81"/>
      <c r="F1524" s="81" t="s">
        <v>6172</v>
      </c>
    </row>
    <row r="1525">
      <c r="A1525" s="52"/>
      <c r="B1525" s="50"/>
      <c r="C1525" s="52"/>
      <c r="D1525" s="53"/>
      <c r="E1525" s="81"/>
      <c r="F1525" s="81" t="s">
        <v>6172</v>
      </c>
    </row>
    <row r="1526">
      <c r="A1526" s="52"/>
      <c r="B1526" s="50"/>
      <c r="C1526" s="52"/>
      <c r="D1526" s="53"/>
      <c r="E1526" s="81"/>
      <c r="F1526" s="81" t="s">
        <v>6172</v>
      </c>
    </row>
    <row r="1527">
      <c r="A1527" s="52"/>
      <c r="B1527" s="50"/>
      <c r="C1527" s="52"/>
      <c r="D1527" s="53"/>
      <c r="E1527" s="81"/>
      <c r="F1527" s="81" t="s">
        <v>6172</v>
      </c>
    </row>
    <row r="1528">
      <c r="A1528" s="52"/>
      <c r="B1528" s="50"/>
      <c r="C1528" s="52"/>
      <c r="D1528" s="53"/>
      <c r="E1528" s="81"/>
      <c r="F1528" s="81" t="s">
        <v>6172</v>
      </c>
    </row>
    <row r="1529">
      <c r="A1529" s="52"/>
      <c r="B1529" s="50"/>
      <c r="C1529" s="52"/>
      <c r="D1529" s="53"/>
      <c r="E1529" s="81"/>
      <c r="F1529" s="81" t="s">
        <v>6172</v>
      </c>
    </row>
    <row r="1530">
      <c r="A1530" s="52"/>
      <c r="B1530" s="50"/>
      <c r="C1530" s="52"/>
      <c r="D1530" s="53"/>
      <c r="E1530" s="81"/>
      <c r="F1530" s="81" t="s">
        <v>6172</v>
      </c>
    </row>
    <row r="1531">
      <c r="A1531" s="52"/>
      <c r="B1531" s="50"/>
      <c r="C1531" s="52"/>
      <c r="D1531" s="53"/>
      <c r="E1531" s="81"/>
      <c r="F1531" s="81" t="s">
        <v>6172</v>
      </c>
    </row>
    <row r="1532">
      <c r="A1532" s="52"/>
      <c r="B1532" s="50"/>
      <c r="C1532" s="52"/>
      <c r="D1532" s="53"/>
      <c r="E1532" s="81"/>
      <c r="F1532" s="81" t="s">
        <v>6172</v>
      </c>
    </row>
    <row r="1533">
      <c r="A1533" s="52"/>
      <c r="B1533" s="50"/>
      <c r="C1533" s="52"/>
      <c r="D1533" s="53"/>
      <c r="E1533" s="81"/>
      <c r="F1533" s="81" t="s">
        <v>6172</v>
      </c>
    </row>
    <row r="1534">
      <c r="A1534" s="52"/>
      <c r="B1534" s="50"/>
      <c r="C1534" s="52"/>
      <c r="D1534" s="53"/>
      <c r="E1534" s="81"/>
      <c r="F1534" s="81" t="s">
        <v>6172</v>
      </c>
    </row>
    <row r="1535">
      <c r="A1535" s="52"/>
      <c r="B1535" s="50"/>
      <c r="C1535" s="52"/>
      <c r="D1535" s="53"/>
      <c r="E1535" s="81"/>
      <c r="F1535" s="81" t="s">
        <v>6172</v>
      </c>
    </row>
    <row r="1536">
      <c r="A1536" s="52"/>
      <c r="B1536" s="50"/>
      <c r="C1536" s="52"/>
      <c r="D1536" s="53"/>
      <c r="E1536" s="81"/>
      <c r="F1536" s="81" t="s">
        <v>6172</v>
      </c>
    </row>
    <row r="1537">
      <c r="A1537" s="52"/>
      <c r="B1537" s="50"/>
      <c r="C1537" s="52"/>
      <c r="D1537" s="53"/>
      <c r="E1537" s="81"/>
      <c r="F1537" s="81" t="s">
        <v>6172</v>
      </c>
    </row>
    <row r="1538">
      <c r="A1538" s="52"/>
      <c r="B1538" s="50"/>
      <c r="C1538" s="52"/>
      <c r="D1538" s="53"/>
      <c r="E1538" s="81"/>
      <c r="F1538" s="81" t="s">
        <v>6172</v>
      </c>
    </row>
    <row r="1539">
      <c r="A1539" s="52"/>
      <c r="B1539" s="50"/>
      <c r="C1539" s="52"/>
      <c r="D1539" s="53"/>
      <c r="E1539" s="81"/>
      <c r="F1539" s="81" t="s">
        <v>6172</v>
      </c>
    </row>
    <row r="1540">
      <c r="A1540" s="52"/>
      <c r="B1540" s="50"/>
      <c r="C1540" s="52"/>
      <c r="D1540" s="53"/>
      <c r="E1540" s="81"/>
      <c r="F1540" s="81" t="s">
        <v>6172</v>
      </c>
    </row>
    <row r="1541">
      <c r="A1541" s="52"/>
      <c r="B1541" s="50"/>
      <c r="C1541" s="52"/>
      <c r="D1541" s="53"/>
      <c r="E1541" s="81"/>
      <c r="F1541" s="81" t="s">
        <v>6172</v>
      </c>
    </row>
    <row r="1542">
      <c r="A1542" s="52"/>
      <c r="B1542" s="50"/>
      <c r="C1542" s="52"/>
      <c r="D1542" s="53"/>
      <c r="E1542" s="81"/>
      <c r="F1542" s="81" t="s">
        <v>6172</v>
      </c>
    </row>
    <row r="1543">
      <c r="A1543" s="52"/>
      <c r="B1543" s="50"/>
      <c r="C1543" s="52"/>
      <c r="D1543" s="53"/>
      <c r="E1543" s="81"/>
      <c r="F1543" s="81" t="s">
        <v>6172</v>
      </c>
    </row>
    <row r="1544">
      <c r="A1544" s="52"/>
      <c r="B1544" s="50"/>
      <c r="C1544" s="52"/>
      <c r="D1544" s="53"/>
      <c r="E1544" s="81"/>
      <c r="F1544" s="81" t="s">
        <v>6172</v>
      </c>
    </row>
    <row r="1545">
      <c r="A1545" s="52"/>
      <c r="B1545" s="50"/>
      <c r="C1545" s="52"/>
      <c r="D1545" s="53"/>
      <c r="E1545" s="81"/>
      <c r="F1545" s="81" t="s">
        <v>6172</v>
      </c>
    </row>
    <row r="1546">
      <c r="A1546" s="52"/>
      <c r="B1546" s="50"/>
      <c r="C1546" s="52"/>
      <c r="D1546" s="53"/>
      <c r="E1546" s="81"/>
      <c r="F1546" s="81" t="s">
        <v>6172</v>
      </c>
    </row>
    <row r="1547">
      <c r="A1547" s="52"/>
      <c r="B1547" s="50"/>
      <c r="C1547" s="52"/>
      <c r="D1547" s="53"/>
      <c r="E1547" s="81"/>
      <c r="F1547" s="81" t="s">
        <v>6172</v>
      </c>
    </row>
    <row r="1548">
      <c r="A1548" s="52"/>
      <c r="B1548" s="50"/>
      <c r="C1548" s="52"/>
      <c r="D1548" s="53"/>
      <c r="E1548" s="81"/>
      <c r="F1548" s="81" t="s">
        <v>6172</v>
      </c>
    </row>
    <row r="1549">
      <c r="A1549" s="52"/>
      <c r="B1549" s="50"/>
      <c r="C1549" s="52"/>
      <c r="D1549" s="53"/>
      <c r="E1549" s="81"/>
      <c r="F1549" s="81" t="s">
        <v>6172</v>
      </c>
    </row>
    <row r="1550">
      <c r="A1550" s="52"/>
      <c r="B1550" s="50"/>
      <c r="C1550" s="52"/>
      <c r="D1550" s="53"/>
      <c r="E1550" s="81"/>
      <c r="F1550" s="81" t="s">
        <v>6172</v>
      </c>
    </row>
    <row r="1551">
      <c r="A1551" s="52"/>
      <c r="B1551" s="50"/>
      <c r="C1551" s="52"/>
      <c r="D1551" s="53"/>
      <c r="E1551" s="81"/>
      <c r="F1551" s="81" t="s">
        <v>6172</v>
      </c>
    </row>
    <row r="1552">
      <c r="A1552" s="52"/>
      <c r="B1552" s="50"/>
      <c r="C1552" s="52"/>
      <c r="D1552" s="53"/>
      <c r="E1552" s="81"/>
      <c r="F1552" s="81" t="s">
        <v>6172</v>
      </c>
    </row>
    <row r="1553">
      <c r="A1553" s="52"/>
      <c r="B1553" s="50"/>
      <c r="C1553" s="52"/>
      <c r="D1553" s="53"/>
      <c r="E1553" s="81"/>
      <c r="F1553" s="81" t="s">
        <v>6172</v>
      </c>
    </row>
    <row r="1554">
      <c r="A1554" s="52"/>
      <c r="B1554" s="50"/>
      <c r="C1554" s="52"/>
      <c r="D1554" s="53"/>
      <c r="E1554" s="81"/>
      <c r="F1554" s="81" t="s">
        <v>6172</v>
      </c>
    </row>
    <row r="1555">
      <c r="A1555" s="52"/>
      <c r="B1555" s="50"/>
      <c r="C1555" s="52"/>
      <c r="D1555" s="53"/>
      <c r="E1555" s="81"/>
      <c r="F1555" s="81" t="s">
        <v>6172</v>
      </c>
    </row>
    <row r="1556">
      <c r="A1556" s="52"/>
      <c r="B1556" s="50"/>
      <c r="C1556" s="52"/>
      <c r="D1556" s="53"/>
      <c r="E1556" s="81"/>
      <c r="F1556" s="81" t="s">
        <v>6172</v>
      </c>
    </row>
    <row r="1557">
      <c r="A1557" s="52"/>
      <c r="B1557" s="50"/>
      <c r="C1557" s="52"/>
      <c r="D1557" s="53"/>
      <c r="E1557" s="81"/>
      <c r="F1557" s="81" t="s">
        <v>6172</v>
      </c>
    </row>
    <row r="1558">
      <c r="A1558" s="52"/>
      <c r="B1558" s="50"/>
      <c r="C1558" s="52"/>
      <c r="D1558" s="53"/>
      <c r="E1558" s="81"/>
      <c r="F1558" s="81" t="s">
        <v>6172</v>
      </c>
    </row>
    <row r="1559">
      <c r="A1559" s="52"/>
      <c r="B1559" s="50"/>
      <c r="C1559" s="52"/>
      <c r="D1559" s="53"/>
      <c r="E1559" s="81"/>
      <c r="F1559" s="81" t="s">
        <v>6172</v>
      </c>
    </row>
    <row r="1560">
      <c r="A1560" s="52"/>
      <c r="B1560" s="50"/>
      <c r="C1560" s="52"/>
      <c r="D1560" s="53"/>
      <c r="E1560" s="81"/>
      <c r="F1560" s="81" t="s">
        <v>6172</v>
      </c>
    </row>
    <row r="1561">
      <c r="A1561" s="52"/>
      <c r="B1561" s="50"/>
      <c r="C1561" s="52"/>
      <c r="D1561" s="53"/>
      <c r="E1561" s="81"/>
      <c r="F1561" s="81" t="s">
        <v>6172</v>
      </c>
    </row>
    <row r="1562">
      <c r="A1562" s="52"/>
      <c r="B1562" s="50"/>
      <c r="C1562" s="52"/>
      <c r="D1562" s="53"/>
      <c r="E1562" s="81"/>
      <c r="F1562" s="81" t="s">
        <v>6172</v>
      </c>
    </row>
    <row r="1563">
      <c r="A1563" s="52"/>
      <c r="B1563" s="50"/>
      <c r="C1563" s="52"/>
      <c r="D1563" s="53"/>
      <c r="E1563" s="81"/>
      <c r="F1563" s="81" t="s">
        <v>6172</v>
      </c>
    </row>
    <row r="1564">
      <c r="A1564" s="52"/>
      <c r="B1564" s="50"/>
      <c r="C1564" s="52"/>
      <c r="D1564" s="53"/>
      <c r="E1564" s="81"/>
      <c r="F1564" s="81" t="s">
        <v>6172</v>
      </c>
    </row>
    <row r="1565">
      <c r="A1565" s="52"/>
      <c r="B1565" s="50"/>
      <c r="C1565" s="52"/>
      <c r="D1565" s="53"/>
      <c r="E1565" s="81"/>
      <c r="F1565" s="81" t="s">
        <v>6172</v>
      </c>
    </row>
    <row r="1566">
      <c r="A1566" s="52"/>
      <c r="B1566" s="50"/>
      <c r="C1566" s="52"/>
      <c r="D1566" s="53"/>
      <c r="E1566" s="81"/>
      <c r="F1566" s="81" t="s">
        <v>6172</v>
      </c>
    </row>
    <row r="1567">
      <c r="A1567" s="52"/>
      <c r="B1567" s="50"/>
      <c r="C1567" s="52"/>
      <c r="D1567" s="53"/>
      <c r="E1567" s="81"/>
      <c r="F1567" s="81" t="s">
        <v>6172</v>
      </c>
    </row>
    <row r="1568">
      <c r="A1568" s="52"/>
      <c r="B1568" s="50"/>
      <c r="C1568" s="52"/>
      <c r="D1568" s="53"/>
      <c r="E1568" s="81"/>
      <c r="F1568" s="81" t="s">
        <v>6172</v>
      </c>
    </row>
    <row r="1569">
      <c r="A1569" s="52"/>
      <c r="B1569" s="50"/>
      <c r="C1569" s="52"/>
      <c r="D1569" s="53"/>
      <c r="E1569" s="81"/>
      <c r="F1569" s="81" t="s">
        <v>6172</v>
      </c>
    </row>
    <row r="1570">
      <c r="A1570" s="52"/>
      <c r="B1570" s="50"/>
      <c r="C1570" s="52"/>
      <c r="D1570" s="53"/>
      <c r="E1570" s="81"/>
      <c r="F1570" s="81" t="s">
        <v>6172</v>
      </c>
    </row>
    <row r="1571">
      <c r="A1571" s="52"/>
      <c r="B1571" s="50"/>
      <c r="C1571" s="52"/>
      <c r="D1571" s="53"/>
      <c r="E1571" s="81"/>
      <c r="F1571" s="81" t="s">
        <v>6172</v>
      </c>
    </row>
    <row r="1572">
      <c r="A1572" s="52"/>
      <c r="B1572" s="50"/>
      <c r="C1572" s="52"/>
      <c r="D1572" s="53"/>
      <c r="E1572" s="81"/>
      <c r="F1572" s="81" t="s">
        <v>6172</v>
      </c>
    </row>
    <row r="1573">
      <c r="A1573" s="52"/>
      <c r="B1573" s="50"/>
      <c r="C1573" s="52"/>
      <c r="D1573" s="53"/>
      <c r="E1573" s="81"/>
      <c r="F1573" s="81" t="s">
        <v>6172</v>
      </c>
    </row>
    <row r="1574">
      <c r="A1574" s="52"/>
      <c r="B1574" s="50"/>
      <c r="C1574" s="52"/>
      <c r="D1574" s="53"/>
      <c r="E1574" s="81"/>
      <c r="F1574" s="81" t="s">
        <v>6172</v>
      </c>
    </row>
    <row r="1575">
      <c r="A1575" s="52"/>
      <c r="B1575" s="50"/>
      <c r="C1575" s="52"/>
      <c r="D1575" s="53"/>
      <c r="E1575" s="81"/>
      <c r="F1575" s="81" t="s">
        <v>6172</v>
      </c>
    </row>
    <row r="1576">
      <c r="A1576" s="52"/>
      <c r="B1576" s="50"/>
      <c r="C1576" s="52"/>
      <c r="D1576" s="53"/>
      <c r="E1576" s="81"/>
      <c r="F1576" s="81" t="s">
        <v>6172</v>
      </c>
    </row>
    <row r="1577">
      <c r="A1577" s="52"/>
      <c r="B1577" s="50"/>
      <c r="C1577" s="52"/>
      <c r="D1577" s="53"/>
      <c r="E1577" s="81"/>
      <c r="F1577" s="81" t="s">
        <v>6172</v>
      </c>
    </row>
    <row r="1578">
      <c r="A1578" s="52"/>
      <c r="B1578" s="50"/>
      <c r="C1578" s="52"/>
      <c r="D1578" s="53"/>
      <c r="E1578" s="81"/>
      <c r="F1578" s="81" t="s">
        <v>6172</v>
      </c>
    </row>
    <row r="1579">
      <c r="A1579" s="52"/>
      <c r="B1579" s="50"/>
      <c r="C1579" s="52"/>
      <c r="D1579" s="53"/>
      <c r="E1579" s="81"/>
      <c r="F1579" s="81" t="s">
        <v>6172</v>
      </c>
    </row>
    <row r="1580">
      <c r="A1580" s="52"/>
      <c r="B1580" s="50"/>
      <c r="C1580" s="52"/>
      <c r="D1580" s="53"/>
      <c r="E1580" s="81"/>
      <c r="F1580" s="81" t="s">
        <v>6172</v>
      </c>
    </row>
    <row r="1581">
      <c r="A1581" s="52"/>
      <c r="B1581" s="50"/>
      <c r="C1581" s="52"/>
      <c r="D1581" s="53"/>
      <c r="E1581" s="81"/>
      <c r="F1581" s="81" t="s">
        <v>6172</v>
      </c>
    </row>
    <row r="1582">
      <c r="A1582" s="52"/>
      <c r="B1582" s="50"/>
      <c r="C1582" s="52"/>
      <c r="D1582" s="53"/>
      <c r="E1582" s="81"/>
      <c r="F1582" s="81" t="s">
        <v>6172</v>
      </c>
    </row>
    <row r="1583">
      <c r="A1583" s="52"/>
      <c r="B1583" s="50"/>
      <c r="C1583" s="52"/>
      <c r="D1583" s="53"/>
      <c r="E1583" s="81"/>
      <c r="F1583" s="81" t="s">
        <v>6172</v>
      </c>
    </row>
    <row r="1584">
      <c r="A1584" s="52"/>
      <c r="B1584" s="50"/>
      <c r="C1584" s="52"/>
      <c r="D1584" s="53"/>
      <c r="E1584" s="81"/>
      <c r="F1584" s="81" t="s">
        <v>6172</v>
      </c>
    </row>
    <row r="1585">
      <c r="A1585" s="52"/>
      <c r="B1585" s="50"/>
      <c r="C1585" s="52"/>
      <c r="D1585" s="53"/>
      <c r="E1585" s="81"/>
      <c r="F1585" s="81" t="s">
        <v>6172</v>
      </c>
    </row>
    <row r="1586">
      <c r="A1586" s="52"/>
      <c r="B1586" s="50"/>
      <c r="C1586" s="52"/>
      <c r="D1586" s="53"/>
      <c r="E1586" s="81"/>
      <c r="F1586" s="81" t="s">
        <v>6172</v>
      </c>
    </row>
    <row r="1587">
      <c r="A1587" s="52"/>
      <c r="B1587" s="50"/>
      <c r="C1587" s="52"/>
      <c r="D1587" s="53"/>
      <c r="E1587" s="81"/>
      <c r="F1587" s="81" t="s">
        <v>6172</v>
      </c>
    </row>
    <row r="1588">
      <c r="A1588" s="52"/>
      <c r="B1588" s="50"/>
      <c r="C1588" s="52"/>
      <c r="D1588" s="53"/>
      <c r="E1588" s="81"/>
      <c r="F1588" s="81" t="s">
        <v>6172</v>
      </c>
    </row>
    <row r="1589">
      <c r="A1589" s="52"/>
      <c r="B1589" s="50"/>
      <c r="C1589" s="52"/>
      <c r="D1589" s="53"/>
      <c r="E1589" s="81"/>
      <c r="F1589" s="81" t="s">
        <v>6172</v>
      </c>
    </row>
    <row r="1590">
      <c r="A1590" s="52"/>
      <c r="B1590" s="50"/>
      <c r="C1590" s="52"/>
      <c r="D1590" s="53"/>
      <c r="E1590" s="81"/>
      <c r="F1590" s="81" t="s">
        <v>6172</v>
      </c>
    </row>
    <row r="1591">
      <c r="A1591" s="52"/>
      <c r="B1591" s="50"/>
      <c r="C1591" s="52"/>
      <c r="D1591" s="53"/>
      <c r="E1591" s="81"/>
      <c r="F1591" s="81" t="s">
        <v>6172</v>
      </c>
    </row>
    <row r="1592">
      <c r="A1592" s="52"/>
      <c r="B1592" s="50"/>
      <c r="C1592" s="52"/>
      <c r="D1592" s="53"/>
      <c r="E1592" s="81"/>
      <c r="F1592" s="81" t="s">
        <v>6172</v>
      </c>
    </row>
    <row r="1593">
      <c r="A1593" s="52"/>
      <c r="B1593" s="50"/>
      <c r="C1593" s="52"/>
      <c r="D1593" s="53"/>
      <c r="E1593" s="81"/>
      <c r="F1593" s="81" t="s">
        <v>6172</v>
      </c>
    </row>
    <row r="1594">
      <c r="A1594" s="52"/>
      <c r="B1594" s="50"/>
      <c r="C1594" s="52"/>
      <c r="D1594" s="53"/>
      <c r="E1594" s="81"/>
      <c r="F1594" s="81" t="s">
        <v>6172</v>
      </c>
    </row>
    <row r="1595">
      <c r="A1595" s="52"/>
      <c r="B1595" s="50"/>
      <c r="C1595" s="52"/>
      <c r="D1595" s="53"/>
      <c r="E1595" s="81"/>
      <c r="F1595" s="81" t="s">
        <v>6172</v>
      </c>
    </row>
    <row r="1596">
      <c r="A1596" s="52"/>
      <c r="B1596" s="50"/>
      <c r="C1596" s="52"/>
      <c r="D1596" s="53"/>
      <c r="E1596" s="81"/>
      <c r="F1596" s="81" t="s">
        <v>6172</v>
      </c>
    </row>
    <row r="1597">
      <c r="A1597" s="52"/>
      <c r="B1597" s="50"/>
      <c r="C1597" s="52"/>
      <c r="D1597" s="53"/>
      <c r="E1597" s="81"/>
      <c r="F1597" s="81" t="s">
        <v>6172</v>
      </c>
    </row>
    <row r="1598">
      <c r="A1598" s="52"/>
      <c r="B1598" s="50"/>
      <c r="C1598" s="52"/>
      <c r="D1598" s="53"/>
      <c r="E1598" s="81"/>
      <c r="F1598" s="81" t="s">
        <v>6172</v>
      </c>
    </row>
    <row r="1599">
      <c r="A1599" s="52"/>
      <c r="B1599" s="50"/>
      <c r="C1599" s="52"/>
      <c r="D1599" s="53"/>
      <c r="E1599" s="81"/>
      <c r="F1599" s="81" t="s">
        <v>6172</v>
      </c>
    </row>
    <row r="1600">
      <c r="A1600" s="52"/>
      <c r="B1600" s="50"/>
      <c r="C1600" s="52"/>
      <c r="D1600" s="53"/>
      <c r="E1600" s="81"/>
      <c r="F1600" s="81" t="s">
        <v>6172</v>
      </c>
    </row>
    <row r="1601">
      <c r="A1601" s="52"/>
      <c r="B1601" s="50"/>
      <c r="C1601" s="52"/>
      <c r="D1601" s="53"/>
      <c r="E1601" s="81"/>
      <c r="F1601" s="81" t="s">
        <v>6172</v>
      </c>
    </row>
    <row r="1602">
      <c r="A1602" s="52"/>
      <c r="B1602" s="50"/>
      <c r="C1602" s="52"/>
      <c r="D1602" s="53"/>
      <c r="E1602" s="81"/>
      <c r="F1602" s="81" t="s">
        <v>6172</v>
      </c>
    </row>
    <row r="1603">
      <c r="A1603" s="52"/>
      <c r="B1603" s="50"/>
      <c r="C1603" s="52"/>
      <c r="D1603" s="53"/>
      <c r="E1603" s="81"/>
      <c r="F1603" s="81" t="s">
        <v>6172</v>
      </c>
    </row>
    <row r="1604">
      <c r="A1604" s="52"/>
      <c r="B1604" s="50"/>
      <c r="C1604" s="52"/>
      <c r="D1604" s="53"/>
      <c r="E1604" s="81"/>
      <c r="F1604" s="81" t="s">
        <v>6172</v>
      </c>
    </row>
    <row r="1605">
      <c r="A1605" s="52"/>
      <c r="B1605" s="50"/>
      <c r="C1605" s="52"/>
      <c r="D1605" s="53"/>
      <c r="E1605" s="81"/>
      <c r="F1605" s="81" t="s">
        <v>6172</v>
      </c>
    </row>
    <row r="1606">
      <c r="A1606" s="52"/>
      <c r="B1606" s="50"/>
      <c r="C1606" s="52"/>
      <c r="D1606" s="53"/>
      <c r="E1606" s="81"/>
      <c r="F1606" s="81" t="s">
        <v>6172</v>
      </c>
    </row>
    <row r="1607">
      <c r="A1607" s="52"/>
      <c r="B1607" s="50"/>
      <c r="C1607" s="52"/>
      <c r="D1607" s="53"/>
      <c r="E1607" s="81"/>
      <c r="F1607" s="81" t="s">
        <v>6172</v>
      </c>
    </row>
    <row r="1608">
      <c r="A1608" s="52"/>
      <c r="B1608" s="50"/>
      <c r="C1608" s="52"/>
      <c r="D1608" s="53"/>
      <c r="E1608" s="81"/>
      <c r="F1608" s="81" t="s">
        <v>6172</v>
      </c>
    </row>
    <row r="1609">
      <c r="A1609" s="52"/>
      <c r="B1609" s="50"/>
      <c r="C1609" s="52"/>
      <c r="D1609" s="53"/>
      <c r="E1609" s="81"/>
      <c r="F1609" s="81" t="s">
        <v>6172</v>
      </c>
    </row>
    <row r="1610">
      <c r="A1610" s="52"/>
      <c r="B1610" s="50"/>
      <c r="C1610" s="52"/>
      <c r="D1610" s="53"/>
      <c r="E1610" s="81"/>
      <c r="F1610" s="81" t="s">
        <v>6172</v>
      </c>
    </row>
    <row r="1611">
      <c r="A1611" s="52"/>
      <c r="B1611" s="50"/>
      <c r="C1611" s="52"/>
      <c r="D1611" s="53"/>
      <c r="E1611" s="81"/>
      <c r="F1611" s="81" t="s">
        <v>6172</v>
      </c>
    </row>
    <row r="1612">
      <c r="A1612" s="52"/>
      <c r="B1612" s="50"/>
      <c r="C1612" s="52"/>
      <c r="D1612" s="53"/>
      <c r="E1612" s="81"/>
      <c r="F1612" s="81" t="s">
        <v>6172</v>
      </c>
    </row>
    <row r="1613">
      <c r="A1613" s="52"/>
      <c r="B1613" s="50"/>
      <c r="C1613" s="52"/>
      <c r="D1613" s="53"/>
      <c r="E1613" s="81"/>
      <c r="F1613" s="81" t="s">
        <v>6172</v>
      </c>
    </row>
    <row r="1614">
      <c r="A1614" s="52"/>
      <c r="B1614" s="50"/>
      <c r="C1614" s="52"/>
      <c r="D1614" s="53"/>
      <c r="E1614" s="81"/>
      <c r="F1614" s="81" t="s">
        <v>6172</v>
      </c>
    </row>
    <row r="1615">
      <c r="A1615" s="52"/>
      <c r="B1615" s="50"/>
      <c r="C1615" s="52"/>
      <c r="D1615" s="53"/>
      <c r="E1615" s="81"/>
      <c r="F1615" s="81" t="s">
        <v>6172</v>
      </c>
    </row>
    <row r="1616">
      <c r="A1616" s="52"/>
      <c r="B1616" s="50"/>
      <c r="C1616" s="52"/>
      <c r="D1616" s="53"/>
      <c r="E1616" s="81"/>
      <c r="F1616" s="81" t="s">
        <v>6172</v>
      </c>
    </row>
    <row r="1617">
      <c r="A1617" s="52"/>
      <c r="B1617" s="50"/>
      <c r="C1617" s="52"/>
      <c r="D1617" s="53"/>
      <c r="E1617" s="81"/>
      <c r="F1617" s="81" t="s">
        <v>6172</v>
      </c>
    </row>
    <row r="1618">
      <c r="A1618" s="52"/>
      <c r="B1618" s="50"/>
      <c r="C1618" s="52"/>
      <c r="D1618" s="53"/>
      <c r="E1618" s="81"/>
      <c r="F1618" s="81" t="s">
        <v>6172</v>
      </c>
    </row>
    <row r="1619">
      <c r="A1619" s="52"/>
      <c r="B1619" s="50"/>
      <c r="C1619" s="52"/>
      <c r="D1619" s="53"/>
      <c r="E1619" s="81"/>
      <c r="F1619" s="81" t="s">
        <v>6172</v>
      </c>
    </row>
    <row r="1620">
      <c r="A1620" s="52"/>
      <c r="B1620" s="50"/>
      <c r="C1620" s="52"/>
      <c r="D1620" s="53"/>
      <c r="E1620" s="81"/>
      <c r="F1620" s="81" t="s">
        <v>6172</v>
      </c>
    </row>
    <row r="1621">
      <c r="A1621" s="52"/>
      <c r="B1621" s="50"/>
      <c r="C1621" s="52"/>
      <c r="D1621" s="53"/>
      <c r="E1621" s="81"/>
      <c r="F1621" s="81" t="s">
        <v>6172</v>
      </c>
    </row>
    <row r="1622">
      <c r="A1622" s="52"/>
      <c r="B1622" s="50"/>
      <c r="C1622" s="52"/>
      <c r="D1622" s="53"/>
      <c r="E1622" s="81"/>
      <c r="F1622" s="81" t="s">
        <v>6172</v>
      </c>
    </row>
    <row r="1623">
      <c r="A1623" s="52"/>
      <c r="B1623" s="50"/>
      <c r="C1623" s="52"/>
      <c r="D1623" s="53"/>
      <c r="E1623" s="81"/>
      <c r="F1623" s="81" t="s">
        <v>6172</v>
      </c>
    </row>
    <row r="1624">
      <c r="A1624" s="52"/>
      <c r="B1624" s="50"/>
      <c r="C1624" s="52"/>
      <c r="D1624" s="53"/>
      <c r="E1624" s="81"/>
      <c r="F1624" s="81" t="s">
        <v>6172</v>
      </c>
    </row>
    <row r="1625">
      <c r="A1625" s="52"/>
      <c r="B1625" s="50"/>
      <c r="C1625" s="52"/>
      <c r="D1625" s="53"/>
      <c r="E1625" s="81"/>
      <c r="F1625" s="81" t="s">
        <v>6172</v>
      </c>
    </row>
    <row r="1626">
      <c r="A1626" s="52"/>
      <c r="B1626" s="50"/>
      <c r="C1626" s="52"/>
      <c r="D1626" s="53"/>
      <c r="E1626" s="81"/>
      <c r="F1626" s="81" t="s">
        <v>6172</v>
      </c>
    </row>
    <row r="1627">
      <c r="A1627" s="52"/>
      <c r="B1627" s="50"/>
      <c r="C1627" s="52"/>
      <c r="D1627" s="53"/>
      <c r="E1627" s="81"/>
      <c r="F1627" s="81" t="s">
        <v>6172</v>
      </c>
    </row>
    <row r="1628">
      <c r="A1628" s="52"/>
      <c r="B1628" s="50"/>
      <c r="C1628" s="52"/>
      <c r="D1628" s="53"/>
      <c r="E1628" s="81"/>
      <c r="F1628" s="81" t="s">
        <v>6172</v>
      </c>
    </row>
    <row r="1629">
      <c r="A1629" s="52"/>
      <c r="B1629" s="50"/>
      <c r="C1629" s="52"/>
      <c r="D1629" s="53"/>
      <c r="E1629" s="81"/>
      <c r="F1629" s="81" t="s">
        <v>6172</v>
      </c>
    </row>
    <row r="1630">
      <c r="A1630" s="52"/>
      <c r="B1630" s="50"/>
      <c r="C1630" s="52"/>
      <c r="D1630" s="53"/>
      <c r="E1630" s="81"/>
      <c r="F1630" s="81" t="s">
        <v>6172</v>
      </c>
    </row>
    <row r="1631">
      <c r="A1631" s="52"/>
      <c r="B1631" s="50"/>
      <c r="C1631" s="52"/>
      <c r="D1631" s="53"/>
      <c r="E1631" s="81"/>
      <c r="F1631" s="81" t="s">
        <v>6172</v>
      </c>
    </row>
    <row r="1632">
      <c r="A1632" s="52"/>
      <c r="B1632" s="50"/>
      <c r="C1632" s="52"/>
      <c r="D1632" s="53"/>
      <c r="E1632" s="81"/>
      <c r="F1632" s="81" t="s">
        <v>6172</v>
      </c>
    </row>
    <row r="1633">
      <c r="A1633" s="52"/>
      <c r="B1633" s="50"/>
      <c r="C1633" s="52"/>
      <c r="D1633" s="53"/>
      <c r="E1633" s="81"/>
      <c r="F1633" s="81" t="s">
        <v>6172</v>
      </c>
    </row>
    <row r="1634">
      <c r="A1634" s="52"/>
      <c r="B1634" s="50"/>
      <c r="C1634" s="52"/>
      <c r="D1634" s="53"/>
      <c r="E1634" s="81"/>
      <c r="F1634" s="81" t="s">
        <v>6172</v>
      </c>
    </row>
    <row r="1635">
      <c r="A1635" s="52"/>
      <c r="B1635" s="50"/>
      <c r="C1635" s="52"/>
      <c r="D1635" s="53"/>
      <c r="E1635" s="81"/>
      <c r="F1635" s="81" t="s">
        <v>6172</v>
      </c>
    </row>
    <row r="1636">
      <c r="A1636" s="52"/>
      <c r="B1636" s="50"/>
      <c r="C1636" s="52"/>
      <c r="D1636" s="53"/>
      <c r="E1636" s="81"/>
      <c r="F1636" s="81" t="s">
        <v>6172</v>
      </c>
    </row>
    <row r="1637">
      <c r="A1637" s="52"/>
      <c r="B1637" s="50"/>
      <c r="C1637" s="52"/>
      <c r="D1637" s="53"/>
      <c r="E1637" s="81"/>
      <c r="F1637" s="81" t="s">
        <v>6172</v>
      </c>
    </row>
    <row r="1638">
      <c r="A1638" s="52"/>
      <c r="B1638" s="50"/>
      <c r="C1638" s="52"/>
      <c r="D1638" s="53"/>
      <c r="E1638" s="81"/>
      <c r="F1638" s="81" t="s">
        <v>6172</v>
      </c>
    </row>
    <row r="1639">
      <c r="A1639" s="52"/>
      <c r="B1639" s="50"/>
      <c r="C1639" s="52"/>
      <c r="D1639" s="53"/>
      <c r="E1639" s="81"/>
      <c r="F1639" s="81" t="s">
        <v>6172</v>
      </c>
    </row>
    <row r="1640">
      <c r="A1640" s="52"/>
      <c r="B1640" s="50"/>
      <c r="C1640" s="52"/>
      <c r="D1640" s="53"/>
      <c r="E1640" s="81"/>
      <c r="F1640" s="81" t="s">
        <v>6172</v>
      </c>
    </row>
    <row r="1641">
      <c r="A1641" s="52"/>
      <c r="B1641" s="50"/>
      <c r="C1641" s="52"/>
      <c r="D1641" s="53"/>
      <c r="E1641" s="81"/>
      <c r="F1641" s="81" t="s">
        <v>6172</v>
      </c>
    </row>
    <row r="1642">
      <c r="A1642" s="52"/>
      <c r="B1642" s="50"/>
      <c r="C1642" s="52"/>
      <c r="D1642" s="53"/>
      <c r="E1642" s="81"/>
      <c r="F1642" s="81" t="s">
        <v>6172</v>
      </c>
    </row>
    <row r="1643">
      <c r="A1643" s="52"/>
      <c r="B1643" s="50"/>
      <c r="C1643" s="52"/>
      <c r="D1643" s="53"/>
      <c r="E1643" s="81"/>
      <c r="F1643" s="81" t="s">
        <v>6172</v>
      </c>
    </row>
    <row r="1644">
      <c r="A1644" s="52"/>
      <c r="B1644" s="50"/>
      <c r="C1644" s="52"/>
      <c r="D1644" s="53"/>
      <c r="E1644" s="81"/>
      <c r="F1644" s="81" t="s">
        <v>6172</v>
      </c>
    </row>
    <row r="1645">
      <c r="A1645" s="52"/>
      <c r="B1645" s="50"/>
      <c r="C1645" s="52"/>
      <c r="D1645" s="53"/>
      <c r="E1645" s="81"/>
      <c r="F1645" s="81" t="s">
        <v>6172</v>
      </c>
    </row>
    <row r="1646">
      <c r="A1646" s="52"/>
      <c r="B1646" s="50"/>
      <c r="C1646" s="52"/>
      <c r="D1646" s="53"/>
      <c r="E1646" s="81"/>
      <c r="F1646" s="81" t="s">
        <v>6172</v>
      </c>
    </row>
    <row r="1647">
      <c r="A1647" s="52"/>
      <c r="B1647" s="50"/>
      <c r="C1647" s="52"/>
      <c r="D1647" s="53"/>
      <c r="E1647" s="81"/>
      <c r="F1647" s="81" t="s">
        <v>6172</v>
      </c>
    </row>
    <row r="1648">
      <c r="A1648" s="52"/>
      <c r="B1648" s="50"/>
      <c r="C1648" s="52"/>
      <c r="D1648" s="53"/>
      <c r="E1648" s="81"/>
      <c r="F1648" s="81" t="s">
        <v>6172</v>
      </c>
    </row>
    <row r="1649">
      <c r="A1649" s="52"/>
      <c r="B1649" s="50"/>
      <c r="C1649" s="52"/>
      <c r="D1649" s="53"/>
      <c r="E1649" s="81"/>
      <c r="F1649" s="81" t="s">
        <v>6172</v>
      </c>
    </row>
    <row r="1650">
      <c r="A1650" s="52"/>
      <c r="B1650" s="50"/>
      <c r="C1650" s="52"/>
      <c r="D1650" s="53"/>
      <c r="E1650" s="81"/>
      <c r="F1650" s="81" t="s">
        <v>6172</v>
      </c>
    </row>
    <row r="1651">
      <c r="A1651" s="52"/>
      <c r="B1651" s="50"/>
      <c r="C1651" s="52"/>
      <c r="D1651" s="53"/>
      <c r="E1651" s="81"/>
      <c r="F1651" s="81" t="s">
        <v>6172</v>
      </c>
    </row>
    <row r="1652">
      <c r="A1652" s="52"/>
      <c r="B1652" s="50"/>
      <c r="C1652" s="52"/>
      <c r="D1652" s="53"/>
      <c r="E1652" s="81"/>
      <c r="F1652" s="81" t="s">
        <v>6172</v>
      </c>
    </row>
    <row r="1653">
      <c r="A1653" s="52"/>
      <c r="B1653" s="50"/>
      <c r="C1653" s="52"/>
      <c r="D1653" s="53"/>
      <c r="E1653" s="81"/>
      <c r="F1653" s="81" t="s">
        <v>6172</v>
      </c>
    </row>
    <row r="1654">
      <c r="A1654" s="52"/>
      <c r="B1654" s="50"/>
      <c r="C1654" s="52"/>
      <c r="D1654" s="53"/>
      <c r="E1654" s="81"/>
      <c r="F1654" s="81" t="s">
        <v>6172</v>
      </c>
    </row>
    <row r="1655">
      <c r="A1655" s="52"/>
      <c r="B1655" s="50"/>
      <c r="C1655" s="52"/>
      <c r="D1655" s="53"/>
      <c r="E1655" s="81"/>
      <c r="F1655" s="81" t="s">
        <v>6172</v>
      </c>
    </row>
    <row r="1656">
      <c r="A1656" s="52"/>
      <c r="B1656" s="50"/>
      <c r="C1656" s="52"/>
      <c r="D1656" s="53"/>
      <c r="E1656" s="81"/>
      <c r="F1656" s="81" t="s">
        <v>6172</v>
      </c>
    </row>
    <row r="1657">
      <c r="A1657" s="52"/>
      <c r="B1657" s="50"/>
      <c r="C1657" s="52"/>
      <c r="D1657" s="53"/>
      <c r="E1657" s="81"/>
      <c r="F1657" s="81" t="s">
        <v>6172</v>
      </c>
    </row>
    <row r="1658">
      <c r="A1658" s="52"/>
      <c r="B1658" s="50"/>
      <c r="C1658" s="52"/>
      <c r="D1658" s="53"/>
      <c r="E1658" s="81"/>
      <c r="F1658" s="81" t="s">
        <v>6172</v>
      </c>
    </row>
    <row r="1659">
      <c r="A1659" s="52"/>
      <c r="B1659" s="50"/>
      <c r="C1659" s="52"/>
      <c r="D1659" s="53"/>
      <c r="E1659" s="81"/>
      <c r="F1659" s="81" t="s">
        <v>6172</v>
      </c>
    </row>
    <row r="1660">
      <c r="A1660" s="52"/>
      <c r="B1660" s="50"/>
      <c r="C1660" s="52"/>
      <c r="D1660" s="53"/>
      <c r="E1660" s="81"/>
      <c r="F1660" s="81" t="s">
        <v>6172</v>
      </c>
    </row>
    <row r="1661">
      <c r="A1661" s="52"/>
      <c r="B1661" s="50"/>
      <c r="C1661" s="52"/>
      <c r="D1661" s="53"/>
      <c r="E1661" s="81"/>
      <c r="F1661" s="81" t="s">
        <v>6172</v>
      </c>
    </row>
    <row r="1662">
      <c r="A1662" s="52"/>
      <c r="B1662" s="50"/>
      <c r="C1662" s="52"/>
      <c r="D1662" s="53"/>
      <c r="E1662" s="81"/>
      <c r="F1662" s="81" t="s">
        <v>6172</v>
      </c>
    </row>
    <row r="1663">
      <c r="A1663" s="52"/>
      <c r="B1663" s="50"/>
      <c r="C1663" s="52"/>
      <c r="D1663" s="53"/>
      <c r="E1663" s="81"/>
      <c r="F1663" s="81" t="s">
        <v>6172</v>
      </c>
    </row>
    <row r="1664">
      <c r="A1664" s="52"/>
      <c r="B1664" s="50"/>
      <c r="C1664" s="52"/>
      <c r="D1664" s="53"/>
      <c r="E1664" s="81"/>
      <c r="F1664" s="81" t="s">
        <v>6172</v>
      </c>
    </row>
    <row r="1665">
      <c r="A1665" s="52"/>
      <c r="B1665" s="50"/>
      <c r="C1665" s="52"/>
      <c r="D1665" s="53"/>
      <c r="E1665" s="81"/>
      <c r="F1665" s="81" t="s">
        <v>6172</v>
      </c>
    </row>
    <row r="1666">
      <c r="A1666" s="52"/>
      <c r="B1666" s="50"/>
      <c r="C1666" s="52"/>
      <c r="D1666" s="53"/>
      <c r="E1666" s="81"/>
      <c r="F1666" s="81" t="s">
        <v>6172</v>
      </c>
    </row>
    <row r="1667">
      <c r="A1667" s="52"/>
      <c r="B1667" s="50"/>
      <c r="C1667" s="52"/>
      <c r="D1667" s="53"/>
      <c r="E1667" s="81"/>
      <c r="F1667" s="81" t="s">
        <v>6172</v>
      </c>
    </row>
    <row r="1668">
      <c r="A1668" s="52"/>
      <c r="B1668" s="50"/>
      <c r="C1668" s="52"/>
      <c r="D1668" s="53"/>
      <c r="E1668" s="81"/>
      <c r="F1668" s="81" t="s">
        <v>6172</v>
      </c>
    </row>
    <row r="1669">
      <c r="A1669" s="52"/>
      <c r="B1669" s="50"/>
      <c r="C1669" s="52"/>
      <c r="D1669" s="53"/>
      <c r="E1669" s="81"/>
      <c r="F1669" s="81" t="s">
        <v>6172</v>
      </c>
    </row>
    <row r="1670">
      <c r="A1670" s="52"/>
      <c r="B1670" s="50"/>
      <c r="C1670" s="52"/>
      <c r="D1670" s="53"/>
      <c r="E1670" s="81"/>
      <c r="F1670" s="81" t="s">
        <v>6172</v>
      </c>
    </row>
    <row r="1671">
      <c r="A1671" s="52"/>
      <c r="B1671" s="50"/>
      <c r="C1671" s="52"/>
      <c r="D1671" s="53"/>
      <c r="E1671" s="81"/>
      <c r="F1671" s="81" t="s">
        <v>6172</v>
      </c>
    </row>
    <row r="1672">
      <c r="A1672" s="52"/>
      <c r="B1672" s="50"/>
      <c r="C1672" s="52"/>
      <c r="D1672" s="53"/>
      <c r="E1672" s="81"/>
      <c r="F1672" s="81" t="s">
        <v>6172</v>
      </c>
    </row>
    <row r="1673">
      <c r="A1673" s="52"/>
      <c r="B1673" s="50"/>
      <c r="C1673" s="52"/>
      <c r="D1673" s="53"/>
      <c r="E1673" s="81"/>
      <c r="F1673" s="81" t="s">
        <v>6172</v>
      </c>
    </row>
    <row r="1674">
      <c r="A1674" s="52"/>
      <c r="B1674" s="50"/>
      <c r="C1674" s="52"/>
      <c r="D1674" s="53"/>
      <c r="E1674" s="81"/>
      <c r="F1674" s="81" t="s">
        <v>6172</v>
      </c>
    </row>
    <row r="1675">
      <c r="A1675" s="52"/>
      <c r="B1675" s="50"/>
      <c r="C1675" s="52"/>
      <c r="D1675" s="53"/>
      <c r="E1675" s="81"/>
      <c r="F1675" s="81" t="s">
        <v>6172</v>
      </c>
    </row>
    <row r="1676">
      <c r="A1676" s="52"/>
      <c r="B1676" s="50"/>
      <c r="C1676" s="52"/>
      <c r="D1676" s="53"/>
      <c r="E1676" s="81"/>
      <c r="F1676" s="81" t="s">
        <v>6172</v>
      </c>
    </row>
    <row r="1677">
      <c r="A1677" s="52"/>
      <c r="B1677" s="50"/>
      <c r="C1677" s="52"/>
      <c r="D1677" s="53"/>
      <c r="E1677" s="81"/>
      <c r="F1677" s="81" t="s">
        <v>6172</v>
      </c>
    </row>
    <row r="1678">
      <c r="A1678" s="52"/>
      <c r="B1678" s="50"/>
      <c r="C1678" s="52"/>
      <c r="D1678" s="53"/>
      <c r="E1678" s="81"/>
      <c r="F1678" s="81" t="s">
        <v>6172</v>
      </c>
    </row>
    <row r="1679">
      <c r="A1679" s="52"/>
      <c r="B1679" s="50"/>
      <c r="C1679" s="52"/>
      <c r="D1679" s="53"/>
      <c r="E1679" s="81"/>
      <c r="F1679" s="81" t="s">
        <v>6172</v>
      </c>
    </row>
    <row r="1680">
      <c r="A1680" s="52"/>
      <c r="B1680" s="50"/>
      <c r="C1680" s="52"/>
      <c r="D1680" s="53"/>
      <c r="E1680" s="81"/>
      <c r="F1680" s="81" t="s">
        <v>6172</v>
      </c>
    </row>
    <row r="1681">
      <c r="A1681" s="52"/>
      <c r="B1681" s="50"/>
      <c r="C1681" s="52"/>
      <c r="D1681" s="53"/>
      <c r="E1681" s="81"/>
      <c r="F1681" s="81" t="s">
        <v>6172</v>
      </c>
    </row>
    <row r="1682">
      <c r="A1682" s="52"/>
      <c r="B1682" s="50"/>
      <c r="C1682" s="52"/>
      <c r="D1682" s="53"/>
      <c r="E1682" s="81"/>
      <c r="F1682" s="81" t="s">
        <v>6172</v>
      </c>
    </row>
    <row r="1683">
      <c r="A1683" s="52"/>
      <c r="B1683" s="50"/>
      <c r="C1683" s="52"/>
      <c r="D1683" s="53"/>
      <c r="E1683" s="81"/>
      <c r="F1683" s="81" t="s">
        <v>6172</v>
      </c>
    </row>
    <row r="1684">
      <c r="A1684" s="52"/>
      <c r="B1684" s="50"/>
      <c r="C1684" s="52"/>
      <c r="D1684" s="53"/>
      <c r="E1684" s="81"/>
      <c r="F1684" s="81" t="s">
        <v>6172</v>
      </c>
    </row>
    <row r="1685">
      <c r="A1685" s="52"/>
      <c r="B1685" s="50"/>
      <c r="C1685" s="52"/>
      <c r="D1685" s="53"/>
      <c r="E1685" s="81"/>
      <c r="F1685" s="81" t="s">
        <v>6172</v>
      </c>
    </row>
    <row r="1686">
      <c r="A1686" s="52"/>
      <c r="B1686" s="50"/>
      <c r="C1686" s="52"/>
      <c r="D1686" s="53"/>
      <c r="E1686" s="81"/>
      <c r="F1686" s="81" t="s">
        <v>6172</v>
      </c>
    </row>
    <row r="1687">
      <c r="A1687" s="52"/>
      <c r="B1687" s="50"/>
      <c r="C1687" s="52"/>
      <c r="D1687" s="53"/>
      <c r="E1687" s="81"/>
      <c r="F1687" s="81" t="s">
        <v>6172</v>
      </c>
    </row>
    <row r="1688">
      <c r="A1688" s="52"/>
      <c r="B1688" s="50"/>
      <c r="C1688" s="52"/>
      <c r="D1688" s="53"/>
      <c r="E1688" s="81"/>
      <c r="F1688" s="81" t="s">
        <v>6172</v>
      </c>
    </row>
    <row r="1689">
      <c r="A1689" s="52"/>
      <c r="B1689" s="50"/>
      <c r="C1689" s="52"/>
      <c r="D1689" s="53"/>
      <c r="E1689" s="81"/>
      <c r="F1689" s="81" t="s">
        <v>6172</v>
      </c>
    </row>
    <row r="1690">
      <c r="A1690" s="52"/>
      <c r="B1690" s="50"/>
      <c r="C1690" s="52"/>
      <c r="D1690" s="53"/>
      <c r="E1690" s="81"/>
      <c r="F1690" s="81" t="s">
        <v>6172</v>
      </c>
    </row>
    <row r="1691">
      <c r="A1691" s="52"/>
      <c r="B1691" s="50"/>
      <c r="C1691" s="52"/>
      <c r="D1691" s="53"/>
      <c r="E1691" s="81"/>
      <c r="F1691" s="81" t="s">
        <v>6172</v>
      </c>
    </row>
    <row r="1692">
      <c r="A1692" s="52"/>
      <c r="B1692" s="50"/>
      <c r="C1692" s="52"/>
      <c r="D1692" s="53"/>
      <c r="E1692" s="81"/>
      <c r="F1692" s="81" t="s">
        <v>6172</v>
      </c>
    </row>
    <row r="1693">
      <c r="A1693" s="52"/>
      <c r="B1693" s="50"/>
      <c r="C1693" s="52"/>
      <c r="D1693" s="53"/>
      <c r="E1693" s="81"/>
      <c r="F1693" s="81" t="s">
        <v>6172</v>
      </c>
    </row>
    <row r="1694">
      <c r="A1694" s="52"/>
      <c r="B1694" s="50"/>
      <c r="C1694" s="52"/>
      <c r="D1694" s="53"/>
      <c r="E1694" s="81"/>
      <c r="F1694" s="81" t="s">
        <v>6172</v>
      </c>
    </row>
    <row r="1695">
      <c r="A1695" s="52"/>
      <c r="B1695" s="50"/>
      <c r="C1695" s="52"/>
      <c r="D1695" s="53"/>
      <c r="E1695" s="81"/>
      <c r="F1695" s="81" t="s">
        <v>6172</v>
      </c>
    </row>
    <row r="1696">
      <c r="A1696" s="52"/>
      <c r="B1696" s="50"/>
      <c r="C1696" s="52"/>
      <c r="D1696" s="53"/>
      <c r="E1696" s="81"/>
      <c r="F1696" s="81" t="s">
        <v>6172</v>
      </c>
    </row>
    <row r="1697">
      <c r="A1697" s="52"/>
      <c r="B1697" s="50"/>
      <c r="C1697" s="52"/>
      <c r="D1697" s="53"/>
      <c r="E1697" s="81"/>
      <c r="F1697" s="81" t="s">
        <v>6172</v>
      </c>
    </row>
    <row r="1698">
      <c r="A1698" s="52"/>
      <c r="B1698" s="50"/>
      <c r="C1698" s="52"/>
      <c r="D1698" s="53"/>
      <c r="E1698" s="81"/>
      <c r="F1698" s="81" t="s">
        <v>6172</v>
      </c>
    </row>
    <row r="1699">
      <c r="A1699" s="52"/>
      <c r="B1699" s="50"/>
      <c r="C1699" s="52"/>
      <c r="D1699" s="53"/>
      <c r="E1699" s="81"/>
      <c r="F1699" s="81" t="s">
        <v>6172</v>
      </c>
    </row>
    <row r="1700">
      <c r="A1700" s="52"/>
      <c r="B1700" s="50"/>
      <c r="C1700" s="52"/>
      <c r="D1700" s="53"/>
      <c r="E1700" s="81"/>
      <c r="F1700" s="81" t="s">
        <v>6172</v>
      </c>
    </row>
    <row r="1701">
      <c r="A1701" s="52"/>
      <c r="B1701" s="50"/>
      <c r="C1701" s="52"/>
      <c r="D1701" s="53"/>
      <c r="E1701" s="81"/>
      <c r="F1701" s="81" t="s">
        <v>6172</v>
      </c>
    </row>
    <row r="1702">
      <c r="A1702" s="52"/>
      <c r="B1702" s="50"/>
      <c r="C1702" s="52"/>
      <c r="D1702" s="53"/>
      <c r="E1702" s="81"/>
      <c r="F1702" s="81" t="s">
        <v>6172</v>
      </c>
    </row>
    <row r="1703">
      <c r="A1703" s="52"/>
      <c r="B1703" s="50"/>
      <c r="C1703" s="52"/>
      <c r="D1703" s="53"/>
      <c r="E1703" s="81"/>
      <c r="F1703" s="81" t="s">
        <v>6172</v>
      </c>
    </row>
    <row r="1704">
      <c r="A1704" s="52"/>
      <c r="B1704" s="50"/>
      <c r="C1704" s="52"/>
      <c r="D1704" s="53"/>
      <c r="E1704" s="81"/>
      <c r="F1704" s="81" t="s">
        <v>6172</v>
      </c>
    </row>
    <row r="1705">
      <c r="A1705" s="52"/>
      <c r="B1705" s="50"/>
      <c r="C1705" s="52"/>
      <c r="D1705" s="53"/>
      <c r="E1705" s="81"/>
      <c r="F1705" s="81" t="s">
        <v>6172</v>
      </c>
    </row>
    <row r="1706">
      <c r="A1706" s="52"/>
      <c r="B1706" s="50"/>
      <c r="C1706" s="52"/>
      <c r="D1706" s="53"/>
      <c r="E1706" s="81"/>
      <c r="F1706" s="81" t="s">
        <v>6172</v>
      </c>
    </row>
    <row r="1707">
      <c r="A1707" s="52"/>
      <c r="B1707" s="50"/>
      <c r="C1707" s="52"/>
      <c r="D1707" s="53"/>
      <c r="E1707" s="81"/>
      <c r="F1707" s="81" t="s">
        <v>6172</v>
      </c>
    </row>
    <row r="1708">
      <c r="A1708" s="52"/>
      <c r="B1708" s="50"/>
      <c r="C1708" s="52"/>
      <c r="D1708" s="53"/>
      <c r="E1708" s="81"/>
      <c r="F1708" s="81" t="s">
        <v>6172</v>
      </c>
    </row>
    <row r="1709">
      <c r="A1709" s="52"/>
      <c r="B1709" s="50"/>
      <c r="C1709" s="52"/>
      <c r="D1709" s="53"/>
      <c r="E1709" s="81"/>
      <c r="F1709" s="81" t="s">
        <v>6172</v>
      </c>
    </row>
    <row r="1710">
      <c r="A1710" s="52"/>
      <c r="B1710" s="50"/>
      <c r="C1710" s="52"/>
      <c r="D1710" s="53"/>
      <c r="E1710" s="81"/>
      <c r="F1710" s="81" t="s">
        <v>6172</v>
      </c>
    </row>
    <row r="1711">
      <c r="A1711" s="52"/>
      <c r="B1711" s="50"/>
      <c r="C1711" s="52"/>
      <c r="D1711" s="53"/>
      <c r="E1711" s="81"/>
      <c r="F1711" s="81" t="s">
        <v>6172</v>
      </c>
    </row>
    <row r="1712">
      <c r="A1712" s="52"/>
      <c r="B1712" s="50"/>
      <c r="C1712" s="52"/>
      <c r="D1712" s="53"/>
      <c r="E1712" s="81"/>
      <c r="F1712" s="81" t="s">
        <v>6172</v>
      </c>
    </row>
    <row r="1713">
      <c r="A1713" s="52"/>
      <c r="B1713" s="50"/>
      <c r="C1713" s="52"/>
      <c r="D1713" s="53"/>
      <c r="E1713" s="81"/>
      <c r="F1713" s="81" t="s">
        <v>6172</v>
      </c>
    </row>
    <row r="1714">
      <c r="A1714" s="52"/>
      <c r="B1714" s="50"/>
      <c r="C1714" s="52"/>
      <c r="D1714" s="53"/>
      <c r="E1714" s="81"/>
      <c r="F1714" s="81" t="s">
        <v>6172</v>
      </c>
    </row>
    <row r="1715">
      <c r="A1715" s="52"/>
      <c r="B1715" s="50"/>
      <c r="C1715" s="52"/>
      <c r="D1715" s="53"/>
      <c r="E1715" s="81"/>
      <c r="F1715" s="81" t="s">
        <v>6172</v>
      </c>
    </row>
    <row r="1716">
      <c r="A1716" s="52"/>
      <c r="B1716" s="50"/>
      <c r="C1716" s="52"/>
      <c r="D1716" s="53"/>
      <c r="E1716" s="81"/>
      <c r="F1716" s="81" t="s">
        <v>6172</v>
      </c>
    </row>
    <row r="1717">
      <c r="A1717" s="52"/>
      <c r="B1717" s="50"/>
      <c r="C1717" s="52"/>
      <c r="D1717" s="53"/>
      <c r="E1717" s="81"/>
      <c r="F1717" s="81" t="s">
        <v>6172</v>
      </c>
    </row>
    <row r="1718">
      <c r="A1718" s="52"/>
      <c r="B1718" s="50"/>
      <c r="C1718" s="52"/>
      <c r="D1718" s="53"/>
      <c r="E1718" s="81"/>
      <c r="F1718" s="81" t="s">
        <v>6172</v>
      </c>
    </row>
    <row r="1719">
      <c r="A1719" s="52"/>
      <c r="B1719" s="50"/>
      <c r="C1719" s="52"/>
      <c r="D1719" s="53"/>
      <c r="E1719" s="81"/>
      <c r="F1719" s="81" t="s">
        <v>6172</v>
      </c>
    </row>
    <row r="1720">
      <c r="A1720" s="52"/>
      <c r="B1720" s="50"/>
      <c r="C1720" s="52"/>
      <c r="D1720" s="53"/>
      <c r="E1720" s="81"/>
      <c r="F1720" s="81" t="s">
        <v>6172</v>
      </c>
    </row>
    <row r="1721">
      <c r="A1721" s="52"/>
      <c r="B1721" s="50"/>
      <c r="C1721" s="52"/>
      <c r="D1721" s="53"/>
      <c r="E1721" s="81"/>
      <c r="F1721" s="81" t="s">
        <v>6172</v>
      </c>
    </row>
    <row r="1722">
      <c r="A1722" s="52"/>
      <c r="B1722" s="50"/>
      <c r="C1722" s="52"/>
      <c r="D1722" s="53"/>
      <c r="E1722" s="81"/>
      <c r="F1722" s="81" t="s">
        <v>6172</v>
      </c>
    </row>
    <row r="1723">
      <c r="A1723" s="52"/>
      <c r="B1723" s="50"/>
      <c r="C1723" s="52"/>
      <c r="D1723" s="53"/>
      <c r="E1723" s="81"/>
      <c r="F1723" s="81" t="s">
        <v>6172</v>
      </c>
    </row>
    <row r="1724">
      <c r="A1724" s="52"/>
      <c r="B1724" s="50"/>
      <c r="C1724" s="52"/>
      <c r="D1724" s="53"/>
      <c r="E1724" s="81"/>
      <c r="F1724" s="81" t="s">
        <v>6172</v>
      </c>
    </row>
    <row r="1725">
      <c r="A1725" s="52"/>
      <c r="B1725" s="50"/>
      <c r="C1725" s="52"/>
      <c r="D1725" s="53"/>
      <c r="E1725" s="81"/>
      <c r="F1725" s="81" t="s">
        <v>6172</v>
      </c>
    </row>
    <row r="1726">
      <c r="A1726" s="52"/>
      <c r="B1726" s="50"/>
      <c r="C1726" s="52"/>
      <c r="D1726" s="53"/>
      <c r="E1726" s="81"/>
      <c r="F1726" s="81" t="s">
        <v>6172</v>
      </c>
    </row>
    <row r="1727">
      <c r="A1727" s="52"/>
      <c r="B1727" s="50"/>
      <c r="C1727" s="52"/>
      <c r="D1727" s="53"/>
      <c r="E1727" s="81"/>
      <c r="F1727" s="81" t="s">
        <v>6172</v>
      </c>
    </row>
    <row r="1728">
      <c r="A1728" s="52"/>
      <c r="B1728" s="50"/>
      <c r="C1728" s="52"/>
      <c r="D1728" s="53"/>
      <c r="E1728" s="81"/>
      <c r="F1728" s="81" t="s">
        <v>6172</v>
      </c>
    </row>
    <row r="1729">
      <c r="A1729" s="52"/>
      <c r="B1729" s="50"/>
      <c r="C1729" s="52"/>
      <c r="D1729" s="53"/>
      <c r="E1729" s="81"/>
      <c r="F1729" s="81" t="s">
        <v>6172</v>
      </c>
    </row>
    <row r="1730">
      <c r="A1730" s="52"/>
      <c r="B1730" s="50"/>
      <c r="C1730" s="52"/>
      <c r="D1730" s="53"/>
      <c r="E1730" s="81"/>
      <c r="F1730" s="81" t="s">
        <v>6172</v>
      </c>
    </row>
    <row r="1731">
      <c r="A1731" s="52"/>
      <c r="B1731" s="50"/>
      <c r="C1731" s="52"/>
      <c r="D1731" s="53"/>
      <c r="E1731" s="81"/>
      <c r="F1731" s="81" t="s">
        <v>6172</v>
      </c>
    </row>
    <row r="1732">
      <c r="A1732" s="52"/>
      <c r="B1732" s="50"/>
      <c r="C1732" s="52"/>
      <c r="D1732" s="53"/>
      <c r="E1732" s="81"/>
      <c r="F1732" s="81" t="s">
        <v>6172</v>
      </c>
    </row>
    <row r="1733">
      <c r="A1733" s="52"/>
      <c r="B1733" s="50"/>
      <c r="C1733" s="52"/>
      <c r="D1733" s="53"/>
      <c r="E1733" s="81"/>
      <c r="F1733" s="81" t="s">
        <v>6172</v>
      </c>
    </row>
    <row r="1734">
      <c r="A1734" s="52"/>
      <c r="B1734" s="50"/>
      <c r="C1734" s="52"/>
      <c r="D1734" s="53"/>
      <c r="E1734" s="81"/>
      <c r="F1734" s="81" t="s">
        <v>6172</v>
      </c>
    </row>
    <row r="1735">
      <c r="A1735" s="52"/>
      <c r="B1735" s="50"/>
      <c r="C1735" s="52"/>
      <c r="D1735" s="53"/>
      <c r="E1735" s="81"/>
      <c r="F1735" s="81" t="s">
        <v>6172</v>
      </c>
    </row>
    <row r="1736">
      <c r="A1736" s="52"/>
      <c r="B1736" s="50"/>
      <c r="C1736" s="52"/>
      <c r="D1736" s="53"/>
      <c r="E1736" s="81"/>
      <c r="F1736" s="81" t="s">
        <v>6172</v>
      </c>
    </row>
    <row r="1737">
      <c r="A1737" s="52"/>
      <c r="B1737" s="50"/>
      <c r="C1737" s="52"/>
      <c r="D1737" s="53"/>
      <c r="E1737" s="81"/>
      <c r="F1737" s="81" t="s">
        <v>6172</v>
      </c>
    </row>
    <row r="1738">
      <c r="A1738" s="52"/>
      <c r="B1738" s="50"/>
      <c r="C1738" s="52"/>
      <c r="D1738" s="53"/>
      <c r="E1738" s="81"/>
      <c r="F1738" s="81" t="s">
        <v>6172</v>
      </c>
    </row>
    <row r="1739">
      <c r="A1739" s="52"/>
      <c r="B1739" s="50"/>
      <c r="C1739" s="52"/>
      <c r="D1739" s="53"/>
      <c r="E1739" s="81"/>
      <c r="F1739" s="81" t="s">
        <v>6172</v>
      </c>
    </row>
    <row r="1740">
      <c r="A1740" s="52"/>
      <c r="B1740" s="50"/>
      <c r="C1740" s="52"/>
      <c r="D1740" s="53"/>
      <c r="E1740" s="81"/>
      <c r="F1740" s="81" t="s">
        <v>6172</v>
      </c>
    </row>
    <row r="1741">
      <c r="A1741" s="52"/>
      <c r="B1741" s="50"/>
      <c r="C1741" s="52"/>
      <c r="D1741" s="53"/>
      <c r="E1741" s="81"/>
      <c r="F1741" s="81" t="s">
        <v>6172</v>
      </c>
    </row>
    <row r="1742">
      <c r="A1742" s="52"/>
      <c r="B1742" s="50"/>
      <c r="C1742" s="52"/>
      <c r="D1742" s="53"/>
      <c r="E1742" s="81"/>
      <c r="F1742" s="81" t="s">
        <v>6172</v>
      </c>
    </row>
    <row r="1743">
      <c r="A1743" s="52"/>
      <c r="B1743" s="50"/>
      <c r="C1743" s="52"/>
      <c r="D1743" s="53"/>
      <c r="E1743" s="81"/>
      <c r="F1743" s="81" t="s">
        <v>6172</v>
      </c>
    </row>
    <row r="1744">
      <c r="A1744" s="52"/>
      <c r="B1744" s="50"/>
      <c r="C1744" s="52"/>
      <c r="D1744" s="53"/>
      <c r="E1744" s="81"/>
      <c r="F1744" s="81" t="s">
        <v>6172</v>
      </c>
    </row>
    <row r="1745">
      <c r="A1745" s="52"/>
      <c r="B1745" s="50"/>
      <c r="C1745" s="52"/>
      <c r="D1745" s="53"/>
      <c r="E1745" s="81"/>
      <c r="F1745" s="81" t="s">
        <v>6172</v>
      </c>
    </row>
    <row r="1746">
      <c r="A1746" s="52"/>
      <c r="B1746" s="50"/>
      <c r="C1746" s="52"/>
      <c r="D1746" s="53"/>
      <c r="E1746" s="81"/>
      <c r="F1746" s="81" t="s">
        <v>6172</v>
      </c>
    </row>
    <row r="1747">
      <c r="A1747" s="52"/>
      <c r="B1747" s="50"/>
      <c r="C1747" s="52"/>
      <c r="D1747" s="53"/>
      <c r="E1747" s="81"/>
      <c r="F1747" s="81" t="s">
        <v>6172</v>
      </c>
    </row>
    <row r="1748">
      <c r="A1748" s="52"/>
      <c r="B1748" s="50"/>
      <c r="C1748" s="52"/>
      <c r="D1748" s="53"/>
      <c r="E1748" s="81"/>
      <c r="F1748" s="81" t="s">
        <v>6172</v>
      </c>
    </row>
    <row r="1749">
      <c r="A1749" s="52"/>
      <c r="B1749" s="50"/>
      <c r="C1749" s="52"/>
      <c r="D1749" s="53"/>
      <c r="E1749" s="81"/>
      <c r="F1749" s="81" t="s">
        <v>6172</v>
      </c>
    </row>
    <row r="1750">
      <c r="A1750" s="52"/>
      <c r="B1750" s="50"/>
      <c r="C1750" s="52"/>
      <c r="D1750" s="53"/>
      <c r="E1750" s="81"/>
      <c r="F1750" s="81" t="s">
        <v>6172</v>
      </c>
    </row>
    <row r="1751">
      <c r="A1751" s="52"/>
      <c r="B1751" s="50"/>
      <c r="C1751" s="52"/>
      <c r="D1751" s="53"/>
      <c r="E1751" s="81"/>
      <c r="F1751" s="81" t="s">
        <v>6172</v>
      </c>
    </row>
    <row r="1752">
      <c r="A1752" s="52"/>
      <c r="B1752" s="50"/>
      <c r="C1752" s="52"/>
      <c r="D1752" s="53"/>
      <c r="E1752" s="81"/>
      <c r="F1752" s="81" t="s">
        <v>6172</v>
      </c>
    </row>
    <row r="1753">
      <c r="A1753" s="52"/>
      <c r="B1753" s="50"/>
      <c r="C1753" s="52"/>
      <c r="D1753" s="53"/>
      <c r="E1753" s="81"/>
      <c r="F1753" s="81" t="s">
        <v>6172</v>
      </c>
    </row>
    <row r="1754">
      <c r="A1754" s="52"/>
      <c r="B1754" s="50"/>
      <c r="C1754" s="52"/>
      <c r="D1754" s="53"/>
      <c r="E1754" s="81"/>
      <c r="F1754" s="81" t="s">
        <v>6172</v>
      </c>
    </row>
    <row r="1755">
      <c r="A1755" s="52"/>
      <c r="B1755" s="50"/>
      <c r="C1755" s="52"/>
      <c r="D1755" s="53"/>
      <c r="E1755" s="81"/>
      <c r="F1755" s="81" t="s">
        <v>6172</v>
      </c>
    </row>
    <row r="1756">
      <c r="A1756" s="52"/>
      <c r="B1756" s="50"/>
      <c r="C1756" s="52"/>
      <c r="D1756" s="53"/>
      <c r="E1756" s="81"/>
      <c r="F1756" s="81" t="s">
        <v>6172</v>
      </c>
    </row>
    <row r="1757">
      <c r="A1757" s="52"/>
      <c r="B1757" s="50"/>
      <c r="C1757" s="52"/>
      <c r="D1757" s="53"/>
      <c r="E1757" s="81"/>
      <c r="F1757" s="81" t="s">
        <v>6172</v>
      </c>
    </row>
    <row r="1758">
      <c r="A1758" s="52"/>
      <c r="B1758" s="50"/>
      <c r="C1758" s="52"/>
      <c r="D1758" s="53"/>
      <c r="E1758" s="81"/>
      <c r="F1758" s="81" t="s">
        <v>6172</v>
      </c>
    </row>
    <row r="1759">
      <c r="A1759" s="52"/>
      <c r="B1759" s="50"/>
      <c r="C1759" s="52"/>
      <c r="D1759" s="53"/>
      <c r="E1759" s="81"/>
      <c r="F1759" s="81" t="s">
        <v>6172</v>
      </c>
    </row>
    <row r="1760">
      <c r="A1760" s="52"/>
      <c r="B1760" s="50"/>
      <c r="C1760" s="52"/>
      <c r="D1760" s="53"/>
      <c r="E1760" s="81"/>
      <c r="F1760" s="81" t="s">
        <v>6172</v>
      </c>
    </row>
    <row r="1761">
      <c r="A1761" s="52"/>
      <c r="B1761" s="50"/>
      <c r="C1761" s="52"/>
      <c r="D1761" s="53"/>
      <c r="E1761" s="81"/>
      <c r="F1761" s="81" t="s">
        <v>6172</v>
      </c>
    </row>
    <row r="1762">
      <c r="A1762" s="52"/>
      <c r="B1762" s="50"/>
      <c r="C1762" s="52"/>
      <c r="D1762" s="53"/>
      <c r="E1762" s="81"/>
      <c r="F1762" s="81" t="s">
        <v>6172</v>
      </c>
    </row>
    <row r="1763">
      <c r="A1763" s="52"/>
      <c r="B1763" s="50"/>
      <c r="C1763" s="52"/>
      <c r="D1763" s="53"/>
      <c r="E1763" s="81"/>
      <c r="F1763" s="81" t="s">
        <v>6172</v>
      </c>
    </row>
    <row r="1764">
      <c r="A1764" s="52"/>
      <c r="B1764" s="50"/>
      <c r="C1764" s="52"/>
      <c r="D1764" s="53"/>
      <c r="E1764" s="81"/>
      <c r="F1764" s="81" t="s">
        <v>6172</v>
      </c>
    </row>
    <row r="1765">
      <c r="A1765" s="52"/>
      <c r="B1765" s="50"/>
      <c r="C1765" s="52"/>
      <c r="D1765" s="53"/>
      <c r="E1765" s="81"/>
      <c r="F1765" s="81" t="s">
        <v>6172</v>
      </c>
    </row>
    <row r="1766">
      <c r="A1766" s="52"/>
      <c r="B1766" s="50"/>
      <c r="C1766" s="52"/>
      <c r="D1766" s="53"/>
      <c r="E1766" s="81"/>
      <c r="F1766" s="81" t="s">
        <v>6172</v>
      </c>
    </row>
    <row r="1767">
      <c r="A1767" s="52"/>
      <c r="B1767" s="50"/>
      <c r="C1767" s="52"/>
      <c r="D1767" s="53"/>
      <c r="E1767" s="81"/>
      <c r="F1767" s="81" t="s">
        <v>6172</v>
      </c>
    </row>
    <row r="1768">
      <c r="A1768" s="52"/>
      <c r="B1768" s="50"/>
      <c r="C1768" s="52"/>
      <c r="D1768" s="53"/>
      <c r="E1768" s="81"/>
      <c r="F1768" s="81" t="s">
        <v>6172</v>
      </c>
    </row>
    <row r="1769">
      <c r="A1769" s="52"/>
      <c r="B1769" s="50"/>
      <c r="C1769" s="52"/>
      <c r="D1769" s="53"/>
      <c r="E1769" s="81"/>
      <c r="F1769" s="81" t="s">
        <v>6172</v>
      </c>
    </row>
    <row r="1770">
      <c r="A1770" s="52"/>
      <c r="B1770" s="50"/>
      <c r="C1770" s="52"/>
      <c r="D1770" s="53"/>
      <c r="E1770" s="81"/>
      <c r="F1770" s="81" t="s">
        <v>6172</v>
      </c>
    </row>
    <row r="1771">
      <c r="A1771" s="52"/>
      <c r="B1771" s="50"/>
      <c r="C1771" s="52"/>
      <c r="D1771" s="53"/>
      <c r="E1771" s="81"/>
      <c r="F1771" s="81" t="s">
        <v>6172</v>
      </c>
    </row>
    <row r="1772">
      <c r="A1772" s="52"/>
      <c r="B1772" s="50"/>
      <c r="C1772" s="52"/>
      <c r="D1772" s="53"/>
      <c r="E1772" s="81"/>
      <c r="F1772" s="81" t="s">
        <v>6172</v>
      </c>
    </row>
    <row r="1773">
      <c r="A1773" s="52"/>
      <c r="B1773" s="50"/>
      <c r="C1773" s="52"/>
      <c r="D1773" s="53"/>
      <c r="E1773" s="81"/>
      <c r="F1773" s="81" t="s">
        <v>6172</v>
      </c>
    </row>
    <row r="1774">
      <c r="A1774" s="52"/>
      <c r="B1774" s="50"/>
      <c r="C1774" s="52"/>
      <c r="D1774" s="53"/>
      <c r="E1774" s="81"/>
      <c r="F1774" s="81" t="s">
        <v>6172</v>
      </c>
    </row>
    <row r="1775">
      <c r="A1775" s="52"/>
      <c r="B1775" s="50"/>
      <c r="C1775" s="52"/>
      <c r="D1775" s="53"/>
      <c r="E1775" s="81"/>
      <c r="F1775" s="81" t="s">
        <v>6172</v>
      </c>
    </row>
    <row r="1776">
      <c r="A1776" s="52"/>
      <c r="B1776" s="50"/>
      <c r="C1776" s="52"/>
      <c r="D1776" s="53"/>
      <c r="E1776" s="81"/>
      <c r="F1776" s="81" t="s">
        <v>6172</v>
      </c>
    </row>
    <row r="1777">
      <c r="A1777" s="52"/>
      <c r="B1777" s="50"/>
      <c r="C1777" s="52"/>
      <c r="D1777" s="53"/>
      <c r="E1777" s="81"/>
      <c r="F1777" s="81" t="s">
        <v>6172</v>
      </c>
    </row>
    <row r="1778">
      <c r="A1778" s="52"/>
      <c r="B1778" s="50"/>
      <c r="C1778" s="52"/>
      <c r="D1778" s="53"/>
      <c r="E1778" s="81"/>
      <c r="F1778" s="81" t="s">
        <v>6172</v>
      </c>
    </row>
    <row r="1779">
      <c r="A1779" s="52"/>
      <c r="B1779" s="50"/>
      <c r="C1779" s="52"/>
      <c r="D1779" s="53"/>
      <c r="E1779" s="81"/>
      <c r="F1779" s="81" t="s">
        <v>6172</v>
      </c>
    </row>
    <row r="1780">
      <c r="A1780" s="52"/>
      <c r="B1780" s="50"/>
      <c r="C1780" s="52"/>
      <c r="D1780" s="53"/>
      <c r="E1780" s="81"/>
      <c r="F1780" s="81" t="s">
        <v>6172</v>
      </c>
    </row>
    <row r="1781">
      <c r="A1781" s="52"/>
      <c r="B1781" s="50"/>
      <c r="C1781" s="52"/>
      <c r="D1781" s="53"/>
      <c r="E1781" s="81"/>
      <c r="F1781" s="81" t="s">
        <v>6172</v>
      </c>
    </row>
    <row r="1782">
      <c r="A1782" s="52"/>
      <c r="B1782" s="50"/>
      <c r="C1782" s="52"/>
      <c r="D1782" s="53"/>
      <c r="E1782" s="81"/>
      <c r="F1782" s="81" t="s">
        <v>6172</v>
      </c>
    </row>
    <row r="1783">
      <c r="A1783" s="52"/>
      <c r="B1783" s="50"/>
      <c r="C1783" s="52"/>
      <c r="D1783" s="53"/>
      <c r="E1783" s="81"/>
      <c r="F1783" s="81" t="s">
        <v>6172</v>
      </c>
    </row>
    <row r="1784">
      <c r="A1784" s="52"/>
      <c r="B1784" s="50"/>
      <c r="C1784" s="52"/>
      <c r="D1784" s="53"/>
      <c r="E1784" s="81"/>
      <c r="F1784" s="81" t="s">
        <v>6172</v>
      </c>
    </row>
    <row r="1785">
      <c r="A1785" s="52"/>
      <c r="B1785" s="50"/>
      <c r="C1785" s="52"/>
      <c r="D1785" s="53"/>
      <c r="E1785" s="81"/>
      <c r="F1785" s="81" t="s">
        <v>6172</v>
      </c>
    </row>
    <row r="1786">
      <c r="A1786" s="52"/>
      <c r="B1786" s="50"/>
      <c r="C1786" s="52"/>
      <c r="D1786" s="53"/>
      <c r="E1786" s="81"/>
      <c r="F1786" s="81" t="s">
        <v>6172</v>
      </c>
    </row>
    <row r="1787">
      <c r="A1787" s="52"/>
      <c r="B1787" s="50"/>
      <c r="C1787" s="52"/>
      <c r="D1787" s="53"/>
      <c r="E1787" s="81"/>
      <c r="F1787" s="81" t="s">
        <v>6172</v>
      </c>
    </row>
    <row r="1788">
      <c r="A1788" s="52"/>
      <c r="B1788" s="50"/>
      <c r="C1788" s="52"/>
      <c r="D1788" s="53"/>
      <c r="E1788" s="81"/>
      <c r="F1788" s="81" t="s">
        <v>6172</v>
      </c>
    </row>
    <row r="1789">
      <c r="A1789" s="52"/>
      <c r="B1789" s="50"/>
      <c r="C1789" s="52"/>
      <c r="D1789" s="53"/>
      <c r="E1789" s="81"/>
      <c r="F1789" s="81" t="s">
        <v>6172</v>
      </c>
    </row>
    <row r="1790">
      <c r="A1790" s="52"/>
      <c r="B1790" s="50"/>
      <c r="C1790" s="52"/>
      <c r="D1790" s="53"/>
      <c r="E1790" s="81"/>
      <c r="F1790" s="81" t="s">
        <v>6172</v>
      </c>
    </row>
    <row r="1791">
      <c r="A1791" s="52"/>
      <c r="B1791" s="50"/>
      <c r="C1791" s="52"/>
      <c r="D1791" s="53"/>
      <c r="E1791" s="81"/>
      <c r="F1791" s="81" t="s">
        <v>6172</v>
      </c>
    </row>
    <row r="1792">
      <c r="A1792" s="52"/>
      <c r="B1792" s="50"/>
      <c r="C1792" s="52"/>
      <c r="D1792" s="53"/>
      <c r="E1792" s="81"/>
      <c r="F1792" s="81" t="s">
        <v>6172</v>
      </c>
    </row>
    <row r="1793">
      <c r="A1793" s="52"/>
      <c r="B1793" s="50"/>
      <c r="C1793" s="52"/>
      <c r="D1793" s="53"/>
      <c r="E1793" s="81"/>
      <c r="F1793" s="81" t="s">
        <v>6172</v>
      </c>
    </row>
    <row r="1794">
      <c r="A1794" s="52"/>
      <c r="B1794" s="50"/>
      <c r="C1794" s="52"/>
      <c r="D1794" s="53"/>
      <c r="E1794" s="81"/>
      <c r="F1794" s="81" t="s">
        <v>6172</v>
      </c>
    </row>
    <row r="1795">
      <c r="A1795" s="52"/>
      <c r="B1795" s="50"/>
      <c r="C1795" s="52"/>
      <c r="D1795" s="53"/>
      <c r="E1795" s="81"/>
      <c r="F1795" s="81" t="s">
        <v>6172</v>
      </c>
    </row>
    <row r="1796">
      <c r="A1796" s="52"/>
      <c r="B1796" s="50"/>
      <c r="C1796" s="52"/>
      <c r="D1796" s="53"/>
      <c r="E1796" s="81"/>
      <c r="F1796" s="81" t="s">
        <v>6172</v>
      </c>
    </row>
    <row r="1797">
      <c r="A1797" s="52"/>
      <c r="B1797" s="50"/>
      <c r="C1797" s="52"/>
      <c r="D1797" s="53"/>
      <c r="E1797" s="81"/>
      <c r="F1797" s="81" t="s">
        <v>6172</v>
      </c>
    </row>
    <row r="1798">
      <c r="A1798" s="52"/>
      <c r="B1798" s="50"/>
      <c r="C1798" s="52"/>
      <c r="D1798" s="53"/>
      <c r="E1798" s="81"/>
      <c r="F1798" s="81" t="s">
        <v>6172</v>
      </c>
    </row>
    <row r="1799">
      <c r="A1799" s="52"/>
      <c r="B1799" s="50"/>
      <c r="C1799" s="52"/>
      <c r="D1799" s="53"/>
      <c r="E1799" s="81"/>
      <c r="F1799" s="81" t="s">
        <v>6172</v>
      </c>
    </row>
    <row r="1800">
      <c r="A1800" s="52"/>
      <c r="B1800" s="50"/>
      <c r="C1800" s="52"/>
      <c r="D1800" s="53"/>
      <c r="E1800" s="81"/>
      <c r="F1800" s="81" t="s">
        <v>6172</v>
      </c>
    </row>
    <row r="1801">
      <c r="A1801" s="52"/>
      <c r="B1801" s="50"/>
      <c r="C1801" s="52"/>
      <c r="D1801" s="53"/>
      <c r="E1801" s="81"/>
      <c r="F1801" s="81" t="s">
        <v>6172</v>
      </c>
    </row>
    <row r="1802">
      <c r="A1802" s="52"/>
      <c r="B1802" s="50"/>
      <c r="C1802" s="52"/>
      <c r="D1802" s="53"/>
      <c r="E1802" s="81"/>
      <c r="F1802" s="81" t="s">
        <v>6172</v>
      </c>
    </row>
    <row r="1803">
      <c r="A1803" s="52"/>
      <c r="B1803" s="50"/>
      <c r="C1803" s="52"/>
      <c r="D1803" s="53"/>
      <c r="E1803" s="81"/>
      <c r="F1803" s="81" t="s">
        <v>6172</v>
      </c>
    </row>
    <row r="1804">
      <c r="A1804" s="52"/>
      <c r="B1804" s="50"/>
      <c r="C1804" s="52"/>
      <c r="D1804" s="53"/>
      <c r="E1804" s="81"/>
      <c r="F1804" s="81" t="s">
        <v>6172</v>
      </c>
    </row>
    <row r="1805">
      <c r="A1805" s="52"/>
      <c r="B1805" s="50"/>
      <c r="C1805" s="52"/>
      <c r="D1805" s="53"/>
      <c r="E1805" s="81"/>
      <c r="F1805" s="81" t="s">
        <v>6172</v>
      </c>
    </row>
    <row r="1806">
      <c r="A1806" s="52"/>
      <c r="B1806" s="50"/>
      <c r="C1806" s="52"/>
      <c r="D1806" s="53"/>
      <c r="E1806" s="81"/>
      <c r="F1806" s="81" t="s">
        <v>6172</v>
      </c>
    </row>
    <row r="1807">
      <c r="A1807" s="52"/>
      <c r="B1807" s="50"/>
      <c r="C1807" s="52"/>
      <c r="D1807" s="53"/>
      <c r="E1807" s="81"/>
      <c r="F1807" s="81" t="s">
        <v>6172</v>
      </c>
    </row>
    <row r="1808">
      <c r="A1808" s="52"/>
      <c r="B1808" s="50"/>
      <c r="C1808" s="52"/>
      <c r="D1808" s="53"/>
      <c r="E1808" s="81"/>
      <c r="F1808" s="81" t="s">
        <v>6172</v>
      </c>
    </row>
    <row r="1809">
      <c r="A1809" s="52"/>
      <c r="B1809" s="50"/>
      <c r="C1809" s="52"/>
      <c r="D1809" s="53"/>
      <c r="E1809" s="81"/>
      <c r="F1809" s="81" t="s">
        <v>6172</v>
      </c>
    </row>
    <row r="1810">
      <c r="A1810" s="52"/>
      <c r="B1810" s="50"/>
      <c r="C1810" s="52"/>
      <c r="D1810" s="53"/>
      <c r="E1810" s="81"/>
      <c r="F1810" s="81" t="s">
        <v>6172</v>
      </c>
    </row>
    <row r="1811">
      <c r="A1811" s="52"/>
      <c r="B1811" s="50"/>
      <c r="C1811" s="52"/>
      <c r="D1811" s="53"/>
      <c r="E1811" s="81"/>
      <c r="F1811" s="81" t="s">
        <v>6172</v>
      </c>
    </row>
    <row r="1812">
      <c r="A1812" s="52"/>
      <c r="B1812" s="50"/>
      <c r="C1812" s="52"/>
      <c r="D1812" s="53"/>
      <c r="E1812" s="81"/>
      <c r="F1812" s="81" t="s">
        <v>6172</v>
      </c>
    </row>
    <row r="1813">
      <c r="A1813" s="52"/>
      <c r="B1813" s="50"/>
      <c r="C1813" s="52"/>
      <c r="D1813" s="53"/>
      <c r="E1813" s="81"/>
      <c r="F1813" s="81" t="s">
        <v>6172</v>
      </c>
    </row>
    <row r="1814">
      <c r="A1814" s="52"/>
      <c r="B1814" s="50"/>
      <c r="C1814" s="52"/>
      <c r="D1814" s="53"/>
      <c r="E1814" s="81"/>
      <c r="F1814" s="81" t="s">
        <v>6172</v>
      </c>
    </row>
    <row r="1815">
      <c r="A1815" s="52"/>
      <c r="B1815" s="50"/>
      <c r="C1815" s="52"/>
      <c r="D1815" s="53"/>
      <c r="E1815" s="81"/>
      <c r="F1815" s="81" t="s">
        <v>6172</v>
      </c>
    </row>
    <row r="1816">
      <c r="A1816" s="52"/>
      <c r="B1816" s="50"/>
      <c r="C1816" s="52"/>
      <c r="D1816" s="53"/>
      <c r="E1816" s="81"/>
      <c r="F1816" s="81" t="s">
        <v>6172</v>
      </c>
    </row>
    <row r="1817">
      <c r="A1817" s="52"/>
      <c r="B1817" s="50"/>
      <c r="C1817" s="52"/>
      <c r="D1817" s="53"/>
      <c r="E1817" s="81"/>
      <c r="F1817" s="81" t="s">
        <v>6172</v>
      </c>
    </row>
    <row r="1818">
      <c r="A1818" s="52"/>
      <c r="B1818" s="50"/>
      <c r="C1818" s="52"/>
      <c r="D1818" s="53"/>
      <c r="E1818" s="81"/>
      <c r="F1818" s="81" t="s">
        <v>6172</v>
      </c>
    </row>
    <row r="1819">
      <c r="A1819" s="52"/>
      <c r="B1819" s="50"/>
      <c r="C1819" s="52"/>
      <c r="D1819" s="53"/>
      <c r="E1819" s="81"/>
      <c r="F1819" s="81" t="s">
        <v>6172</v>
      </c>
    </row>
    <row r="1820">
      <c r="A1820" s="52"/>
      <c r="B1820" s="50"/>
      <c r="C1820" s="52"/>
      <c r="D1820" s="53"/>
      <c r="E1820" s="81"/>
      <c r="F1820" s="81" t="s">
        <v>6172</v>
      </c>
    </row>
    <row r="1821">
      <c r="A1821" s="52"/>
      <c r="B1821" s="50"/>
      <c r="C1821" s="52"/>
      <c r="D1821" s="53"/>
      <c r="E1821" s="81"/>
      <c r="F1821" s="81" t="s">
        <v>6172</v>
      </c>
    </row>
    <row r="1822">
      <c r="A1822" s="52"/>
      <c r="B1822" s="50"/>
      <c r="C1822" s="52"/>
      <c r="D1822" s="53"/>
      <c r="E1822" s="81"/>
      <c r="F1822" s="81" t="s">
        <v>6172</v>
      </c>
    </row>
    <row r="1823">
      <c r="A1823" s="52"/>
      <c r="B1823" s="50"/>
      <c r="C1823" s="52"/>
      <c r="D1823" s="53"/>
      <c r="E1823" s="81"/>
      <c r="F1823" s="81" t="s">
        <v>6172</v>
      </c>
    </row>
    <row r="1824">
      <c r="A1824" s="52"/>
      <c r="B1824" s="50"/>
      <c r="C1824" s="52"/>
      <c r="D1824" s="53"/>
      <c r="E1824" s="81"/>
      <c r="F1824" s="81" t="s">
        <v>6172</v>
      </c>
    </row>
    <row r="1825">
      <c r="A1825" s="52"/>
      <c r="B1825" s="50"/>
      <c r="C1825" s="52"/>
      <c r="D1825" s="53"/>
      <c r="E1825" s="81"/>
      <c r="F1825" s="81" t="s">
        <v>6172</v>
      </c>
    </row>
    <row r="1826">
      <c r="A1826" s="52"/>
      <c r="B1826" s="50"/>
      <c r="C1826" s="52"/>
      <c r="D1826" s="53"/>
      <c r="E1826" s="81"/>
      <c r="F1826" s="81" t="s">
        <v>6172</v>
      </c>
    </row>
    <row r="1827">
      <c r="A1827" s="52"/>
      <c r="B1827" s="50"/>
      <c r="C1827" s="52"/>
      <c r="D1827" s="53"/>
      <c r="E1827" s="81"/>
      <c r="F1827" s="81" t="s">
        <v>6172</v>
      </c>
    </row>
    <row r="1828">
      <c r="A1828" s="52"/>
      <c r="B1828" s="50"/>
      <c r="C1828" s="52"/>
      <c r="D1828" s="53"/>
      <c r="E1828" s="81"/>
      <c r="F1828" s="81" t="s">
        <v>6172</v>
      </c>
    </row>
    <row r="1829">
      <c r="A1829" s="52"/>
      <c r="B1829" s="50"/>
      <c r="C1829" s="52"/>
      <c r="D1829" s="53"/>
      <c r="E1829" s="81"/>
      <c r="F1829" s="81" t="s">
        <v>6172</v>
      </c>
    </row>
    <row r="1830">
      <c r="A1830" s="52"/>
      <c r="B1830" s="50"/>
      <c r="C1830" s="52"/>
      <c r="D1830" s="53"/>
      <c r="E1830" s="81"/>
      <c r="F1830" s="81" t="s">
        <v>6172</v>
      </c>
    </row>
    <row r="1831">
      <c r="A1831" s="52"/>
      <c r="B1831" s="50"/>
      <c r="C1831" s="52"/>
      <c r="D1831" s="53"/>
      <c r="E1831" s="81"/>
      <c r="F1831" s="81" t="s">
        <v>6172</v>
      </c>
    </row>
    <row r="1832">
      <c r="A1832" s="52"/>
      <c r="B1832" s="50"/>
      <c r="C1832" s="52"/>
      <c r="D1832" s="53"/>
      <c r="E1832" s="81"/>
      <c r="F1832" s="81" t="s">
        <v>6172</v>
      </c>
    </row>
    <row r="1833">
      <c r="A1833" s="52"/>
      <c r="B1833" s="50"/>
      <c r="C1833" s="52"/>
      <c r="D1833" s="53"/>
      <c r="E1833" s="81"/>
      <c r="F1833" s="81" t="s">
        <v>6172</v>
      </c>
    </row>
    <row r="1834">
      <c r="A1834" s="52"/>
      <c r="B1834" s="50"/>
      <c r="C1834" s="52"/>
      <c r="D1834" s="53"/>
      <c r="E1834" s="81"/>
      <c r="F1834" s="81" t="s">
        <v>6172</v>
      </c>
    </row>
    <row r="1835">
      <c r="A1835" s="52"/>
      <c r="B1835" s="50"/>
      <c r="C1835" s="52"/>
      <c r="D1835" s="53"/>
      <c r="E1835" s="81"/>
      <c r="F1835" s="81" t="s">
        <v>6172</v>
      </c>
    </row>
    <row r="1836">
      <c r="A1836" s="52"/>
      <c r="B1836" s="50"/>
      <c r="C1836" s="52"/>
      <c r="D1836" s="53"/>
      <c r="E1836" s="81"/>
      <c r="F1836" s="81" t="s">
        <v>6172</v>
      </c>
    </row>
    <row r="1837">
      <c r="A1837" s="52"/>
      <c r="B1837" s="50"/>
      <c r="C1837" s="52"/>
      <c r="D1837" s="53"/>
      <c r="E1837" s="81"/>
      <c r="F1837" s="81" t="s">
        <v>6172</v>
      </c>
    </row>
    <row r="1838">
      <c r="A1838" s="52"/>
      <c r="B1838" s="50"/>
      <c r="C1838" s="52"/>
      <c r="D1838" s="53"/>
      <c r="E1838" s="81"/>
      <c r="F1838" s="81" t="s">
        <v>6172</v>
      </c>
    </row>
    <row r="1839">
      <c r="A1839" s="52"/>
      <c r="B1839" s="50"/>
      <c r="C1839" s="52"/>
      <c r="D1839" s="53"/>
      <c r="E1839" s="81"/>
      <c r="F1839" s="81" t="s">
        <v>6172</v>
      </c>
    </row>
    <row r="1840">
      <c r="A1840" s="52"/>
      <c r="B1840" s="50"/>
      <c r="C1840" s="52"/>
      <c r="D1840" s="53"/>
      <c r="E1840" s="81"/>
      <c r="F1840" s="81" t="s">
        <v>6172</v>
      </c>
    </row>
    <row r="1841">
      <c r="A1841" s="52"/>
      <c r="B1841" s="50"/>
      <c r="C1841" s="52"/>
      <c r="D1841" s="53"/>
      <c r="E1841" s="81"/>
      <c r="F1841" s="81" t="s">
        <v>6172</v>
      </c>
    </row>
    <row r="1842">
      <c r="A1842" s="52"/>
      <c r="B1842" s="50"/>
      <c r="C1842" s="52"/>
      <c r="D1842" s="53"/>
      <c r="E1842" s="81"/>
      <c r="F1842" s="81" t="s">
        <v>6172</v>
      </c>
    </row>
    <row r="1843">
      <c r="A1843" s="52"/>
      <c r="B1843" s="50"/>
      <c r="C1843" s="52"/>
      <c r="D1843" s="53"/>
      <c r="E1843" s="81"/>
      <c r="F1843" s="81" t="s">
        <v>6172</v>
      </c>
    </row>
    <row r="1844">
      <c r="A1844" s="52"/>
      <c r="B1844" s="50"/>
      <c r="C1844" s="52"/>
      <c r="D1844" s="53"/>
      <c r="E1844" s="81"/>
      <c r="F1844" s="81" t="s">
        <v>6172</v>
      </c>
    </row>
    <row r="1845">
      <c r="A1845" s="52"/>
      <c r="B1845" s="50"/>
      <c r="C1845" s="52"/>
      <c r="D1845" s="53"/>
      <c r="E1845" s="81"/>
      <c r="F1845" s="81" t="s">
        <v>6172</v>
      </c>
    </row>
    <row r="1846">
      <c r="A1846" s="52"/>
      <c r="B1846" s="50"/>
      <c r="C1846" s="52"/>
      <c r="D1846" s="53"/>
      <c r="E1846" s="81"/>
      <c r="F1846" s="81" t="s">
        <v>6172</v>
      </c>
    </row>
    <row r="1847">
      <c r="A1847" s="52"/>
      <c r="B1847" s="50"/>
      <c r="C1847" s="52"/>
      <c r="D1847" s="53"/>
      <c r="E1847" s="81"/>
      <c r="F1847" s="81" t="s">
        <v>6172</v>
      </c>
    </row>
    <row r="1848">
      <c r="A1848" s="52"/>
      <c r="B1848" s="50"/>
      <c r="C1848" s="52"/>
      <c r="D1848" s="53"/>
      <c r="E1848" s="81"/>
      <c r="F1848" s="81" t="s">
        <v>6172</v>
      </c>
    </row>
    <row r="1849">
      <c r="A1849" s="52"/>
      <c r="B1849" s="50"/>
      <c r="C1849" s="52"/>
      <c r="D1849" s="53"/>
      <c r="E1849" s="81"/>
      <c r="F1849" s="81" t="s">
        <v>6172</v>
      </c>
    </row>
    <row r="1850">
      <c r="A1850" s="52"/>
      <c r="B1850" s="50"/>
      <c r="C1850" s="52"/>
      <c r="D1850" s="53"/>
      <c r="E1850" s="81"/>
      <c r="F1850" s="81" t="s">
        <v>6172</v>
      </c>
    </row>
    <row r="1851">
      <c r="A1851" s="52"/>
      <c r="B1851" s="50"/>
      <c r="C1851" s="52"/>
      <c r="D1851" s="53"/>
      <c r="E1851" s="81"/>
      <c r="F1851" s="81" t="s">
        <v>6172</v>
      </c>
    </row>
    <row r="1852">
      <c r="A1852" s="52"/>
      <c r="B1852" s="50"/>
      <c r="C1852" s="52"/>
      <c r="D1852" s="53"/>
      <c r="E1852" s="81"/>
      <c r="F1852" s="81" t="s">
        <v>6172</v>
      </c>
    </row>
    <row r="1853">
      <c r="A1853" s="52"/>
      <c r="B1853" s="50"/>
      <c r="C1853" s="52"/>
      <c r="D1853" s="53"/>
      <c r="E1853" s="81"/>
      <c r="F1853" s="81" t="s">
        <v>6172</v>
      </c>
    </row>
    <row r="1854">
      <c r="A1854" s="52"/>
      <c r="B1854" s="50"/>
      <c r="C1854" s="52"/>
      <c r="D1854" s="53"/>
      <c r="E1854" s="81"/>
      <c r="F1854" s="81" t="s">
        <v>6172</v>
      </c>
    </row>
    <row r="1855">
      <c r="A1855" s="52"/>
      <c r="B1855" s="50"/>
      <c r="C1855" s="52"/>
      <c r="D1855" s="53"/>
      <c r="E1855" s="81"/>
      <c r="F1855" s="81" t="s">
        <v>6172</v>
      </c>
    </row>
    <row r="1856">
      <c r="A1856" s="52"/>
      <c r="B1856" s="50"/>
      <c r="C1856" s="52"/>
      <c r="D1856" s="53"/>
      <c r="E1856" s="81"/>
      <c r="F1856" s="81" t="s">
        <v>6172</v>
      </c>
    </row>
    <row r="1857">
      <c r="A1857" s="52"/>
      <c r="B1857" s="50"/>
      <c r="C1857" s="52"/>
      <c r="D1857" s="53"/>
      <c r="E1857" s="81"/>
      <c r="F1857" s="81" t="s">
        <v>6172</v>
      </c>
    </row>
    <row r="1858">
      <c r="A1858" s="52"/>
      <c r="B1858" s="50"/>
      <c r="C1858" s="52"/>
      <c r="D1858" s="53"/>
      <c r="E1858" s="81"/>
      <c r="F1858" s="81" t="s">
        <v>6172</v>
      </c>
    </row>
    <row r="1859">
      <c r="A1859" s="52"/>
      <c r="B1859" s="50"/>
      <c r="C1859" s="52"/>
      <c r="D1859" s="53"/>
      <c r="E1859" s="81"/>
      <c r="F1859" s="81" t="s">
        <v>6172</v>
      </c>
    </row>
    <row r="1860">
      <c r="A1860" s="52"/>
      <c r="B1860" s="50"/>
      <c r="C1860" s="52"/>
      <c r="D1860" s="53"/>
      <c r="E1860" s="81"/>
      <c r="F1860" s="81" t="s">
        <v>6172</v>
      </c>
    </row>
    <row r="1861">
      <c r="A1861" s="52"/>
      <c r="B1861" s="50"/>
      <c r="C1861" s="52"/>
      <c r="D1861" s="53"/>
      <c r="E1861" s="81"/>
      <c r="F1861" s="81" t="s">
        <v>6172</v>
      </c>
    </row>
    <row r="1862">
      <c r="A1862" s="52"/>
      <c r="B1862" s="50"/>
      <c r="C1862" s="52"/>
      <c r="D1862" s="53"/>
      <c r="E1862" s="81"/>
      <c r="F1862" s="81" t="s">
        <v>6172</v>
      </c>
    </row>
    <row r="1863">
      <c r="A1863" s="52"/>
      <c r="B1863" s="50"/>
      <c r="C1863" s="52"/>
      <c r="D1863" s="53"/>
      <c r="E1863" s="81"/>
      <c r="F1863" s="81" t="s">
        <v>6172</v>
      </c>
    </row>
    <row r="1864">
      <c r="A1864" s="52"/>
      <c r="B1864" s="50"/>
      <c r="C1864" s="52"/>
      <c r="D1864" s="53"/>
      <c r="E1864" s="81"/>
      <c r="F1864" s="81" t="s">
        <v>6172</v>
      </c>
    </row>
    <row r="1865">
      <c r="A1865" s="52"/>
      <c r="B1865" s="50"/>
      <c r="C1865" s="52"/>
      <c r="D1865" s="53"/>
      <c r="E1865" s="81"/>
      <c r="F1865" s="81" t="s">
        <v>6172</v>
      </c>
    </row>
    <row r="1866">
      <c r="A1866" s="52"/>
      <c r="B1866" s="50"/>
      <c r="C1866" s="52"/>
      <c r="D1866" s="53"/>
      <c r="E1866" s="81"/>
      <c r="F1866" s="81" t="s">
        <v>6172</v>
      </c>
    </row>
    <row r="1867">
      <c r="A1867" s="52"/>
      <c r="B1867" s="50"/>
      <c r="C1867" s="52"/>
      <c r="D1867" s="53"/>
      <c r="E1867" s="81"/>
      <c r="F1867" s="81" t="s">
        <v>6172</v>
      </c>
    </row>
    <row r="1868">
      <c r="A1868" s="52"/>
      <c r="B1868" s="50"/>
      <c r="C1868" s="52"/>
      <c r="D1868" s="53"/>
      <c r="E1868" s="81"/>
      <c r="F1868" s="81" t="s">
        <v>6172</v>
      </c>
    </row>
    <row r="1869">
      <c r="A1869" s="52"/>
      <c r="B1869" s="50"/>
      <c r="C1869" s="52"/>
      <c r="D1869" s="53"/>
      <c r="E1869" s="81"/>
      <c r="F1869" s="81" t="s">
        <v>6172</v>
      </c>
    </row>
    <row r="1870">
      <c r="A1870" s="52"/>
      <c r="B1870" s="50"/>
      <c r="C1870" s="52"/>
      <c r="D1870" s="53"/>
      <c r="E1870" s="81"/>
      <c r="F1870" s="81" t="s">
        <v>6172</v>
      </c>
    </row>
    <row r="1871">
      <c r="A1871" s="52"/>
      <c r="B1871" s="50"/>
      <c r="C1871" s="52"/>
      <c r="D1871" s="53"/>
      <c r="E1871" s="81"/>
      <c r="F1871" s="81" t="s">
        <v>6172</v>
      </c>
    </row>
    <row r="1872">
      <c r="A1872" s="52"/>
      <c r="B1872" s="50"/>
      <c r="C1872" s="52"/>
      <c r="D1872" s="53"/>
      <c r="E1872" s="81"/>
      <c r="F1872" s="81" t="s">
        <v>6172</v>
      </c>
    </row>
    <row r="1873">
      <c r="A1873" s="52"/>
      <c r="B1873" s="50"/>
      <c r="C1873" s="52"/>
      <c r="D1873" s="53"/>
      <c r="E1873" s="81"/>
      <c r="F1873" s="81" t="s">
        <v>6172</v>
      </c>
    </row>
    <row r="1874">
      <c r="A1874" s="52"/>
      <c r="B1874" s="50"/>
      <c r="C1874" s="52"/>
      <c r="D1874" s="53"/>
      <c r="E1874" s="81"/>
      <c r="F1874" s="81" t="s">
        <v>6172</v>
      </c>
    </row>
    <row r="1875">
      <c r="A1875" s="52"/>
      <c r="B1875" s="50"/>
      <c r="C1875" s="52"/>
      <c r="D1875" s="53"/>
      <c r="E1875" s="81"/>
      <c r="F1875" s="81" t="s">
        <v>6172</v>
      </c>
    </row>
    <row r="1876">
      <c r="A1876" s="52"/>
      <c r="B1876" s="50"/>
      <c r="C1876" s="52"/>
      <c r="D1876" s="53"/>
      <c r="E1876" s="81"/>
      <c r="F1876" s="81" t="s">
        <v>6172</v>
      </c>
    </row>
    <row r="1877">
      <c r="A1877" s="52"/>
      <c r="B1877" s="50"/>
      <c r="C1877" s="52"/>
      <c r="D1877" s="53"/>
      <c r="E1877" s="81"/>
      <c r="F1877" s="81" t="s">
        <v>6172</v>
      </c>
    </row>
    <row r="1878">
      <c r="A1878" s="52"/>
      <c r="B1878" s="50"/>
      <c r="C1878" s="52"/>
      <c r="D1878" s="53"/>
      <c r="E1878" s="81"/>
      <c r="F1878" s="81" t="s">
        <v>6172</v>
      </c>
    </row>
    <row r="1879">
      <c r="A1879" s="52"/>
      <c r="B1879" s="50"/>
      <c r="C1879" s="52"/>
      <c r="D1879" s="53"/>
      <c r="E1879" s="81"/>
      <c r="F1879" s="81" t="s">
        <v>6172</v>
      </c>
    </row>
    <row r="1880">
      <c r="A1880" s="52"/>
      <c r="B1880" s="50"/>
      <c r="C1880" s="52"/>
      <c r="D1880" s="53"/>
      <c r="E1880" s="81"/>
      <c r="F1880" s="81" t="s">
        <v>6172</v>
      </c>
    </row>
    <row r="1881">
      <c r="A1881" s="52"/>
      <c r="B1881" s="50"/>
      <c r="C1881" s="52"/>
      <c r="D1881" s="53"/>
      <c r="E1881" s="81"/>
      <c r="F1881" s="81" t="s">
        <v>6172</v>
      </c>
    </row>
    <row r="1882">
      <c r="A1882" s="52"/>
      <c r="B1882" s="50"/>
      <c r="C1882" s="52"/>
      <c r="D1882" s="53"/>
      <c r="E1882" s="81"/>
      <c r="F1882" s="81" t="s">
        <v>6172</v>
      </c>
    </row>
    <row r="1883">
      <c r="A1883" s="52"/>
      <c r="B1883" s="50"/>
      <c r="C1883" s="52"/>
      <c r="D1883" s="53"/>
      <c r="E1883" s="81"/>
      <c r="F1883" s="81" t="s">
        <v>6172</v>
      </c>
    </row>
    <row r="1884">
      <c r="A1884" s="52"/>
      <c r="B1884" s="50"/>
      <c r="C1884" s="52"/>
      <c r="D1884" s="53"/>
      <c r="E1884" s="81"/>
      <c r="F1884" s="81" t="s">
        <v>6172</v>
      </c>
    </row>
    <row r="1885">
      <c r="A1885" s="52"/>
      <c r="B1885" s="50"/>
      <c r="C1885" s="52"/>
      <c r="D1885" s="53"/>
      <c r="E1885" s="81"/>
      <c r="F1885" s="81" t="s">
        <v>6172</v>
      </c>
    </row>
    <row r="1886">
      <c r="A1886" s="52"/>
      <c r="B1886" s="50"/>
      <c r="C1886" s="52"/>
      <c r="D1886" s="53"/>
      <c r="E1886" s="81"/>
      <c r="F1886" s="81" t="s">
        <v>6172</v>
      </c>
    </row>
    <row r="1887">
      <c r="A1887" s="52"/>
      <c r="B1887" s="50"/>
      <c r="C1887" s="52"/>
      <c r="D1887" s="53"/>
      <c r="E1887" s="81"/>
      <c r="F1887" s="81" t="s">
        <v>6172</v>
      </c>
    </row>
    <row r="1888">
      <c r="A1888" s="52"/>
      <c r="B1888" s="50"/>
      <c r="C1888" s="52"/>
      <c r="D1888" s="53"/>
      <c r="E1888" s="81"/>
      <c r="F1888" s="81" t="s">
        <v>6172</v>
      </c>
    </row>
    <row r="1889">
      <c r="A1889" s="52"/>
      <c r="B1889" s="50"/>
      <c r="C1889" s="52"/>
      <c r="D1889" s="53"/>
      <c r="E1889" s="81"/>
      <c r="F1889" s="81" t="s">
        <v>6172</v>
      </c>
    </row>
    <row r="1890">
      <c r="A1890" s="52"/>
      <c r="B1890" s="50"/>
      <c r="C1890" s="52"/>
      <c r="D1890" s="53"/>
      <c r="E1890" s="81"/>
      <c r="F1890" s="81" t="s">
        <v>6172</v>
      </c>
    </row>
    <row r="1891">
      <c r="A1891" s="52"/>
      <c r="B1891" s="50"/>
      <c r="C1891" s="52"/>
      <c r="D1891" s="53"/>
      <c r="E1891" s="81"/>
      <c r="F1891" s="81" t="s">
        <v>6172</v>
      </c>
    </row>
    <row r="1892">
      <c r="A1892" s="52"/>
      <c r="B1892" s="50"/>
      <c r="C1892" s="52"/>
      <c r="D1892" s="53"/>
      <c r="E1892" s="81"/>
      <c r="F1892" s="81" t="s">
        <v>6172</v>
      </c>
    </row>
    <row r="1893">
      <c r="A1893" s="52"/>
      <c r="B1893" s="50"/>
      <c r="C1893" s="52"/>
      <c r="D1893" s="53"/>
      <c r="E1893" s="81"/>
      <c r="F1893" s="81" t="s">
        <v>6172</v>
      </c>
    </row>
    <row r="1894">
      <c r="A1894" s="52"/>
      <c r="B1894" s="50"/>
      <c r="C1894" s="52"/>
      <c r="D1894" s="53"/>
      <c r="E1894" s="81"/>
      <c r="F1894" s="81" t="s">
        <v>6172</v>
      </c>
    </row>
    <row r="1895">
      <c r="A1895" s="52"/>
      <c r="B1895" s="50"/>
      <c r="C1895" s="52"/>
      <c r="D1895" s="53"/>
      <c r="E1895" s="81"/>
      <c r="F1895" s="81" t="s">
        <v>6172</v>
      </c>
    </row>
    <row r="1896">
      <c r="A1896" s="52"/>
      <c r="B1896" s="50"/>
      <c r="C1896" s="52"/>
      <c r="D1896" s="53"/>
      <c r="E1896" s="81"/>
      <c r="F1896" s="81" t="s">
        <v>6172</v>
      </c>
    </row>
    <row r="1897">
      <c r="A1897" s="52"/>
      <c r="B1897" s="50"/>
      <c r="C1897" s="52"/>
      <c r="D1897" s="53"/>
      <c r="E1897" s="81"/>
      <c r="F1897" s="81" t="s">
        <v>6172</v>
      </c>
    </row>
    <row r="1898">
      <c r="A1898" s="52"/>
      <c r="B1898" s="50"/>
      <c r="C1898" s="52"/>
      <c r="D1898" s="53"/>
      <c r="E1898" s="81"/>
      <c r="F1898" s="81" t="s">
        <v>6172</v>
      </c>
    </row>
    <row r="1899">
      <c r="A1899" s="52"/>
      <c r="B1899" s="50"/>
      <c r="C1899" s="52"/>
      <c r="D1899" s="53"/>
      <c r="E1899" s="81"/>
      <c r="F1899" s="81" t="s">
        <v>6172</v>
      </c>
    </row>
    <row r="1900">
      <c r="A1900" s="52"/>
      <c r="B1900" s="50"/>
      <c r="C1900" s="52"/>
      <c r="D1900" s="53"/>
      <c r="E1900" s="81"/>
      <c r="F1900" s="81" t="s">
        <v>6172</v>
      </c>
    </row>
    <row r="1901">
      <c r="A1901" s="52"/>
      <c r="B1901" s="50"/>
      <c r="C1901" s="52"/>
      <c r="D1901" s="53"/>
      <c r="E1901" s="81"/>
      <c r="F1901" s="81" t="s">
        <v>6172</v>
      </c>
    </row>
    <row r="1902">
      <c r="A1902" s="52"/>
      <c r="B1902" s="50"/>
      <c r="C1902" s="52"/>
      <c r="D1902" s="53"/>
      <c r="E1902" s="81"/>
      <c r="F1902" s="81" t="s">
        <v>6172</v>
      </c>
    </row>
    <row r="1903">
      <c r="A1903" s="52"/>
      <c r="B1903" s="50"/>
      <c r="C1903" s="52"/>
      <c r="D1903" s="53"/>
      <c r="E1903" s="81"/>
      <c r="F1903" s="81" t="s">
        <v>6172</v>
      </c>
    </row>
    <row r="1904">
      <c r="A1904" s="52"/>
      <c r="B1904" s="50"/>
      <c r="C1904" s="52"/>
      <c r="D1904" s="53"/>
      <c r="E1904" s="81"/>
      <c r="F1904" s="81" t="s">
        <v>6172</v>
      </c>
    </row>
    <row r="1905">
      <c r="A1905" s="52"/>
      <c r="B1905" s="50"/>
      <c r="C1905" s="52"/>
      <c r="D1905" s="53"/>
      <c r="E1905" s="81"/>
      <c r="F1905" s="81" t="s">
        <v>6172</v>
      </c>
    </row>
    <row r="1906">
      <c r="E1906" s="81"/>
      <c r="F1906" s="81" t="s">
        <v>6172</v>
      </c>
    </row>
    <row r="1907">
      <c r="E1907" s="81"/>
      <c r="F1907" s="81" t="s">
        <v>6172</v>
      </c>
    </row>
    <row r="1908">
      <c r="E1908" s="81"/>
      <c r="F1908" s="81" t="s">
        <v>6172</v>
      </c>
    </row>
    <row r="1909">
      <c r="E1909" s="81"/>
      <c r="F1909" s="81" t="s">
        <v>6172</v>
      </c>
    </row>
    <row r="1910">
      <c r="E1910" s="81"/>
      <c r="F1910" s="81" t="s">
        <v>6172</v>
      </c>
    </row>
    <row r="1911">
      <c r="E1911" s="81"/>
      <c r="F1911" s="81" t="s">
        <v>6172</v>
      </c>
    </row>
    <row r="1912">
      <c r="E1912" s="81"/>
      <c r="F1912" s="81" t="s">
        <v>6172</v>
      </c>
    </row>
    <row r="1913">
      <c r="E1913" s="81"/>
      <c r="F1913" s="81" t="s">
        <v>6172</v>
      </c>
    </row>
    <row r="1914">
      <c r="E1914" s="81"/>
      <c r="F1914" s="81" t="s">
        <v>6172</v>
      </c>
    </row>
    <row r="1915">
      <c r="E1915" s="81"/>
      <c r="F1915" s="81" t="s">
        <v>6172</v>
      </c>
    </row>
    <row r="1916">
      <c r="E1916" s="81"/>
      <c r="F1916" s="81" t="s">
        <v>6172</v>
      </c>
    </row>
    <row r="1917">
      <c r="E1917" s="81"/>
      <c r="F1917" s="81" t="s">
        <v>6172</v>
      </c>
    </row>
    <row r="1918">
      <c r="E1918" s="81"/>
      <c r="F1918" s="81" t="s">
        <v>6172</v>
      </c>
    </row>
    <row r="1919">
      <c r="E1919" s="81"/>
      <c r="F1919" s="81" t="s">
        <v>6172</v>
      </c>
    </row>
    <row r="1920">
      <c r="E1920" s="81"/>
      <c r="F1920" s="81" t="s">
        <v>6172</v>
      </c>
    </row>
    <row r="1921">
      <c r="E1921" s="81"/>
      <c r="F1921" s="81" t="s">
        <v>6172</v>
      </c>
    </row>
    <row r="1922">
      <c r="E1922" s="81"/>
      <c r="F1922" s="81" t="s">
        <v>6172</v>
      </c>
    </row>
    <row r="1923">
      <c r="E1923" s="81"/>
      <c r="F1923" s="81" t="s">
        <v>6172</v>
      </c>
    </row>
    <row r="1924">
      <c r="E1924" s="81"/>
      <c r="F1924" s="81" t="s">
        <v>6172</v>
      </c>
    </row>
    <row r="1925">
      <c r="E1925" s="81"/>
      <c r="F1925" s="81" t="s">
        <v>6172</v>
      </c>
    </row>
    <row r="1926">
      <c r="E1926" s="81"/>
      <c r="F1926" s="81" t="s">
        <v>6172</v>
      </c>
    </row>
    <row r="1927">
      <c r="E1927" s="81"/>
      <c r="F1927" s="81" t="s">
        <v>6172</v>
      </c>
    </row>
    <row r="1928">
      <c r="E1928" s="81"/>
      <c r="F1928" s="81" t="s">
        <v>6172</v>
      </c>
    </row>
    <row r="1929">
      <c r="E1929" s="81"/>
      <c r="F1929" s="81" t="s">
        <v>6172</v>
      </c>
    </row>
    <row r="1930">
      <c r="E1930" s="81"/>
      <c r="F1930" s="81" t="s">
        <v>6172</v>
      </c>
    </row>
    <row r="1931">
      <c r="E1931" s="81"/>
      <c r="F1931" s="81" t="s">
        <v>6172</v>
      </c>
    </row>
    <row r="1932">
      <c r="E1932" s="81"/>
      <c r="F1932" s="81" t="s">
        <v>6172</v>
      </c>
    </row>
    <row r="1933">
      <c r="E1933" s="81"/>
      <c r="F1933" s="81" t="s">
        <v>6172</v>
      </c>
    </row>
    <row r="1934">
      <c r="E1934" s="81"/>
      <c r="F1934" s="81" t="s">
        <v>6172</v>
      </c>
    </row>
    <row r="1935">
      <c r="E1935" s="81"/>
      <c r="F1935" s="81" t="s">
        <v>6172</v>
      </c>
    </row>
    <row r="1936">
      <c r="E1936" s="81"/>
      <c r="F1936" s="81" t="s">
        <v>6172</v>
      </c>
    </row>
    <row r="1937">
      <c r="E1937" s="81"/>
      <c r="F1937" s="81" t="s">
        <v>6172</v>
      </c>
    </row>
    <row r="1938">
      <c r="E1938" s="81"/>
      <c r="F1938" s="81" t="s">
        <v>6172</v>
      </c>
    </row>
    <row r="1939">
      <c r="E1939" s="81"/>
      <c r="F1939" s="81" t="s">
        <v>6172</v>
      </c>
    </row>
    <row r="1940">
      <c r="E1940" s="81"/>
      <c r="F1940" s="81" t="s">
        <v>6172</v>
      </c>
    </row>
    <row r="1941">
      <c r="E1941" s="81"/>
      <c r="F1941" s="81" t="s">
        <v>6172</v>
      </c>
    </row>
    <row r="1942">
      <c r="E1942" s="81"/>
      <c r="F1942" s="81" t="s">
        <v>6172</v>
      </c>
    </row>
    <row r="1943">
      <c r="E1943" s="81"/>
      <c r="F1943" s="81" t="s">
        <v>6172</v>
      </c>
    </row>
    <row r="1944">
      <c r="E1944" s="81"/>
      <c r="F1944" s="81" t="s">
        <v>6172</v>
      </c>
    </row>
    <row r="1945">
      <c r="E1945" s="81"/>
      <c r="F1945" s="81" t="s">
        <v>6172</v>
      </c>
    </row>
    <row r="1946">
      <c r="E1946" s="81"/>
      <c r="F1946" s="81" t="s">
        <v>6172</v>
      </c>
    </row>
    <row r="1947">
      <c r="E1947" s="81"/>
      <c r="F1947" s="81" t="s">
        <v>6172</v>
      </c>
    </row>
    <row r="1948">
      <c r="E1948" s="81"/>
      <c r="F1948" s="81" t="s">
        <v>6172</v>
      </c>
    </row>
    <row r="1949">
      <c r="E1949" s="81"/>
      <c r="F1949" s="81" t="s">
        <v>6172</v>
      </c>
    </row>
    <row r="1950">
      <c r="E1950" s="81"/>
      <c r="F1950" s="81" t="s">
        <v>6172</v>
      </c>
    </row>
    <row r="1951">
      <c r="E1951" s="81"/>
      <c r="F1951" s="81" t="s">
        <v>6172</v>
      </c>
    </row>
    <row r="1952">
      <c r="E1952" s="81"/>
      <c r="F1952" s="81" t="s">
        <v>6172</v>
      </c>
    </row>
    <row r="1953">
      <c r="E1953" s="81"/>
      <c r="F1953" s="81" t="s">
        <v>6172</v>
      </c>
    </row>
    <row r="1954">
      <c r="E1954" s="81"/>
      <c r="F1954" s="81" t="s">
        <v>6172</v>
      </c>
    </row>
    <row r="1955">
      <c r="E1955" s="81"/>
      <c r="F1955" s="81" t="s">
        <v>6172</v>
      </c>
    </row>
    <row r="1956">
      <c r="E1956" s="81"/>
      <c r="F1956" s="81" t="s">
        <v>6172</v>
      </c>
    </row>
    <row r="1957">
      <c r="E1957" s="81"/>
      <c r="F1957" s="81" t="s">
        <v>6172</v>
      </c>
    </row>
    <row r="1958">
      <c r="E1958" s="81"/>
      <c r="F1958" s="81" t="s">
        <v>6172</v>
      </c>
    </row>
    <row r="1959">
      <c r="E1959" s="81"/>
      <c r="F1959" s="81" t="s">
        <v>6172</v>
      </c>
    </row>
    <row r="1960">
      <c r="E1960" s="81"/>
      <c r="F1960" s="81" t="s">
        <v>6172</v>
      </c>
    </row>
    <row r="1961">
      <c r="E1961" s="81"/>
      <c r="F1961" s="81" t="s">
        <v>6172</v>
      </c>
    </row>
    <row r="1962">
      <c r="E1962" s="81"/>
      <c r="F1962" s="81" t="s">
        <v>6172</v>
      </c>
    </row>
    <row r="1963">
      <c r="E1963" s="81"/>
      <c r="F1963" s="81" t="s">
        <v>6172</v>
      </c>
    </row>
    <row r="1964">
      <c r="E1964" s="81"/>
      <c r="F1964" s="81" t="s">
        <v>6172</v>
      </c>
    </row>
    <row r="1965">
      <c r="E1965" s="81"/>
      <c r="F1965" s="81" t="s">
        <v>6172</v>
      </c>
    </row>
    <row r="1966">
      <c r="E1966" s="81"/>
      <c r="F1966" s="81" t="s">
        <v>6172</v>
      </c>
    </row>
    <row r="1967">
      <c r="E1967" s="81"/>
      <c r="F1967" s="81" t="s">
        <v>6172</v>
      </c>
    </row>
    <row r="1968">
      <c r="E1968" s="81"/>
      <c r="F1968" s="81" t="s">
        <v>6172</v>
      </c>
    </row>
    <row r="1969">
      <c r="E1969" s="81"/>
      <c r="F1969" s="81" t="s">
        <v>6172</v>
      </c>
    </row>
    <row r="1970">
      <c r="E1970" s="81"/>
      <c r="F1970" s="81" t="s">
        <v>6172</v>
      </c>
    </row>
    <row r="1971">
      <c r="E1971" s="81"/>
      <c r="F1971" s="81" t="s">
        <v>6172</v>
      </c>
    </row>
    <row r="1972">
      <c r="E1972" s="81"/>
      <c r="F1972" s="81" t="s">
        <v>6172</v>
      </c>
    </row>
    <row r="1973">
      <c r="E1973" s="81"/>
      <c r="F1973" s="81" t="s">
        <v>6172</v>
      </c>
    </row>
    <row r="1974">
      <c r="E1974" s="81"/>
      <c r="F1974" s="81" t="s">
        <v>6172</v>
      </c>
    </row>
    <row r="1975">
      <c r="E1975" s="81"/>
      <c r="F1975" s="81" t="s">
        <v>6172</v>
      </c>
    </row>
    <row r="1976">
      <c r="E1976" s="81"/>
      <c r="F1976" s="81" t="s">
        <v>6172</v>
      </c>
    </row>
    <row r="1977">
      <c r="E1977" s="81"/>
      <c r="F1977" s="81" t="s">
        <v>6172</v>
      </c>
    </row>
    <row r="1978">
      <c r="E1978" s="81"/>
      <c r="F1978" s="81" t="s">
        <v>6172</v>
      </c>
    </row>
    <row r="1979">
      <c r="E1979" s="81"/>
      <c r="F1979" s="81" t="s">
        <v>6172</v>
      </c>
    </row>
    <row r="1980">
      <c r="E1980" s="81"/>
      <c r="F1980" s="81" t="s">
        <v>6172</v>
      </c>
    </row>
    <row r="1981">
      <c r="E1981" s="81"/>
      <c r="F1981" s="81" t="s">
        <v>6172</v>
      </c>
    </row>
    <row r="1982">
      <c r="E1982" s="81"/>
      <c r="F1982" s="81" t="s">
        <v>6172</v>
      </c>
    </row>
    <row r="1983">
      <c r="E1983" s="81"/>
      <c r="F1983" s="81" t="s">
        <v>6172</v>
      </c>
    </row>
    <row r="1984">
      <c r="E1984" s="81"/>
      <c r="F1984" s="81" t="s">
        <v>6172</v>
      </c>
    </row>
    <row r="1985">
      <c r="E1985" s="81"/>
      <c r="F1985" s="81" t="s">
        <v>6172</v>
      </c>
    </row>
    <row r="1986">
      <c r="E1986" s="81"/>
      <c r="F1986" s="81" t="s">
        <v>6172</v>
      </c>
    </row>
    <row r="1987">
      <c r="E1987" s="81"/>
      <c r="F1987" s="81" t="s">
        <v>6172</v>
      </c>
    </row>
    <row r="1988">
      <c r="E1988" s="81"/>
      <c r="F1988" s="81" t="s">
        <v>6172</v>
      </c>
    </row>
    <row r="1989">
      <c r="E1989" s="81"/>
      <c r="F1989" s="81" t="s">
        <v>6172</v>
      </c>
    </row>
    <row r="1990">
      <c r="E1990" s="81"/>
      <c r="F1990" s="81" t="s">
        <v>6172</v>
      </c>
    </row>
    <row r="1991">
      <c r="E1991" s="81"/>
      <c r="F1991" s="81" t="s">
        <v>6172</v>
      </c>
    </row>
    <row r="1992">
      <c r="E1992" s="81"/>
      <c r="F1992" s="81" t="s">
        <v>6172</v>
      </c>
    </row>
    <row r="1993">
      <c r="E1993" s="81"/>
      <c r="F1993" s="81" t="s">
        <v>6172</v>
      </c>
    </row>
    <row r="1994">
      <c r="E1994" s="81"/>
      <c r="F1994" s="81" t="s">
        <v>6172</v>
      </c>
    </row>
    <row r="1995">
      <c r="E1995" s="81"/>
      <c r="F1995" s="81" t="s">
        <v>6172</v>
      </c>
    </row>
    <row r="1996">
      <c r="E1996" s="81"/>
      <c r="F1996" s="81" t="s">
        <v>6172</v>
      </c>
    </row>
    <row r="1997">
      <c r="E1997" s="81"/>
      <c r="F1997" s="81" t="s">
        <v>6172</v>
      </c>
    </row>
    <row r="1998">
      <c r="E1998" s="81"/>
      <c r="F1998" s="81" t="s">
        <v>6172</v>
      </c>
    </row>
    <row r="1999">
      <c r="E1999" s="81"/>
      <c r="F1999" s="81" t="s">
        <v>6172</v>
      </c>
    </row>
    <row r="2000">
      <c r="E2000" s="81"/>
      <c r="F2000" s="81" t="s">
        <v>6172</v>
      </c>
    </row>
    <row r="2001">
      <c r="E2001" s="81"/>
      <c r="F2001" s="81" t="s">
        <v>6172</v>
      </c>
    </row>
    <row r="2002">
      <c r="E2002" s="81"/>
      <c r="F2002" s="81" t="s">
        <v>6172</v>
      </c>
    </row>
  </sheetData>
  <drawing r:id="rId1"/>
</worksheet>
</file>