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joelp\greenback\model\"/>
    </mc:Choice>
  </mc:AlternateContent>
  <xr:revisionPtr revIDLastSave="0" documentId="13_ncr:1_{F04B4FE7-6C75-41B1-8D4A-0898597F5AB3}" xr6:coauthVersionLast="47" xr6:coauthVersionMax="47" xr10:uidLastSave="{00000000-0000-0000-0000-000000000000}"/>
  <bookViews>
    <workbookView xWindow="-120" yWindow="-120" windowWidth="29040" windowHeight="16440" tabRatio="685" xr2:uid="{00000000-000D-0000-FFFF-FFFF00000000}"/>
  </bookViews>
  <sheets>
    <sheet name="dcf" sheetId="25" r:id="rId1"/>
  </sheets>
  <definedNames>
    <definedName name="_xlchart.v1.0" hidden="1">dcf!$L$33:$L$35</definedName>
    <definedName name="_xlchart.v1.1" hidden="1">dcf!$N$33:$N$35</definedName>
    <definedName name="_xlchart.v1.2" hidden="1">dcf!$L$29:$L$31</definedName>
    <definedName name="_xlchart.v1.3" hidden="1">dcf!$N$29:$N$31</definedName>
    <definedName name="_xlchart.v1.4" hidden="1">dcf!$L$29:$L$31</definedName>
    <definedName name="_xlchart.v1.5" hidden="1">dcf!$N$29:$N$31</definedName>
    <definedName name="CIQWBGuid" hidden="1">"2cd8126d-26c3-430c-b7fa-a069e3a1fc62"</definedName>
    <definedName name="IQ_CH" hidden="1">110000</definedName>
    <definedName name="IQ_CQ" hidden="1">5000</definedName>
    <definedName name="IQ_CY" hidden="1">10000</definedName>
    <definedName name="IQ_DAILY" hidden="1">500000</definedName>
    <definedName name="IQ_DNTM" hidden="1">700000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MTD" hidden="1">800000</definedName>
    <definedName name="IQ_NAMES_REVISION_DATE_" hidden="1">41666.7099189815</definedName>
    <definedName name="IQ_NTM" hidden="1">6000</definedName>
    <definedName name="IQ_QTD" hidden="1">750000</definedName>
    <definedName name="IQ_TODAY" hidden="1">0</definedName>
    <definedName name="IQ_WEEK" hidden="1">50000</definedName>
    <definedName name="IQ_YTD" hidden="1">3000</definedName>
    <definedName name="IQ_YTDMONTH" hidden="1">130000</definedName>
  </definedNames>
  <calcPr calcId="191029"/>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4" i="25" l="1" a="1"/>
  <c r="H4" i="25" s="1"/>
  <c r="I4" i="25" a="1"/>
  <c r="I4" i="25" s="1"/>
  <c r="D15" i="25" s="1"/>
  <c r="G4" i="25" a="1"/>
  <c r="G4" i="25" s="1"/>
  <c r="D14" i="25" s="1"/>
  <c r="D21" i="25"/>
  <c r="E21" i="25"/>
  <c r="V26" i="25" l="1"/>
  <c r="N33" i="25" s="1"/>
  <c r="F22" i="25" l="1"/>
  <c r="E20" i="25"/>
  <c r="G22" i="25" l="1"/>
  <c r="H22" i="25" s="1"/>
  <c r="F21" i="25"/>
  <c r="F20" i="25" s="1"/>
  <c r="F27" i="25"/>
  <c r="G27" i="25"/>
  <c r="H27" i="25"/>
  <c r="I27" i="25"/>
  <c r="E27" i="25"/>
  <c r="V23" i="25"/>
  <c r="V22" i="25"/>
  <c r="R23" i="25"/>
  <c r="R22" i="25"/>
  <c r="I22" i="25" l="1"/>
  <c r="I21" i="25" s="1"/>
  <c r="J21" i="25" s="1"/>
  <c r="H21" i="25"/>
  <c r="G21" i="25"/>
  <c r="G20" i="25" s="1"/>
  <c r="F23" i="25"/>
  <c r="V21" i="25"/>
  <c r="E23" i="25"/>
  <c r="I20" i="25" l="1"/>
  <c r="I23" i="25"/>
  <c r="G23" i="25"/>
  <c r="H20" i="25"/>
  <c r="H23" i="25"/>
  <c r="V24" i="25"/>
  <c r="D33" i="25" s="1"/>
  <c r="D35" i="25" s="1"/>
  <c r="E25" i="25" l="1"/>
  <c r="E29" i="25" l="1"/>
  <c r="E34" i="25" l="1"/>
  <c r="E35" i="25"/>
  <c r="F25" i="25"/>
  <c r="F29" i="25" l="1"/>
  <c r="G25" i="25"/>
  <c r="G29" i="25" s="1"/>
  <c r="G34" i="25" l="1"/>
  <c r="G35" i="25"/>
  <c r="F34" i="25"/>
  <c r="F35" i="25"/>
  <c r="H25" i="25"/>
  <c r="I25" i="25" l="1"/>
  <c r="H29" i="25" l="1"/>
  <c r="H34" i="25" l="1"/>
  <c r="H35" i="25"/>
  <c r="N22" i="25"/>
  <c r="I29" i="25"/>
  <c r="I35" i="25" s="1"/>
  <c r="N21" i="25" l="1"/>
  <c r="N23" i="25" s="1"/>
  <c r="I34" i="25"/>
  <c r="J33" i="25" l="1"/>
  <c r="J34" i="25" l="1"/>
  <c r="R21" i="25" s="1"/>
  <c r="R24" i="25" s="1"/>
  <c r="R26" i="25" s="1"/>
  <c r="J35" i="25"/>
  <c r="N30" i="25" s="1"/>
  <c r="N29" i="25" l="1"/>
  <c r="N34" i="25"/>
  <c r="N35" i="2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<sst xmlns="http://schemas.openxmlformats.org/spreadsheetml/2006/main" count="54" uniqueCount="48">
  <si>
    <t>Cash</t>
  </si>
  <si>
    <t>Debt</t>
  </si>
  <si>
    <t>DCF Model</t>
  </si>
  <si>
    <t>EBIT</t>
  </si>
  <si>
    <t>Less: Cash Taxes</t>
  </si>
  <si>
    <t>Less: Capex</t>
  </si>
  <si>
    <t>Less: Changes in NWC</t>
  </si>
  <si>
    <t>Plus: D&amp;A</t>
  </si>
  <si>
    <t>Terminal Value</t>
  </si>
  <si>
    <t>Perpetural Growth</t>
  </si>
  <si>
    <t>Tax Rate</t>
  </si>
  <si>
    <t>Discount Rate</t>
  </si>
  <si>
    <t>Perpetural Growth Rate</t>
  </si>
  <si>
    <t>EV/EBITDA Mulltiple</t>
  </si>
  <si>
    <t>Unlevered FCF</t>
  </si>
  <si>
    <t>(Entry)/Exit</t>
  </si>
  <si>
    <t>EV/EBITDA</t>
  </si>
  <si>
    <t>Average</t>
  </si>
  <si>
    <t>Transaction Date</t>
  </si>
  <si>
    <t>Discounted Cash Flow</t>
  </si>
  <si>
    <t>Shares Outstanding</t>
  </si>
  <si>
    <t>Entry</t>
  </si>
  <si>
    <t>Exit</t>
  </si>
  <si>
    <t>Date</t>
  </si>
  <si>
    <t>Current Price</t>
  </si>
  <si>
    <t>Market Cap</t>
  </si>
  <si>
    <t>Plus: Debt</t>
  </si>
  <si>
    <t>Less: Cash</t>
  </si>
  <si>
    <t>Enterprise Value</t>
  </si>
  <si>
    <t>Plus: Cash</t>
  </si>
  <si>
    <t>Less: Debt</t>
  </si>
  <si>
    <t>Equity Value</t>
  </si>
  <si>
    <t>Equity Value/Share</t>
  </si>
  <si>
    <t>Intrinsic Value</t>
  </si>
  <si>
    <t>Market Value</t>
  </si>
  <si>
    <t>Rate of Return</t>
  </si>
  <si>
    <t>Target Price Upside</t>
  </si>
  <si>
    <t>Capex</t>
  </si>
  <si>
    <t>Fiscal Year End</t>
  </si>
  <si>
    <t>Transaction CF</t>
  </si>
  <si>
    <t>Year Fraction</t>
  </si>
  <si>
    <t>Time Periods</t>
  </si>
  <si>
    <t>Market Value vs Intrinsic Value</t>
  </si>
  <si>
    <t>Upside</t>
  </si>
  <si>
    <t>Internal Rate of Return (IRR)</t>
  </si>
  <si>
    <t>Inputs:</t>
  </si>
  <si>
    <t>Price</t>
  </si>
  <si>
    <t>Chg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</si>
</sst>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_-;\-* #,##0.00_-;_-* &quot;-&quot;??_-;_-@_-"/>
    <numFmt numFmtId="165" formatCode="_-* #,##0_-;\(#,##0\)_-;_-* &quot;-&quot;_-;_-@_-"/>
    <numFmt numFmtId="166" formatCode="_-* #,##0_-;\-* #,##0_-;_-* &quot;-&quot;??_-;_-@_-"/>
    <numFmt numFmtId="167" formatCode="_(* #,##0_);_(* \(#,##0\);_(* &quot;-&quot;??_);_(@_)"/>
    <numFmt numFmtId="168" formatCode="0.0\x"/>
    <numFmt numFmtId="169" formatCode="_-* #,##0.00_-;\(#,##0.00\)_-;_-* &quot;-&quot;_-;_-@_-"/>
  </numFmts>
  <fonts count="18" x14ac:knownFonts="1">
    <font>
      <sz val="11"/>
      <color theme="1"/>
      <name val="Calibri"/>
      <family val="2"/>
      <scheme val="minor"/>
    </font>
    <font>
      <sz val="11"/>
      <color theme="1"/>
      <name val="Calibri"/>
      <family val="2"/>
      <scheme val="minor"/>
    </font>
    <font>
      <sz val="12"/>
      <color theme="1"/>
      <name val="Arial Narrow"/>
      <family val="2"/>
    </font>
    <font>
      <sz val="12"/>
      <color theme="1"/>
      <name val="Open Sans"/>
      <family val="2"/>
    </font>
    <font>
      <b/>
      <sz val="10"/>
      <color theme="0"/>
      <name val="Open Sans"/>
      <family val="2"/>
    </font>
    <font>
      <b/>
      <sz val="11"/>
      <color theme="0"/>
      <name val="Open Sans"/>
      <family val="2"/>
    </font>
    <font>
      <sz val="10"/>
      <color theme="1"/>
      <name val="Open Sans"/>
      <family val="2"/>
    </font>
    <font>
      <b/>
      <sz val="10"/>
      <color theme="1"/>
      <name val="Open Sans"/>
      <family val="2"/>
    </font>
    <font>
      <sz val="10"/>
      <color rgb="FF0000FF"/>
      <name val="Open Sans"/>
      <family val="2"/>
    </font>
    <font>
      <b/>
      <sz val="10"/>
      <name val="Open Sans"/>
      <family val="2"/>
    </font>
    <font>
      <sz val="10"/>
      <name val="Open Sans"/>
      <family val="2"/>
    </font>
    <font>
      <i/>
      <sz val="10"/>
      <color theme="1"/>
      <name val="Open Sans"/>
      <family val="2"/>
    </font>
    <font>
      <u/>
      <sz val="11"/>
      <color theme="10"/>
      <name val="Calibri"/>
      <family val="2"/>
      <scheme val="minor"/>
    </font>
    <font>
      <i/>
      <sz val="10"/>
      <name val="Open Sans"/>
      <family val="2"/>
    </font>
    <font>
      <u/>
      <sz val="10"/>
      <color theme="10"/>
      <name val="Arial"/>
      <family val="2"/>
    </font>
    <font>
      <sz val="10"/>
      <color theme="9" tint="0.499984740745262"/>
      <name val="Open Sans"/>
      <family val="2"/>
    </font>
    <font>
      <i/>
      <sz val="10"/>
      <color theme="9" tint="0.499984740745262"/>
      <name val="Open Sans"/>
      <family val="2"/>
    </font>
    <font>
      <b/>
      <sz val="12"/>
      <color theme="1"/>
      <name val="Open Sans"/>
      <family val="2"/>
    </font>
  </fonts>
  <fills count="5">
    <fill>
      <patternFill patternType="none"/>
    </fill>
    <fill>
      <patternFill patternType="gray125"/>
    </fill>
    <fill>
      <patternFill patternType="solid">
        <fgColor theme="9"/>
        <bgColor indexed="64"/>
      </patternFill>
    </fill>
    <fill>
      <patternFill patternType="solid">
        <fgColor theme="0"/>
        <bgColor indexed="64"/>
      </patternFill>
    </fill>
    <fill>
      <patternFill patternType="solid">
        <fgColor theme="0" tint="-4.9989318521683403E-2"/>
        <bgColor indexed="64"/>
      </patternFill>
    </fill>
  </fills>
  <borders count="2">
    <border>
      <left/>
      <right/>
      <top/>
      <bottom/>
      <diagonal/>
    </border>
    <border>
      <left/>
      <right/>
      <top style="thin">
        <color indexed="64"/>
      </top>
      <bottom/>
      <diagonal/>
    </border>
  </borders>
  <cellStyleXfs count="7">
    <xf numFmtId="0" fontId="0" fillId="0" borderId="0"/>
    <xf numFmtId="164" fontId="1" fillId="0" borderId="0" applyFont="0" applyFill="0" applyBorder="0" applyAlignment="0" applyProtection="0"/>
    <xf numFmtId="9" fontId="1" fillId="0" borderId="0" applyFont="0" applyFill="0" applyBorder="0" applyAlignment="0" applyProtection="0"/>
    <xf numFmtId="0" fontId="12" fillId="0" borderId="0" applyNumberFormat="0" applyFill="0" applyBorder="0" applyAlignment="0" applyProtection="0"/>
    <xf numFmtId="0" fontId="1" fillId="0" borderId="0"/>
    <xf numFmtId="0" fontId="14" fillId="0" borderId="0" applyNumberFormat="0" applyFill="0" applyBorder="0" applyAlignment="0" applyProtection="0"/>
    <xf numFmtId="0" fontId="1" fillId="0" borderId="0"/>
  </cellStyleXfs>
  <cellXfs count="61">
    <xf numFmtId="0" fontId="0" fillId="0" borderId="0" xfId="0"/>
    <xf numFmtId="165" fontId="2" fillId="0" borderId="0" xfId="1" applyNumberFormat="1" applyFont="1"/>
    <xf numFmtId="165" fontId="2" fillId="0" borderId="0" xfId="1" applyNumberFormat="1" applyFont="1" applyAlignment="1">
      <alignment horizontal="center"/>
    </xf>
    <xf numFmtId="165" fontId="6" fillId="0" borderId="0" xfId="1" applyNumberFormat="1" applyFont="1"/>
    <xf numFmtId="165" fontId="7" fillId="0" borderId="0" xfId="1" applyNumberFormat="1" applyFont="1"/>
    <xf numFmtId="165" fontId="6" fillId="0" borderId="0" xfId="1" applyNumberFormat="1" applyFont="1" applyAlignment="1">
      <alignment horizontal="center"/>
    </xf>
    <xf numFmtId="165" fontId="8" fillId="0" borderId="0" xfId="1" applyNumberFormat="1" applyFont="1"/>
    <xf numFmtId="165" fontId="10" fillId="0" borderId="0" xfId="1" applyNumberFormat="1" applyFont="1"/>
    <xf numFmtId="14" fontId="8" fillId="0" borderId="0" xfId="1" applyNumberFormat="1" applyFont="1"/>
    <xf numFmtId="165" fontId="6" fillId="0" borderId="1" xfId="1" applyNumberFormat="1" applyFont="1" applyBorder="1"/>
    <xf numFmtId="165" fontId="6" fillId="0" borderId="0" xfId="1" applyNumberFormat="1" applyFont="1" applyBorder="1"/>
    <xf numFmtId="167" fontId="6" fillId="0" borderId="0" xfId="1" applyNumberFormat="1" applyFont="1"/>
    <xf numFmtId="165" fontId="8" fillId="0" borderId="0" xfId="1" applyNumberFormat="1" applyFont="1" applyBorder="1"/>
    <xf numFmtId="165" fontId="6" fillId="0" borderId="0" xfId="1" applyNumberFormat="1" applyFont="1" applyFill="1"/>
    <xf numFmtId="9" fontId="6" fillId="0" borderId="0" xfId="2" applyFont="1"/>
    <xf numFmtId="169" fontId="6" fillId="0" borderId="0" xfId="1" applyNumberFormat="1" applyFont="1"/>
    <xf numFmtId="165" fontId="11" fillId="0" borderId="0" xfId="1" applyNumberFormat="1" applyFont="1"/>
    <xf numFmtId="165" fontId="10" fillId="0" borderId="0" xfId="1" applyNumberFormat="1" applyFont="1" applyBorder="1"/>
    <xf numFmtId="14" fontId="11" fillId="0" borderId="0" xfId="1" applyNumberFormat="1" applyFont="1" applyBorder="1"/>
    <xf numFmtId="14" fontId="11" fillId="0" borderId="0" xfId="1" applyNumberFormat="1" applyFont="1" applyFill="1" applyBorder="1"/>
    <xf numFmtId="165" fontId="11" fillId="0" borderId="0" xfId="1" applyNumberFormat="1" applyFont="1" applyBorder="1"/>
    <xf numFmtId="14" fontId="13" fillId="0" borderId="0" xfId="1" applyNumberFormat="1" applyFont="1" applyBorder="1"/>
    <xf numFmtId="9" fontId="6" fillId="0" borderId="0" xfId="2" applyFont="1" applyBorder="1"/>
    <xf numFmtId="165" fontId="3" fillId="2" borderId="0" xfId="1" applyNumberFormat="1" applyFont="1" applyFill="1" applyAlignment="1">
      <alignment horizontal="center"/>
    </xf>
    <xf numFmtId="165" fontId="2" fillId="2" borderId="0" xfId="1" applyNumberFormat="1" applyFont="1" applyFill="1"/>
    <xf numFmtId="165" fontId="3" fillId="2" borderId="0" xfId="1" applyNumberFormat="1" applyFont="1" applyFill="1"/>
    <xf numFmtId="0" fontId="4" fillId="2" borderId="0" xfId="0" applyFont="1" applyFill="1" applyAlignment="1">
      <alignment vertical="center"/>
    </xf>
    <xf numFmtId="0" fontId="5" fillId="2" borderId="0" xfId="0" applyFont="1" applyFill="1"/>
    <xf numFmtId="165" fontId="7" fillId="3" borderId="0" xfId="1" applyNumberFormat="1" applyFont="1" applyFill="1" applyBorder="1" applyAlignment="1">
      <alignment horizontal="left"/>
    </xf>
    <xf numFmtId="165" fontId="7" fillId="3" borderId="0" xfId="1" applyNumberFormat="1" applyFont="1" applyFill="1" applyBorder="1" applyAlignment="1">
      <alignment horizontal="center"/>
    </xf>
    <xf numFmtId="165" fontId="9" fillId="4" borderId="0" xfId="1" applyNumberFormat="1" applyFont="1" applyFill="1" applyBorder="1"/>
    <xf numFmtId="165" fontId="8" fillId="4" borderId="0" xfId="1" applyNumberFormat="1" applyFont="1" applyFill="1" applyBorder="1"/>
    <xf numFmtId="165" fontId="7" fillId="4" borderId="0" xfId="1" applyNumberFormat="1" applyFont="1" applyFill="1" applyBorder="1"/>
    <xf numFmtId="165" fontId="6" fillId="4" borderId="0" xfId="1" applyNumberFormat="1" applyFont="1" applyFill="1" applyBorder="1"/>
    <xf numFmtId="165" fontId="7" fillId="4" borderId="0" xfId="1" applyNumberFormat="1" applyFont="1" applyFill="1" applyBorder="1" applyAlignment="1">
      <alignment horizontal="right"/>
    </xf>
    <xf numFmtId="0" fontId="7" fillId="4" borderId="0" xfId="1" applyNumberFormat="1" applyFont="1" applyFill="1" applyBorder="1"/>
    <xf numFmtId="165" fontId="7" fillId="4" borderId="0" xfId="1" applyNumberFormat="1" applyFont="1" applyFill="1" applyBorder="1" applyAlignment="1">
      <alignment horizontal="left"/>
    </xf>
    <xf numFmtId="165" fontId="2" fillId="4" borderId="0" xfId="1" applyNumberFormat="1" applyFont="1" applyFill="1"/>
    <xf numFmtId="165" fontId="2" fillId="4" borderId="0" xfId="1" applyNumberFormat="1" applyFont="1" applyFill="1" applyAlignment="1">
      <alignment horizontal="center"/>
    </xf>
    <xf numFmtId="165" fontId="6" fillId="4" borderId="0" xfId="1" applyNumberFormat="1" applyFont="1" applyFill="1"/>
    <xf numFmtId="165" fontId="7" fillId="4" borderId="0" xfId="1" applyNumberFormat="1" applyFont="1" applyFill="1" applyBorder="1" applyAlignment="1">
      <alignment horizontal="left"/>
    </xf>
    <xf numFmtId="9" fontId="15" fillId="0" borderId="0" xfId="2" applyFont="1" applyBorder="1" applyAlignment="1">
      <alignment horizontal="right"/>
    </xf>
    <xf numFmtId="9" fontId="15" fillId="0" borderId="0" xfId="2" applyFont="1" applyAlignment="1">
      <alignment horizontal="right"/>
    </xf>
    <xf numFmtId="168" fontId="15" fillId="0" borderId="0" xfId="1" applyNumberFormat="1" applyFont="1" applyAlignment="1">
      <alignment horizontal="right"/>
    </xf>
    <xf numFmtId="14" fontId="15" fillId="0" borderId="0" xfId="1" applyNumberFormat="1" applyFont="1"/>
    <xf numFmtId="164" fontId="15" fillId="0" borderId="0" xfId="1" applyFont="1" applyAlignment="1">
      <alignment horizontal="right"/>
    </xf>
    <xf numFmtId="166" fontId="15" fillId="0" borderId="0" xfId="1" applyNumberFormat="1" applyFont="1" applyAlignment="1">
      <alignment horizontal="right"/>
    </xf>
    <xf numFmtId="165" fontId="15" fillId="0" borderId="0" xfId="1" applyNumberFormat="1" applyFont="1"/>
    <xf numFmtId="1" fontId="16" fillId="0" borderId="0" xfId="1" applyNumberFormat="1" applyFont="1"/>
    <xf numFmtId="164" fontId="16" fillId="0" borderId="0" xfId="1" applyFont="1" applyBorder="1"/>
    <xf numFmtId="165" fontId="15" fillId="0" borderId="0" xfId="1" applyNumberFormat="1" applyFont="1" applyBorder="1"/>
    <xf numFmtId="167" fontId="15" fillId="0" borderId="0" xfId="1" applyNumberFormat="1" applyFont="1"/>
    <xf numFmtId="165" fontId="15" fillId="0" borderId="1" xfId="1" applyNumberFormat="1" applyFont="1" applyBorder="1"/>
    <xf numFmtId="165" fontId="17" fillId="0" borderId="0" xfId="1" applyNumberFormat="1" applyFont="1" applyAlignment="1">
      <alignment horizontal="center" vertical="center"/>
    </xf>
    <xf numFmtId="165" fontId="17" fillId="0" borderId="0" xfId="1" applyNumberFormat="1" applyFont="1" applyAlignment="1">
      <alignment horizontal="center" vertical="center"/>
    </xf>
    <xf numFmtId="165" fontId="17" fillId="0" borderId="0" xfId="1" applyNumberFormat="1" applyFont="1" applyAlignment="1">
      <alignment vertical="center"/>
    </xf>
    <xf numFmtId="165" fontId="15" fillId="0" borderId="0" xfId="1" applyNumberFormat="1" applyFont="1" applyAlignment="1">
      <alignment horizontal="right"/>
    </xf>
    <xf numFmtId="169" fontId="17" fillId="0" borderId="0" xfId="1" applyNumberFormat="1" applyFont="1" applyAlignment="1">
      <alignment vertical="center"/>
    </xf>
    <xf numFmtId="165" fontId="15" fillId="0" borderId="0" xfId="1" applyNumberFormat="1" applyFont="1" applyAlignment="1">
      <alignment horizontal="right"/>
    </xf>
    <xf numFmtId="165" fontId="17" fillId="0" borderId="0" xfId="1" applyNumberFormat="1" applyFont="1" applyAlignment="1">
      <alignment horizontal="right" vertical="center"/>
    </xf>
    <xf numFmtId="10" fontId="17" fillId="0" borderId="0" xfId="2" applyNumberFormat="1" applyFont="1" applyAlignment="1">
      <alignment horizontal="right" vertical="center"/>
    </xf>
  </cellXfs>
  <cellStyles count="7">
    <cellStyle name="Comma" xfId="1" builtinId="3"/>
    <cellStyle name="Hyperlink 2" xfId="5" xr:uid="{00000000-0005-0000-0000-000002000000}"/>
    <cellStyle name="Hyperlink 3" xfId="3" xr:uid="{00000000-0005-0000-0000-000003000000}"/>
    <cellStyle name="Normal" xfId="0" builtinId="0"/>
    <cellStyle name="Normal 2" xfId="4" xr:uid="{00000000-0005-0000-0000-000005000000}"/>
    <cellStyle name="Normal 2 2 2" xfId="6" xr:uid="{65687AD3-88B9-461F-8736-3AEEF1815662}"/>
    <cellStyle name="Percent" xfId="2" builtinId="5"/>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Open Sans" panose="020B0606030504020204" pitchFamily="34" charset="0"/>
                <a:ea typeface="Open Sans" panose="020B0606030504020204" pitchFamily="34" charset="0"/>
                <a:cs typeface="Open Sans" panose="020B0606030504020204" pitchFamily="34" charset="0"/>
              </a:defRPr>
            </a:pPr>
            <a:r>
              <a:rPr lang="en-US" sz="1200" b="0"/>
              <a:t>Cash Flow</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Open Sans" panose="020B0606030504020204" pitchFamily="34" charset="0"/>
              <a:ea typeface="Open Sans" panose="020B0606030504020204" pitchFamily="34" charset="0"/>
              <a:cs typeface="Open Sans" panose="020B0606030504020204" pitchFamily="34" charset="0"/>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numFmt formatCode="&quot;$&quot;#,##0" sourceLinked="0"/>
            <c:spPr>
              <a:noFill/>
              <a:ln>
                <a:noFill/>
              </a:ln>
              <a:effectLst/>
            </c:spPr>
            <c:txPr>
              <a:bodyPr rot="0" spcFirstLastPara="1" vertOverflow="ellipsis" vert="horz" wrap="square" anchor="ctr" anchorCtr="1"/>
              <a:lstStyle/>
              <a:p>
                <a:pPr>
                  <a:defRPr sz="800" b="0" i="0" u="none" strike="noStrike" kern="1200" baseline="0">
                    <a:solidFill>
                      <a:schemeClr val="bg2"/>
                    </a:solidFill>
                    <a:latin typeface="Open Sans" panose="020B0606030504020204" pitchFamily="34" charset="0"/>
                    <a:ea typeface="Open Sans" panose="020B0606030504020204" pitchFamily="34" charset="0"/>
                    <a:cs typeface="Open Sans" panose="020B0606030504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dcf!$E$21:$I$21</c:f>
              <c:numCache>
                <c:formatCode>m/d/yyyy</c:formatCode>
                <c:ptCount val="5"/>
                <c:pt idx="0">
                  <c:v>45473</c:v>
                </c:pt>
                <c:pt idx="1">
                  <c:v>45838</c:v>
                </c:pt>
                <c:pt idx="2">
                  <c:v>46203</c:v>
                </c:pt>
                <c:pt idx="3">
                  <c:v>46568</c:v>
                </c:pt>
                <c:pt idx="4">
                  <c:v>46934</c:v>
                </c:pt>
              </c:numCache>
            </c:numRef>
          </c:cat>
          <c:val>
            <c:numRef>
              <c:f>dcf!$E$34:$I$34</c:f>
              <c:numCache>
                <c:formatCode>_-* #,##0_-;\(#,##0\)_-;_-* "-"_-;_-@_-</c:formatCode>
                <c:ptCount val="5"/>
                <c:pt idx="0">
                  <c:v>8084.8041222222228</c:v>
                </c:pt>
                <c:pt idx="1">
                  <c:v>37715.192064999996</c:v>
                </c:pt>
                <c:pt idx="2">
                  <c:v>41501.07372819999</c:v>
                </c:pt>
                <c:pt idx="3">
                  <c:v>43510.461665686991</c:v>
                </c:pt>
                <c:pt idx="4">
                  <c:v>47008.029943582238</c:v>
                </c:pt>
              </c:numCache>
            </c:numRef>
          </c:val>
          <c:extLst>
            <c:ext xmlns:c16="http://schemas.microsoft.com/office/drawing/2014/chart" uri="{C3380CC4-5D6E-409C-BE32-E72D297353CC}">
              <c16:uniqueId val="{00000000-1D0A-4754-B867-94CF948CED9A}"/>
            </c:ext>
          </c:extLst>
        </c:ser>
        <c:dLbls>
          <c:showLegendKey val="0"/>
          <c:showVal val="0"/>
          <c:showCatName val="0"/>
          <c:showSerName val="0"/>
          <c:showPercent val="0"/>
          <c:showBubbleSize val="0"/>
        </c:dLbls>
        <c:gapWidth val="50"/>
        <c:overlap val="-27"/>
        <c:axId val="542849320"/>
        <c:axId val="542849648"/>
      </c:barChart>
      <c:dateAx>
        <c:axId val="542849320"/>
        <c:scaling>
          <c:orientation val="minMax"/>
        </c:scaling>
        <c:delete val="0"/>
        <c:axPos val="b"/>
        <c:numFmt formatCode="yyyy"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Open Sans" panose="020B0606030504020204" pitchFamily="34" charset="0"/>
                <a:ea typeface="Open Sans" panose="020B0606030504020204" pitchFamily="34" charset="0"/>
                <a:cs typeface="Open Sans" panose="020B0606030504020204" pitchFamily="34" charset="0"/>
              </a:defRPr>
            </a:pPr>
            <a:endParaRPr lang="en-US"/>
          </a:p>
        </c:txPr>
        <c:crossAx val="542849648"/>
        <c:crosses val="autoZero"/>
        <c:auto val="1"/>
        <c:lblOffset val="100"/>
        <c:baseTimeUnit val="years"/>
        <c:majorUnit val="1"/>
        <c:majorTimeUnit val="years"/>
        <c:minorUnit val="1"/>
        <c:minorTimeUnit val="years"/>
      </c:dateAx>
      <c:valAx>
        <c:axId val="542849648"/>
        <c:scaling>
          <c:orientation val="minMax"/>
        </c:scaling>
        <c:delete val="0"/>
        <c:axPos val="l"/>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Open Sans" panose="020B0606030504020204" pitchFamily="34" charset="0"/>
                <a:ea typeface="Open Sans" panose="020B0606030504020204" pitchFamily="34" charset="0"/>
                <a:cs typeface="Open Sans" panose="020B0606030504020204" pitchFamily="34" charset="0"/>
              </a:defRPr>
            </a:pPr>
            <a:endParaRPr lang="en-US"/>
          </a:p>
        </c:txPr>
        <c:crossAx val="54284932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latin typeface="Open Sans" panose="020B0606030504020204" pitchFamily="34" charset="0"/>
          <a:ea typeface="Open Sans" panose="020B0606030504020204" pitchFamily="34" charset="0"/>
          <a:cs typeface="Open Sans" panose="020B0606030504020204" pitchFamily="34" charset="0"/>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title pos="t" align="ctr" overlay="0">
      <cx:tx>
        <cx:rich>
          <a:bodyPr spcFirstLastPara="1" vertOverflow="ellipsis" horzOverflow="overflow" wrap="square" lIns="0" tIns="0" rIns="0" bIns="0" anchor="ctr" anchorCtr="1"/>
          <a:lstStyle/>
          <a:p>
            <a:pPr algn="ctr" rtl="0">
              <a:defRPr>
                <a:latin typeface="Open Sans" panose="020B0606030504020204" pitchFamily="34" charset="0"/>
                <a:ea typeface="Open Sans" panose="020B0606030504020204" pitchFamily="34" charset="0"/>
                <a:cs typeface="Open Sans" panose="020B0606030504020204" pitchFamily="34" charset="0"/>
              </a:defRPr>
            </a:pPr>
            <a:r>
              <a:rPr lang="en-US" sz="1200" b="0" i="0" u="none" strike="noStrike" baseline="0">
                <a:solidFill>
                  <a:sysClr val="windowText" lastClr="000000">
                    <a:lumMod val="65000"/>
                    <a:lumOff val="35000"/>
                  </a:sysClr>
                </a:solidFill>
                <a:latin typeface="Open Sans" panose="020B0606030504020204" pitchFamily="34" charset="0"/>
                <a:ea typeface="Open Sans" panose="020B0606030504020204" pitchFamily="34" charset="0"/>
                <a:cs typeface="Open Sans" panose="020B0606030504020204" pitchFamily="34" charset="0"/>
              </a:rPr>
              <a:t>Market Value vs Intrinsic Value</a:t>
            </a:r>
            <a:endParaRPr lang="en-US" sz="1400" b="0" i="0" u="none" strike="noStrike" baseline="0">
              <a:solidFill>
                <a:sysClr val="windowText" lastClr="000000">
                  <a:lumMod val="65000"/>
                  <a:lumOff val="35000"/>
                </a:sysClr>
              </a:solidFill>
              <a:latin typeface="Open Sans" panose="020B0606030504020204" pitchFamily="34" charset="0"/>
              <a:ea typeface="Open Sans" panose="020B0606030504020204" pitchFamily="34" charset="0"/>
              <a:cs typeface="Open Sans" panose="020B0606030504020204" pitchFamily="34" charset="0"/>
            </a:endParaRPr>
          </a:p>
        </cx:rich>
      </cx:tx>
    </cx:title>
    <cx:plotArea>
      <cx:plotAreaRegion>
        <cx:plotSurface>
          <cx:spPr>
            <a:noFill/>
            <a:ln>
              <a:noFill/>
            </a:ln>
          </cx:spPr>
        </cx:plotSurface>
        <cx:series layoutId="waterfall" uniqueId="{8DE9D384-90CA-46AD-9838-15A56339DF8B}" formatIdx="1">
          <cx:dataLabels pos="outEnd">
            <cx:numFmt formatCode="$#,##0.00" sourceLinked="0"/>
            <cx:txPr>
              <a:bodyPr spcFirstLastPara="1" vertOverflow="ellipsis" horzOverflow="overflow" wrap="square" lIns="0" tIns="0" rIns="0" bIns="0" anchor="ctr" anchorCtr="1"/>
              <a:lstStyle/>
              <a:p>
                <a:pPr algn="ctr" rtl="0">
                  <a:defRPr>
                    <a:solidFill>
                      <a:schemeClr val="bg2"/>
                    </a:solidFill>
                  </a:defRPr>
                </a:pPr>
                <a:endParaRPr lang="en-US" sz="900" b="0" i="0" u="none" strike="noStrike" baseline="0">
                  <a:solidFill>
                    <a:schemeClr val="bg2"/>
                  </a:solidFill>
                  <a:latin typeface="Calibri" panose="020F0502020204030204"/>
                </a:endParaRPr>
              </a:p>
            </cx:txPr>
            <cx:visibility seriesName="0" categoryName="0" value="1"/>
            <cx:separator>, </cx:separator>
          </cx:dataLabels>
          <cx:dataId val="0"/>
          <cx:layoutPr>
            <cx:subtotals>
              <cx:idx val="2"/>
            </cx:subtotals>
          </cx:layoutPr>
        </cx:series>
      </cx:plotAreaRegion>
      <cx:axis id="0">
        <cx:catScaling gapWidth="0.5"/>
        <cx:tickLabels/>
      </cx:axis>
      <cx:axis id="1">
        <cx:valScaling/>
        <cx:tickLabels/>
        <cx:numFmt formatCode="$#,##0.00" sourceLinked="0"/>
        <cx:txPr>
          <a:bodyPr spcFirstLastPara="1" vertOverflow="ellipsis" horzOverflow="overflow" wrap="square" lIns="0" tIns="0" rIns="0" bIns="0" anchor="ctr" anchorCtr="1"/>
          <a:lstStyle/>
          <a:p>
            <a:pPr algn="ctr" rtl="0">
              <a:defRPr sz="800">
                <a:latin typeface="Open Sans" panose="020B0606030504020204" pitchFamily="34" charset="0"/>
                <a:ea typeface="Open Sans" panose="020B0606030504020204" pitchFamily="34" charset="0"/>
                <a:cs typeface="Open Sans" panose="020B0606030504020204" pitchFamily="34" charset="0"/>
              </a:defRPr>
            </a:pPr>
            <a:endParaRPr lang="en-US" sz="800" b="0" i="0" u="none" strike="noStrike" baseline="0">
              <a:solidFill>
                <a:sysClr val="windowText" lastClr="000000">
                  <a:lumMod val="65000"/>
                  <a:lumOff val="35000"/>
                </a:sysClr>
              </a:solidFill>
              <a:latin typeface="Open Sans" panose="020B0606030504020204" pitchFamily="34" charset="0"/>
              <a:ea typeface="Open Sans" panose="020B0606030504020204" pitchFamily="34" charset="0"/>
              <a:cs typeface="Open Sans" panose="020B0606030504020204" pitchFamily="34" charset="0"/>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714376</xdr:colOff>
      <xdr:row>6</xdr:row>
      <xdr:rowOff>28575</xdr:rowOff>
    </xdr:from>
    <xdr:to>
      <xdr:col>9</xdr:col>
      <xdr:colOff>771525</xdr:colOff>
      <xdr:row>17</xdr:row>
      <xdr:rowOff>51063</xdr:rowOff>
    </xdr:to>
    <xdr:graphicFrame macro="">
      <xdr:nvGraphicFramePr>
        <xdr:cNvPr id="3" name="Chart 2">
          <a:extLst>
            <a:ext uri="{FF2B5EF4-FFF2-40B4-BE49-F238E27FC236}">
              <a16:creationId xmlns:a16="http://schemas.microsoft.com/office/drawing/2014/main" id="{5E31E59A-1A30-40A8-B4F9-0770A24C30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819150</xdr:colOff>
      <xdr:row>1</xdr:row>
      <xdr:rowOff>66675</xdr:rowOff>
    </xdr:from>
    <xdr:to>
      <xdr:col>21</xdr:col>
      <xdr:colOff>552450</xdr:colOff>
      <xdr:row>17</xdr:row>
      <xdr:rowOff>152400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4279C28A-B758-47E1-9CB3-ABF566CBF17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8181975" y="266700"/>
              <a:ext cx="7353300" cy="25146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https://en.wikipedia.org/wiki/Microsoft</v>
    <v>Wikipedia</v>
  </rv>
  <rv s="1">
    <v>0</v>
    <v>1</v>
  </rv>
  <rv s="2">
    <v>6</v>
    <v>https://www.bing.com/th?id=AMMS_e6e837c7bf3a77408619758b7447855a&amp;qlt=95</v>
    <v>2</v>
    <v>0</v>
    <v>https://www.bing.com/images/search?form=xlimg&amp;q=microsoft</v>
    <v>Image of MICROSOFT CORPORATION</v>
  </rv>
  <rv s="0">
    <v>https://www.bing.com/financeapi/forcetrigger?t=a1xzim&amp;q=XNAS%3aMSFT&amp;form=skydnc</v>
    <v>Learn more on Bing</v>
  </rv>
  <rv s="3">
    <v>en-US</v>
    <v>a1xzim</v>
    <v>268435456</v>
    <v>1</v>
    <v>Powered by Refinitiv</v>
    <v>0</v>
    <v>MICROSOFT CORPORATION (XNAS:MSFT)</v>
    <v>3</v>
    <v>4</v>
    <v>Finance</v>
    <v>5</v>
    <v>430.82</v>
    <v>275.37</v>
    <v>0.87590000000000001</v>
    <v>7.64</v>
    <v>-7.0499999999999992E-5</v>
    <v>1.8283000000000001E-2</v>
    <v>-0.03</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221000</v>
    <v>Nasdaq Stock Market</v>
    <v>XNAS</v>
    <v>XNAS</v>
    <v>One Microsoft Way, REDMOND, WA, 98052-6399 US</v>
    <v>426.51</v>
    <v>3</v>
    <v>Software &amp; IT Services</v>
    <v>Stock</v>
    <v>45387.999939363282</v>
    <v>4</v>
    <v>418.32</v>
    <v>3161799000000</v>
    <v>MICROSOFT CORPORATION</v>
    <v>MICROSOFT CORPORATION</v>
    <v>420.01</v>
    <v>37.793100000000003</v>
    <v>417.88</v>
    <v>425.52</v>
    <v>425.49</v>
    <v>7430436000</v>
    <v>MSFT</v>
    <v>MICROSOFT CORPORATION (XNAS:MSFT)</v>
    <v>16554761</v>
    <v>21139742</v>
    <v>1993</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v>
      <v>GMT</v>
      <v>Delayed 15 minutes</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CFI">
      <a:dk1>
        <a:sysClr val="windowText" lastClr="000000"/>
      </a:dk1>
      <a:lt1>
        <a:sysClr val="window" lastClr="FFFFFF"/>
      </a:lt1>
      <a:dk2>
        <a:srgbClr val="FA621C"/>
      </a:dk2>
      <a:lt2>
        <a:srgbClr val="132E57"/>
      </a:lt2>
      <a:accent1>
        <a:srgbClr val="E6E7E8"/>
      </a:accent1>
      <a:accent2>
        <a:srgbClr val="F57A16"/>
      </a:accent2>
      <a:accent3>
        <a:srgbClr val="1E8496"/>
      </a:accent3>
      <a:accent4>
        <a:srgbClr val="E6E7E8"/>
      </a:accent4>
      <a:accent5>
        <a:srgbClr val="ED942D"/>
      </a:accent5>
      <a:accent6>
        <a:srgbClr val="1E2A39"/>
      </a:accent6>
      <a:hlink>
        <a:srgbClr val="E6E7E8"/>
      </a:hlink>
      <a:folHlink>
        <a:srgbClr val="676767"/>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55"/>
  <sheetViews>
    <sheetView showGridLines="0" tabSelected="1" zoomScaleNormal="100" workbookViewId="0">
      <selection activeCell="D15" sqref="D15"/>
    </sheetView>
  </sheetViews>
  <sheetFormatPr defaultColWidth="9.140625" defaultRowHeight="15.75" x14ac:dyDescent="0.25"/>
  <cols>
    <col min="1" max="1" width="3.5703125" style="1" customWidth="1"/>
    <col min="2" max="2" width="12.5703125" style="1" customWidth="1"/>
    <col min="3" max="3" width="12.42578125" style="1" customWidth="1"/>
    <col min="4" max="4" width="20.7109375" style="2" customWidth="1"/>
    <col min="5" max="21" width="10.7109375" style="1" customWidth="1"/>
    <col min="22" max="22" width="20.7109375" style="1" customWidth="1"/>
    <col min="23" max="16384" width="9.140625" style="1"/>
  </cols>
  <sheetData>
    <row r="1" spans="1:22" ht="18" x14ac:dyDescent="0.35">
      <c r="A1" s="25"/>
      <c r="B1" s="26" t="s">
        <v>2</v>
      </c>
      <c r="C1" s="27"/>
      <c r="D1" s="27"/>
      <c r="E1" s="27"/>
      <c r="F1" s="23"/>
      <c r="G1" s="23"/>
      <c r="H1" s="25"/>
      <c r="I1" s="26"/>
      <c r="J1" s="27"/>
      <c r="K1" s="27"/>
      <c r="L1" s="27"/>
      <c r="M1" s="23"/>
      <c r="N1" s="23"/>
      <c r="O1" s="24"/>
      <c r="P1" s="24"/>
      <c r="Q1" s="24"/>
      <c r="R1" s="24"/>
      <c r="S1" s="24"/>
      <c r="T1" s="24"/>
      <c r="U1" s="24"/>
      <c r="V1" s="24"/>
    </row>
    <row r="2" spans="1:22" ht="16.5" x14ac:dyDescent="0.3">
      <c r="A2" s="3"/>
      <c r="B2" s="4"/>
      <c r="C2" s="3"/>
      <c r="D2" s="5"/>
      <c r="E2" s="6"/>
      <c r="F2" s="6"/>
      <c r="G2" s="6"/>
      <c r="H2" s="6"/>
      <c r="I2" s="6"/>
      <c r="J2" s="3"/>
      <c r="K2" s="3"/>
      <c r="L2" s="3"/>
      <c r="M2" s="3"/>
      <c r="N2" s="3"/>
      <c r="O2" s="3"/>
    </row>
    <row r="3" spans="1:22" ht="16.5" x14ac:dyDescent="0.3">
      <c r="A3" s="3"/>
      <c r="B3" s="4"/>
      <c r="C3" s="3"/>
      <c r="D3" s="5"/>
      <c r="F3" s="56"/>
      <c r="G3" s="56" t="s">
        <v>46</v>
      </c>
      <c r="H3" s="56" t="s">
        <v>47</v>
      </c>
      <c r="I3" s="58" t="s">
        <v>20</v>
      </c>
      <c r="J3" s="58"/>
      <c r="K3" s="3"/>
      <c r="L3" s="3"/>
      <c r="M3" s="3"/>
      <c r="N3" s="3"/>
      <c r="O3" s="3"/>
    </row>
    <row r="4" spans="1:22" ht="16.5" customHeight="1" x14ac:dyDescent="0.3">
      <c r="A4" s="3"/>
      <c r="B4" s="53" t="e" vm="1">
        <v>#VALUE!</v>
      </c>
      <c r="C4" s="53"/>
      <c r="D4" s="53"/>
      <c r="E4" s="53"/>
      <c r="F4" s="53"/>
      <c r="G4" s="57" cm="1">
        <f t="array" ref="G4">_FV(B4,"Price")</f>
        <v>425.52</v>
      </c>
      <c r="H4" s="60" cm="1">
        <f t="array" ref="H4">_FV(B4,"Change (%)",TRUE)</f>
        <v>1.8283000000000001E-2</v>
      </c>
      <c r="I4" s="59" cm="1">
        <f t="array" ref="I4">_FV(B4,"Shares outstanding",TRUE)</f>
        <v>7430436000</v>
      </c>
      <c r="J4" s="59"/>
      <c r="K4" s="3"/>
      <c r="L4" s="3"/>
      <c r="M4" s="3"/>
      <c r="N4" s="3"/>
      <c r="O4" s="3"/>
    </row>
    <row r="5" spans="1:22" ht="16.5" customHeight="1" x14ac:dyDescent="0.3">
      <c r="A5" s="3"/>
      <c r="B5" s="54"/>
      <c r="C5" s="55"/>
      <c r="D5" s="55"/>
      <c r="E5" s="55"/>
      <c r="F5" s="55"/>
      <c r="G5" s="55"/>
      <c r="H5" s="55"/>
      <c r="I5" s="55"/>
      <c r="J5" s="55"/>
      <c r="K5" s="3"/>
      <c r="L5" s="3"/>
      <c r="M5" s="3"/>
      <c r="N5" s="3"/>
      <c r="O5" s="3"/>
    </row>
    <row r="6" spans="1:22" ht="16.5" x14ac:dyDescent="0.3">
      <c r="A6" s="3"/>
      <c r="B6" s="4"/>
      <c r="C6" s="3"/>
      <c r="D6" s="5"/>
      <c r="E6" s="6"/>
      <c r="F6" s="6"/>
      <c r="G6" s="6"/>
      <c r="H6" s="6"/>
      <c r="I6" s="6"/>
      <c r="J6" s="3"/>
      <c r="K6" s="3"/>
      <c r="L6" s="3"/>
      <c r="M6" s="3"/>
      <c r="N6" s="3"/>
      <c r="O6" s="3"/>
    </row>
    <row r="7" spans="1:22" ht="16.5" x14ac:dyDescent="0.3">
      <c r="A7" s="3"/>
      <c r="B7" s="30" t="s">
        <v>45</v>
      </c>
      <c r="C7" s="31"/>
      <c r="D7" s="31"/>
      <c r="E7" s="6"/>
      <c r="F7" s="3"/>
      <c r="G7" s="3"/>
      <c r="H7" s="3"/>
      <c r="I7" s="3"/>
      <c r="J7" s="3"/>
      <c r="K7" s="3"/>
      <c r="L7" s="3"/>
      <c r="M7" s="3"/>
      <c r="N7" s="3"/>
      <c r="O7" s="3"/>
    </row>
    <row r="8" spans="1:22" ht="16.5" x14ac:dyDescent="0.3">
      <c r="A8" s="3"/>
      <c r="B8" s="17" t="s">
        <v>10</v>
      </c>
      <c r="C8" s="12"/>
      <c r="D8" s="41">
        <v>0.25</v>
      </c>
      <c r="E8" s="6"/>
      <c r="F8" s="3"/>
      <c r="G8" s="3"/>
      <c r="H8" s="3"/>
      <c r="I8" s="3"/>
      <c r="J8" s="3"/>
      <c r="K8" s="3"/>
      <c r="L8" s="3"/>
      <c r="M8" s="3"/>
      <c r="N8" s="3"/>
      <c r="O8" s="3"/>
    </row>
    <row r="9" spans="1:22" ht="16.5" x14ac:dyDescent="0.3">
      <c r="A9" s="3"/>
      <c r="B9" s="7" t="s">
        <v>11</v>
      </c>
      <c r="C9" s="3"/>
      <c r="D9" s="42">
        <v>0.12</v>
      </c>
      <c r="E9" s="3"/>
      <c r="F9" s="3"/>
      <c r="G9" s="3"/>
      <c r="H9" s="3"/>
      <c r="I9" s="3"/>
      <c r="J9" s="3"/>
      <c r="K9" s="3"/>
      <c r="L9" s="3"/>
      <c r="M9" s="3"/>
      <c r="N9" s="3"/>
      <c r="O9" s="3"/>
    </row>
    <row r="10" spans="1:22" ht="16.5" x14ac:dyDescent="0.3">
      <c r="A10" s="3"/>
      <c r="B10" s="3" t="s">
        <v>12</v>
      </c>
      <c r="C10" s="3"/>
      <c r="D10" s="42">
        <v>0.03</v>
      </c>
      <c r="E10" s="3"/>
      <c r="F10" s="3"/>
      <c r="G10" s="3"/>
      <c r="H10" s="3"/>
      <c r="I10" s="3"/>
      <c r="J10" s="3"/>
      <c r="K10" s="3"/>
      <c r="L10" s="3"/>
      <c r="M10" s="3"/>
      <c r="N10" s="3"/>
      <c r="O10" s="3"/>
    </row>
    <row r="11" spans="1:22" ht="16.5" x14ac:dyDescent="0.3">
      <c r="A11" s="3"/>
      <c r="B11" s="3" t="s">
        <v>13</v>
      </c>
      <c r="C11" s="3"/>
      <c r="D11" s="43">
        <v>7</v>
      </c>
      <c r="E11" s="3"/>
      <c r="F11" s="3"/>
      <c r="G11" s="3"/>
      <c r="H11" s="3"/>
      <c r="I11" s="3"/>
      <c r="J11" s="3"/>
      <c r="K11" s="3"/>
      <c r="L11" s="3"/>
      <c r="M11" s="3"/>
      <c r="N11" s="3"/>
      <c r="O11" s="3"/>
    </row>
    <row r="12" spans="1:22" ht="16.5" x14ac:dyDescent="0.3">
      <c r="A12" s="3"/>
      <c r="B12" s="3" t="s">
        <v>18</v>
      </c>
      <c r="C12" s="3"/>
      <c r="D12" s="44">
        <v>45390</v>
      </c>
      <c r="E12" s="3"/>
      <c r="F12" s="3"/>
      <c r="G12" s="3"/>
      <c r="H12" s="3"/>
      <c r="I12" s="3"/>
      <c r="J12" s="3"/>
      <c r="K12" s="3"/>
      <c r="L12" s="3"/>
      <c r="M12" s="3"/>
      <c r="N12" s="3"/>
      <c r="O12" s="3"/>
    </row>
    <row r="13" spans="1:22" ht="16.5" x14ac:dyDescent="0.3">
      <c r="A13" s="3"/>
      <c r="B13" s="3" t="s">
        <v>38</v>
      </c>
      <c r="C13" s="3"/>
      <c r="D13" s="44">
        <v>45657</v>
      </c>
      <c r="E13" s="3"/>
      <c r="F13" s="3"/>
      <c r="G13" s="3"/>
      <c r="H13" s="3"/>
      <c r="I13" s="3"/>
      <c r="J13" s="3"/>
      <c r="K13" s="3"/>
      <c r="L13" s="3"/>
      <c r="M13" s="3"/>
      <c r="N13" s="3"/>
      <c r="O13" s="3"/>
    </row>
    <row r="14" spans="1:22" ht="16.5" x14ac:dyDescent="0.3">
      <c r="A14" s="3"/>
      <c r="B14" s="3" t="s">
        <v>24</v>
      </c>
      <c r="C14" s="3"/>
      <c r="D14" s="45">
        <f>G4</f>
        <v>425.52</v>
      </c>
      <c r="E14" s="3"/>
      <c r="F14" s="3"/>
      <c r="G14" s="3"/>
      <c r="H14" s="3"/>
      <c r="I14" s="3"/>
      <c r="J14" s="3"/>
      <c r="K14" s="3"/>
      <c r="L14" s="3"/>
      <c r="M14" s="3"/>
      <c r="N14" s="3"/>
      <c r="O14" s="3"/>
    </row>
    <row r="15" spans="1:22" ht="16.5" x14ac:dyDescent="0.3">
      <c r="A15" s="3"/>
      <c r="B15" s="3" t="s">
        <v>20</v>
      </c>
      <c r="C15" s="3"/>
      <c r="D15" s="46">
        <f>I4</f>
        <v>7430436000</v>
      </c>
      <c r="E15" s="3"/>
      <c r="F15" s="3"/>
      <c r="G15" s="3"/>
      <c r="H15" s="3"/>
      <c r="I15" s="3"/>
      <c r="J15" s="3"/>
      <c r="K15" s="3"/>
      <c r="L15" s="3"/>
      <c r="M15" s="3"/>
      <c r="N15" s="3"/>
      <c r="O15" s="3"/>
    </row>
    <row r="16" spans="1:22" ht="16.5" x14ac:dyDescent="0.3">
      <c r="A16" s="3"/>
      <c r="B16" s="3" t="s">
        <v>1</v>
      </c>
      <c r="C16" s="3"/>
      <c r="D16" s="46">
        <v>30000</v>
      </c>
      <c r="E16" s="3"/>
      <c r="F16" s="3"/>
      <c r="G16" s="3"/>
      <c r="H16" s="3"/>
      <c r="I16" s="3"/>
      <c r="J16" s="3"/>
      <c r="K16" s="3"/>
      <c r="L16" s="3"/>
      <c r="M16" s="3"/>
      <c r="N16" s="3"/>
      <c r="O16" s="3"/>
    </row>
    <row r="17" spans="1:22" ht="16.5" x14ac:dyDescent="0.3">
      <c r="A17" s="3"/>
      <c r="B17" s="3" t="s">
        <v>0</v>
      </c>
      <c r="C17" s="3"/>
      <c r="D17" s="46">
        <v>239549.5203651849</v>
      </c>
      <c r="E17" s="3"/>
      <c r="F17" s="3"/>
      <c r="G17" s="3"/>
      <c r="H17" s="3"/>
      <c r="I17" s="3"/>
      <c r="J17" s="3"/>
      <c r="K17" s="3"/>
      <c r="L17" s="3"/>
      <c r="M17" s="3"/>
      <c r="N17" s="3"/>
      <c r="O17" s="3"/>
    </row>
    <row r="18" spans="1:22" ht="16.5" x14ac:dyDescent="0.3">
      <c r="A18" s="3"/>
      <c r="B18" s="3" t="s">
        <v>37</v>
      </c>
      <c r="C18" s="3"/>
      <c r="D18" s="47">
        <v>15000</v>
      </c>
      <c r="E18" s="3"/>
      <c r="F18" s="3"/>
      <c r="G18" s="3"/>
      <c r="H18" s="3"/>
      <c r="I18" s="3"/>
      <c r="J18" s="3"/>
      <c r="K18" s="3"/>
      <c r="L18" s="3"/>
      <c r="M18" s="3"/>
      <c r="N18" s="3"/>
      <c r="O18" s="3"/>
    </row>
    <row r="19" spans="1:22" x14ac:dyDescent="0.25">
      <c r="A19" s="3"/>
      <c r="B19" s="3"/>
      <c r="C19" s="3"/>
      <c r="D19" s="8"/>
      <c r="J19" s="3"/>
      <c r="K19" s="3"/>
      <c r="L19" s="3"/>
      <c r="M19" s="3"/>
      <c r="N19" s="3"/>
      <c r="O19" s="3"/>
    </row>
    <row r="20" spans="1:22" ht="16.5" x14ac:dyDescent="0.3">
      <c r="A20" s="3"/>
      <c r="B20" s="32" t="s">
        <v>19</v>
      </c>
      <c r="C20" s="33"/>
      <c r="D20" s="34" t="s">
        <v>21</v>
      </c>
      <c r="E20" s="35">
        <f>YEAR(E21)</f>
        <v>2024</v>
      </c>
      <c r="F20" s="35">
        <f t="shared" ref="F20:I20" si="0">YEAR(F21)</f>
        <v>2025</v>
      </c>
      <c r="G20" s="35">
        <f t="shared" si="0"/>
        <v>2026</v>
      </c>
      <c r="H20" s="35">
        <f t="shared" si="0"/>
        <v>2027</v>
      </c>
      <c r="I20" s="35">
        <f t="shared" si="0"/>
        <v>2028</v>
      </c>
      <c r="J20" s="34" t="s">
        <v>22</v>
      </c>
      <c r="K20" s="3"/>
      <c r="L20" s="32" t="s">
        <v>8</v>
      </c>
      <c r="M20" s="33"/>
      <c r="N20" s="33"/>
      <c r="O20" s="3"/>
      <c r="P20" s="32" t="s">
        <v>33</v>
      </c>
      <c r="Q20" s="33"/>
      <c r="R20" s="33"/>
      <c r="T20" s="32" t="s">
        <v>34</v>
      </c>
      <c r="U20" s="33"/>
      <c r="V20" s="33"/>
    </row>
    <row r="21" spans="1:22" ht="16.5" x14ac:dyDescent="0.3">
      <c r="A21" s="3"/>
      <c r="B21" s="10" t="s">
        <v>23</v>
      </c>
      <c r="C21" s="10"/>
      <c r="D21" s="18">
        <f>D12</f>
        <v>45390</v>
      </c>
      <c r="E21" s="19">
        <f>DATE(YEAR($D$13)+E22,6,30)</f>
        <v>45473</v>
      </c>
      <c r="F21" s="19">
        <f>DATE(YEAR($D$13)+F22,6,30)</f>
        <v>45838</v>
      </c>
      <c r="G21" s="19">
        <f>DATE(YEAR($D$13)+G22,6,30)</f>
        <v>46203</v>
      </c>
      <c r="H21" s="19">
        <f>DATE(YEAR($D$13)+H22,6,30)</f>
        <v>46568</v>
      </c>
      <c r="I21" s="19">
        <f>DATE(YEAR($D$13)+I22,6,30)</f>
        <v>46934</v>
      </c>
      <c r="J21" s="21">
        <f>I21</f>
        <v>46934</v>
      </c>
      <c r="K21" s="3"/>
      <c r="L21" s="10" t="s">
        <v>9</v>
      </c>
      <c r="M21" s="10"/>
      <c r="N21" s="10">
        <f>(I29*(1+D10))/(D9-D10)</f>
        <v>537980.78713210789</v>
      </c>
      <c r="O21" s="3"/>
      <c r="P21" s="10" t="s">
        <v>28</v>
      </c>
      <c r="Q21" s="10"/>
      <c r="R21" s="10">
        <f>XNPV(D9,D34:J34,D21:J21)</f>
        <v>467890.00529873779</v>
      </c>
      <c r="T21" s="10" t="s">
        <v>25</v>
      </c>
      <c r="U21" s="10"/>
      <c r="V21" s="10">
        <f>D15*D14</f>
        <v>3161799126720</v>
      </c>
    </row>
    <row r="22" spans="1:22" ht="16.5" x14ac:dyDescent="0.3">
      <c r="A22" s="3"/>
      <c r="B22" s="20" t="s">
        <v>41</v>
      </c>
      <c r="C22" s="20"/>
      <c r="D22" s="18"/>
      <c r="E22" s="48">
        <v>0</v>
      </c>
      <c r="F22" s="48">
        <f>E22+1</f>
        <v>1</v>
      </c>
      <c r="G22" s="48">
        <f>F22+1</f>
        <v>2</v>
      </c>
      <c r="H22" s="48">
        <f t="shared" ref="H22:J22" si="1">G22+1</f>
        <v>3</v>
      </c>
      <c r="I22" s="48">
        <f t="shared" si="1"/>
        <v>4</v>
      </c>
      <c r="J22" s="18"/>
      <c r="K22" s="3"/>
      <c r="L22" s="3" t="s">
        <v>16</v>
      </c>
      <c r="M22" s="3"/>
      <c r="N22" s="11">
        <f>D11*(I24+I26)</f>
        <v>546277.73326543428</v>
      </c>
      <c r="O22" s="3"/>
      <c r="P22" s="3" t="s">
        <v>29</v>
      </c>
      <c r="Q22" s="3"/>
      <c r="R22" s="3">
        <f>+D17</f>
        <v>239549.5203651849</v>
      </c>
      <c r="T22" s="3" t="s">
        <v>26</v>
      </c>
      <c r="U22" s="3"/>
      <c r="V22" s="3">
        <f>D16</f>
        <v>30000</v>
      </c>
    </row>
    <row r="23" spans="1:22" ht="16.5" x14ac:dyDescent="0.3">
      <c r="A23" s="3"/>
      <c r="B23" s="16" t="s">
        <v>40</v>
      </c>
      <c r="C23" s="3"/>
      <c r="D23" s="3"/>
      <c r="E23" s="49">
        <f>YEARFRAC(D21,E21)</f>
        <v>0.22777777777777777</v>
      </c>
      <c r="F23" s="49">
        <f>YEARFRAC(E21,F21)</f>
        <v>1</v>
      </c>
      <c r="G23" s="49">
        <f>YEARFRAC(F21,G21)</f>
        <v>1</v>
      </c>
      <c r="H23" s="49">
        <f>YEARFRAC(G21,H21)</f>
        <v>1</v>
      </c>
      <c r="I23" s="49">
        <f>YEARFRAC(H21,I21)</f>
        <v>1</v>
      </c>
      <c r="J23" s="3"/>
      <c r="K23" s="3"/>
      <c r="L23" s="3" t="s">
        <v>17</v>
      </c>
      <c r="M23" s="3"/>
      <c r="N23" s="9">
        <f>AVERAGE(N21:N22)</f>
        <v>542129.26019877102</v>
      </c>
      <c r="O23" s="3"/>
      <c r="P23" s="3" t="s">
        <v>30</v>
      </c>
      <c r="Q23" s="3"/>
      <c r="R23" s="3">
        <f>+D16</f>
        <v>30000</v>
      </c>
      <c r="T23" s="3" t="s">
        <v>27</v>
      </c>
      <c r="U23" s="3"/>
      <c r="V23" s="3">
        <f>+D17</f>
        <v>239549.5203651849</v>
      </c>
    </row>
    <row r="24" spans="1:22" ht="16.5" x14ac:dyDescent="0.3">
      <c r="A24" s="3"/>
      <c r="B24" s="3" t="s">
        <v>3</v>
      </c>
      <c r="C24" s="3"/>
      <c r="D24" s="3"/>
      <c r="E24" s="50">
        <v>47814.456000000006</v>
      </c>
      <c r="F24" s="50">
        <v>51094.853419999992</v>
      </c>
      <c r="G24" s="50">
        <v>55861.390037599995</v>
      </c>
      <c r="H24" s="50">
        <v>58692.857260915989</v>
      </c>
      <c r="I24" s="50">
        <v>63038.584948776319</v>
      </c>
      <c r="J24" s="3"/>
      <c r="K24" s="3"/>
      <c r="L24" s="3"/>
      <c r="M24" s="3"/>
      <c r="N24" s="3"/>
      <c r="O24" s="3"/>
      <c r="P24" s="3" t="s">
        <v>31</v>
      </c>
      <c r="Q24" s="3"/>
      <c r="R24" s="9">
        <f>R21+R22-R23</f>
        <v>677439.52566392266</v>
      </c>
      <c r="T24" s="3" t="s">
        <v>28</v>
      </c>
      <c r="U24" s="3"/>
      <c r="V24" s="9">
        <f>V21+V22-V23</f>
        <v>3161798917170.4795</v>
      </c>
    </row>
    <row r="25" spans="1:22" ht="16.5" x14ac:dyDescent="0.3">
      <c r="A25" s="3"/>
      <c r="B25" s="3" t="s">
        <v>4</v>
      </c>
      <c r="C25" s="3"/>
      <c r="D25" s="3"/>
      <c r="E25" s="51">
        <f>E24*$D$8</f>
        <v>11953.614000000001</v>
      </c>
      <c r="F25" s="51">
        <f>F24*$D$8</f>
        <v>12773.713354999998</v>
      </c>
      <c r="G25" s="51">
        <f>G24*$D$8</f>
        <v>13965.347509399999</v>
      </c>
      <c r="H25" s="51">
        <f>H24*$D$8</f>
        <v>14673.214315228997</v>
      </c>
      <c r="I25" s="51">
        <f>I24*$D$8</f>
        <v>15759.64623719408</v>
      </c>
      <c r="J25" s="3"/>
      <c r="K25" s="3"/>
      <c r="L25" s="3"/>
      <c r="M25" s="3"/>
      <c r="N25" s="3"/>
      <c r="O25" s="3"/>
      <c r="P25" s="3"/>
      <c r="Q25" s="3"/>
      <c r="R25" s="3"/>
      <c r="T25" s="3"/>
      <c r="U25" s="3"/>
      <c r="V25" s="15"/>
    </row>
    <row r="26" spans="1:22" ht="16.5" x14ac:dyDescent="0.3">
      <c r="A26" s="3"/>
      <c r="B26" s="3" t="s">
        <v>7</v>
      </c>
      <c r="C26" s="3"/>
      <c r="D26" s="3"/>
      <c r="E26" s="51">
        <v>15008.420000000002</v>
      </c>
      <c r="F26" s="51">
        <v>15005.052000000003</v>
      </c>
      <c r="G26" s="51">
        <v>15003.031200000001</v>
      </c>
      <c r="H26" s="51">
        <v>15001.818719999999</v>
      </c>
      <c r="I26" s="51">
        <v>15001.091232000001</v>
      </c>
      <c r="J26" s="3"/>
      <c r="K26" s="3"/>
      <c r="L26" s="3"/>
      <c r="M26" s="3"/>
      <c r="N26" s="3"/>
      <c r="O26" s="3"/>
      <c r="P26" s="3" t="s">
        <v>32</v>
      </c>
      <c r="Q26" s="3"/>
      <c r="R26" s="15">
        <f>R24/D15</f>
        <v>9.1170898405412912E-5</v>
      </c>
      <c r="T26" s="3" t="s">
        <v>32</v>
      </c>
      <c r="U26" s="3"/>
      <c r="V26" s="15">
        <f>D14</f>
        <v>425.52</v>
      </c>
    </row>
    <row r="27" spans="1:22" ht="16.5" x14ac:dyDescent="0.3">
      <c r="A27" s="3"/>
      <c r="B27" s="3" t="s">
        <v>5</v>
      </c>
      <c r="C27" s="3"/>
      <c r="D27" s="3"/>
      <c r="E27" s="47">
        <f>$D$18</f>
        <v>15000</v>
      </c>
      <c r="F27" s="47">
        <f t="shared" ref="F27:J27" si="2">$D$18</f>
        <v>15000</v>
      </c>
      <c r="G27" s="47">
        <f t="shared" si="2"/>
        <v>15000</v>
      </c>
      <c r="H27" s="47">
        <f t="shared" si="2"/>
        <v>15000</v>
      </c>
      <c r="I27" s="47">
        <f t="shared" si="2"/>
        <v>15000</v>
      </c>
      <c r="J27" s="3"/>
      <c r="K27" s="3"/>
      <c r="L27" s="3"/>
      <c r="M27" s="3"/>
      <c r="N27" s="3"/>
      <c r="O27" s="3"/>
    </row>
    <row r="28" spans="1:22" ht="16.5" x14ac:dyDescent="0.3">
      <c r="A28" s="3"/>
      <c r="B28" s="3" t="s">
        <v>6</v>
      </c>
      <c r="C28" s="3"/>
      <c r="D28" s="3"/>
      <c r="E28" s="47">
        <v>375</v>
      </c>
      <c r="F28" s="47">
        <v>611</v>
      </c>
      <c r="G28" s="47">
        <v>398</v>
      </c>
      <c r="H28" s="47">
        <v>511</v>
      </c>
      <c r="I28" s="47">
        <v>272</v>
      </c>
      <c r="J28" s="3"/>
      <c r="K28" s="3"/>
      <c r="L28" s="36" t="s">
        <v>35</v>
      </c>
      <c r="M28" s="36"/>
      <c r="N28" s="36"/>
      <c r="O28" s="28"/>
      <c r="P28" s="28"/>
      <c r="Q28" s="28"/>
      <c r="R28" s="29"/>
      <c r="S28" s="29"/>
      <c r="T28" s="29"/>
      <c r="U28" s="29"/>
      <c r="V28" s="29"/>
    </row>
    <row r="29" spans="1:22" ht="16.5" x14ac:dyDescent="0.3">
      <c r="A29" s="3"/>
      <c r="B29" s="3" t="s">
        <v>14</v>
      </c>
      <c r="C29" s="3"/>
      <c r="D29" s="3"/>
      <c r="E29" s="52">
        <f>E24-E25+E26-E27-E28</f>
        <v>35494.262000000002</v>
      </c>
      <c r="F29" s="52">
        <f>F24-F25+F26-F27-F28</f>
        <v>37715.192064999996</v>
      </c>
      <c r="G29" s="52">
        <f>G24-G25+G26-G27-G28</f>
        <v>41501.07372819999</v>
      </c>
      <c r="H29" s="52">
        <f>H24-H25+H26-H27-H28</f>
        <v>43510.461665686991</v>
      </c>
      <c r="I29" s="52">
        <f>I24-I25+I26-I27-I28</f>
        <v>47008.029943582238</v>
      </c>
      <c r="J29" s="3"/>
      <c r="K29" s="3"/>
      <c r="L29" s="10" t="s">
        <v>36</v>
      </c>
      <c r="M29" s="10"/>
      <c r="N29" s="22">
        <f>R26/V26-1</f>
        <v>-0.99999978574238957</v>
      </c>
    </row>
    <row r="30" spans="1:22" ht="16.5" x14ac:dyDescent="0.3">
      <c r="A30" s="3"/>
      <c r="K30" s="3"/>
      <c r="L30" s="3" t="s">
        <v>44</v>
      </c>
      <c r="M30" s="3"/>
      <c r="N30" s="14">
        <f>XIRR(D35:J35,D21:J21)</f>
        <v>-0.97433749900665134</v>
      </c>
    </row>
    <row r="31" spans="1:22" ht="16.5" x14ac:dyDescent="0.3">
      <c r="A31" s="3"/>
      <c r="K31" s="3"/>
      <c r="L31" s="3"/>
      <c r="M31" s="3"/>
      <c r="N31" s="3"/>
    </row>
    <row r="32" spans="1:22" ht="16.5" x14ac:dyDescent="0.3">
      <c r="A32" s="3"/>
      <c r="B32" s="37"/>
      <c r="C32" s="37"/>
      <c r="D32" s="38"/>
      <c r="E32" s="37"/>
      <c r="F32" s="37"/>
      <c r="G32" s="37"/>
      <c r="H32" s="37"/>
      <c r="I32" s="37"/>
      <c r="J32" s="37"/>
      <c r="K32" s="39"/>
      <c r="L32" s="40" t="s">
        <v>42</v>
      </c>
      <c r="M32" s="40"/>
      <c r="N32" s="40"/>
      <c r="O32" s="40"/>
      <c r="P32" s="40"/>
      <c r="Q32" s="40"/>
      <c r="R32" s="40"/>
      <c r="S32" s="40"/>
      <c r="T32" s="40"/>
      <c r="U32" s="40"/>
      <c r="V32" s="40"/>
    </row>
    <row r="33" spans="1:15" ht="16.5" x14ac:dyDescent="0.3">
      <c r="A33" s="3"/>
      <c r="B33" s="3" t="s">
        <v>15</v>
      </c>
      <c r="C33" s="3"/>
      <c r="D33" s="13">
        <f>-V24</f>
        <v>-3161798917170.4795</v>
      </c>
      <c r="E33" s="3"/>
      <c r="F33" s="3"/>
      <c r="G33" s="3"/>
      <c r="H33" s="3"/>
      <c r="I33" s="3"/>
      <c r="J33" s="13">
        <f>N23</f>
        <v>542129.26019877102</v>
      </c>
      <c r="L33" s="3" t="s">
        <v>34</v>
      </c>
      <c r="M33" s="3"/>
      <c r="N33" s="15">
        <f>V26</f>
        <v>425.52</v>
      </c>
    </row>
    <row r="34" spans="1:15" ht="16.5" x14ac:dyDescent="0.3">
      <c r="A34" s="3"/>
      <c r="B34" s="3" t="s">
        <v>39</v>
      </c>
      <c r="C34" s="3"/>
      <c r="D34" s="9">
        <v>0</v>
      </c>
      <c r="E34" s="9">
        <f>(E33+E29)*E23</f>
        <v>8084.8041222222228</v>
      </c>
      <c r="F34" s="9">
        <f>(F33+F29)*F23</f>
        <v>37715.192064999996</v>
      </c>
      <c r="G34" s="9">
        <f>(G33+G29)*G23</f>
        <v>41501.07372819999</v>
      </c>
      <c r="H34" s="9">
        <f>(H33+H29)*H23</f>
        <v>43510.461665686991</v>
      </c>
      <c r="I34" s="9">
        <f>(I33+I29)*I23</f>
        <v>47008.029943582238</v>
      </c>
      <c r="J34" s="9">
        <f>J33+J29</f>
        <v>542129.26019877102</v>
      </c>
      <c r="L34" s="3" t="s">
        <v>43</v>
      </c>
      <c r="M34" s="3"/>
      <c r="N34" s="15">
        <f>R26-V26</f>
        <v>-425.51990882910155</v>
      </c>
    </row>
    <row r="35" spans="1:15" ht="16.5" x14ac:dyDescent="0.3">
      <c r="A35" s="3"/>
      <c r="B35" s="3" t="s">
        <v>39</v>
      </c>
      <c r="C35" s="3"/>
      <c r="D35" s="10">
        <f>D33+D29</f>
        <v>-3161798917170.4795</v>
      </c>
      <c r="E35" s="10">
        <f>(E33+E29)*E23</f>
        <v>8084.8041222222228</v>
      </c>
      <c r="F35" s="10">
        <f>(F33+F29)*F23</f>
        <v>37715.192064999996</v>
      </c>
      <c r="G35" s="10">
        <f>(G33+G29)*G23</f>
        <v>41501.07372819999</v>
      </c>
      <c r="H35" s="10">
        <f>(H33+H29)*H23</f>
        <v>43510.461665686991</v>
      </c>
      <c r="I35" s="10">
        <f>(I33+I29)*I23</f>
        <v>47008.029943582238</v>
      </c>
      <c r="J35" s="10">
        <f>J33</f>
        <v>542129.26019877102</v>
      </c>
      <c r="L35" s="3" t="s">
        <v>33</v>
      </c>
      <c r="M35" s="3"/>
      <c r="N35" s="15">
        <f>SUM(N33:N34)</f>
        <v>9.1170898429027147E-5</v>
      </c>
    </row>
    <row r="36" spans="1:15" ht="16.5" x14ac:dyDescent="0.3">
      <c r="A36" s="3"/>
      <c r="E36" s="3"/>
      <c r="J36" s="3"/>
      <c r="O36" s="3"/>
    </row>
    <row r="37" spans="1:15" ht="16.5" x14ac:dyDescent="0.3">
      <c r="A37" s="3"/>
      <c r="E37" s="3"/>
      <c r="J37" s="3"/>
      <c r="O37" s="3"/>
    </row>
    <row r="38" spans="1:15" ht="16.5" x14ac:dyDescent="0.3">
      <c r="A38" s="3"/>
      <c r="E38" s="3"/>
      <c r="J38" s="3"/>
      <c r="O38" s="3"/>
    </row>
    <row r="39" spans="1:15" ht="16.5" x14ac:dyDescent="0.3">
      <c r="A39" s="3"/>
      <c r="E39" s="3"/>
      <c r="J39" s="3"/>
      <c r="O39" s="3"/>
    </row>
    <row r="40" spans="1:15" ht="16.5" x14ac:dyDescent="0.3">
      <c r="A40" s="3"/>
      <c r="E40" s="3"/>
      <c r="J40" s="3"/>
      <c r="O40" s="3"/>
    </row>
    <row r="41" spans="1:15" ht="16.5" x14ac:dyDescent="0.3">
      <c r="A41" s="3"/>
      <c r="B41" s="3"/>
      <c r="C41" s="3"/>
      <c r="D41" s="3"/>
      <c r="E41" s="3"/>
      <c r="G41" s="3"/>
      <c r="H41" s="3"/>
      <c r="I41" s="3"/>
      <c r="J41" s="3"/>
      <c r="O41" s="3"/>
    </row>
    <row r="42" spans="1:15" x14ac:dyDescent="0.25">
      <c r="A42" s="3"/>
      <c r="C42" s="3"/>
      <c r="D42" s="5"/>
      <c r="E42" s="3"/>
      <c r="G42" s="3"/>
      <c r="H42" s="3"/>
      <c r="I42" s="4"/>
      <c r="J42" s="3"/>
      <c r="L42" s="3"/>
      <c r="M42" s="3"/>
      <c r="N42" s="3"/>
      <c r="O42" s="3"/>
    </row>
    <row r="43" spans="1:15" ht="16.5" x14ac:dyDescent="0.3">
      <c r="A43" s="3"/>
      <c r="C43" s="3"/>
      <c r="D43" s="5"/>
      <c r="E43" s="3"/>
      <c r="F43" s="3"/>
      <c r="G43" s="3"/>
      <c r="H43" s="4"/>
      <c r="I43" s="3"/>
      <c r="K43" s="3"/>
      <c r="L43" s="3"/>
      <c r="M43" s="3"/>
      <c r="N43" s="3"/>
      <c r="O43" s="3"/>
    </row>
    <row r="44" spans="1:15" ht="16.5" x14ac:dyDescent="0.3">
      <c r="A44" s="3"/>
      <c r="B44" s="3"/>
      <c r="C44" s="3"/>
      <c r="D44" s="5"/>
      <c r="E44" s="3"/>
      <c r="F44" s="3"/>
      <c r="G44" s="3"/>
      <c r="H44" s="3"/>
      <c r="O44" s="3"/>
    </row>
    <row r="45" spans="1:15" ht="16.5" x14ac:dyDescent="0.3">
      <c r="A45" s="3"/>
      <c r="B45" s="3"/>
      <c r="C45" s="3"/>
      <c r="D45" s="5"/>
      <c r="E45" s="3"/>
      <c r="F45" s="3"/>
      <c r="G45" s="3"/>
      <c r="H45" s="3"/>
      <c r="M45" s="3"/>
      <c r="O45" s="3"/>
    </row>
    <row r="46" spans="1:15" ht="16.5" x14ac:dyDescent="0.3">
      <c r="A46" s="3"/>
      <c r="B46" s="3"/>
      <c r="C46" s="3"/>
      <c r="D46" s="5"/>
      <c r="E46" s="3"/>
      <c r="F46" s="3"/>
      <c r="G46" s="3"/>
      <c r="H46" s="3"/>
      <c r="I46" s="3"/>
      <c r="J46" s="3"/>
      <c r="K46" s="3"/>
      <c r="L46" s="3"/>
      <c r="M46" s="3"/>
      <c r="N46" s="3"/>
      <c r="O46" s="3"/>
    </row>
    <row r="47" spans="1:15" ht="16.5" x14ac:dyDescent="0.3">
      <c r="A47" s="3"/>
      <c r="B47" s="3"/>
      <c r="C47" s="3"/>
      <c r="D47" s="5"/>
      <c r="E47" s="3"/>
      <c r="F47" s="3"/>
      <c r="G47" s="3"/>
      <c r="H47" s="3"/>
      <c r="I47" s="3"/>
      <c r="J47" s="3"/>
      <c r="K47" s="3"/>
      <c r="L47" s="3"/>
      <c r="M47" s="3"/>
      <c r="N47" s="3"/>
      <c r="O47" s="3"/>
    </row>
    <row r="48" spans="1:15" ht="16.5" x14ac:dyDescent="0.3">
      <c r="A48" s="3"/>
      <c r="B48" s="3"/>
      <c r="C48" s="3"/>
      <c r="D48" s="5"/>
      <c r="E48" s="3"/>
      <c r="F48" s="3"/>
      <c r="G48" s="3"/>
      <c r="H48" s="3"/>
      <c r="I48" s="3"/>
      <c r="J48" s="3"/>
      <c r="K48" s="3"/>
      <c r="L48" s="3"/>
      <c r="M48" s="3"/>
      <c r="N48" s="3"/>
      <c r="O48" s="3"/>
    </row>
    <row r="49" spans="1:15" ht="16.5" x14ac:dyDescent="0.3">
      <c r="A49" s="3"/>
      <c r="B49" s="3"/>
      <c r="C49" s="3"/>
      <c r="D49" s="5"/>
      <c r="E49" s="3"/>
      <c r="F49" s="3"/>
      <c r="G49" s="3"/>
      <c r="H49" s="3"/>
      <c r="I49" s="3"/>
      <c r="J49" s="3"/>
      <c r="K49" s="3"/>
      <c r="L49" s="3"/>
      <c r="M49" s="3"/>
      <c r="N49" s="3"/>
      <c r="O49" s="3"/>
    </row>
    <row r="50" spans="1:15" ht="16.5" x14ac:dyDescent="0.3">
      <c r="A50" s="3"/>
      <c r="B50" s="3"/>
      <c r="C50" s="3"/>
      <c r="D50" s="5"/>
      <c r="E50" s="3"/>
      <c r="F50" s="3"/>
      <c r="G50" s="3"/>
      <c r="H50" s="3"/>
      <c r="I50" s="3"/>
      <c r="J50" s="3"/>
      <c r="K50" s="3"/>
      <c r="L50" s="3"/>
      <c r="M50" s="3"/>
      <c r="N50" s="3"/>
      <c r="O50" s="3"/>
    </row>
    <row r="51" spans="1:15" ht="16.5" x14ac:dyDescent="0.3">
      <c r="A51" s="3"/>
      <c r="B51" s="3"/>
      <c r="C51" s="3"/>
      <c r="D51" s="5"/>
      <c r="E51" s="3"/>
      <c r="F51" s="3"/>
      <c r="G51" s="3"/>
      <c r="H51" s="3"/>
      <c r="I51" s="3"/>
      <c r="J51" s="3"/>
      <c r="K51" s="3"/>
      <c r="L51" s="3"/>
      <c r="M51" s="3"/>
      <c r="N51" s="3"/>
      <c r="O51" s="3"/>
    </row>
    <row r="52" spans="1:15" ht="16.5" x14ac:dyDescent="0.3">
      <c r="A52" s="3"/>
      <c r="B52" s="3"/>
      <c r="C52" s="3"/>
      <c r="D52" s="5"/>
      <c r="E52" s="3"/>
      <c r="F52" s="3"/>
      <c r="G52" s="3"/>
      <c r="H52" s="3"/>
      <c r="I52" s="3"/>
      <c r="J52" s="3"/>
      <c r="K52" s="3"/>
      <c r="L52" s="3"/>
      <c r="M52" s="3"/>
      <c r="N52" s="3"/>
      <c r="O52" s="3"/>
    </row>
    <row r="53" spans="1:15" ht="16.5" x14ac:dyDescent="0.3">
      <c r="A53" s="3"/>
      <c r="B53" s="3"/>
      <c r="C53" s="3"/>
      <c r="D53" s="5"/>
      <c r="E53" s="3"/>
      <c r="F53" s="3"/>
      <c r="G53" s="3"/>
      <c r="H53" s="3"/>
      <c r="I53" s="3"/>
      <c r="J53" s="3"/>
      <c r="K53" s="3"/>
      <c r="L53" s="3"/>
      <c r="M53" s="3"/>
      <c r="N53" s="3"/>
      <c r="O53" s="3"/>
    </row>
    <row r="54" spans="1:15" ht="16.5" x14ac:dyDescent="0.3">
      <c r="A54" s="3"/>
      <c r="B54" s="3"/>
      <c r="C54" s="3"/>
      <c r="D54" s="5"/>
      <c r="E54" s="3"/>
      <c r="F54" s="3"/>
      <c r="G54" s="3"/>
      <c r="H54" s="3"/>
      <c r="I54" s="3"/>
      <c r="J54" s="3"/>
      <c r="K54" s="3"/>
      <c r="L54" s="3"/>
      <c r="M54" s="3"/>
      <c r="N54" s="3"/>
      <c r="O54" s="3"/>
    </row>
    <row r="55" spans="1:15" ht="16.5" x14ac:dyDescent="0.3">
      <c r="B55" s="3"/>
      <c r="C55" s="3"/>
      <c r="D55" s="5"/>
      <c r="E55" s="3"/>
      <c r="F55" s="3"/>
      <c r="G55" s="3"/>
      <c r="H55" s="3"/>
      <c r="I55" s="3"/>
      <c r="J55" s="3"/>
      <c r="K55" s="3"/>
      <c r="L55" s="3"/>
    </row>
  </sheetData>
  <mergeCells count="5">
    <mergeCell ref="B4:F4"/>
    <mergeCell ref="I3:J3"/>
    <mergeCell ref="I4:J4"/>
    <mergeCell ref="R28:V28"/>
    <mergeCell ref="L32:V32"/>
  </mergeCells>
  <pageMargins left="0.70866141732283472" right="0.70866141732283472" top="0.74803149606299213" bottom="0.74803149606299213" header="0.31496062992125984" footer="0.31496062992125984"/>
  <pageSetup scale="78"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dcf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Vipond</dc:creator>
  <cp:lastModifiedBy>Punniaraj, Joel</cp:lastModifiedBy>
  <cp:lastPrinted>2014-12-13T23:43:21Z</cp:lastPrinted>
  <dcterms:created xsi:type="dcterms:W3CDTF">2014-11-08T22:00:02Z</dcterms:created>
  <dcterms:modified xsi:type="dcterms:W3CDTF">2024-04-07T02:03:22Z</dcterms:modified>
</cp:coreProperties>
</file>