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405\"/>
    </mc:Choice>
  </mc:AlternateContent>
  <bookViews>
    <workbookView xWindow="0" yWindow="0" windowWidth="5715" windowHeight="105"/>
  </bookViews>
  <sheets>
    <sheet name="Calc of Prod Req" sheetId="7" r:id="rId1"/>
    <sheet name="Equip Frac" sheetId="9" r:id="rId2"/>
    <sheet name="Flow Between" sheetId="4" r:id="rId3"/>
    <sheet name="CRAFT" sheetId="6" r:id="rId4"/>
    <sheet name="CORELAP" sheetId="2" r:id="rId5"/>
    <sheet name="Multiple" sheetId="8" r:id="rId6"/>
    <sheet name="Storage" sheetId="10" r:id="rId7"/>
    <sheet name="Conveyor" sheetId="11" r:id="rId8"/>
    <sheet name="AS_RS" sheetId="12" r:id="rId9"/>
    <sheet name="Minisum" sheetId="13" r:id="rId10"/>
    <sheet name="minisum2" sheetId="17" r:id="rId11"/>
    <sheet name="Minimax" sheetId="14" r:id="rId12"/>
    <sheet name="Tree Thing" sheetId="16" r:id="rId13"/>
    <sheet name="Test" sheetId="1" state="hidden" r:id="rId14"/>
  </sheets>
  <definedNames>
    <definedName name="solver_adj" localSheetId="11" hidden="1">Minimax!$C$18:$D$18</definedName>
    <definedName name="solver_adj" localSheetId="10" hidden="1">minisum2!$B$29:$C$29</definedName>
    <definedName name="solver_cvg" localSheetId="11" hidden="1">0.0001</definedName>
    <definedName name="solver_cvg" localSheetId="10" hidden="1">0.0001</definedName>
    <definedName name="solver_drv" localSheetId="11" hidden="1">1</definedName>
    <definedName name="solver_drv" localSheetId="10" hidden="1">1</definedName>
    <definedName name="solver_eng" localSheetId="11" hidden="1">1</definedName>
    <definedName name="solver_eng" localSheetId="10" hidden="1">1</definedName>
    <definedName name="solver_est" localSheetId="11" hidden="1">1</definedName>
    <definedName name="solver_est" localSheetId="10" hidden="1">1</definedName>
    <definedName name="solver_itr" localSheetId="11" hidden="1">2147483647</definedName>
    <definedName name="solver_itr" localSheetId="10" hidden="1">2147483647</definedName>
    <definedName name="solver_mip" localSheetId="11" hidden="1">2147483647</definedName>
    <definedName name="solver_mip" localSheetId="10" hidden="1">2147483647</definedName>
    <definedName name="solver_mni" localSheetId="11" hidden="1">30</definedName>
    <definedName name="solver_mni" localSheetId="10" hidden="1">30</definedName>
    <definedName name="solver_mrt" localSheetId="11" hidden="1">0.075</definedName>
    <definedName name="solver_mrt" localSheetId="10" hidden="1">0.075</definedName>
    <definedName name="solver_msl" localSheetId="11" hidden="1">2</definedName>
    <definedName name="solver_msl" localSheetId="10" hidden="1">2</definedName>
    <definedName name="solver_neg" localSheetId="11" hidden="1">1</definedName>
    <definedName name="solver_neg" localSheetId="10" hidden="1">1</definedName>
    <definedName name="solver_nod" localSheetId="11" hidden="1">2147483647</definedName>
    <definedName name="solver_nod" localSheetId="10" hidden="1">2147483647</definedName>
    <definedName name="solver_num" localSheetId="11" hidden="1">0</definedName>
    <definedName name="solver_num" localSheetId="10" hidden="1">0</definedName>
    <definedName name="solver_nwt" localSheetId="11" hidden="1">1</definedName>
    <definedName name="solver_nwt" localSheetId="10" hidden="1">1</definedName>
    <definedName name="solver_opt" localSheetId="11" hidden="1">Minimax!$E$18</definedName>
    <definedName name="solver_opt" localSheetId="10" hidden="1">minisum2!$G$24</definedName>
    <definedName name="solver_pre" localSheetId="11" hidden="1">0.000001</definedName>
    <definedName name="solver_pre" localSheetId="10" hidden="1">0.000001</definedName>
    <definedName name="solver_rbv" localSheetId="11" hidden="1">1</definedName>
    <definedName name="solver_rbv" localSheetId="10" hidden="1">1</definedName>
    <definedName name="solver_rlx" localSheetId="11" hidden="1">2</definedName>
    <definedName name="solver_rlx" localSheetId="10" hidden="1">2</definedName>
    <definedName name="solver_rsd" localSheetId="11" hidden="1">0</definedName>
    <definedName name="solver_rsd" localSheetId="10" hidden="1">0</definedName>
    <definedName name="solver_scl" localSheetId="11" hidden="1">1</definedName>
    <definedName name="solver_scl" localSheetId="10" hidden="1">1</definedName>
    <definedName name="solver_sho" localSheetId="11" hidden="1">2</definedName>
    <definedName name="solver_sho" localSheetId="10" hidden="1">2</definedName>
    <definedName name="solver_ssz" localSheetId="11" hidden="1">100</definedName>
    <definedName name="solver_ssz" localSheetId="10" hidden="1">100</definedName>
    <definedName name="solver_tim" localSheetId="11" hidden="1">2147483647</definedName>
    <definedName name="solver_tim" localSheetId="10" hidden="1">2147483647</definedName>
    <definedName name="solver_tol" localSheetId="11" hidden="1">0.01</definedName>
    <definedName name="solver_tol" localSheetId="10" hidden="1">0.01</definedName>
    <definedName name="solver_typ" localSheetId="11" hidden="1">2</definedName>
    <definedName name="solver_typ" localSheetId="10" hidden="1">2</definedName>
    <definedName name="solver_val" localSheetId="11" hidden="1">0</definedName>
    <definedName name="solver_val" localSheetId="10" hidden="1">0</definedName>
    <definedName name="solver_ver" localSheetId="11" hidden="1">3</definedName>
    <definedName name="solver_ver" localSheetId="1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7" l="1"/>
  <c r="K5" i="7"/>
  <c r="K4" i="7"/>
  <c r="K3" i="7"/>
  <c r="C5" i="7"/>
  <c r="F4" i="7" s="1"/>
  <c r="C4" i="7" l="1"/>
  <c r="F3" i="7" s="1"/>
  <c r="M3" i="7" s="1"/>
  <c r="M5" i="7"/>
  <c r="G19" i="17"/>
  <c r="H20" i="17"/>
  <c r="H21" i="17"/>
  <c r="H22" i="17"/>
  <c r="H23" i="17"/>
  <c r="H19" i="17"/>
  <c r="G20" i="17"/>
  <c r="G21" i="17"/>
  <c r="G22" i="17"/>
  <c r="G23" i="17"/>
  <c r="C26" i="17"/>
  <c r="B26" i="17"/>
  <c r="K4" i="17"/>
  <c r="C11" i="17"/>
  <c r="B11" i="17"/>
  <c r="E5" i="17"/>
  <c r="F5" i="17"/>
  <c r="G5" i="17"/>
  <c r="H5" i="17"/>
  <c r="E6" i="17"/>
  <c r="F6" i="17"/>
  <c r="G6" i="17"/>
  <c r="H6" i="17"/>
  <c r="E7" i="17"/>
  <c r="F7" i="17"/>
  <c r="G7" i="17"/>
  <c r="H7" i="17"/>
  <c r="E8" i="17"/>
  <c r="F8" i="17"/>
  <c r="G8" i="17"/>
  <c r="H8" i="17"/>
  <c r="G4" i="17"/>
  <c r="H4" i="17"/>
  <c r="F4" i="17"/>
  <c r="E4" i="17"/>
  <c r="M4" i="7" l="1"/>
  <c r="M6" i="7" s="1"/>
  <c r="E26" i="17"/>
  <c r="E11" i="17"/>
  <c r="L7" i="17"/>
  <c r="K5" i="17"/>
  <c r="L8" i="17"/>
  <c r="K7" i="17"/>
  <c r="L5" i="17"/>
  <c r="K8" i="17"/>
  <c r="L6" i="17"/>
  <c r="L4" i="17"/>
  <c r="K6" i="17"/>
  <c r="F29" i="17" l="1"/>
  <c r="F14" i="17"/>
  <c r="Q18" i="14" l="1"/>
  <c r="T4" i="14"/>
  <c r="T5" i="14"/>
  <c r="T6" i="14"/>
  <c r="T7" i="14"/>
  <c r="T8" i="14"/>
  <c r="T9" i="14"/>
  <c r="T10" i="14"/>
  <c r="T11" i="14"/>
  <c r="T12" i="14"/>
  <c r="T13" i="14"/>
  <c r="Q5" i="14"/>
  <c r="R5" i="14"/>
  <c r="Q6" i="14"/>
  <c r="R6" i="14"/>
  <c r="Q7" i="14"/>
  <c r="R7" i="14"/>
  <c r="Q8" i="14"/>
  <c r="R8" i="14"/>
  <c r="Q9" i="14"/>
  <c r="R9" i="14"/>
  <c r="Q10" i="14"/>
  <c r="R10" i="14"/>
  <c r="Q11" i="14"/>
  <c r="R11" i="14"/>
  <c r="Q12" i="14"/>
  <c r="R12" i="14"/>
  <c r="Q13" i="14"/>
  <c r="R13" i="14"/>
  <c r="R4" i="14"/>
  <c r="Q4" i="14"/>
  <c r="E5" i="14"/>
  <c r="F5" i="14"/>
  <c r="E6" i="14"/>
  <c r="F6" i="14"/>
  <c r="E7" i="14"/>
  <c r="F7" i="14"/>
  <c r="E8" i="14"/>
  <c r="F8" i="14"/>
  <c r="E4" i="14"/>
  <c r="F4" i="14"/>
  <c r="D29" i="14"/>
  <c r="C29" i="14"/>
  <c r="F23" i="14"/>
  <c r="G23" i="14"/>
  <c r="H23" i="14"/>
  <c r="F24" i="14"/>
  <c r="G24" i="14"/>
  <c r="H24" i="14"/>
  <c r="F25" i="14"/>
  <c r="G25" i="14"/>
  <c r="H25" i="14"/>
  <c r="F26" i="14"/>
  <c r="G26" i="14"/>
  <c r="H26" i="14"/>
  <c r="H22" i="14"/>
  <c r="G22" i="14"/>
  <c r="F22" i="14"/>
  <c r="E23" i="14"/>
  <c r="E24" i="14"/>
  <c r="E25" i="14"/>
  <c r="E26" i="14"/>
  <c r="E22" i="14"/>
  <c r="H4" i="14" l="1"/>
  <c r="H6" i="14"/>
  <c r="H8" i="14"/>
  <c r="H5" i="14"/>
  <c r="H7" i="14"/>
  <c r="K22" i="14"/>
  <c r="K23" i="14"/>
  <c r="L22" i="14"/>
  <c r="K26" i="14"/>
  <c r="L26" i="14"/>
  <c r="K24" i="14"/>
  <c r="L23" i="14"/>
  <c r="L24" i="14"/>
  <c r="L25" i="14"/>
  <c r="K25" i="14"/>
  <c r="N6" i="13"/>
  <c r="N5" i="13"/>
  <c r="N8" i="13" s="1"/>
  <c r="N4" i="13"/>
  <c r="I5" i="13"/>
  <c r="J5" i="13"/>
  <c r="K5" i="13"/>
  <c r="K7" i="13" s="1"/>
  <c r="I6" i="13"/>
  <c r="J6" i="13"/>
  <c r="K6" i="13"/>
  <c r="K4" i="13"/>
  <c r="J4" i="13"/>
  <c r="I4" i="13"/>
  <c r="I7" i="13" s="1"/>
  <c r="J7" i="13" l="1"/>
  <c r="E18" i="14"/>
  <c r="G32" i="14"/>
  <c r="I8" i="13"/>
  <c r="B6" i="12" l="1"/>
  <c r="B5" i="12"/>
  <c r="I20" i="12"/>
  <c r="I22" i="12" s="1"/>
  <c r="I16" i="12"/>
  <c r="I5" i="12"/>
  <c r="I13" i="12" s="1"/>
  <c r="I11" i="12"/>
  <c r="I14" i="12" s="1"/>
  <c r="I15" i="12" l="1"/>
  <c r="I17" i="12"/>
  <c r="I18" i="12" s="1"/>
  <c r="B10" i="12"/>
  <c r="B9" i="12"/>
  <c r="B11" i="12" l="1"/>
  <c r="B12" i="12" l="1"/>
  <c r="B2" i="12" s="1"/>
  <c r="B14" i="12" s="1"/>
  <c r="K4" i="1"/>
  <c r="K5" i="1"/>
  <c r="K6" i="1"/>
  <c r="K7" i="1"/>
  <c r="K8" i="1"/>
  <c r="K9" i="1"/>
  <c r="K10" i="1"/>
  <c r="K11" i="1"/>
  <c r="B4" i="12" l="1"/>
  <c r="B3" i="12"/>
  <c r="B15" i="12" s="1"/>
  <c r="O4" i="1"/>
  <c r="P4" i="1"/>
  <c r="O6" i="1"/>
  <c r="P6" i="1"/>
  <c r="O7" i="1"/>
  <c r="P7" i="1"/>
  <c r="O8" i="1"/>
  <c r="P8" i="1"/>
  <c r="O9" i="1"/>
  <c r="P9" i="1"/>
  <c r="O10" i="1"/>
  <c r="P10" i="1"/>
  <c r="O11" i="1"/>
  <c r="P11" i="1"/>
  <c r="P3" i="1"/>
  <c r="O3" i="1"/>
  <c r="N4" i="1"/>
  <c r="N6" i="1"/>
  <c r="N7" i="1"/>
  <c r="N8" i="1"/>
  <c r="N9" i="1"/>
  <c r="N10" i="1"/>
  <c r="N11" i="1"/>
  <c r="N3" i="1"/>
  <c r="M4" i="1"/>
  <c r="M6" i="1"/>
  <c r="M7" i="1"/>
  <c r="M8" i="1"/>
  <c r="M9" i="1"/>
  <c r="M10" i="1"/>
  <c r="M11" i="1"/>
  <c r="M3" i="1"/>
  <c r="L4" i="1"/>
  <c r="L5" i="1"/>
  <c r="L6" i="1"/>
  <c r="L7" i="1"/>
  <c r="L8" i="1"/>
  <c r="L9" i="1"/>
  <c r="L10" i="1"/>
  <c r="L11" i="1"/>
  <c r="L3" i="1"/>
  <c r="Q6" i="1"/>
  <c r="Q7" i="1"/>
  <c r="Q8" i="1"/>
  <c r="K3" i="1"/>
  <c r="B5" i="1"/>
  <c r="P5" i="1" s="1"/>
  <c r="Q3" i="1" l="1"/>
  <c r="Q11" i="1"/>
  <c r="M5" i="1"/>
  <c r="O5" i="1"/>
  <c r="Q5" i="1"/>
  <c r="Q10" i="1"/>
  <c r="Q4" i="1"/>
  <c r="Q9" i="1"/>
  <c r="N5" i="1"/>
</calcChain>
</file>

<file path=xl/sharedStrings.xml><?xml version="1.0" encoding="utf-8"?>
<sst xmlns="http://schemas.openxmlformats.org/spreadsheetml/2006/main" count="223" uniqueCount="106">
  <si>
    <t>A</t>
  </si>
  <si>
    <t>E</t>
  </si>
  <si>
    <t>I</t>
  </si>
  <si>
    <t>O</t>
  </si>
  <si>
    <t>U</t>
  </si>
  <si>
    <t>X</t>
  </si>
  <si>
    <t>TCR</t>
  </si>
  <si>
    <t>Num Rows = 2*num machines</t>
  </si>
  <si>
    <t xml:space="preserve"> </t>
  </si>
  <si>
    <t>no fractional machines, round up</t>
  </si>
  <si>
    <t>E(SC) ex trav time single com cycle</t>
  </si>
  <si>
    <t>E(DC) ex trav time dual com cycle</t>
  </si>
  <si>
    <t xml:space="preserve">E(TB) = expected travel tme from storage locaton to the retrieval locaton during 
a dual command cycle  </t>
  </si>
  <si>
    <t>L Rack length</t>
  </si>
  <si>
    <t>H rack height</t>
  </si>
  <si>
    <t>hv horiz vel</t>
  </si>
  <si>
    <t>vv vert vel</t>
  </si>
  <si>
    <t>th = L/hv = tme required to travel horizontally from P/D staton to the farthest 
loca&gt;on in the aisle</t>
  </si>
  <si>
    <t xml:space="preserve">tv = H/vv = tme required to travel vertcally from P/D staton to the farthest 
loca&gt;on in the aisle </t>
  </si>
  <si>
    <t>Throughput per hour</t>
  </si>
  <si>
    <t>cycles per hour</t>
  </si>
  <si>
    <t>effficiency</t>
  </si>
  <si>
    <t>number of cranes</t>
  </si>
  <si>
    <t>Height of storange building</t>
  </si>
  <si>
    <t>ceiling clear</t>
  </si>
  <si>
    <t>floor clear</t>
  </si>
  <si>
    <t>load height</t>
  </si>
  <si>
    <t>clearance betweeen stacks</t>
  </si>
  <si>
    <t>loads stacked per bay</t>
  </si>
  <si>
    <t>number of units to be stored</t>
  </si>
  <si>
    <t>number of rows</t>
  </si>
  <si>
    <t>number of loads vertically stacked per bay</t>
  </si>
  <si>
    <t>bays per row</t>
  </si>
  <si>
    <t>aisle unit</t>
  </si>
  <si>
    <t>num craines</t>
  </si>
  <si>
    <t>system width</t>
  </si>
  <si>
    <t>width od bay clearance</t>
  </si>
  <si>
    <t>crane clearance</t>
  </si>
  <si>
    <t>system length</t>
  </si>
  <si>
    <t>L</t>
  </si>
  <si>
    <t>W</t>
  </si>
  <si>
    <t>H</t>
  </si>
  <si>
    <t>T</t>
  </si>
  <si>
    <t>Q</t>
  </si>
  <si>
    <t>Tpd</t>
  </si>
  <si>
    <t>Tsc</t>
  </si>
  <si>
    <t>Tdc</t>
  </si>
  <si>
    <t>Y</t>
  </si>
  <si>
    <t>Z</t>
  </si>
  <si>
    <t>x</t>
  </si>
  <si>
    <t>y</t>
  </si>
  <si>
    <t>z</t>
  </si>
  <si>
    <t>Rect</t>
  </si>
  <si>
    <t>Sum</t>
  </si>
  <si>
    <t>Eucl</t>
  </si>
  <si>
    <t>G Sum</t>
  </si>
  <si>
    <t>Solver^</t>
  </si>
  <si>
    <t>&lt;Solver</t>
  </si>
  <si>
    <t>|x1-ai|</t>
  </si>
  <si>
    <t>|x2-ai|</t>
  </si>
  <si>
    <t>|y2-bi|</t>
  </si>
  <si>
    <t>|y1-bi|</t>
  </si>
  <si>
    <t>w1i</t>
  </si>
  <si>
    <t>w2i</t>
  </si>
  <si>
    <t>i</t>
  </si>
  <si>
    <t>x1</t>
  </si>
  <si>
    <t>y1</t>
  </si>
  <si>
    <t>x2</t>
  </si>
  <si>
    <t>y2</t>
  </si>
  <si>
    <t>|x1-x2|</t>
  </si>
  <si>
    <t>|y1-y2|</t>
  </si>
  <si>
    <t>v12</t>
  </si>
  <si>
    <t>f(X)</t>
  </si>
  <si>
    <t>w*1</t>
  </si>
  <si>
    <t>w*2</t>
  </si>
  <si>
    <t>&lt;solve</t>
  </si>
  <si>
    <t>Euc</t>
  </si>
  <si>
    <t>bi</t>
  </si>
  <si>
    <t>ai</t>
  </si>
  <si>
    <t>f(x)</t>
  </si>
  <si>
    <t>eu dist</t>
  </si>
  <si>
    <t>#</t>
  </si>
  <si>
    <t>obj fn</t>
  </si>
  <si>
    <t>x1-</t>
  </si>
  <si>
    <t>y1-</t>
  </si>
  <si>
    <t>x2-</t>
  </si>
  <si>
    <t>y2-</t>
  </si>
  <si>
    <t>w1</t>
  </si>
  <si>
    <t>w2</t>
  </si>
  <si>
    <t>x1-x2</t>
  </si>
  <si>
    <t>y1-y2</t>
  </si>
  <si>
    <t>w</t>
  </si>
  <si>
    <t>mult</t>
  </si>
  <si>
    <t>1mult</t>
  </si>
  <si>
    <t>2mult</t>
  </si>
  <si>
    <t>a</t>
  </si>
  <si>
    <t>b</t>
  </si>
  <si>
    <t>W1</t>
  </si>
  <si>
    <t>W2</t>
  </si>
  <si>
    <t>I[k]</t>
  </si>
  <si>
    <t>O[k]</t>
  </si>
  <si>
    <t>D[k]</t>
  </si>
  <si>
    <t>R[k]</t>
  </si>
  <si>
    <t>Total %</t>
  </si>
  <si>
    <t>Scrap Cost/Unit</t>
  </si>
  <si>
    <t>Scrap Cost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</si>
</sst>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15">
    <xf numFmtId="0" fontId="0" fillId="0" borderId="0"/>
    <xf numFmtId="0" fontId="3" fillId="5" borderId="1" applyNumberFormat="0" applyAlignment="0" applyProtection="0"/>
    <xf numFmtId="0" fontId="4" fillId="6" borderId="1" applyNumberFormat="0" applyAlignment="0" applyProtection="0"/>
    <xf numFmtId="0" fontId="5" fillId="7" borderId="0" applyNumberFormat="0" applyBorder="0" applyAlignment="0" applyProtection="0"/>
    <xf numFmtId="0" fontId="2" fillId="8" borderId="0" applyNumberFormat="0" applyBorder="0" applyAlignment="0" applyProtection="0"/>
    <xf numFmtId="0" fontId="5" fillId="9" borderId="0" applyNumberFormat="0" applyBorder="0" applyAlignment="0" applyProtection="0"/>
    <xf numFmtId="0" fontId="2" fillId="10" borderId="0" applyNumberFormat="0" applyBorder="0" applyAlignment="0" applyProtection="0"/>
    <xf numFmtId="0" fontId="5" fillId="11" borderId="0" applyNumberFormat="0" applyBorder="0" applyAlignment="0" applyProtection="0"/>
    <xf numFmtId="0" fontId="2" fillId="12" borderId="0" applyNumberFormat="0" applyBorder="0" applyAlignment="0" applyProtection="0"/>
    <xf numFmtId="0" fontId="5" fillId="13" borderId="0" applyNumberFormat="0" applyBorder="0" applyAlignment="0" applyProtection="0"/>
    <xf numFmtId="0" fontId="2" fillId="14" borderId="0" applyNumberFormat="0" applyBorder="0" applyAlignment="0" applyProtection="0"/>
    <xf numFmtId="0" fontId="5" fillId="15" borderId="0" applyNumberFormat="0" applyBorder="0" applyAlignment="0" applyProtection="0"/>
    <xf numFmtId="0" fontId="2" fillId="16" borderId="0" applyNumberFormat="0" applyBorder="0" applyAlignment="0" applyProtection="0"/>
    <xf numFmtId="0" fontId="6" fillId="17" borderId="0" applyNumberFormat="0" applyBorder="0" applyAlignment="0" applyProtection="0"/>
    <xf numFmtId="0" fontId="7" fillId="6" borderId="3" applyNumberFormat="0" applyAlignment="0" applyProtection="0"/>
  </cellStyleXfs>
  <cellXfs count="45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right"/>
    </xf>
    <xf numFmtId="0" fontId="0" fillId="0" borderId="0" xfId="0" applyFill="1" applyAlignment="1"/>
    <xf numFmtId="0" fontId="0" fillId="4" borderId="0" xfId="0" applyFill="1" applyAlignment="1">
      <alignment horizontal="right"/>
    </xf>
    <xf numFmtId="0" fontId="0" fillId="0" borderId="0" xfId="0" applyAlignment="1">
      <alignment horizontal="right" wrapText="1"/>
    </xf>
    <xf numFmtId="0" fontId="2" fillId="8" borderId="0" xfId="4" applyAlignment="1">
      <alignment horizontal="right"/>
    </xf>
    <xf numFmtId="0" fontId="2" fillId="10" borderId="0" xfId="6" applyAlignment="1">
      <alignment horizontal="right"/>
    </xf>
    <xf numFmtId="0" fontId="2" fillId="12" borderId="0" xfId="8" applyAlignment="1">
      <alignment horizontal="right"/>
    </xf>
    <xf numFmtId="0" fontId="2" fillId="14" borderId="0" xfId="10" applyAlignment="1">
      <alignment horizontal="right"/>
    </xf>
    <xf numFmtId="0" fontId="2" fillId="16" borderId="0" xfId="12" applyAlignment="1">
      <alignment horizontal="right"/>
    </xf>
    <xf numFmtId="0" fontId="3" fillId="5" borderId="1" xfId="1" applyAlignment="1">
      <alignment horizontal="right"/>
    </xf>
    <xf numFmtId="0" fontId="3" fillId="5" borderId="1" xfId="1"/>
    <xf numFmtId="0" fontId="4" fillId="6" borderId="1" xfId="2"/>
    <xf numFmtId="0" fontId="2" fillId="16" borderId="2" xfId="12" applyBorder="1"/>
    <xf numFmtId="0" fontId="5" fillId="15" borderId="2" xfId="11" applyBorder="1"/>
    <xf numFmtId="0" fontId="2" fillId="8" borderId="2" xfId="4" applyBorder="1"/>
    <xf numFmtId="0" fontId="5" fillId="7" borderId="2" xfId="3" applyBorder="1"/>
    <xf numFmtId="0" fontId="2" fillId="10" borderId="2" xfId="6" applyBorder="1"/>
    <xf numFmtId="0" fontId="5" fillId="9" borderId="2" xfId="5" applyBorder="1"/>
    <xf numFmtId="0" fontId="2" fillId="12" borderId="2" xfId="8" applyBorder="1"/>
    <xf numFmtId="0" fontId="5" fillId="11" borderId="2" xfId="7" applyBorder="1"/>
    <xf numFmtId="0" fontId="2" fillId="14" borderId="2" xfId="10" applyBorder="1"/>
    <xf numFmtId="0" fontId="5" fillId="13" borderId="2" xfId="9" applyBorder="1"/>
    <xf numFmtId="0" fontId="0" fillId="0" borderId="4" xfId="0" applyBorder="1"/>
    <xf numFmtId="0" fontId="0" fillId="0" borderId="2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0" xfId="0" applyFill="1" applyBorder="1" applyAlignment="1">
      <alignment horizontal="center"/>
    </xf>
    <xf numFmtId="0" fontId="4" fillId="6" borderId="1" xfId="2" applyAlignment="1">
      <alignment horizontal="center"/>
    </xf>
    <xf numFmtId="0" fontId="3" fillId="5" borderId="1" xfId="1" applyAlignment="1">
      <alignment horizontal="center"/>
    </xf>
    <xf numFmtId="0" fontId="7" fillId="6" borderId="3" xfId="14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Fill="1" applyBorder="1"/>
    <xf numFmtId="0" fontId="0" fillId="0" borderId="4" xfId="0" applyFill="1" applyBorder="1" applyAlignment="1">
      <alignment horizontal="center"/>
    </xf>
    <xf numFmtId="0" fontId="6" fillId="17" borderId="10" xfId="13" applyBorder="1"/>
    <xf numFmtId="0" fontId="0" fillId="18" borderId="6" xfId="0" applyFill="1" applyBorder="1" applyAlignment="1">
      <alignment horizontal="center"/>
    </xf>
    <xf numFmtId="0" fontId="0" fillId="18" borderId="6" xfId="0" applyFill="1" applyBorder="1"/>
    <xf numFmtId="0" fontId="0" fillId="0" borderId="11" xfId="0" applyBorder="1"/>
    <xf numFmtId="0" fontId="0" fillId="4" borderId="0" xfId="0" applyFill="1"/>
  </cellXfs>
  <cellStyles count="15">
    <cellStyle name="20% - Accent1" xfId="4" builtinId="30"/>
    <cellStyle name="20% - Accent2" xfId="6" builtinId="34"/>
    <cellStyle name="20% - Accent4" xfId="8" builtinId="42"/>
    <cellStyle name="20% - Accent5" xfId="10" builtinId="46"/>
    <cellStyle name="20% - Accent6" xfId="12" builtinId="50"/>
    <cellStyle name="Accent1" xfId="3" builtinId="29"/>
    <cellStyle name="Accent2" xfId="5" builtinId="33"/>
    <cellStyle name="Accent4" xfId="7" builtinId="41"/>
    <cellStyle name="Accent5" xfId="9" builtinId="45"/>
    <cellStyle name="Accent6" xfId="11" builtinId="49"/>
    <cellStyle name="Calculation" xfId="2" builtinId="22"/>
    <cellStyle name="Good" xfId="13" builtinId="26"/>
    <cellStyle name="Input" xfId="1" builtinId="20"/>
    <cellStyle name="Normal" xfId="0" builtinId="0"/>
    <cellStyle name="Output" xfId="14" builtinId="21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4" Type="http://schemas.openxmlformats.org/officeDocument/2006/relationships/image" Target="../media/image1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466725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533400</xdr:rowOff>
        </xdr:from>
        <xdr:to>
          <xdr:col>1</xdr:col>
          <xdr:colOff>171450</xdr:colOff>
          <xdr:row>0</xdr:row>
          <xdr:rowOff>971550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63877</xdr:colOff>
      <xdr:row>0</xdr:row>
      <xdr:rowOff>0</xdr:rowOff>
    </xdr:from>
    <xdr:to>
      <xdr:col>9</xdr:col>
      <xdr:colOff>504785</xdr:colOff>
      <xdr:row>0</xdr:row>
      <xdr:rowOff>2420471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4739" t="24669" r="6480" b="29076"/>
        <a:stretch/>
      </xdr:blipFill>
      <xdr:spPr>
        <a:xfrm>
          <a:off x="1038789" y="0"/>
          <a:ext cx="3231172" cy="24204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113435</xdr:colOff>
      <xdr:row>0</xdr:row>
      <xdr:rowOff>38100</xdr:rowOff>
    </xdr:from>
    <xdr:to>
      <xdr:col>13</xdr:col>
      <xdr:colOff>64077</xdr:colOff>
      <xdr:row>0</xdr:row>
      <xdr:rowOff>2581913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106" t="14164" r="22144" b="17969"/>
        <a:stretch/>
      </xdr:blipFill>
      <xdr:spPr>
        <a:xfrm>
          <a:off x="1942235" y="38100"/>
          <a:ext cx="3341542" cy="25438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95250</xdr:rowOff>
        </xdr:from>
        <xdr:to>
          <xdr:col>1</xdr:col>
          <xdr:colOff>209550</xdr:colOff>
          <xdr:row>0</xdr:row>
          <xdr:rowOff>581025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666750</xdr:rowOff>
        </xdr:from>
        <xdr:to>
          <xdr:col>1</xdr:col>
          <xdr:colOff>180975</xdr:colOff>
          <xdr:row>0</xdr:row>
          <xdr:rowOff>1209675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542925</xdr:colOff>
          <xdr:row>0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66675</xdr:rowOff>
        </xdr:from>
        <xdr:to>
          <xdr:col>0</xdr:col>
          <xdr:colOff>552450</xdr:colOff>
          <xdr:row>1</xdr:row>
          <xdr:rowOff>409575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228600</xdr:colOff>
      <xdr:row>0</xdr:row>
      <xdr:rowOff>76200</xdr:rowOff>
    </xdr:from>
    <xdr:to>
      <xdr:col>19</xdr:col>
      <xdr:colOff>222778</xdr:colOff>
      <xdr:row>1</xdr:row>
      <xdr:rowOff>9525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475" y="76200"/>
          <a:ext cx="5023378" cy="1838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38100</xdr:rowOff>
        </xdr:from>
        <xdr:to>
          <xdr:col>0</xdr:col>
          <xdr:colOff>533400</xdr:colOff>
          <xdr:row>0</xdr:row>
          <xdr:rowOff>381000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57150</xdr:rowOff>
        </xdr:from>
        <xdr:to>
          <xdr:col>0</xdr:col>
          <xdr:colOff>600075</xdr:colOff>
          <xdr:row>1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9525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242455</xdr:colOff>
      <xdr:row>0</xdr:row>
      <xdr:rowOff>138545</xdr:rowOff>
    </xdr:from>
    <xdr:to>
      <xdr:col>8</xdr:col>
      <xdr:colOff>6927</xdr:colOff>
      <xdr:row>0</xdr:row>
      <xdr:rowOff>671945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6637" y="138545"/>
          <a:ext cx="1946563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361950</xdr:colOff>
          <xdr:row>1</xdr:row>
          <xdr:rowOff>895350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1171575</xdr:rowOff>
        </xdr:from>
        <xdr:to>
          <xdr:col>2</xdr:col>
          <xdr:colOff>0</xdr:colOff>
          <xdr:row>1</xdr:row>
          <xdr:rowOff>1466850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171451</xdr:colOff>
      <xdr:row>0</xdr:row>
      <xdr:rowOff>1</xdr:rowOff>
    </xdr:from>
    <xdr:to>
      <xdr:col>10</xdr:col>
      <xdr:colOff>209550</xdr:colOff>
      <xdr:row>1</xdr:row>
      <xdr:rowOff>1838325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044" t="12780" r="22004" b="16101"/>
        <a:stretch/>
      </xdr:blipFill>
      <xdr:spPr>
        <a:xfrm>
          <a:off x="933451" y="1"/>
          <a:ext cx="3086099" cy="202882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10</xdr:col>
      <xdr:colOff>367392</xdr:colOff>
      <xdr:row>0</xdr:row>
      <xdr:rowOff>0</xdr:rowOff>
    </xdr:from>
    <xdr:to>
      <xdr:col>20</xdr:col>
      <xdr:colOff>372453</xdr:colOff>
      <xdr:row>2</xdr:row>
      <xdr:rowOff>13607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2245" t="21047" r="18620" b="22606"/>
        <a:stretch/>
      </xdr:blipFill>
      <xdr:spPr>
        <a:xfrm>
          <a:off x="4177392" y="0"/>
          <a:ext cx="3815061" cy="227239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20</xdr:col>
      <xdr:colOff>367393</xdr:colOff>
      <xdr:row>0</xdr:row>
      <xdr:rowOff>0</xdr:rowOff>
    </xdr:from>
    <xdr:to>
      <xdr:col>30</xdr:col>
      <xdr:colOff>38229</xdr:colOff>
      <xdr:row>1</xdr:row>
      <xdr:rowOff>1660071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0340" t="15875" r="32630" b="44120"/>
        <a:stretch/>
      </xdr:blipFill>
      <xdr:spPr>
        <a:xfrm>
          <a:off x="7987393" y="0"/>
          <a:ext cx="3480836" cy="185057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21</xdr:col>
      <xdr:colOff>42183</xdr:colOff>
      <xdr:row>1</xdr:row>
      <xdr:rowOff>1673679</xdr:rowOff>
    </xdr:from>
    <xdr:to>
      <xdr:col>28</xdr:col>
      <xdr:colOff>231322</xdr:colOff>
      <xdr:row>1</xdr:row>
      <xdr:rowOff>2041073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31671" t="45228" r="47503" b="50486"/>
        <a:stretch/>
      </xdr:blipFill>
      <xdr:spPr>
        <a:xfrm>
          <a:off x="8043183" y="1864179"/>
          <a:ext cx="2856139" cy="36739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295275</xdr:colOff>
          <xdr:row>0</xdr:row>
          <xdr:rowOff>676275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457200</xdr:colOff>
          <xdr:row>0</xdr:row>
          <xdr:rowOff>0</xdr:rowOff>
        </xdr:from>
        <xdr:to>
          <xdr:col>2</xdr:col>
          <xdr:colOff>581025</xdr:colOff>
          <xdr:row>0</xdr:row>
          <xdr:rowOff>619125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85725</xdr:colOff>
      <xdr:row>0</xdr:row>
      <xdr:rowOff>85725</xdr:rowOff>
    </xdr:from>
    <xdr:to>
      <xdr:col>8</xdr:col>
      <xdr:colOff>219075</xdr:colOff>
      <xdr:row>0</xdr:row>
      <xdr:rowOff>533400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5725"/>
          <a:ext cx="3181350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13904</xdr:colOff>
      <xdr:row>1</xdr:row>
      <xdr:rowOff>6745</xdr:rowOff>
    </xdr:from>
    <xdr:to>
      <xdr:col>16</xdr:col>
      <xdr:colOff>112740</xdr:colOff>
      <xdr:row>13</xdr:row>
      <xdr:rowOff>88389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8126" t="14668" r="20872" b="11894"/>
        <a:stretch/>
      </xdr:blipFill>
      <xdr:spPr>
        <a:xfrm>
          <a:off x="11739179" y="197245"/>
          <a:ext cx="3146836" cy="236764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171450</xdr:colOff>
      <xdr:row>1</xdr:row>
      <xdr:rowOff>33336</xdr:rowOff>
    </xdr:from>
    <xdr:to>
      <xdr:col>6</xdr:col>
      <xdr:colOff>1817805</xdr:colOff>
      <xdr:row>14</xdr:row>
      <xdr:rowOff>152399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153" t="25315" r="57369" b="3338"/>
        <a:stretch/>
      </xdr:blipFill>
      <xdr:spPr>
        <a:xfrm>
          <a:off x="2962275" y="223836"/>
          <a:ext cx="4084755" cy="259556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166688</xdr:colOff>
      <xdr:row>14</xdr:row>
      <xdr:rowOff>152399</xdr:rowOff>
    </xdr:from>
    <xdr:to>
      <xdr:col>6</xdr:col>
      <xdr:colOff>1815815</xdr:colOff>
      <xdr:row>27</xdr:row>
      <xdr:rowOff>9524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8334" t="30858" r="58394" b="8273"/>
        <a:stretch/>
      </xdr:blipFill>
      <xdr:spPr>
        <a:xfrm>
          <a:off x="2957513" y="2819399"/>
          <a:ext cx="4087527" cy="233362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171450</xdr:colOff>
      <xdr:row>27</xdr:row>
      <xdr:rowOff>14287</xdr:rowOff>
    </xdr:from>
    <xdr:to>
      <xdr:col>6</xdr:col>
      <xdr:colOff>1819275</xdr:colOff>
      <xdr:row>35</xdr:row>
      <xdr:rowOff>123825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6576" t="30012" r="57287" b="23913"/>
        <a:stretch/>
      </xdr:blipFill>
      <xdr:spPr>
        <a:xfrm>
          <a:off x="2962275" y="5157787"/>
          <a:ext cx="4086225" cy="163353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9525</xdr:rowOff>
        </xdr:from>
        <xdr:to>
          <xdr:col>1</xdr:col>
          <xdr:colOff>323850</xdr:colOff>
          <xdr:row>0</xdr:row>
          <xdr:rowOff>514350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552450</xdr:rowOff>
        </xdr:from>
        <xdr:to>
          <xdr:col>1</xdr:col>
          <xdr:colOff>276225</xdr:colOff>
          <xdr:row>0</xdr:row>
          <xdr:rowOff>885825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419100</xdr:colOff>
      <xdr:row>0</xdr:row>
      <xdr:rowOff>0</xdr:rowOff>
    </xdr:from>
    <xdr:to>
      <xdr:col>8</xdr:col>
      <xdr:colOff>476862</xdr:colOff>
      <xdr:row>0</xdr:row>
      <xdr:rowOff>1009791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700" y="0"/>
          <a:ext cx="4382112" cy="10097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M6"/>
  <sheetViews>
    <sheetView tabSelected="1" zoomScale="85" zoomScaleNormal="85" workbookViewId="0">
      <selection activeCell="I15" sqref="I15"/>
    </sheetView>
  </sheetViews>
  <sheetFormatPr defaultRowHeight="15" x14ac:dyDescent="0.25"/>
  <cols>
    <col min="2" max="2" width="5.5703125" customWidth="1"/>
    <col min="4" max="4" width="3.28515625" customWidth="1"/>
    <col min="5" max="5" width="4" customWidth="1"/>
    <col min="7" max="7" width="2.7109375" customWidth="1"/>
    <col min="8" max="8" width="4.5703125" customWidth="1"/>
    <col min="12" max="12" width="15.42578125" customWidth="1"/>
    <col min="13" max="13" width="15" customWidth="1"/>
  </cols>
  <sheetData>
    <row r="1" spans="2:13" ht="193.5" customHeight="1" x14ac:dyDescent="0.25"/>
    <row r="2" spans="2:13" x14ac:dyDescent="0.25">
      <c r="C2" t="s">
        <v>99</v>
      </c>
      <c r="F2" t="s">
        <v>100</v>
      </c>
      <c r="I2" t="s">
        <v>101</v>
      </c>
      <c r="J2" t="s">
        <v>102</v>
      </c>
      <c r="K2" t="s">
        <v>103</v>
      </c>
      <c r="L2" t="s">
        <v>104</v>
      </c>
      <c r="M2" t="s">
        <v>105</v>
      </c>
    </row>
    <row r="3" spans="2:13" x14ac:dyDescent="0.25">
      <c r="B3">
        <v>1</v>
      </c>
      <c r="C3" s="44">
        <f>F3/(1-K3)</f>
        <v>5853.8070233976669</v>
      </c>
      <c r="E3">
        <v>1</v>
      </c>
      <c r="F3">
        <f>C4</f>
        <v>5561.1166722277831</v>
      </c>
      <c r="H3">
        <v>1</v>
      </c>
      <c r="I3">
        <v>0.05</v>
      </c>
      <c r="J3">
        <v>0</v>
      </c>
      <c r="K3">
        <f>I3*(1-J3)</f>
        <v>0.05</v>
      </c>
      <c r="M3">
        <f>L3*(C3-F3)</f>
        <v>0</v>
      </c>
    </row>
    <row r="4" spans="2:13" x14ac:dyDescent="0.25">
      <c r="B4">
        <v>2</v>
      </c>
      <c r="C4">
        <f>F4/(1-K4)</f>
        <v>5561.1166722277831</v>
      </c>
      <c r="E4">
        <v>2</v>
      </c>
      <c r="F4">
        <f>C5</f>
        <v>5555.5555555555557</v>
      </c>
      <c r="H4">
        <v>2</v>
      </c>
      <c r="I4">
        <v>0.05</v>
      </c>
      <c r="J4">
        <v>0.98</v>
      </c>
      <c r="K4">
        <f>I4*(1-J4)</f>
        <v>1.0000000000000009E-3</v>
      </c>
      <c r="M4">
        <f>L4*(C4-F4)</f>
        <v>0</v>
      </c>
    </row>
    <row r="5" spans="2:13" x14ac:dyDescent="0.25">
      <c r="B5">
        <v>3</v>
      </c>
      <c r="C5">
        <f>F5/(1-K5)</f>
        <v>5555.5555555555557</v>
      </c>
      <c r="E5">
        <v>3</v>
      </c>
      <c r="F5" s="43">
        <v>5000</v>
      </c>
      <c r="H5">
        <v>3</v>
      </c>
      <c r="I5">
        <v>0.1</v>
      </c>
      <c r="J5">
        <v>0</v>
      </c>
      <c r="K5">
        <f>I5*(1-J5)</f>
        <v>0.1</v>
      </c>
      <c r="M5">
        <f>L5*(C5-F5)</f>
        <v>0</v>
      </c>
    </row>
    <row r="6" spans="2:13" x14ac:dyDescent="0.25">
      <c r="M6" s="43">
        <f>SUM(M3:M5)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odule4.Cal_prod_Req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lear_fmt">
                <anchor moveWithCells="1" sizeWithCells="1">
                  <from>
                    <xdr:col>0</xdr:col>
                    <xdr:colOff>0</xdr:colOff>
                    <xdr:row>0</xdr:row>
                    <xdr:rowOff>533400</xdr:rowOff>
                  </from>
                  <to>
                    <xdr:col>1</xdr:col>
                    <xdr:colOff>171450</xdr:colOff>
                    <xdr:row>0</xdr:row>
                    <xdr:rowOff>971550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"/>
  <sheetViews>
    <sheetView zoomScaleNormal="100" workbookViewId="0">
      <selection activeCell="Y3" sqref="Y3"/>
    </sheetView>
  </sheetViews>
  <sheetFormatPr defaultRowHeight="15" x14ac:dyDescent="0.25"/>
  <cols>
    <col min="4" max="4" width="3" customWidth="1"/>
    <col min="5" max="5" width="4" customWidth="1"/>
    <col min="7" max="7" width="2.28515625" customWidth="1"/>
    <col min="8" max="8" width="4.7109375" customWidth="1"/>
    <col min="10" max="10" width="2.42578125" customWidth="1"/>
    <col min="11" max="11" width="4.42578125" customWidth="1"/>
    <col min="13" max="13" width="2.5703125" customWidth="1"/>
    <col min="14" max="14" width="5.140625" customWidth="1"/>
    <col min="16" max="16" width="3" customWidth="1"/>
    <col min="17" max="17" width="5" customWidth="1"/>
    <col min="19" max="19" width="3.140625" customWidth="1"/>
    <col min="20" max="20" width="4.140625" customWidth="1"/>
    <col min="22" max="22" width="3.28515625" customWidth="1"/>
    <col min="23" max="23" width="4.5703125" customWidth="1"/>
  </cols>
  <sheetData>
    <row r="1" ht="208.5" customHeigh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rac">
                <anchor moveWithCells="1" sizeWithCells="1">
                  <from>
                    <xdr:col>0</xdr:col>
                    <xdr:colOff>57150</xdr:colOff>
                    <xdr:row>0</xdr:row>
                    <xdr:rowOff>95250</xdr:rowOff>
                  </from>
                  <to>
                    <xdr:col>1</xdr:col>
                    <xdr:colOff>209550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clear_fmt">
                <anchor moveWithCells="1" sizeWithCells="1">
                  <from>
                    <xdr:col>0</xdr:col>
                    <xdr:colOff>47625</xdr:colOff>
                    <xdr:row>0</xdr:row>
                    <xdr:rowOff>666750</xdr:rowOff>
                  </from>
                  <to>
                    <xdr:col>1</xdr:col>
                    <xdr:colOff>180975</xdr:colOff>
                    <xdr:row>0</xdr:row>
                    <xdr:rowOff>1209675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2"/>
  <sheetViews>
    <sheetView workbookViewId="0">
      <selection activeCell="F12" sqref="F12"/>
    </sheetView>
  </sheetViews>
  <sheetFormatPr defaultColWidth="4.7109375" defaultRowHeight="15" x14ac:dyDescent="0.25"/>
  <cols>
    <col min="1" max="1" width="9.85546875" customWidth="1"/>
  </cols>
  <sheetData>
    <row r="1" ht="150" customHeight="1" x14ac:dyDescent="0.25"/>
    <row r="2" ht="34.5" customHeigh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raph_Based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542925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_fmt">
                <anchor moveWithCells="1" sizeWithCells="1">
                  <from>
                    <xdr:col>0</xdr:col>
                    <xdr:colOff>0</xdr:colOff>
                    <xdr:row>1</xdr:row>
                    <xdr:rowOff>66675</xdr:rowOff>
                  </from>
                  <to>
                    <xdr:col>0</xdr:col>
                    <xdr:colOff>552450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2"/>
  <sheetViews>
    <sheetView workbookViewId="0">
      <selection activeCell="D22" sqref="D22"/>
    </sheetView>
  </sheetViews>
  <sheetFormatPr defaultColWidth="4.7109375" defaultRowHeight="15" x14ac:dyDescent="0.25"/>
  <cols>
    <col min="1" max="1" width="9.42578125" customWidth="1"/>
    <col min="8" max="8" width="5" bestFit="1" customWidth="1"/>
  </cols>
  <sheetData>
    <row r="1" ht="33" customHeight="1" x14ac:dyDescent="0.25"/>
    <row r="2" ht="30.75" customHeigh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AFT">
                <anchor moveWithCells="1" sizeWithCells="1">
                  <from>
                    <xdr:col>0</xdr:col>
                    <xdr:colOff>19050</xdr:colOff>
                    <xdr:row>0</xdr:row>
                    <xdr:rowOff>38100</xdr:rowOff>
                  </from>
                  <to>
                    <xdr:col>0</xdr:col>
                    <xdr:colOff>533400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r_fmt">
                <anchor moveWithCells="1" sizeWithCells="1">
                  <from>
                    <xdr:col>0</xdr:col>
                    <xdr:colOff>0</xdr:colOff>
                    <xdr:row>1</xdr:row>
                    <xdr:rowOff>57150</xdr:rowOff>
                  </from>
                  <to>
                    <xdr:col>0</xdr:col>
                    <xdr:colOff>600075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2"/>
  <sheetViews>
    <sheetView zoomScale="110" zoomScaleNormal="110" workbookViewId="0">
      <selection activeCell="G3" sqref="G3"/>
    </sheetView>
  </sheetViews>
  <sheetFormatPr defaultColWidth="4.7109375" defaultRowHeight="15" x14ac:dyDescent="0.25"/>
  <cols>
    <col min="1" max="1" width="8.28515625" customWidth="1"/>
  </cols>
  <sheetData>
    <row r="1" ht="57.75" customHeight="1" x14ac:dyDescent="0.25"/>
    <row r="2" ht="22.5" customHeigh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orelap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lear_fmt">
                <anchor moveWithCells="1" sizeWithCells="1">
                  <from>
                    <xdr:col>0</xdr:col>
                    <xdr:colOff>0</xdr:colOff>
                    <xdr:row>1</xdr:row>
                    <xdr:rowOff>9525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H18" sqref="H18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2"/>
  <sheetViews>
    <sheetView zoomScaleNormal="100" workbookViewId="0">
      <selection activeCell="AA21" sqref="AA21:AE25"/>
    </sheetView>
  </sheetViews>
  <sheetFormatPr defaultColWidth="5.7109375" defaultRowHeight="15" x14ac:dyDescent="0.25"/>
  <sheetData>
    <row r="2" ht="162.75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torag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361950</xdr:colOff>
                    <xdr:row>1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lear_fmt">
                <anchor moveWithCells="1" sizeWithCells="1">
                  <from>
                    <xdr:col>0</xdr:col>
                    <xdr:colOff>0</xdr:colOff>
                    <xdr:row>1</xdr:row>
                    <xdr:rowOff>1171575</xdr:rowOff>
                  </from>
                  <to>
                    <xdr:col>2</xdr:col>
                    <xdr:colOff>0</xdr:colOff>
                    <xdr:row>1</xdr:row>
                    <xdr:rowOff>1466850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K36" sqref="K36"/>
    </sheetView>
  </sheetViews>
  <sheetFormatPr defaultRowHeight="15" x14ac:dyDescent="0.25"/>
  <sheetData>
    <row r="1" ht="57.75" customHeigh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conv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295275</xdr:colOff>
                    <xdr:row>0</xdr:row>
                    <xdr:rowOff>676275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clear_fmt">
                <anchor moveWithCells="1" sizeWithCells="1">
                  <from>
                    <xdr:col>1</xdr:col>
                    <xdr:colOff>457200</xdr:colOff>
                    <xdr:row>0</xdr:row>
                    <xdr:rowOff>0</xdr:rowOff>
                  </from>
                  <to>
                    <xdr:col>2</xdr:col>
                    <xdr:colOff>581025</xdr:colOff>
                    <xdr:row>0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2"/>
  <sheetViews>
    <sheetView zoomScaleNormal="100" workbookViewId="0">
      <selection activeCell="H39" sqref="H39"/>
    </sheetView>
  </sheetViews>
  <sheetFormatPr defaultRowHeight="15" x14ac:dyDescent="0.25"/>
  <cols>
    <col min="1" max="1" width="32.7109375" style="3" customWidth="1"/>
    <col min="7" max="7" width="36.140625" customWidth="1"/>
    <col min="8" max="8" width="37" style="3" customWidth="1"/>
    <col min="9" max="9" width="12.28515625" customWidth="1"/>
    <col min="10" max="10" width="2.85546875" style="3" customWidth="1"/>
  </cols>
  <sheetData>
    <row r="1" spans="1:11" x14ac:dyDescent="0.25">
      <c r="A1" s="5" t="s">
        <v>7</v>
      </c>
      <c r="B1" s="4" t="s">
        <v>8</v>
      </c>
      <c r="C1" s="4" t="s">
        <v>9</v>
      </c>
    </row>
    <row r="2" spans="1:11" x14ac:dyDescent="0.25">
      <c r="A2" s="3" t="s">
        <v>10</v>
      </c>
      <c r="B2" s="14">
        <f>B11*(1+(B12^2)/3)</f>
        <v>1.3586805555555554</v>
      </c>
      <c r="H2" s="11" t="s">
        <v>19</v>
      </c>
      <c r="I2" s="15">
        <v>100</v>
      </c>
      <c r="J2" s="12" t="s">
        <v>39</v>
      </c>
      <c r="K2" s="13">
        <v>4</v>
      </c>
    </row>
    <row r="3" spans="1:11" x14ac:dyDescent="0.25">
      <c r="A3" s="3" t="s">
        <v>11</v>
      </c>
      <c r="B3" s="14">
        <f>B11/30*(40+15*B12^2-B12^3)</f>
        <v>1.833779296875</v>
      </c>
      <c r="H3" s="11" t="s">
        <v>20</v>
      </c>
      <c r="I3" s="15">
        <v>30</v>
      </c>
      <c r="J3" s="12" t="s">
        <v>40</v>
      </c>
      <c r="K3" s="13">
        <v>3</v>
      </c>
    </row>
    <row r="4" spans="1:11" ht="15" customHeight="1" x14ac:dyDescent="0.25">
      <c r="A4" s="6" t="s">
        <v>12</v>
      </c>
      <c r="B4" s="14">
        <f>B11/30*(10+5*(B12^2)-(B12^3))</f>
        <v>0.47509874131944446</v>
      </c>
      <c r="H4" s="11" t="s">
        <v>21</v>
      </c>
      <c r="I4" s="15">
        <v>0.9</v>
      </c>
      <c r="J4" s="12" t="s">
        <v>41</v>
      </c>
      <c r="K4" s="13">
        <v>2</v>
      </c>
    </row>
    <row r="5" spans="1:11" x14ac:dyDescent="0.25">
      <c r="A5" s="3" t="s">
        <v>13</v>
      </c>
      <c r="B5" s="13">
        <f>56*80/12</f>
        <v>373.33333333333331</v>
      </c>
      <c r="H5" s="3" t="s">
        <v>22</v>
      </c>
      <c r="I5" s="16">
        <f>_xlfn.CEILING.MATH(I2/(I3*I4))</f>
        <v>4</v>
      </c>
    </row>
    <row r="6" spans="1:11" x14ac:dyDescent="0.25">
      <c r="A6" s="3" t="s">
        <v>14</v>
      </c>
      <c r="B6" s="13">
        <f>58*12/12</f>
        <v>58</v>
      </c>
      <c r="H6" s="7" t="s">
        <v>23</v>
      </c>
      <c r="I6" s="17">
        <v>90</v>
      </c>
    </row>
    <row r="7" spans="1:11" x14ac:dyDescent="0.25">
      <c r="A7" s="3" t="s">
        <v>15</v>
      </c>
      <c r="B7" s="13">
        <v>350</v>
      </c>
      <c r="H7" s="7" t="s">
        <v>24</v>
      </c>
      <c r="I7" s="17">
        <v>4.5</v>
      </c>
    </row>
    <row r="8" spans="1:11" x14ac:dyDescent="0.25">
      <c r="A8" s="3" t="s">
        <v>16</v>
      </c>
      <c r="B8" s="13">
        <v>60</v>
      </c>
      <c r="H8" s="7" t="s">
        <v>25</v>
      </c>
      <c r="I8" s="17">
        <v>0.5</v>
      </c>
    </row>
    <row r="9" spans="1:11" ht="15" customHeight="1" x14ac:dyDescent="0.25">
      <c r="A9" s="6" t="s">
        <v>17</v>
      </c>
      <c r="B9" s="14">
        <f>B5/B7</f>
        <v>1.0666666666666667</v>
      </c>
      <c r="H9" s="7" t="s">
        <v>26</v>
      </c>
      <c r="I9" s="17">
        <v>2</v>
      </c>
    </row>
    <row r="10" spans="1:11" ht="15" customHeight="1" x14ac:dyDescent="0.25">
      <c r="A10" s="6" t="s">
        <v>18</v>
      </c>
      <c r="B10" s="14">
        <f>B6/B8</f>
        <v>0.96666666666666667</v>
      </c>
      <c r="H10" s="7" t="s">
        <v>27</v>
      </c>
      <c r="I10" s="17">
        <v>0.5</v>
      </c>
    </row>
    <row r="11" spans="1:11" x14ac:dyDescent="0.25">
      <c r="A11" s="3" t="s">
        <v>42</v>
      </c>
      <c r="B11" s="14">
        <f>MAX(B9,B10)</f>
        <v>1.0666666666666667</v>
      </c>
      <c r="H11" s="3" t="s">
        <v>28</v>
      </c>
      <c r="I11" s="18">
        <f>(I6-(I7+I8))/(I9+I10)</f>
        <v>34</v>
      </c>
    </row>
    <row r="12" spans="1:11" x14ac:dyDescent="0.25">
      <c r="A12" s="3" t="s">
        <v>43</v>
      </c>
      <c r="B12" s="14">
        <f>MIN(B9/B11,B10/B11)</f>
        <v>0.90625</v>
      </c>
      <c r="H12" s="8" t="s">
        <v>29</v>
      </c>
      <c r="I12" s="19">
        <v>50000</v>
      </c>
    </row>
    <row r="13" spans="1:11" x14ac:dyDescent="0.25">
      <c r="A13" s="3" t="s">
        <v>44</v>
      </c>
      <c r="B13" s="13">
        <v>0.35</v>
      </c>
      <c r="H13" s="8" t="s">
        <v>30</v>
      </c>
      <c r="I13" s="19">
        <f>I5*2</f>
        <v>8</v>
      </c>
    </row>
    <row r="14" spans="1:11" x14ac:dyDescent="0.25">
      <c r="A14" s="3" t="s">
        <v>45</v>
      </c>
      <c r="B14" s="14">
        <f>B2+2*B13</f>
        <v>2.0586805555555552</v>
      </c>
      <c r="H14" s="8" t="s">
        <v>31</v>
      </c>
      <c r="I14" s="19">
        <f>I11</f>
        <v>34</v>
      </c>
    </row>
    <row r="15" spans="1:11" x14ac:dyDescent="0.25">
      <c r="A15" s="3" t="s">
        <v>46</v>
      </c>
      <c r="B15" s="14">
        <f>B3+4*B13</f>
        <v>3.2337792968749999</v>
      </c>
      <c r="H15" s="3" t="s">
        <v>32</v>
      </c>
      <c r="I15" s="20">
        <f>_xlfn.CEILING.MATH(I12/((I13*I14)))</f>
        <v>184</v>
      </c>
    </row>
    <row r="16" spans="1:11" x14ac:dyDescent="0.25">
      <c r="H16" s="9" t="s">
        <v>33</v>
      </c>
      <c r="I16" s="21">
        <f>(3*K2+2)</f>
        <v>14</v>
      </c>
    </row>
    <row r="17" spans="8:9" x14ac:dyDescent="0.25">
      <c r="H17" s="9" t="s">
        <v>34</v>
      </c>
      <c r="I17" s="21">
        <f>I5</f>
        <v>4</v>
      </c>
    </row>
    <row r="18" spans="8:9" x14ac:dyDescent="0.25">
      <c r="H18" s="3" t="s">
        <v>35</v>
      </c>
      <c r="I18" s="22">
        <f>I16*I17</f>
        <v>56</v>
      </c>
    </row>
    <row r="19" spans="8:9" x14ac:dyDescent="0.25">
      <c r="H19" s="10" t="s">
        <v>36</v>
      </c>
      <c r="I19" s="23">
        <v>0.5</v>
      </c>
    </row>
    <row r="20" spans="8:9" x14ac:dyDescent="0.25">
      <c r="H20" s="10" t="s">
        <v>32</v>
      </c>
      <c r="I20" s="23">
        <f>I15</f>
        <v>184</v>
      </c>
    </row>
    <row r="21" spans="8:9" x14ac:dyDescent="0.25">
      <c r="H21" s="10" t="s">
        <v>37</v>
      </c>
      <c r="I21" s="23">
        <v>25</v>
      </c>
    </row>
    <row r="22" spans="8:9" x14ac:dyDescent="0.25">
      <c r="H22" s="3" t="s">
        <v>38</v>
      </c>
      <c r="I22" s="24">
        <f>(K3+I19)*I20+I21</f>
        <v>669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Q9"/>
  <sheetViews>
    <sheetView workbookViewId="0">
      <selection activeCell="L16" sqref="L16"/>
    </sheetView>
  </sheetViews>
  <sheetFormatPr defaultRowHeight="15" x14ac:dyDescent="0.25"/>
  <cols>
    <col min="2" max="2" width="9.140625" style="30"/>
    <col min="3" max="3" width="7.140625" style="26" customWidth="1"/>
    <col min="4" max="5" width="7.140625" customWidth="1"/>
    <col min="6" max="6" width="7.140625" style="25" customWidth="1"/>
    <col min="8" max="8" width="6.5703125" bestFit="1" customWidth="1"/>
    <col min="13" max="13" width="6.5703125" bestFit="1" customWidth="1"/>
  </cols>
  <sheetData>
    <row r="1" spans="2:17" x14ac:dyDescent="0.25">
      <c r="I1" t="s">
        <v>52</v>
      </c>
      <c r="N1" t="s">
        <v>54</v>
      </c>
    </row>
    <row r="2" spans="2:17" x14ac:dyDescent="0.25">
      <c r="I2" s="34" t="s">
        <v>49</v>
      </c>
      <c r="J2" s="34" t="s">
        <v>50</v>
      </c>
      <c r="K2" s="34" t="s">
        <v>51</v>
      </c>
      <c r="N2" s="34" t="s">
        <v>49</v>
      </c>
      <c r="O2" s="34" t="s">
        <v>50</v>
      </c>
      <c r="P2" s="34" t="s">
        <v>51</v>
      </c>
    </row>
    <row r="3" spans="2:17" x14ac:dyDescent="0.25">
      <c r="C3" s="27" t="s">
        <v>40</v>
      </c>
      <c r="D3" s="28" t="s">
        <v>5</v>
      </c>
      <c r="E3" s="28" t="s">
        <v>47</v>
      </c>
      <c r="F3" s="29" t="s">
        <v>48</v>
      </c>
      <c r="I3" s="33"/>
      <c r="J3" s="33"/>
      <c r="K3" s="33"/>
      <c r="L3" t="s">
        <v>57</v>
      </c>
      <c r="N3" s="33"/>
      <c r="O3" s="33"/>
      <c r="P3" s="33"/>
      <c r="Q3" t="s">
        <v>57</v>
      </c>
    </row>
    <row r="4" spans="2:17" x14ac:dyDescent="0.25">
      <c r="B4" s="31">
        <v>1</v>
      </c>
      <c r="I4">
        <f>C4*ABS(D4-$I$3)</f>
        <v>0</v>
      </c>
      <c r="J4">
        <f>C4*ABS(E4-$J$3)</f>
        <v>0</v>
      </c>
      <c r="K4">
        <f>C4*ABS(F4-$K$3)</f>
        <v>0</v>
      </c>
      <c r="N4">
        <f>C4*((D4-$N$3)^2+(E4-$O$3)^2+(F4-$P$3)^2)^(1/2)</f>
        <v>0</v>
      </c>
    </row>
    <row r="5" spans="2:17" x14ac:dyDescent="0.25">
      <c r="B5" s="30">
        <v>2</v>
      </c>
      <c r="I5">
        <f t="shared" ref="I5:I6" si="0">C5*ABS(D5-$I$3)</f>
        <v>0</v>
      </c>
      <c r="J5">
        <f t="shared" ref="J5:J6" si="1">C5*ABS(E5-$J$3)</f>
        <v>0</v>
      </c>
      <c r="K5">
        <f t="shared" ref="K5:K6" si="2">C5*ABS(F5-$K$3)</f>
        <v>0</v>
      </c>
      <c r="N5">
        <f>C5*((D5-$N$3)^2+(E5-$O$3)^2+(F5-$P$3)^2)^(1/2)</f>
        <v>0</v>
      </c>
    </row>
    <row r="6" spans="2:17" x14ac:dyDescent="0.25">
      <c r="B6" s="30">
        <v>3</v>
      </c>
      <c r="I6">
        <f t="shared" si="0"/>
        <v>0</v>
      </c>
      <c r="J6">
        <f t="shared" si="1"/>
        <v>0</v>
      </c>
      <c r="K6">
        <f t="shared" si="2"/>
        <v>0</v>
      </c>
      <c r="N6">
        <f t="shared" ref="N6" si="3">C6*((D6-$N$3)^2+(E6-$O$3)^2+(F6-$P$3)^2)^(1/2)</f>
        <v>0</v>
      </c>
    </row>
    <row r="7" spans="2:17" x14ac:dyDescent="0.25">
      <c r="H7" t="s">
        <v>53</v>
      </c>
      <c r="I7" s="35">
        <f>SUM(I4:I6)</f>
        <v>0</v>
      </c>
      <c r="J7" s="35">
        <f>SUM(J4:J6)</f>
        <v>0</v>
      </c>
      <c r="K7" s="35">
        <f>SUM(K4:K6)</f>
        <v>0</v>
      </c>
    </row>
    <row r="8" spans="2:17" x14ac:dyDescent="0.25">
      <c r="H8" t="s">
        <v>55</v>
      </c>
      <c r="I8" s="35">
        <f>SUM(I7:K7)</f>
        <v>0</v>
      </c>
      <c r="M8" t="s">
        <v>55</v>
      </c>
      <c r="N8" s="35">
        <f>SUM(N4:N6)</f>
        <v>0</v>
      </c>
    </row>
    <row r="9" spans="2:17" x14ac:dyDescent="0.25">
      <c r="I9" t="s">
        <v>56</v>
      </c>
      <c r="N9" t="s">
        <v>56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L29"/>
  <sheetViews>
    <sheetView topLeftCell="A4" workbookViewId="0">
      <selection activeCell="F25" sqref="F25"/>
    </sheetView>
  </sheetViews>
  <sheetFormatPr defaultRowHeight="15" x14ac:dyDescent="0.25"/>
  <sheetData>
    <row r="3" spans="2:12" x14ac:dyDescent="0.25">
      <c r="B3" s="41" t="s">
        <v>81</v>
      </c>
      <c r="C3" s="41" t="s">
        <v>95</v>
      </c>
      <c r="D3" s="41" t="s">
        <v>96</v>
      </c>
      <c r="E3" s="41" t="s">
        <v>83</v>
      </c>
      <c r="F3" s="41" t="s">
        <v>84</v>
      </c>
      <c r="G3" s="41" t="s">
        <v>85</v>
      </c>
      <c r="H3" s="41" t="s">
        <v>86</v>
      </c>
      <c r="I3" s="41" t="s">
        <v>87</v>
      </c>
      <c r="J3" s="41" t="s">
        <v>88</v>
      </c>
      <c r="K3" s="41" t="s">
        <v>93</v>
      </c>
      <c r="L3" s="41" t="s">
        <v>94</v>
      </c>
    </row>
    <row r="4" spans="2:12" x14ac:dyDescent="0.25">
      <c r="B4">
        <v>1</v>
      </c>
      <c r="C4">
        <v>10</v>
      </c>
      <c r="D4">
        <v>25</v>
      </c>
      <c r="E4">
        <f>ABS(C4-$B$14)</f>
        <v>0</v>
      </c>
      <c r="F4">
        <f>ABS(D4-$C$14)</f>
        <v>0</v>
      </c>
      <c r="G4">
        <f>ABS(C4-$D$14)</f>
        <v>10</v>
      </c>
      <c r="H4">
        <f>ABS(D4-$E$14)</f>
        <v>0</v>
      </c>
      <c r="I4">
        <v>10</v>
      </c>
      <c r="J4">
        <v>2</v>
      </c>
      <c r="K4">
        <f>E4*I4+F4*I4</f>
        <v>0</v>
      </c>
      <c r="L4">
        <f>G4*J4+H4*J4</f>
        <v>20</v>
      </c>
    </row>
    <row r="5" spans="2:12" x14ac:dyDescent="0.25">
      <c r="B5">
        <v>2</v>
      </c>
      <c r="C5">
        <v>10</v>
      </c>
      <c r="D5">
        <v>15</v>
      </c>
      <c r="E5">
        <f t="shared" ref="E5:E8" si="0">ABS(C5-$B$14)</f>
        <v>0</v>
      </c>
      <c r="F5">
        <f t="shared" ref="F5:F8" si="1">ABS(D5-$C$14)</f>
        <v>10</v>
      </c>
      <c r="G5">
        <f t="shared" ref="G5:G8" si="2">ABS(C5-$D$14)</f>
        <v>10</v>
      </c>
      <c r="H5">
        <f t="shared" ref="H5:H8" si="3">ABS(D5-$E$14)</f>
        <v>10</v>
      </c>
      <c r="I5">
        <v>6</v>
      </c>
      <c r="J5">
        <v>3</v>
      </c>
      <c r="K5">
        <f t="shared" ref="K5:K8" si="4">E5*I5+F5*I5</f>
        <v>60</v>
      </c>
      <c r="L5">
        <f t="shared" ref="L5:L8" si="5">G5*J5+H5*J5</f>
        <v>60</v>
      </c>
    </row>
    <row r="6" spans="2:12" x14ac:dyDescent="0.25">
      <c r="B6">
        <v>3</v>
      </c>
      <c r="C6">
        <v>15</v>
      </c>
      <c r="D6">
        <v>30</v>
      </c>
      <c r="E6">
        <f t="shared" si="0"/>
        <v>5</v>
      </c>
      <c r="F6">
        <f t="shared" si="1"/>
        <v>5</v>
      </c>
      <c r="G6">
        <f t="shared" si="2"/>
        <v>5</v>
      </c>
      <c r="H6">
        <f t="shared" si="3"/>
        <v>5</v>
      </c>
      <c r="I6">
        <v>5</v>
      </c>
      <c r="J6">
        <v>4</v>
      </c>
      <c r="K6">
        <f t="shared" si="4"/>
        <v>50</v>
      </c>
      <c r="L6">
        <f t="shared" si="5"/>
        <v>40</v>
      </c>
    </row>
    <row r="7" spans="2:12" x14ac:dyDescent="0.25">
      <c r="B7">
        <v>4</v>
      </c>
      <c r="C7">
        <v>20</v>
      </c>
      <c r="D7">
        <v>10</v>
      </c>
      <c r="E7">
        <f t="shared" si="0"/>
        <v>10</v>
      </c>
      <c r="F7">
        <f t="shared" si="1"/>
        <v>15</v>
      </c>
      <c r="G7">
        <f t="shared" si="2"/>
        <v>0</v>
      </c>
      <c r="H7">
        <f t="shared" si="3"/>
        <v>15</v>
      </c>
      <c r="I7">
        <v>4</v>
      </c>
      <c r="J7">
        <v>6</v>
      </c>
      <c r="K7">
        <f t="shared" si="4"/>
        <v>100</v>
      </c>
      <c r="L7">
        <f t="shared" si="5"/>
        <v>90</v>
      </c>
    </row>
    <row r="8" spans="2:12" x14ac:dyDescent="0.25">
      <c r="B8">
        <v>5</v>
      </c>
      <c r="C8">
        <v>25</v>
      </c>
      <c r="D8">
        <v>25</v>
      </c>
      <c r="E8">
        <f t="shared" si="0"/>
        <v>15</v>
      </c>
      <c r="F8">
        <f t="shared" si="1"/>
        <v>0</v>
      </c>
      <c r="G8">
        <f t="shared" si="2"/>
        <v>5</v>
      </c>
      <c r="H8">
        <f t="shared" si="3"/>
        <v>0</v>
      </c>
      <c r="I8">
        <v>3</v>
      </c>
      <c r="J8">
        <v>12</v>
      </c>
      <c r="K8">
        <f t="shared" si="4"/>
        <v>45</v>
      </c>
      <c r="L8">
        <f t="shared" si="5"/>
        <v>60</v>
      </c>
    </row>
    <row r="10" spans="2:12" x14ac:dyDescent="0.25">
      <c r="B10" s="41" t="s">
        <v>89</v>
      </c>
      <c r="C10" s="41" t="s">
        <v>90</v>
      </c>
      <c r="D10" s="41" t="s">
        <v>91</v>
      </c>
      <c r="E10" s="41" t="s">
        <v>92</v>
      </c>
    </row>
    <row r="11" spans="2:12" x14ac:dyDescent="0.25">
      <c r="B11">
        <f>ABS(B14-D14)</f>
        <v>10</v>
      </c>
      <c r="C11">
        <f>ABS(C14-E14)</f>
        <v>0</v>
      </c>
      <c r="D11">
        <v>4</v>
      </c>
      <c r="E11">
        <f>B11*D11+C11*D11</f>
        <v>40</v>
      </c>
    </row>
    <row r="13" spans="2:12" x14ac:dyDescent="0.25">
      <c r="B13" s="41" t="s">
        <v>65</v>
      </c>
      <c r="C13" s="41" t="s">
        <v>66</v>
      </c>
      <c r="D13" s="41" t="s">
        <v>67</v>
      </c>
      <c r="E13" s="41" t="s">
        <v>68</v>
      </c>
      <c r="F13" s="41" t="s">
        <v>82</v>
      </c>
    </row>
    <row r="14" spans="2:12" x14ac:dyDescent="0.25">
      <c r="B14">
        <v>10</v>
      </c>
      <c r="C14">
        <v>25</v>
      </c>
      <c r="D14">
        <v>20</v>
      </c>
      <c r="E14">
        <v>25</v>
      </c>
      <c r="F14">
        <f>SUM(K4:L8)+E11</f>
        <v>565</v>
      </c>
    </row>
    <row r="18" spans="2:10" x14ac:dyDescent="0.25">
      <c r="B18" s="41" t="s">
        <v>81</v>
      </c>
      <c r="C18" s="41" t="s">
        <v>95</v>
      </c>
      <c r="D18" s="41" t="s">
        <v>96</v>
      </c>
      <c r="E18" s="41" t="s">
        <v>97</v>
      </c>
      <c r="F18" s="41" t="s">
        <v>98</v>
      </c>
      <c r="G18" s="41"/>
      <c r="H18" s="41"/>
      <c r="I18" s="41"/>
      <c r="J18" s="41"/>
    </row>
    <row r="19" spans="2:10" x14ac:dyDescent="0.25">
      <c r="B19">
        <v>1</v>
      </c>
      <c r="C19">
        <v>10</v>
      </c>
      <c r="D19">
        <v>25</v>
      </c>
      <c r="E19">
        <v>10</v>
      </c>
      <c r="F19">
        <v>2</v>
      </c>
      <c r="G19">
        <f>E19*((C19-$B$29)^2+(D19-$C$29)^2)^(0.5)</f>
        <v>4.0852703027917672</v>
      </c>
      <c r="H19">
        <f>F19*((C19-$D$29)^2+(D19-$E$29)^2)^(0.5)</f>
        <v>24.799701159164258</v>
      </c>
    </row>
    <row r="20" spans="2:10" x14ac:dyDescent="0.25">
      <c r="B20">
        <v>2</v>
      </c>
      <c r="C20">
        <v>10</v>
      </c>
      <c r="D20">
        <v>15</v>
      </c>
      <c r="E20">
        <v>6</v>
      </c>
      <c r="F20">
        <v>3</v>
      </c>
      <c r="G20">
        <f t="shared" ref="G20:G23" si="6">E20*((C20-$B$29)^2+(D20-$C$29)^2)^(0.5)</f>
        <v>58.671037990495563</v>
      </c>
      <c r="H20">
        <f t="shared" ref="H20:H23" si="7">F20*((C20-$D$29)^2+(D20-$E$29)^2)^(0.5)</f>
        <v>44.362385734055465</v>
      </c>
    </row>
    <row r="21" spans="2:10" x14ac:dyDescent="0.25">
      <c r="B21">
        <v>3</v>
      </c>
      <c r="C21">
        <v>15</v>
      </c>
      <c r="D21">
        <v>30</v>
      </c>
      <c r="E21">
        <v>5</v>
      </c>
      <c r="F21">
        <v>4</v>
      </c>
      <c r="G21">
        <f t="shared" si="6"/>
        <v>35.016703213150109</v>
      </c>
      <c r="H21">
        <f t="shared" si="7"/>
        <v>39.70869002733734</v>
      </c>
    </row>
    <row r="22" spans="2:10" x14ac:dyDescent="0.25">
      <c r="B22">
        <v>4</v>
      </c>
      <c r="C22">
        <v>20</v>
      </c>
      <c r="D22">
        <v>10</v>
      </c>
      <c r="E22">
        <v>4</v>
      </c>
      <c r="F22">
        <v>6</v>
      </c>
      <c r="G22">
        <f t="shared" si="6"/>
        <v>70.603954035783289</v>
      </c>
      <c r="H22">
        <f t="shared" si="7"/>
        <v>80.637645506749038</v>
      </c>
    </row>
    <row r="23" spans="2:10" x14ac:dyDescent="0.25">
      <c r="B23">
        <v>5</v>
      </c>
      <c r="C23">
        <v>25</v>
      </c>
      <c r="D23">
        <v>25</v>
      </c>
      <c r="E23">
        <v>3</v>
      </c>
      <c r="F23">
        <v>12</v>
      </c>
      <c r="G23">
        <f t="shared" si="6"/>
        <v>43.98709929941181</v>
      </c>
      <c r="H23">
        <f t="shared" si="7"/>
        <v>38.889584420496107</v>
      </c>
    </row>
    <row r="25" spans="2:10" x14ac:dyDescent="0.25">
      <c r="B25" s="42" t="s">
        <v>89</v>
      </c>
      <c r="C25" s="42" t="s">
        <v>90</v>
      </c>
      <c r="D25" s="42" t="s">
        <v>91</v>
      </c>
      <c r="E25" s="42" t="s">
        <v>92</v>
      </c>
    </row>
    <row r="26" spans="2:10" x14ac:dyDescent="0.25">
      <c r="B26">
        <f>(B29-D29)^2</f>
        <v>142.46142246646761</v>
      </c>
      <c r="C26">
        <f>(C29-E29)^2</f>
        <v>2.3316612569502126</v>
      </c>
      <c r="D26">
        <v>4</v>
      </c>
      <c r="E26">
        <f>D26*((B26+C26)^(0.5))</f>
        <v>48.131999122981433</v>
      </c>
    </row>
    <row r="28" spans="2:10" x14ac:dyDescent="0.25">
      <c r="B28" s="41" t="s">
        <v>65</v>
      </c>
      <c r="C28" s="41" t="s">
        <v>66</v>
      </c>
      <c r="D28" s="41" t="s">
        <v>67</v>
      </c>
      <c r="E28" s="41" t="s">
        <v>68</v>
      </c>
      <c r="F28" s="41" t="s">
        <v>82</v>
      </c>
    </row>
    <row r="29" spans="2:10" x14ac:dyDescent="0.25">
      <c r="B29">
        <v>10.339396830495939</v>
      </c>
      <c r="C29">
        <v>24.772614587279584</v>
      </c>
      <c r="D29">
        <v>22.275117272365698</v>
      </c>
      <c r="E29">
        <v>23.245636769185879</v>
      </c>
      <c r="F29">
        <f>SUM(G20:H24)+E26</f>
        <v>460.00909935046008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32"/>
  <sheetViews>
    <sheetView workbookViewId="0">
      <selection activeCell="P22" sqref="P22"/>
    </sheetView>
  </sheetViews>
  <sheetFormatPr defaultRowHeight="15" x14ac:dyDescent="0.25"/>
  <cols>
    <col min="1" max="11" width="9.140625" style="36"/>
    <col min="12" max="12" width="9.140625" style="25"/>
    <col min="13" max="14" width="9.140625" style="36"/>
  </cols>
  <sheetData>
    <row r="1" spans="2:20" x14ac:dyDescent="0.25">
      <c r="B1" s="40" t="s">
        <v>52</v>
      </c>
      <c r="N1" s="40" t="s">
        <v>76</v>
      </c>
    </row>
    <row r="2" spans="2:20" x14ac:dyDescent="0.25">
      <c r="N2"/>
    </row>
    <row r="3" spans="2:20" x14ac:dyDescent="0.25">
      <c r="B3" s="37" t="s">
        <v>64</v>
      </c>
      <c r="C3" s="37" t="s">
        <v>78</v>
      </c>
      <c r="D3" s="37" t="s">
        <v>77</v>
      </c>
      <c r="E3" s="37" t="s">
        <v>58</v>
      </c>
      <c r="F3" s="37" t="s">
        <v>61</v>
      </c>
      <c r="G3" s="32" t="s">
        <v>62</v>
      </c>
      <c r="H3" s="32" t="s">
        <v>73</v>
      </c>
      <c r="J3" s="32"/>
      <c r="L3" s="39"/>
      <c r="M3" s="32"/>
      <c r="N3" t="s">
        <v>64</v>
      </c>
      <c r="O3" t="s">
        <v>78</v>
      </c>
      <c r="P3" t="s">
        <v>77</v>
      </c>
      <c r="Q3" s="37" t="s">
        <v>58</v>
      </c>
      <c r="R3" s="37" t="s">
        <v>61</v>
      </c>
      <c r="S3" t="s">
        <v>62</v>
      </c>
      <c r="T3" t="s">
        <v>80</v>
      </c>
    </row>
    <row r="4" spans="2:20" x14ac:dyDescent="0.25">
      <c r="B4" s="36">
        <v>1</v>
      </c>
      <c r="C4" s="36">
        <v>1</v>
      </c>
      <c r="D4" s="36">
        <v>1</v>
      </c>
      <c r="E4" s="36">
        <f>ABS($C$18-C4)</f>
        <v>1.3449336710343762</v>
      </c>
      <c r="F4" s="36">
        <f>ABS($D$18-D4)</f>
        <v>2.3449335368029196</v>
      </c>
      <c r="G4" s="36">
        <v>10</v>
      </c>
      <c r="H4" s="32">
        <f>(E4+F4)*G4</f>
        <v>36.898672078372961</v>
      </c>
      <c r="N4">
        <v>1</v>
      </c>
      <c r="O4">
        <v>10</v>
      </c>
      <c r="P4">
        <v>10</v>
      </c>
      <c r="Q4">
        <f>ABS($O$18-O4)</f>
        <v>32.909999999999997</v>
      </c>
      <c r="R4">
        <f>ABS($P$18-P4)</f>
        <v>32.44</v>
      </c>
      <c r="S4">
        <v>1</v>
      </c>
      <c r="T4">
        <f>S4*((O4-$O$18)^2+(P4-$P$18)^2)^(1/2)</f>
        <v>46.210623237519748</v>
      </c>
    </row>
    <row r="5" spans="2:20" x14ac:dyDescent="0.25">
      <c r="B5" s="36">
        <v>2</v>
      </c>
      <c r="C5" s="36">
        <v>6</v>
      </c>
      <c r="D5" s="36">
        <v>2</v>
      </c>
      <c r="E5" s="36">
        <f t="shared" ref="E5:E8" si="0">ABS($C$18-C5)</f>
        <v>3.6550663289656238</v>
      </c>
      <c r="F5" s="36">
        <f t="shared" ref="F5:F8" si="1">ABS($D$18-D5)</f>
        <v>1.3449335368029196</v>
      </c>
      <c r="G5" s="36">
        <v>20</v>
      </c>
      <c r="H5" s="32">
        <f>(E5+F5)*G5</f>
        <v>99.999997315370877</v>
      </c>
      <c r="N5">
        <v>2</v>
      </c>
      <c r="O5">
        <v>80</v>
      </c>
      <c r="P5">
        <v>20</v>
      </c>
      <c r="Q5">
        <f t="shared" ref="Q5:Q13" si="2">ABS($O$18-O5)</f>
        <v>37.090000000000003</v>
      </c>
      <c r="R5">
        <f t="shared" ref="R5:R13" si="3">ABS($P$18-P5)</f>
        <v>22.439999999999998</v>
      </c>
      <c r="S5">
        <v>1</v>
      </c>
      <c r="T5">
        <f t="shared" ref="T5:T13" si="4">S5*((O5-$O$18)^2+(P5-$P$18)^2)^(1/2)</f>
        <v>43.349990772778725</v>
      </c>
    </row>
    <row r="6" spans="2:20" x14ac:dyDescent="0.25">
      <c r="B6" s="36">
        <v>3</v>
      </c>
      <c r="C6" s="36">
        <v>2</v>
      </c>
      <c r="D6" s="36">
        <v>8</v>
      </c>
      <c r="E6" s="36">
        <f t="shared" si="0"/>
        <v>0.34493367103437622</v>
      </c>
      <c r="F6" s="36">
        <f t="shared" si="1"/>
        <v>4.6550664631970804</v>
      </c>
      <c r="G6" s="36">
        <v>20</v>
      </c>
      <c r="H6" s="32">
        <f>(E6+F6)*G6</f>
        <v>100.00000268462912</v>
      </c>
      <c r="N6">
        <v>3</v>
      </c>
      <c r="O6">
        <v>25</v>
      </c>
      <c r="P6">
        <v>85</v>
      </c>
      <c r="Q6">
        <f t="shared" si="2"/>
        <v>17.909999999999997</v>
      </c>
      <c r="R6">
        <f t="shared" si="3"/>
        <v>42.56</v>
      </c>
      <c r="S6">
        <v>1</v>
      </c>
      <c r="T6">
        <f t="shared" si="4"/>
        <v>46.174903356693669</v>
      </c>
    </row>
    <row r="7" spans="2:20" x14ac:dyDescent="0.25">
      <c r="B7" s="36">
        <v>4</v>
      </c>
      <c r="C7" s="36">
        <v>3</v>
      </c>
      <c r="D7" s="36">
        <v>6</v>
      </c>
      <c r="E7" s="36">
        <f t="shared" si="0"/>
        <v>0.65506632896562378</v>
      </c>
      <c r="F7" s="36">
        <f t="shared" si="1"/>
        <v>2.6550664631970804</v>
      </c>
      <c r="G7" s="36">
        <v>0</v>
      </c>
      <c r="H7" s="32">
        <f>(E7+F7)*G7</f>
        <v>0</v>
      </c>
      <c r="N7">
        <v>4</v>
      </c>
      <c r="O7">
        <v>30</v>
      </c>
      <c r="P7">
        <v>60</v>
      </c>
      <c r="Q7">
        <f t="shared" si="2"/>
        <v>12.909999999999997</v>
      </c>
      <c r="R7">
        <f t="shared" si="3"/>
        <v>17.560000000000002</v>
      </c>
      <c r="S7">
        <v>1</v>
      </c>
      <c r="T7">
        <f t="shared" si="4"/>
        <v>21.79499254416023</v>
      </c>
    </row>
    <row r="8" spans="2:20" x14ac:dyDescent="0.25">
      <c r="B8" s="36">
        <v>5</v>
      </c>
      <c r="C8" s="36">
        <v>8</v>
      </c>
      <c r="D8" s="36">
        <v>4</v>
      </c>
      <c r="E8" s="36">
        <f t="shared" si="0"/>
        <v>5.6550663289656242</v>
      </c>
      <c r="F8" s="36">
        <f t="shared" si="1"/>
        <v>0.6550664631970804</v>
      </c>
      <c r="G8" s="36">
        <v>0</v>
      </c>
      <c r="H8" s="32">
        <f>(E8+F8)*G8</f>
        <v>0</v>
      </c>
      <c r="N8">
        <v>5</v>
      </c>
      <c r="O8">
        <v>85</v>
      </c>
      <c r="P8">
        <v>45</v>
      </c>
      <c r="Q8">
        <f t="shared" si="2"/>
        <v>42.09</v>
      </c>
      <c r="R8">
        <f t="shared" si="3"/>
        <v>2.5600000000000023</v>
      </c>
      <c r="S8">
        <v>1</v>
      </c>
      <c r="T8">
        <f t="shared" si="4"/>
        <v>42.167780354199344</v>
      </c>
    </row>
    <row r="9" spans="2:20" x14ac:dyDescent="0.25">
      <c r="N9">
        <v>6</v>
      </c>
      <c r="O9">
        <v>60</v>
      </c>
      <c r="P9">
        <v>15</v>
      </c>
      <c r="Q9">
        <f t="shared" si="2"/>
        <v>17.090000000000003</v>
      </c>
      <c r="R9">
        <f t="shared" si="3"/>
        <v>27.439999999999998</v>
      </c>
      <c r="S9">
        <v>1</v>
      </c>
      <c r="T9">
        <f t="shared" si="4"/>
        <v>32.326795387108817</v>
      </c>
    </row>
    <row r="10" spans="2:20" x14ac:dyDescent="0.25">
      <c r="B10"/>
      <c r="C10"/>
      <c r="D10"/>
      <c r="E10"/>
      <c r="F10"/>
      <c r="G10"/>
      <c r="N10">
        <v>7</v>
      </c>
      <c r="O10">
        <v>80</v>
      </c>
      <c r="P10">
        <v>70</v>
      </c>
      <c r="Q10">
        <f t="shared" si="2"/>
        <v>37.090000000000003</v>
      </c>
      <c r="R10">
        <f t="shared" si="3"/>
        <v>27.560000000000002</v>
      </c>
      <c r="S10">
        <v>1</v>
      </c>
      <c r="T10">
        <f t="shared" si="4"/>
        <v>46.208459182275277</v>
      </c>
    </row>
    <row r="11" spans="2:20" x14ac:dyDescent="0.25">
      <c r="B11"/>
      <c r="C11"/>
      <c r="D11"/>
      <c r="E11"/>
      <c r="F11"/>
      <c r="G11"/>
      <c r="N11">
        <v>8</v>
      </c>
      <c r="O11">
        <v>25</v>
      </c>
      <c r="P11">
        <v>45</v>
      </c>
      <c r="Q11">
        <f t="shared" si="2"/>
        <v>17.909999999999997</v>
      </c>
      <c r="R11">
        <f t="shared" si="3"/>
        <v>2.5600000000000023</v>
      </c>
      <c r="S11">
        <v>1</v>
      </c>
      <c r="T11">
        <f t="shared" si="4"/>
        <v>18.092034158711947</v>
      </c>
    </row>
    <row r="12" spans="2:20" x14ac:dyDescent="0.25">
      <c r="B12"/>
      <c r="C12"/>
      <c r="D12"/>
      <c r="E12"/>
      <c r="F12"/>
      <c r="G12"/>
      <c r="N12">
        <v>9</v>
      </c>
      <c r="O12">
        <v>30</v>
      </c>
      <c r="P12">
        <v>45</v>
      </c>
      <c r="Q12">
        <f t="shared" si="2"/>
        <v>12.909999999999997</v>
      </c>
      <c r="R12">
        <f t="shared" si="3"/>
        <v>2.5600000000000023</v>
      </c>
      <c r="S12">
        <v>1</v>
      </c>
      <c r="T12">
        <f t="shared" si="4"/>
        <v>13.161371509079133</v>
      </c>
    </row>
    <row r="13" spans="2:20" x14ac:dyDescent="0.25">
      <c r="B13"/>
      <c r="C13"/>
      <c r="D13"/>
      <c r="E13"/>
      <c r="F13"/>
      <c r="G13"/>
      <c r="N13">
        <v>10</v>
      </c>
      <c r="O13">
        <v>45</v>
      </c>
      <c r="P13">
        <v>25</v>
      </c>
      <c r="Q13">
        <f t="shared" si="2"/>
        <v>2.0900000000000034</v>
      </c>
      <c r="R13">
        <f t="shared" si="3"/>
        <v>17.439999999999998</v>
      </c>
      <c r="S13">
        <v>1</v>
      </c>
      <c r="T13">
        <f t="shared" si="4"/>
        <v>17.564785794310158</v>
      </c>
    </row>
    <row r="15" spans="2:20" x14ac:dyDescent="0.25">
      <c r="F15"/>
    </row>
    <row r="17" spans="2:18" x14ac:dyDescent="0.25">
      <c r="C17" s="13" t="s">
        <v>65</v>
      </c>
      <c r="D17" s="13" t="s">
        <v>66</v>
      </c>
      <c r="E17" s="38" t="s">
        <v>72</v>
      </c>
      <c r="F17"/>
      <c r="O17" s="13" t="s">
        <v>65</v>
      </c>
      <c r="P17" s="13" t="s">
        <v>66</v>
      </c>
      <c r="Q17" t="s">
        <v>79</v>
      </c>
    </row>
    <row r="18" spans="2:18" x14ac:dyDescent="0.25">
      <c r="C18" s="14">
        <v>2.3449336710343762</v>
      </c>
      <c r="D18" s="14">
        <v>3.3449335368029196</v>
      </c>
      <c r="E18" s="35">
        <f>MAX(H4:H8)</f>
        <v>100.00000268462912</v>
      </c>
      <c r="F18" t="s">
        <v>75</v>
      </c>
      <c r="O18" s="14">
        <v>42.91</v>
      </c>
      <c r="P18" s="14">
        <v>42.44</v>
      </c>
      <c r="Q18" s="35">
        <f>MAX(T4:T13)</f>
        <v>46.210623237519748</v>
      </c>
      <c r="R18" t="s">
        <v>75</v>
      </c>
    </row>
    <row r="21" spans="2:18" x14ac:dyDescent="0.25">
      <c r="B21" s="37" t="s">
        <v>64</v>
      </c>
      <c r="C21" s="37" t="s">
        <v>5</v>
      </c>
      <c r="D21" s="37" t="s">
        <v>47</v>
      </c>
      <c r="E21" s="37" t="s">
        <v>58</v>
      </c>
      <c r="F21" s="37" t="s">
        <v>61</v>
      </c>
      <c r="G21" s="37" t="s">
        <v>59</v>
      </c>
      <c r="H21" s="37" t="s">
        <v>60</v>
      </c>
      <c r="I21" s="32" t="s">
        <v>62</v>
      </c>
      <c r="J21" s="32" t="s">
        <v>63</v>
      </c>
      <c r="K21" s="32" t="s">
        <v>73</v>
      </c>
      <c r="L21" s="39" t="s">
        <v>74</v>
      </c>
    </row>
    <row r="22" spans="2:18" x14ac:dyDescent="0.25">
      <c r="B22" s="36">
        <v>1</v>
      </c>
      <c r="C22" s="36">
        <v>1</v>
      </c>
      <c r="D22" s="36">
        <v>1</v>
      </c>
      <c r="E22" s="36">
        <f>ABS($C$32-C22)</f>
        <v>1.0699999999999998</v>
      </c>
      <c r="F22" s="36">
        <f>ABS($D$32-D22)</f>
        <v>2.0699999999999998</v>
      </c>
      <c r="G22" s="36">
        <f>ABS($E$32-C22)</f>
        <v>6.02</v>
      </c>
      <c r="H22" s="36">
        <f>ABS($F$32-D22)</f>
        <v>5.49</v>
      </c>
      <c r="I22" s="36">
        <v>10</v>
      </c>
      <c r="J22" s="36">
        <v>0</v>
      </c>
      <c r="K22" s="32">
        <f>(E22+F22)*I22</f>
        <v>31.4</v>
      </c>
      <c r="L22" s="25">
        <f>J22*(G22+H22)</f>
        <v>0</v>
      </c>
    </row>
    <row r="23" spans="2:18" x14ac:dyDescent="0.25">
      <c r="B23" s="36">
        <v>2</v>
      </c>
      <c r="C23" s="36">
        <v>6</v>
      </c>
      <c r="D23" s="36">
        <v>2</v>
      </c>
      <c r="E23" s="36">
        <f>ABS($C$32-C23)</f>
        <v>3.93</v>
      </c>
      <c r="F23" s="36">
        <f>ABS($D$32-D23)</f>
        <v>1.0699999999999998</v>
      </c>
      <c r="G23" s="36">
        <f>ABS($E$32-C23)</f>
        <v>1.0199999999999996</v>
      </c>
      <c r="H23" s="36">
        <f>ABS($F$32-D23)</f>
        <v>4.49</v>
      </c>
      <c r="I23" s="36">
        <v>20</v>
      </c>
      <c r="J23" s="36">
        <v>0</v>
      </c>
      <c r="K23" s="32">
        <f>(E23+F23)*I23</f>
        <v>100</v>
      </c>
      <c r="L23" s="25">
        <f t="shared" ref="L23:L26" si="5">J23*(G23+H23)</f>
        <v>0</v>
      </c>
    </row>
    <row r="24" spans="2:18" x14ac:dyDescent="0.25">
      <c r="B24" s="36">
        <v>3</v>
      </c>
      <c r="C24" s="36">
        <v>2</v>
      </c>
      <c r="D24" s="36">
        <v>8</v>
      </c>
      <c r="E24" s="36">
        <f>ABS($C$32-C24)</f>
        <v>6.999999999999984E-2</v>
      </c>
      <c r="F24" s="36">
        <f>ABS($D$32-D24)</f>
        <v>4.93</v>
      </c>
      <c r="G24" s="36">
        <f>ABS($E$32-C24)</f>
        <v>5.0199999999999996</v>
      </c>
      <c r="H24" s="36">
        <f>ABS($F$32-D24)</f>
        <v>1.5099999999999998</v>
      </c>
      <c r="I24" s="36">
        <v>20</v>
      </c>
      <c r="J24" s="36">
        <v>5</v>
      </c>
      <c r="K24" s="32">
        <f t="shared" ref="K24:K26" si="6">(E24+F24)*I24</f>
        <v>100</v>
      </c>
      <c r="L24" s="25">
        <f t="shared" si="5"/>
        <v>32.65</v>
      </c>
    </row>
    <row r="25" spans="2:18" x14ac:dyDescent="0.25">
      <c r="B25" s="36">
        <v>4</v>
      </c>
      <c r="C25" s="36">
        <v>3</v>
      </c>
      <c r="D25" s="36">
        <v>6</v>
      </c>
      <c r="E25" s="36">
        <f>ABS($C$32-C25)</f>
        <v>0.93000000000000016</v>
      </c>
      <c r="F25" s="36">
        <f>ABS($D$32-D25)</f>
        <v>2.93</v>
      </c>
      <c r="G25" s="36">
        <f>ABS($E$32-C25)</f>
        <v>4.0199999999999996</v>
      </c>
      <c r="H25" s="36">
        <f>ABS($F$32-D25)</f>
        <v>0.49000000000000021</v>
      </c>
      <c r="I25" s="36">
        <v>0</v>
      </c>
      <c r="J25" s="36">
        <v>20</v>
      </c>
      <c r="K25" s="32">
        <f t="shared" si="6"/>
        <v>0</v>
      </c>
      <c r="L25" s="25">
        <f t="shared" si="5"/>
        <v>90.199999999999989</v>
      </c>
    </row>
    <row r="26" spans="2:18" x14ac:dyDescent="0.25">
      <c r="B26" s="36">
        <v>5</v>
      </c>
      <c r="C26" s="36">
        <v>8</v>
      </c>
      <c r="D26" s="36">
        <v>4</v>
      </c>
      <c r="E26" s="36">
        <f>ABS($C$32-C26)</f>
        <v>5.93</v>
      </c>
      <c r="F26" s="36">
        <f>ABS($D$32-D26)</f>
        <v>0.93000000000000016</v>
      </c>
      <c r="G26" s="36">
        <f>ABS($E$32-C26)</f>
        <v>0.98000000000000043</v>
      </c>
      <c r="H26" s="36">
        <f>ABS($F$32-D26)</f>
        <v>2.4900000000000002</v>
      </c>
      <c r="I26" s="36">
        <v>0</v>
      </c>
      <c r="J26" s="36">
        <v>25</v>
      </c>
      <c r="K26" s="32">
        <f t="shared" si="6"/>
        <v>0</v>
      </c>
      <c r="L26" s="25">
        <f t="shared" si="5"/>
        <v>86.750000000000014</v>
      </c>
    </row>
    <row r="28" spans="2:18" x14ac:dyDescent="0.25">
      <c r="C28" s="36" t="s">
        <v>69</v>
      </c>
      <c r="D28" s="36" t="s">
        <v>70</v>
      </c>
      <c r="E28" s="36" t="s">
        <v>71</v>
      </c>
    </row>
    <row r="29" spans="2:18" x14ac:dyDescent="0.25">
      <c r="C29" s="36">
        <f>ABS(C32-E32)</f>
        <v>4.9499999999999993</v>
      </c>
      <c r="D29" s="36">
        <f>ABS(D32-F32)</f>
        <v>3.4200000000000004</v>
      </c>
      <c r="E29" s="36">
        <v>10</v>
      </c>
      <c r="F29" s="38"/>
    </row>
    <row r="31" spans="2:18" x14ac:dyDescent="0.25">
      <c r="C31" s="13" t="s">
        <v>65</v>
      </c>
      <c r="D31" s="13" t="s">
        <v>66</v>
      </c>
      <c r="E31" s="13" t="s">
        <v>67</v>
      </c>
      <c r="F31" s="13" t="s">
        <v>68</v>
      </c>
      <c r="G31" s="38" t="s">
        <v>72</v>
      </c>
    </row>
    <row r="32" spans="2:18" x14ac:dyDescent="0.25">
      <c r="C32" s="14">
        <v>2.0699999999999998</v>
      </c>
      <c r="D32" s="14">
        <v>3.07</v>
      </c>
      <c r="E32" s="14">
        <v>7.02</v>
      </c>
      <c r="F32" s="14">
        <v>6.49</v>
      </c>
      <c r="G32" s="35">
        <f>MAX(K22:L26)</f>
        <v>100</v>
      </c>
      <c r="H32" s="36" t="s">
        <v>75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activeCell="L29" sqref="L29"/>
    </sheetView>
  </sheetViews>
  <sheetFormatPr defaultRowHeight="15" x14ac:dyDescent="0.25"/>
  <cols>
    <col min="2" max="2" width="10" bestFit="1" customWidth="1"/>
  </cols>
  <sheetData>
    <row r="1" ht="83.25" customHeigh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5" r:id="rId4" name="Button 3">
              <controlPr defaultSize="0" print="0" autoFill="0" autoPict="0" macro="[0]!Module8.Tree">
                <anchor moveWithCells="1" sizeWithCells="1">
                  <from>
                    <xdr:col>0</xdr:col>
                    <xdr:colOff>0</xdr:colOff>
                    <xdr:row>0</xdr:row>
                    <xdr:rowOff>9525</xdr:rowOff>
                  </from>
                  <to>
                    <xdr:col>1</xdr:col>
                    <xdr:colOff>323850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5" name="Button 4">
              <controlPr defaultSize="0" print="0" autoFill="0" autoPict="0" macro="[0]!Module1.clear_fmt">
                <anchor moveWithCells="1" sizeWithCells="1">
                  <from>
                    <xdr:col>0</xdr:col>
                    <xdr:colOff>76200</xdr:colOff>
                    <xdr:row>0</xdr:row>
                    <xdr:rowOff>552450</xdr:rowOff>
                  </from>
                  <to>
                    <xdr:col>1</xdr:col>
                    <xdr:colOff>276225</xdr:colOff>
                    <xdr:row>0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1"/>
  <sheetViews>
    <sheetView zoomScale="85" zoomScaleNormal="85" workbookViewId="0">
      <selection activeCell="D5" sqref="D5"/>
    </sheetView>
  </sheetViews>
  <sheetFormatPr defaultRowHeight="15" x14ac:dyDescent="0.25"/>
  <cols>
    <col min="3" max="17" width="4.7109375" customWidth="1"/>
  </cols>
  <sheetData>
    <row r="1" spans="1:18" x14ac:dyDescent="0.25">
      <c r="K1">
        <v>125</v>
      </c>
      <c r="L1">
        <v>25</v>
      </c>
      <c r="M1">
        <v>5</v>
      </c>
      <c r="N1">
        <v>1</v>
      </c>
      <c r="O1">
        <v>0</v>
      </c>
      <c r="P1">
        <v>-125</v>
      </c>
    </row>
    <row r="2" spans="1:18" x14ac:dyDescent="0.25"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 t="s">
        <v>0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Q2" t="s">
        <v>6</v>
      </c>
    </row>
    <row r="3" spans="1:18" x14ac:dyDescent="0.25">
      <c r="A3">
        <v>1</v>
      </c>
      <c r="C3" t="s">
        <v>0</v>
      </c>
      <c r="D3" t="s">
        <v>0</v>
      </c>
      <c r="E3" t="s">
        <v>1</v>
      </c>
      <c r="F3" t="s">
        <v>3</v>
      </c>
      <c r="G3" t="s">
        <v>4</v>
      </c>
      <c r="H3" t="s">
        <v>4</v>
      </c>
      <c r="I3" t="s">
        <v>0</v>
      </c>
      <c r="J3" t="s">
        <v>3</v>
      </c>
      <c r="K3" s="1">
        <f>COUNTIF(B3:J3,"A")</f>
        <v>3</v>
      </c>
      <c r="L3" s="1">
        <f>COUNTIF(B3:J3,"E")</f>
        <v>1</v>
      </c>
      <c r="M3" s="1">
        <f>COUNTIF(B3:J3,"I")</f>
        <v>0</v>
      </c>
      <c r="N3" s="1">
        <f>COUNTIF(B3:J3,"O")</f>
        <v>2</v>
      </c>
      <c r="O3" s="1">
        <f>COUNTIF(B3:J3,"U")</f>
        <v>2</v>
      </c>
      <c r="P3" s="2">
        <f>COUNTIF(B3:J3,"X")</f>
        <v>0</v>
      </c>
      <c r="Q3">
        <f t="shared" ref="Q3:Q11" si="0">K3*$K$1+L3*$L$1+M3*$M$1+N3*$N$1+O3*$O$1+P3*$P$1</f>
        <v>402</v>
      </c>
    </row>
    <row r="4" spans="1:18" x14ac:dyDescent="0.25">
      <c r="A4">
        <v>2</v>
      </c>
      <c r="B4" t="s">
        <v>0</v>
      </c>
      <c r="D4" t="s">
        <v>1</v>
      </c>
      <c r="E4" t="s">
        <v>0</v>
      </c>
      <c r="F4" t="s">
        <v>4</v>
      </c>
      <c r="G4" t="s">
        <v>3</v>
      </c>
      <c r="H4" t="s">
        <v>4</v>
      </c>
      <c r="I4" t="s">
        <v>1</v>
      </c>
      <c r="J4" t="s">
        <v>4</v>
      </c>
      <c r="K4" s="1">
        <f t="shared" ref="K4:K11" si="1">COUNTIF(B4:J4,"A")</f>
        <v>2</v>
      </c>
      <c r="L4" s="1">
        <f t="shared" ref="L4:L11" si="2">COUNTIF(B4:J4,"E")</f>
        <v>2</v>
      </c>
      <c r="M4" s="1">
        <f t="shared" ref="M4:M11" si="3">COUNTIF(B4:J4,"I")</f>
        <v>0</v>
      </c>
      <c r="N4" s="1">
        <f t="shared" ref="N4:N11" si="4">COUNTIF(B4:J4,"O")</f>
        <v>1</v>
      </c>
      <c r="O4" s="1">
        <f t="shared" ref="O4:O11" si="5">COUNTIF(B4:J4,"U")</f>
        <v>3</v>
      </c>
      <c r="P4" s="2">
        <f t="shared" ref="P4:P11" si="6">COUNTIF(B4:J4,"X")</f>
        <v>0</v>
      </c>
      <c r="Q4">
        <f t="shared" si="0"/>
        <v>301</v>
      </c>
    </row>
    <row r="5" spans="1:18" x14ac:dyDescent="0.25">
      <c r="A5">
        <v>3</v>
      </c>
      <c r="B5" t="str">
        <f>D3</f>
        <v>A</v>
      </c>
      <c r="C5" t="s">
        <v>1</v>
      </c>
      <c r="E5" t="s">
        <v>1</v>
      </c>
      <c r="F5" t="s">
        <v>0</v>
      </c>
      <c r="G5" t="s">
        <v>4</v>
      </c>
      <c r="H5" t="s">
        <v>4</v>
      </c>
      <c r="I5" t="s">
        <v>1</v>
      </c>
      <c r="J5" t="s">
        <v>0</v>
      </c>
      <c r="K5" s="1">
        <f t="shared" si="1"/>
        <v>3</v>
      </c>
      <c r="L5" s="1">
        <f t="shared" si="2"/>
        <v>3</v>
      </c>
      <c r="M5" s="1">
        <f t="shared" si="3"/>
        <v>0</v>
      </c>
      <c r="N5" s="1">
        <f t="shared" si="4"/>
        <v>0</v>
      </c>
      <c r="O5" s="1">
        <f t="shared" si="5"/>
        <v>2</v>
      </c>
      <c r="P5" s="2">
        <f t="shared" si="6"/>
        <v>0</v>
      </c>
      <c r="Q5">
        <f t="shared" si="0"/>
        <v>450</v>
      </c>
      <c r="R5">
        <v>2</v>
      </c>
    </row>
    <row r="6" spans="1:18" x14ac:dyDescent="0.25">
      <c r="A6">
        <v>4</v>
      </c>
      <c r="B6" t="s">
        <v>1</v>
      </c>
      <c r="C6" t="s">
        <v>0</v>
      </c>
      <c r="D6" t="s">
        <v>1</v>
      </c>
      <c r="F6" t="s">
        <v>1</v>
      </c>
      <c r="G6" t="s">
        <v>3</v>
      </c>
      <c r="H6" t="s">
        <v>0</v>
      </c>
      <c r="I6" t="s">
        <v>1</v>
      </c>
      <c r="J6" t="s">
        <v>4</v>
      </c>
      <c r="K6" s="1">
        <f t="shared" si="1"/>
        <v>2</v>
      </c>
      <c r="L6" s="1">
        <f t="shared" si="2"/>
        <v>4</v>
      </c>
      <c r="M6" s="1">
        <f t="shared" si="3"/>
        <v>0</v>
      </c>
      <c r="N6" s="1">
        <f t="shared" si="4"/>
        <v>1</v>
      </c>
      <c r="O6" s="1">
        <f t="shared" si="5"/>
        <v>1</v>
      </c>
      <c r="P6" s="2">
        <f t="shared" si="6"/>
        <v>0</v>
      </c>
      <c r="Q6">
        <f t="shared" si="0"/>
        <v>351</v>
      </c>
      <c r="R6">
        <v>6</v>
      </c>
    </row>
    <row r="7" spans="1:18" x14ac:dyDescent="0.25">
      <c r="A7">
        <v>5</v>
      </c>
      <c r="B7" t="s">
        <v>3</v>
      </c>
      <c r="C7" t="s">
        <v>4</v>
      </c>
      <c r="D7" t="s">
        <v>0</v>
      </c>
      <c r="E7" t="s">
        <v>1</v>
      </c>
      <c r="G7" t="s">
        <v>0</v>
      </c>
      <c r="H7" t="s">
        <v>0</v>
      </c>
      <c r="I7" t="s">
        <v>3</v>
      </c>
      <c r="J7" t="s">
        <v>0</v>
      </c>
      <c r="K7" s="1">
        <f t="shared" si="1"/>
        <v>4</v>
      </c>
      <c r="L7" s="1">
        <f t="shared" si="2"/>
        <v>1</v>
      </c>
      <c r="M7" s="1">
        <f t="shared" si="3"/>
        <v>0</v>
      </c>
      <c r="N7" s="1">
        <f t="shared" si="4"/>
        <v>2</v>
      </c>
      <c r="O7" s="1">
        <f t="shared" si="5"/>
        <v>1</v>
      </c>
      <c r="P7" s="2">
        <f t="shared" si="6"/>
        <v>0</v>
      </c>
      <c r="Q7">
        <f t="shared" si="0"/>
        <v>527</v>
      </c>
      <c r="R7">
        <v>1</v>
      </c>
    </row>
    <row r="8" spans="1:18" x14ac:dyDescent="0.25">
      <c r="A8">
        <v>6</v>
      </c>
      <c r="B8" t="s">
        <v>4</v>
      </c>
      <c r="C8" t="s">
        <v>3</v>
      </c>
      <c r="D8" t="s">
        <v>4</v>
      </c>
      <c r="E8" t="s">
        <v>3</v>
      </c>
      <c r="F8" t="s">
        <v>0</v>
      </c>
      <c r="H8" t="s">
        <v>0</v>
      </c>
      <c r="I8" t="s">
        <v>3</v>
      </c>
      <c r="J8" t="s">
        <v>3</v>
      </c>
      <c r="K8" s="1">
        <f t="shared" si="1"/>
        <v>2</v>
      </c>
      <c r="L8" s="1">
        <f t="shared" si="2"/>
        <v>0</v>
      </c>
      <c r="M8" s="1">
        <f t="shared" si="3"/>
        <v>0</v>
      </c>
      <c r="N8" s="1">
        <f t="shared" si="4"/>
        <v>4</v>
      </c>
      <c r="O8" s="1">
        <f t="shared" si="5"/>
        <v>2</v>
      </c>
      <c r="P8" s="2">
        <f t="shared" si="6"/>
        <v>0</v>
      </c>
      <c r="Q8">
        <f t="shared" si="0"/>
        <v>254</v>
      </c>
      <c r="R8">
        <v>5</v>
      </c>
    </row>
    <row r="9" spans="1:18" x14ac:dyDescent="0.25">
      <c r="A9">
        <v>7</v>
      </c>
      <c r="B9" t="s">
        <v>4</v>
      </c>
      <c r="C9" t="s">
        <v>4</v>
      </c>
      <c r="D9" t="s">
        <v>4</v>
      </c>
      <c r="E9" t="s">
        <v>0</v>
      </c>
      <c r="F9" t="s">
        <v>0</v>
      </c>
      <c r="G9" t="s">
        <v>0</v>
      </c>
      <c r="I9" t="s">
        <v>5</v>
      </c>
      <c r="J9" t="s">
        <v>0</v>
      </c>
      <c r="K9" s="1">
        <f t="shared" si="1"/>
        <v>4</v>
      </c>
      <c r="L9" s="1">
        <f t="shared" si="2"/>
        <v>0</v>
      </c>
      <c r="M9" s="1">
        <f t="shared" si="3"/>
        <v>0</v>
      </c>
      <c r="N9" s="1">
        <f t="shared" si="4"/>
        <v>0</v>
      </c>
      <c r="O9" s="1">
        <f t="shared" si="5"/>
        <v>3</v>
      </c>
      <c r="P9" s="2">
        <f t="shared" si="6"/>
        <v>1</v>
      </c>
      <c r="Q9">
        <f t="shared" si="0"/>
        <v>375</v>
      </c>
    </row>
    <row r="10" spans="1:18" x14ac:dyDescent="0.25">
      <c r="A10">
        <v>8</v>
      </c>
      <c r="B10" t="s">
        <v>0</v>
      </c>
      <c r="C10" t="s">
        <v>1</v>
      </c>
      <c r="D10" t="s">
        <v>1</v>
      </c>
      <c r="E10" t="s">
        <v>1</v>
      </c>
      <c r="F10" t="s">
        <v>3</v>
      </c>
      <c r="G10" t="s">
        <v>3</v>
      </c>
      <c r="H10" t="s">
        <v>5</v>
      </c>
      <c r="J10" t="s">
        <v>5</v>
      </c>
      <c r="K10" s="1">
        <f t="shared" si="1"/>
        <v>1</v>
      </c>
      <c r="L10" s="1">
        <f t="shared" si="2"/>
        <v>3</v>
      </c>
      <c r="M10" s="1">
        <f t="shared" si="3"/>
        <v>0</v>
      </c>
      <c r="N10" s="1">
        <f t="shared" si="4"/>
        <v>2</v>
      </c>
      <c r="O10" s="1">
        <f t="shared" si="5"/>
        <v>0</v>
      </c>
      <c r="P10" s="2">
        <f t="shared" si="6"/>
        <v>2</v>
      </c>
      <c r="Q10">
        <f t="shared" si="0"/>
        <v>-48</v>
      </c>
    </row>
    <row r="11" spans="1:18" x14ac:dyDescent="0.25">
      <c r="A11">
        <v>9</v>
      </c>
      <c r="B11" t="s">
        <v>3</v>
      </c>
      <c r="C11" t="s">
        <v>4</v>
      </c>
      <c r="D11" t="s">
        <v>0</v>
      </c>
      <c r="E11" t="s">
        <v>4</v>
      </c>
      <c r="F11" t="s">
        <v>0</v>
      </c>
      <c r="G11" t="s">
        <v>3</v>
      </c>
      <c r="H11" t="s">
        <v>0</v>
      </c>
      <c r="I11" t="s">
        <v>5</v>
      </c>
      <c r="K11" s="1">
        <f t="shared" si="1"/>
        <v>3</v>
      </c>
      <c r="L11" s="1">
        <f t="shared" si="2"/>
        <v>0</v>
      </c>
      <c r="M11" s="1">
        <f t="shared" si="3"/>
        <v>0</v>
      </c>
      <c r="N11" s="1">
        <f t="shared" si="4"/>
        <v>2</v>
      </c>
      <c r="O11" s="1">
        <f t="shared" si="5"/>
        <v>2</v>
      </c>
      <c r="P11" s="2">
        <f t="shared" si="6"/>
        <v>1</v>
      </c>
      <c r="Q11">
        <f t="shared" si="0"/>
        <v>252</v>
      </c>
      <c r="R11">
        <v>3</v>
      </c>
    </row>
  </sheetData>
  <conditionalFormatting sqref="C3:J11">
    <cfRule type="cellIs" dxfId="0" priority="1" operator="equal">
      <formula>"A"</formula>
    </cfRule>
  </conditionalFormatting>
  <conditionalFormatting sqref="Q1:Q11 R14:R1048576 Q1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Calc of Prod Req</vt:lpstr>
      <vt:lpstr>Equip Frac</vt:lpstr>
      <vt:lpstr>Flow Between</vt:lpstr>
      <vt:lpstr>CRAFT</vt:lpstr>
      <vt:lpstr>CORELAP</vt:lpstr>
      <vt:lpstr>Multiple</vt:lpstr>
      <vt:lpstr>Storage</vt:lpstr>
      <vt:lpstr>Conveyor</vt:lpstr>
      <vt:lpstr>AS_RS</vt:lpstr>
      <vt:lpstr>Minisum</vt:lpstr>
      <vt:lpstr>minisum2</vt:lpstr>
      <vt:lpstr>Minimax</vt:lpstr>
      <vt:lpstr>Tree Thing</vt:lpstr>
      <vt:lpstr>Test</vt:lpstr>
    </vt:vector>
  </TitlesOfParts>
  <Company>Dwight Look College of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Zapata, Joel Eric</dc:creator>
  <cp:lastModifiedBy>Zapata, Joel Eric</cp:lastModifiedBy>
  <dcterms:created xsi:type="dcterms:W3CDTF">2018-10-02T19:56:10Z</dcterms:created>
  <dcterms:modified xsi:type="dcterms:W3CDTF">2018-12-14T01:07:40Z</dcterms:modified>
</cp:coreProperties>
</file>