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6_Semestre\Control_II\Laboratorio\3_Diseño_de_control_PI_para_velocidad_de_Motor_DC\1_Diseño\"/>
    </mc:Choice>
  </mc:AlternateContent>
  <xr:revisionPtr revIDLastSave="0" documentId="13_ncr:1_{A6B93476-1E67-409F-983B-DE2434E8E7BB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Hoja1" sheetId="1" r:id="rId1"/>
  </sheets>
  <definedNames>
    <definedName name="a">Hoja1!#REF!</definedName>
    <definedName name="cap">Hoja1!$D$26</definedName>
    <definedName name="res">Hoja1!$C$30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G48" i="1"/>
  <c r="I66" i="1"/>
  <c r="D60" i="1"/>
  <c r="G52" i="1"/>
  <c r="C56" i="1" s="1"/>
  <c r="C45" i="1"/>
  <c r="E45" i="1" s="1"/>
  <c r="H45" i="1"/>
  <c r="G45" i="1"/>
  <c r="I40" i="1"/>
  <c r="D26" i="1"/>
  <c r="H6" i="1"/>
  <c r="I6" i="1" s="1"/>
  <c r="J6" i="1" s="1"/>
  <c r="H7" i="1"/>
  <c r="I7" i="1" s="1"/>
  <c r="J7" i="1" s="1"/>
  <c r="H8" i="1"/>
  <c r="I8" i="1" s="1"/>
  <c r="J8" i="1" s="1"/>
  <c r="H9" i="1"/>
  <c r="I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5" i="1"/>
  <c r="I5" i="1" s="1"/>
  <c r="J5" i="1" s="1"/>
  <c r="M5" i="1"/>
  <c r="M22" i="1"/>
  <c r="C22" i="1"/>
  <c r="D22" i="1" s="1"/>
  <c r="M21" i="1"/>
  <c r="C21" i="1"/>
  <c r="D21" i="1" s="1"/>
  <c r="M20" i="1"/>
  <c r="C20" i="1"/>
  <c r="D20" i="1" s="1"/>
  <c r="M19" i="1"/>
  <c r="C19" i="1"/>
  <c r="D19" i="1" s="1"/>
  <c r="M18" i="1"/>
  <c r="C18" i="1"/>
  <c r="D18" i="1" s="1"/>
  <c r="M17" i="1"/>
  <c r="C17" i="1"/>
  <c r="D17" i="1" s="1"/>
  <c r="M16" i="1"/>
  <c r="C16" i="1"/>
  <c r="D16" i="1" s="1"/>
  <c r="M15" i="1"/>
  <c r="C15" i="1"/>
  <c r="D15" i="1" s="1"/>
  <c r="M14" i="1"/>
  <c r="C14" i="1"/>
  <c r="D14" i="1" s="1"/>
  <c r="M13" i="1"/>
  <c r="C13" i="1"/>
  <c r="D13" i="1" s="1"/>
  <c r="M12" i="1"/>
  <c r="C12" i="1"/>
  <c r="D12" i="1" s="1"/>
  <c r="M11" i="1"/>
  <c r="C11" i="1"/>
  <c r="D11" i="1" s="1"/>
  <c r="M10" i="1"/>
  <c r="C10" i="1"/>
  <c r="D10" i="1" s="1"/>
  <c r="M9" i="1"/>
  <c r="C9" i="1"/>
  <c r="D9" i="1" s="1"/>
  <c r="M8" i="1"/>
  <c r="C8" i="1"/>
  <c r="D8" i="1" s="1"/>
  <c r="M7" i="1"/>
  <c r="C7" i="1"/>
  <c r="D7" i="1" s="1"/>
  <c r="M6" i="1"/>
  <c r="C6" i="1"/>
  <c r="D6" i="1" s="1"/>
  <c r="C5" i="1"/>
  <c r="D5" i="1" s="1"/>
  <c r="I45" i="1" l="1"/>
  <c r="H48" i="1" s="1"/>
  <c r="N13" i="1"/>
  <c r="J9" i="1"/>
  <c r="C26" i="1"/>
  <c r="C30" i="1" s="1"/>
  <c r="N8" i="1"/>
  <c r="N9" i="1"/>
  <c r="N21" i="1"/>
  <c r="N5" i="1"/>
  <c r="N17" i="1"/>
  <c r="N6" i="1"/>
  <c r="N10" i="1"/>
  <c r="N14" i="1"/>
  <c r="N18" i="1"/>
  <c r="N7" i="1"/>
  <c r="N11" i="1"/>
  <c r="N15" i="1"/>
  <c r="N20" i="1"/>
  <c r="N12" i="1"/>
  <c r="N16" i="1"/>
  <c r="N22" i="1"/>
  <c r="N19" i="1"/>
  <c r="C52" i="1" l="1"/>
  <c r="E60" i="1"/>
</calcChain>
</file>

<file path=xl/sharedStrings.xml><?xml version="1.0" encoding="utf-8"?>
<sst xmlns="http://schemas.openxmlformats.org/spreadsheetml/2006/main" count="71" uniqueCount="56">
  <si>
    <t>Cp</t>
  </si>
  <si>
    <t>w [rad/s]</t>
  </si>
  <si>
    <t>f [Hz]</t>
  </si>
  <si>
    <t>T [s]</t>
  </si>
  <si>
    <t>A [V]</t>
  </si>
  <si>
    <t>B/A</t>
  </si>
  <si>
    <t>t_phi[s]</t>
  </si>
  <si>
    <t>phi[°]</t>
  </si>
  <si>
    <t>B/A [dB]</t>
  </si>
  <si>
    <t>Y_min [rad/s)</t>
  </si>
  <si>
    <t>Y_max [rad/s)</t>
  </si>
  <si>
    <t>Ganancia</t>
  </si>
  <si>
    <t>Fase</t>
  </si>
  <si>
    <t>B [rad/s]</t>
  </si>
  <si>
    <t>ω</t>
  </si>
  <si>
    <r>
      <t xml:space="preserve">Ck = B/A </t>
    </r>
    <r>
      <rPr>
        <sz val="11"/>
        <color theme="0"/>
        <rFont val="Aptos Narrow"/>
        <family val="2"/>
      </rPr>
      <t>√(Cp^2+</t>
    </r>
    <r>
      <rPr>
        <sz val="11"/>
        <color theme="0"/>
        <rFont val="Aptos Narrow"/>
        <family val="2"/>
        <scheme val="minor"/>
      </rPr>
      <t>ω^2)</t>
    </r>
  </si>
  <si>
    <t>2. Con los datos obtenidos calcular Ck para completar nuestra funcion de transferencia</t>
  </si>
  <si>
    <t>RESPUESTA EN FRECUENCIA PRACTICA DE UN MOTOR DE CORRIENTE DIRECTA</t>
  </si>
  <si>
    <t>T_A</t>
  </si>
  <si>
    <t>T_B</t>
  </si>
  <si>
    <t>1. A partir de la respuesta en frecuencia de nuestro sistema sin compensar. Obtenemos Cp como la frecuencia de corte en radianes</t>
  </si>
  <si>
    <t>Margen de fase</t>
  </si>
  <si>
    <t>Respuesta en frecuencia</t>
  </si>
  <si>
    <t>Respuesta en el tiempo</t>
  </si>
  <si>
    <t>t_r [s] (Tiempo de levantamiento)</t>
  </si>
  <si>
    <t>% de sobrepaso</t>
  </si>
  <si>
    <t>B_max</t>
  </si>
  <si>
    <t>A (En B_max)</t>
  </si>
  <si>
    <t>ω_1 [rad/s]</t>
  </si>
  <si>
    <t>Se nos solicita</t>
  </si>
  <si>
    <t>DISEÑO DEL CONTROLADOR</t>
  </si>
  <si>
    <t>Kp</t>
  </si>
  <si>
    <t>Ki</t>
  </si>
  <si>
    <t>t_ra [s]</t>
  </si>
  <si>
    <t>t_rd [s]</t>
  </si>
  <si>
    <t>ω_1a [rad/s]</t>
  </si>
  <si>
    <t>ω_1d [rad/s]</t>
  </si>
  <si>
    <t>t_ra  / t_rd</t>
  </si>
  <si>
    <t>Obtenemos el ω_1 que debemos obtener</t>
  </si>
  <si>
    <t>4.2 Compensar tiempo de levantamiento</t>
  </si>
  <si>
    <t>4.1 Compensar % de sobrepaso</t>
  </si>
  <si>
    <t>Kf [°]</t>
  </si>
  <si>
    <t>Kfa [°]</t>
  </si>
  <si>
    <t>Kfd [°]</t>
  </si>
  <si>
    <t>Φc [°]</t>
  </si>
  <si>
    <t>3. Realizando respuesta en frecuencia (Bode) y respuesta en el tiempo de nuestro sistema compensado en MATLAB. Obtenemos los siguientes datos:</t>
  </si>
  <si>
    <t xml:space="preserve">t_r [s] </t>
  </si>
  <si>
    <t>Ganancias iniciales propuestas</t>
  </si>
  <si>
    <t>Fase (Abs)</t>
  </si>
  <si>
    <t>K_fd [°]</t>
  </si>
  <si>
    <t>ω_nh [rad/s]</t>
  </si>
  <si>
    <t>Ganancia [dB]</t>
  </si>
  <si>
    <t>b</t>
  </si>
  <si>
    <t>6  Realizar bode del  compensador normalizado y buscar la fase obtenida</t>
  </si>
  <si>
    <t>7. Obtenemos respuesta en del nuevo sistema compensado</t>
  </si>
  <si>
    <t>5.1  Realizar bode del sistema sin compesar y recoger datos de ω_1d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</si>
</sst>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00"/>
    <numFmt numFmtId="167" formatCode="0.0000"/>
    <numFmt numFmtId="168" formatCode="_-* #,##0.000_-;\-* #,##0.0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65" fontId="0" fillId="0" borderId="0" xfId="0" applyNumberFormat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43" fontId="0" fillId="3" borderId="1" xfId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0" fontId="0" fillId="5" borderId="1" xfId="1" applyNumberFormat="1" applyFont="1" applyFill="1" applyBorder="1" applyAlignment="1">
      <alignment horizontal="center" vertical="center"/>
    </xf>
    <xf numFmtId="0" fontId="0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67" fontId="0" fillId="10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0" fillId="3" borderId="1" xfId="0" applyNumberFormat="1" applyFill="1" applyBorder="1"/>
    <xf numFmtId="9" fontId="0" fillId="3" borderId="1" xfId="2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3" fontId="0" fillId="3" borderId="4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9" fontId="0" fillId="3" borderId="9" xfId="2" applyFont="1" applyFill="1" applyBorder="1" applyAlignment="1">
      <alignment horizontal="center" vertical="center"/>
    </xf>
    <xf numFmtId="168" fontId="0" fillId="3" borderId="5" xfId="0" applyNumberFormat="1" applyFill="1" applyBorder="1"/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3" fontId="0" fillId="3" borderId="13" xfId="2" applyNumberFormat="1" applyFont="1" applyFill="1" applyBorder="1" applyAlignment="1">
      <alignment horizontal="center" vertical="center"/>
    </xf>
    <xf numFmtId="43" fontId="0" fillId="3" borderId="11" xfId="2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5" fontId="0" fillId="3" borderId="11" xfId="1" applyNumberFormat="1" applyFont="1" applyFill="1" applyBorder="1" applyAlignment="1">
      <alignment horizontal="center" vertical="center"/>
    </xf>
    <xf numFmtId="168" fontId="0" fillId="3" borderId="13" xfId="2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2:N66"/>
  <sheetViews>
    <sheetView tabSelected="1" topLeftCell="A34" zoomScale="111" zoomScaleNormal="91" workbookViewId="0">
      <selection activeCell="C61" sqref="C61"/>
    </sheetView>
  </sheetViews>
  <sheetFormatPr baseColWidth="10" defaultRowHeight="15" x14ac:dyDescent="0.25"/>
  <cols>
    <col min="2" max="5" width="19.42578125" customWidth="1"/>
    <col min="6" max="8" width="19.42578125" style="4" customWidth="1"/>
    <col min="9" max="14" width="19.42578125" customWidth="1"/>
  </cols>
  <sheetData>
    <row r="2" spans="2:14" x14ac:dyDescent="0.25">
      <c r="B2" s="42" t="s">
        <v>17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2:14" ht="15.75" x14ac:dyDescent="0.25">
      <c r="B3" s="43" t="s">
        <v>1</v>
      </c>
      <c r="C3" s="43" t="s">
        <v>2</v>
      </c>
      <c r="D3" s="45" t="s">
        <v>3</v>
      </c>
      <c r="E3" s="46" t="s">
        <v>11</v>
      </c>
      <c r="F3" s="46"/>
      <c r="G3" s="46"/>
      <c r="H3" s="46"/>
      <c r="I3" s="46"/>
      <c r="J3" s="46"/>
      <c r="K3" s="47" t="s">
        <v>12</v>
      </c>
      <c r="L3" s="47"/>
      <c r="M3" s="47"/>
      <c r="N3" s="47"/>
    </row>
    <row r="4" spans="2:14" x14ac:dyDescent="0.25">
      <c r="B4" s="44"/>
      <c r="C4" s="44"/>
      <c r="D4" s="44"/>
      <c r="E4" s="14" t="s">
        <v>4</v>
      </c>
      <c r="F4" s="14" t="s">
        <v>10</v>
      </c>
      <c r="G4" s="14" t="s">
        <v>9</v>
      </c>
      <c r="H4" s="14" t="s">
        <v>13</v>
      </c>
      <c r="I4" s="14" t="s">
        <v>5</v>
      </c>
      <c r="J4" s="14" t="s">
        <v>8</v>
      </c>
      <c r="K4" s="17" t="s">
        <v>19</v>
      </c>
      <c r="L4" s="17" t="s">
        <v>18</v>
      </c>
      <c r="M4" s="17" t="s">
        <v>6</v>
      </c>
      <c r="N4" s="17" t="s">
        <v>7</v>
      </c>
    </row>
    <row r="5" spans="2:14" x14ac:dyDescent="0.25">
      <c r="B5" s="6">
        <v>0.1</v>
      </c>
      <c r="C5" s="6">
        <f>B5/(2*PI())</f>
        <v>1.5915494309189534E-2</v>
      </c>
      <c r="D5" s="13">
        <f>1/C5</f>
        <v>62.831853071795862</v>
      </c>
      <c r="E5" s="18">
        <v>1</v>
      </c>
      <c r="F5" s="19">
        <v>67.152000000000001</v>
      </c>
      <c r="G5" s="19">
        <v>34.164999999999999</v>
      </c>
      <c r="H5" s="19">
        <f>(F5-G5)/2</f>
        <v>16.493500000000001</v>
      </c>
      <c r="I5" s="20">
        <f>H5/E5</f>
        <v>16.493500000000001</v>
      </c>
      <c r="J5" s="19">
        <f>20*LOG(I5)</f>
        <v>24.346256496027237</v>
      </c>
      <c r="K5" s="15">
        <v>111.395</v>
      </c>
      <c r="L5" s="15">
        <v>109.875</v>
      </c>
      <c r="M5" s="15">
        <f>(K5-L5)</f>
        <v>1.519999999999996</v>
      </c>
      <c r="N5" s="16">
        <f t="shared" ref="N5:N22" si="0">-(360/D5)*M5</f>
        <v>-8.7089584859884894</v>
      </c>
    </row>
    <row r="6" spans="2:14" x14ac:dyDescent="0.25">
      <c r="B6" s="6">
        <v>0.5</v>
      </c>
      <c r="C6" s="6">
        <f t="shared" ref="C6:C22" si="1">B6/(2*PI())</f>
        <v>7.9577471545947673E-2</v>
      </c>
      <c r="D6" s="13">
        <f t="shared" ref="D6:D22" si="2">1/C6</f>
        <v>12.566370614359172</v>
      </c>
      <c r="E6" s="18">
        <v>1</v>
      </c>
      <c r="F6" s="21">
        <v>66.759</v>
      </c>
      <c r="G6" s="21">
        <v>38.484999999999999</v>
      </c>
      <c r="H6" s="19">
        <f t="shared" ref="H6:H22" si="3">(F6-G6)/2</f>
        <v>14.137</v>
      </c>
      <c r="I6" s="20">
        <f>H6/E6</f>
        <v>14.137</v>
      </c>
      <c r="J6" s="19">
        <f>20*LOG(I6)</f>
        <v>23.007145159970381</v>
      </c>
      <c r="K6" s="15">
        <v>10.51</v>
      </c>
      <c r="L6" s="15">
        <v>9.4</v>
      </c>
      <c r="M6" s="15">
        <f t="shared" ref="M6:M22" si="4">(K6-L6)</f>
        <v>1.1099999999999994</v>
      </c>
      <c r="N6" s="16">
        <f t="shared" si="0"/>
        <v>-31.799157629760671</v>
      </c>
    </row>
    <row r="7" spans="2:14" x14ac:dyDescent="0.25">
      <c r="B7" s="6">
        <v>0.6</v>
      </c>
      <c r="C7" s="6">
        <f t="shared" si="1"/>
        <v>9.5492965855137196E-2</v>
      </c>
      <c r="D7" s="13">
        <f t="shared" si="2"/>
        <v>10.471975511965978</v>
      </c>
      <c r="E7" s="18">
        <v>1</v>
      </c>
      <c r="F7" s="21">
        <v>66.366</v>
      </c>
      <c r="G7" s="21">
        <v>38.877000000000002</v>
      </c>
      <c r="H7" s="19">
        <f t="shared" si="3"/>
        <v>13.744499999999999</v>
      </c>
      <c r="I7" s="20">
        <f t="shared" ref="I7:I22" si="5">H7/E7</f>
        <v>13.744499999999999</v>
      </c>
      <c r="J7" s="19">
        <f>20*LOG(I7)</f>
        <v>22.762578912413876</v>
      </c>
      <c r="K7" s="15">
        <v>8.9</v>
      </c>
      <c r="L7" s="15">
        <v>7.88</v>
      </c>
      <c r="M7" s="15">
        <f t="shared" si="4"/>
        <v>1.0200000000000005</v>
      </c>
      <c r="N7" s="16">
        <f t="shared" si="0"/>
        <v>-35.065017062006397</v>
      </c>
    </row>
    <row r="8" spans="2:14" x14ac:dyDescent="0.25">
      <c r="B8" s="6">
        <v>0.7</v>
      </c>
      <c r="C8" s="6">
        <f t="shared" si="1"/>
        <v>0.11140846016432673</v>
      </c>
      <c r="D8" s="13">
        <f t="shared" si="2"/>
        <v>8.9759790102565518</v>
      </c>
      <c r="E8" s="18">
        <v>1</v>
      </c>
      <c r="F8" s="21">
        <v>66.366</v>
      </c>
      <c r="G8" s="21">
        <v>40.055</v>
      </c>
      <c r="H8" s="19">
        <f t="shared" si="3"/>
        <v>13.1555</v>
      </c>
      <c r="I8" s="20">
        <f t="shared" si="5"/>
        <v>13.1555</v>
      </c>
      <c r="J8" s="19">
        <f>20*LOG(I8)</f>
        <v>22.382147178596881</v>
      </c>
      <c r="K8" s="15">
        <v>12.13</v>
      </c>
      <c r="L8" s="15">
        <v>11.22</v>
      </c>
      <c r="M8" s="15">
        <f t="shared" si="4"/>
        <v>0.91000000000000014</v>
      </c>
      <c r="N8" s="16">
        <f t="shared" si="0"/>
        <v>-36.497411549833444</v>
      </c>
    </row>
    <row r="9" spans="2:14" x14ac:dyDescent="0.25">
      <c r="B9" s="8">
        <v>0.8</v>
      </c>
      <c r="C9" s="8">
        <f t="shared" si="1"/>
        <v>0.12732395447351627</v>
      </c>
      <c r="D9" s="22">
        <f t="shared" si="2"/>
        <v>7.8539816339744828</v>
      </c>
      <c r="E9" s="9">
        <v>1</v>
      </c>
      <c r="F9" s="10">
        <v>64.403000000000006</v>
      </c>
      <c r="G9" s="10">
        <v>40.448</v>
      </c>
      <c r="H9" s="12">
        <f t="shared" si="3"/>
        <v>11.977500000000003</v>
      </c>
      <c r="I9" s="11">
        <f t="shared" si="5"/>
        <v>11.977500000000003</v>
      </c>
      <c r="J9" s="12">
        <f t="shared" ref="J9" si="6">20*LOG(I9)</f>
        <v>21.567323590603664</v>
      </c>
      <c r="K9" s="12">
        <v>12.79</v>
      </c>
      <c r="L9" s="12">
        <v>11.77</v>
      </c>
      <c r="M9" s="12">
        <f t="shared" si="4"/>
        <v>1.0199999999999996</v>
      </c>
      <c r="N9" s="11">
        <f t="shared" si="0"/>
        <v>-46.753356082675154</v>
      </c>
    </row>
    <row r="10" spans="2:14" x14ac:dyDescent="0.25">
      <c r="B10" s="6">
        <v>0.9</v>
      </c>
      <c r="C10" s="6">
        <f t="shared" si="1"/>
        <v>0.14323944878270581</v>
      </c>
      <c r="D10" s="13">
        <f t="shared" si="2"/>
        <v>6.9813170079773181</v>
      </c>
      <c r="E10" s="18">
        <v>1</v>
      </c>
      <c r="F10" s="21">
        <v>64.796000000000006</v>
      </c>
      <c r="G10" s="21">
        <v>41.232999999999997</v>
      </c>
      <c r="H10" s="19">
        <f t="shared" si="3"/>
        <v>11.781500000000005</v>
      </c>
      <c r="I10" s="20">
        <f t="shared" si="5"/>
        <v>11.781500000000005</v>
      </c>
      <c r="J10" s="19">
        <f t="shared" ref="J10:J22" si="7">20*LOG(I10)</f>
        <v>21.424011751722652</v>
      </c>
      <c r="K10" s="15">
        <v>13.16</v>
      </c>
      <c r="L10" s="15">
        <v>12.24</v>
      </c>
      <c r="M10" s="15">
        <f t="shared" si="4"/>
        <v>0.91999999999999993</v>
      </c>
      <c r="N10" s="16">
        <f t="shared" si="0"/>
        <v>-47.440905436832161</v>
      </c>
    </row>
    <row r="11" spans="2:14" x14ac:dyDescent="0.25">
      <c r="B11" s="6">
        <v>1</v>
      </c>
      <c r="C11" s="6">
        <f t="shared" si="1"/>
        <v>0.15915494309189535</v>
      </c>
      <c r="D11" s="13">
        <f t="shared" si="2"/>
        <v>6.2831853071795862</v>
      </c>
      <c r="E11" s="18">
        <v>1</v>
      </c>
      <c r="F11" s="21">
        <v>64.010000000000005</v>
      </c>
      <c r="G11" s="21">
        <v>42.41</v>
      </c>
      <c r="H11" s="19">
        <f t="shared" si="3"/>
        <v>10.800000000000004</v>
      </c>
      <c r="I11" s="20">
        <f t="shared" si="5"/>
        <v>10.800000000000004</v>
      </c>
      <c r="J11" s="19">
        <f t="shared" si="7"/>
        <v>20.668475109738999</v>
      </c>
      <c r="K11" s="15">
        <v>11.95</v>
      </c>
      <c r="L11" s="15">
        <v>11.01</v>
      </c>
      <c r="M11" s="15">
        <f t="shared" si="4"/>
        <v>0.9399999999999995</v>
      </c>
      <c r="N11" s="16">
        <f t="shared" si="0"/>
        <v>-53.858032742297354</v>
      </c>
    </row>
    <row r="12" spans="2:14" x14ac:dyDescent="0.25">
      <c r="B12" s="6">
        <v>1.1000000000000001</v>
      </c>
      <c r="C12" s="6">
        <f t="shared" si="1"/>
        <v>0.17507043740108488</v>
      </c>
      <c r="D12" s="13">
        <f t="shared" si="2"/>
        <v>5.7119866428905324</v>
      </c>
      <c r="E12" s="18">
        <v>1</v>
      </c>
      <c r="F12" s="21">
        <v>64.010000000000005</v>
      </c>
      <c r="G12" s="21">
        <v>43.197000000000003</v>
      </c>
      <c r="H12" s="19">
        <f t="shared" si="3"/>
        <v>10.406500000000001</v>
      </c>
      <c r="I12" s="20">
        <f t="shared" si="5"/>
        <v>10.406500000000001</v>
      </c>
      <c r="J12" s="19">
        <f t="shared" si="7"/>
        <v>20.346093771243105</v>
      </c>
      <c r="K12" s="15">
        <v>13.68</v>
      </c>
      <c r="L12" s="15">
        <v>12.8</v>
      </c>
      <c r="M12" s="15">
        <f t="shared" si="4"/>
        <v>0.87999999999999901</v>
      </c>
      <c r="N12" s="16">
        <f t="shared" si="0"/>
        <v>-55.462314568663629</v>
      </c>
    </row>
    <row r="13" spans="2:14" x14ac:dyDescent="0.25">
      <c r="B13" s="6">
        <v>1.2</v>
      </c>
      <c r="C13" s="6">
        <f t="shared" si="1"/>
        <v>0.19098593171027439</v>
      </c>
      <c r="D13" s="13">
        <f t="shared" si="2"/>
        <v>5.2359877559829888</v>
      </c>
      <c r="E13" s="18">
        <v>1</v>
      </c>
      <c r="F13" s="21">
        <v>62.832000000000001</v>
      </c>
      <c r="G13" s="21">
        <v>42.804000000000002</v>
      </c>
      <c r="H13" s="19">
        <f t="shared" si="3"/>
        <v>10.013999999999999</v>
      </c>
      <c r="I13" s="20">
        <f t="shared" si="5"/>
        <v>10.013999999999999</v>
      </c>
      <c r="J13" s="19">
        <f t="shared" si="7"/>
        <v>20.012151741257806</v>
      </c>
      <c r="K13" s="15">
        <v>20.49</v>
      </c>
      <c r="L13" s="15">
        <v>19.649999999999999</v>
      </c>
      <c r="M13" s="15">
        <f t="shared" si="4"/>
        <v>0.83999999999999986</v>
      </c>
      <c r="N13" s="16">
        <f t="shared" si="0"/>
        <v>-57.754145749186968</v>
      </c>
    </row>
    <row r="14" spans="2:14" x14ac:dyDescent="0.25">
      <c r="B14" s="6">
        <v>1.3</v>
      </c>
      <c r="C14" s="7">
        <f t="shared" si="1"/>
        <v>0.20690142601946396</v>
      </c>
      <c r="D14" s="13">
        <f t="shared" si="2"/>
        <v>4.8332194670612196</v>
      </c>
      <c r="E14" s="18">
        <v>1</v>
      </c>
      <c r="F14" s="21">
        <v>63.225000000000001</v>
      </c>
      <c r="G14" s="21">
        <v>43.982999999999997</v>
      </c>
      <c r="H14" s="19">
        <f t="shared" si="3"/>
        <v>9.6210000000000022</v>
      </c>
      <c r="I14" s="20">
        <f t="shared" si="5"/>
        <v>9.6210000000000022</v>
      </c>
      <c r="J14" s="19">
        <f t="shared" si="7"/>
        <v>19.664404292962057</v>
      </c>
      <c r="K14" s="15">
        <v>18.96</v>
      </c>
      <c r="L14" s="15">
        <v>18.14</v>
      </c>
      <c r="M14" s="15">
        <f t="shared" si="4"/>
        <v>0.82000000000000028</v>
      </c>
      <c r="N14" s="16">
        <f t="shared" si="0"/>
        <v>-61.077300960945784</v>
      </c>
    </row>
    <row r="15" spans="2:14" x14ac:dyDescent="0.25">
      <c r="B15" s="6">
        <v>1.4</v>
      </c>
      <c r="C15" s="6">
        <f t="shared" si="1"/>
        <v>0.22281692032865347</v>
      </c>
      <c r="D15" s="13">
        <f t="shared" si="2"/>
        <v>4.4879895051282759</v>
      </c>
      <c r="E15" s="18">
        <v>1</v>
      </c>
      <c r="F15" s="21">
        <v>62.439</v>
      </c>
      <c r="G15" s="21">
        <v>44.768000000000001</v>
      </c>
      <c r="H15" s="19">
        <f t="shared" si="3"/>
        <v>8.8354999999999997</v>
      </c>
      <c r="I15" s="20">
        <f t="shared" si="5"/>
        <v>8.8354999999999997</v>
      </c>
      <c r="J15" s="19">
        <f t="shared" si="7"/>
        <v>18.924622624329718</v>
      </c>
      <c r="K15" s="15">
        <v>10.84</v>
      </c>
      <c r="L15" s="15">
        <v>10</v>
      </c>
      <c r="M15" s="15">
        <f t="shared" si="4"/>
        <v>0.83999999999999986</v>
      </c>
      <c r="N15" s="16">
        <f t="shared" si="0"/>
        <v>-67.379836707384797</v>
      </c>
    </row>
    <row r="16" spans="2:14" x14ac:dyDescent="0.25">
      <c r="B16" s="7">
        <v>1.5</v>
      </c>
      <c r="C16" s="7">
        <f t="shared" si="1"/>
        <v>0.238732414637843</v>
      </c>
      <c r="D16" s="13">
        <f t="shared" si="2"/>
        <v>4.1887902047863914</v>
      </c>
      <c r="E16" s="18">
        <v>1</v>
      </c>
      <c r="F16" s="21">
        <v>60.082999999999998</v>
      </c>
      <c r="G16" s="21">
        <v>44.768000000000001</v>
      </c>
      <c r="H16" s="19">
        <f t="shared" si="3"/>
        <v>7.6574999999999989</v>
      </c>
      <c r="I16" s="20">
        <f t="shared" si="5"/>
        <v>7.6574999999999989</v>
      </c>
      <c r="J16" s="19">
        <f t="shared" si="7"/>
        <v>17.681740109572203</v>
      </c>
      <c r="K16" s="15">
        <v>15.424799999999999</v>
      </c>
      <c r="L16" s="15">
        <v>14.660500000000001</v>
      </c>
      <c r="M16" s="15">
        <f t="shared" si="4"/>
        <v>0.76429999999999865</v>
      </c>
      <c r="N16" s="16">
        <f t="shared" si="0"/>
        <v>-65.686746422773098</v>
      </c>
    </row>
    <row r="17" spans="2:14" x14ac:dyDescent="0.25">
      <c r="B17" s="6">
        <v>5</v>
      </c>
      <c r="C17" s="6">
        <f t="shared" si="1"/>
        <v>0.79577471545947676</v>
      </c>
      <c r="D17" s="13">
        <f t="shared" si="2"/>
        <v>1.2566370614359172</v>
      </c>
      <c r="E17" s="18">
        <v>1</v>
      </c>
      <c r="F17" s="21">
        <v>54.978000000000002</v>
      </c>
      <c r="G17" s="21">
        <v>49.48</v>
      </c>
      <c r="H17" s="19">
        <f t="shared" si="3"/>
        <v>2.7490000000000023</v>
      </c>
      <c r="I17" s="20">
        <f t="shared" si="5"/>
        <v>2.7490000000000023</v>
      </c>
      <c r="J17" s="19">
        <f t="shared" si="7"/>
        <v>8.7834947968693768</v>
      </c>
      <c r="K17" s="15">
        <v>14.45</v>
      </c>
      <c r="L17" s="15">
        <v>14.14</v>
      </c>
      <c r="M17" s="15">
        <f t="shared" si="4"/>
        <v>0.30999999999999872</v>
      </c>
      <c r="N17" s="16">
        <f t="shared" si="0"/>
        <v>-88.808458245277237</v>
      </c>
    </row>
    <row r="18" spans="2:14" x14ac:dyDescent="0.25">
      <c r="B18" s="6">
        <v>6</v>
      </c>
      <c r="C18" s="6">
        <f t="shared" si="1"/>
        <v>0.95492965855137202</v>
      </c>
      <c r="D18" s="13">
        <f t="shared" si="2"/>
        <v>1.0471975511965979</v>
      </c>
      <c r="E18" s="18">
        <v>1</v>
      </c>
      <c r="F18" s="21">
        <v>54.585000000000001</v>
      </c>
      <c r="G18" s="21">
        <v>50.265999999999998</v>
      </c>
      <c r="H18" s="19">
        <f t="shared" si="3"/>
        <v>2.1595000000000013</v>
      </c>
      <c r="I18" s="20">
        <f t="shared" si="5"/>
        <v>2.1595000000000013</v>
      </c>
      <c r="J18" s="19">
        <f t="shared" si="7"/>
        <v>6.6870641676703517</v>
      </c>
      <c r="K18" s="15">
        <v>7.06</v>
      </c>
      <c r="L18" s="15">
        <v>6.8</v>
      </c>
      <c r="M18" s="15">
        <f t="shared" si="4"/>
        <v>0.25999999999999979</v>
      </c>
      <c r="N18" s="16">
        <f t="shared" si="0"/>
        <v>-89.38141604040834</v>
      </c>
    </row>
    <row r="19" spans="2:14" x14ac:dyDescent="0.25">
      <c r="B19" s="7">
        <v>7</v>
      </c>
      <c r="C19" s="7">
        <f t="shared" si="1"/>
        <v>1.1140846016432675</v>
      </c>
      <c r="D19" s="13">
        <f t="shared" si="2"/>
        <v>0.89759790102565506</v>
      </c>
      <c r="E19" s="18">
        <v>1</v>
      </c>
      <c r="F19" s="21">
        <v>54.192399999999999</v>
      </c>
      <c r="G19" s="21">
        <v>50.658000000000001</v>
      </c>
      <c r="H19" s="19">
        <f t="shared" si="3"/>
        <v>1.767199999999999</v>
      </c>
      <c r="I19" s="20">
        <f t="shared" si="5"/>
        <v>1.767199999999999</v>
      </c>
      <c r="J19" s="19">
        <f t="shared" si="7"/>
        <v>4.9457140572675655</v>
      </c>
      <c r="K19" s="15">
        <v>16.8263</v>
      </c>
      <c r="L19" s="15">
        <v>16.6053</v>
      </c>
      <c r="M19" s="15">
        <f t="shared" si="4"/>
        <v>0.22100000000000009</v>
      </c>
      <c r="N19" s="16">
        <f t="shared" si="0"/>
        <v>-88.636570906738399</v>
      </c>
    </row>
    <row r="20" spans="2:14" x14ac:dyDescent="0.25">
      <c r="B20" s="7">
        <v>8</v>
      </c>
      <c r="C20" s="7">
        <f t="shared" si="1"/>
        <v>1.2732395447351628</v>
      </c>
      <c r="D20" s="13">
        <f t="shared" si="2"/>
        <v>0.78539816339744828</v>
      </c>
      <c r="E20" s="18">
        <v>1</v>
      </c>
      <c r="F20" s="21">
        <v>54.019500000000001</v>
      </c>
      <c r="G20" s="21">
        <v>50.824300000000001</v>
      </c>
      <c r="H20" s="19">
        <f t="shared" si="3"/>
        <v>1.5975999999999999</v>
      </c>
      <c r="I20" s="20">
        <f t="shared" si="5"/>
        <v>1.5975999999999999</v>
      </c>
      <c r="J20" s="19">
        <f t="shared" si="7"/>
        <v>4.0693610372529223</v>
      </c>
      <c r="K20" s="15">
        <v>17.085699999999999</v>
      </c>
      <c r="L20" s="15">
        <v>16.8857</v>
      </c>
      <c r="M20" s="15">
        <f t="shared" si="4"/>
        <v>0.19999999999999929</v>
      </c>
      <c r="N20" s="16">
        <f t="shared" si="0"/>
        <v>-91.673247220931387</v>
      </c>
    </row>
    <row r="21" spans="2:14" x14ac:dyDescent="0.25">
      <c r="B21" s="6">
        <v>9</v>
      </c>
      <c r="C21" s="6">
        <f t="shared" si="1"/>
        <v>1.432394487827058</v>
      </c>
      <c r="D21" s="13">
        <f t="shared" si="2"/>
        <v>0.69813170079773179</v>
      </c>
      <c r="E21" s="18">
        <v>1</v>
      </c>
      <c r="F21" s="21">
        <v>54.585000000000001</v>
      </c>
      <c r="G21" s="21">
        <v>51.051000000000002</v>
      </c>
      <c r="H21" s="19">
        <f t="shared" si="3"/>
        <v>1.7669999999999995</v>
      </c>
      <c r="I21" s="20">
        <f t="shared" si="5"/>
        <v>1.7669999999999995</v>
      </c>
      <c r="J21" s="19">
        <f t="shared" si="7"/>
        <v>4.9447309901352785</v>
      </c>
      <c r="K21" s="15">
        <v>8.1999999999999993</v>
      </c>
      <c r="L21" s="15">
        <v>8.0299999999999994</v>
      </c>
      <c r="M21" s="15">
        <f t="shared" si="4"/>
        <v>0.16999999999999993</v>
      </c>
      <c r="N21" s="16">
        <f t="shared" si="0"/>
        <v>-87.662542655015926</v>
      </c>
    </row>
    <row r="22" spans="2:14" x14ac:dyDescent="0.25">
      <c r="B22" s="6">
        <v>10</v>
      </c>
      <c r="C22" s="6">
        <f t="shared" si="1"/>
        <v>1.5915494309189535</v>
      </c>
      <c r="D22" s="13">
        <f t="shared" si="2"/>
        <v>0.62831853071795862</v>
      </c>
      <c r="E22" s="18">
        <v>1</v>
      </c>
      <c r="F22" s="21">
        <v>54.585000000000001</v>
      </c>
      <c r="G22" s="21">
        <v>51.442999999999998</v>
      </c>
      <c r="H22" s="19">
        <f t="shared" si="3"/>
        <v>1.5710000000000015</v>
      </c>
      <c r="I22" s="20">
        <f t="shared" si="5"/>
        <v>1.5710000000000015</v>
      </c>
      <c r="J22" s="19">
        <f t="shared" si="7"/>
        <v>3.9235237007994748</v>
      </c>
      <c r="K22" s="15">
        <v>13.83</v>
      </c>
      <c r="L22" s="15">
        <v>13.67</v>
      </c>
      <c r="M22" s="15">
        <f t="shared" si="4"/>
        <v>0.16000000000000014</v>
      </c>
      <c r="N22" s="16">
        <f t="shared" si="0"/>
        <v>-91.673247220931799</v>
      </c>
    </row>
    <row r="24" spans="2:14" x14ac:dyDescent="0.25">
      <c r="C24" t="s">
        <v>20</v>
      </c>
    </row>
    <row r="25" spans="2:14" x14ac:dyDescent="0.25">
      <c r="C25" s="3" t="s">
        <v>5</v>
      </c>
      <c r="D25" s="3" t="s">
        <v>0</v>
      </c>
      <c r="E25" s="23" t="s">
        <v>14</v>
      </c>
    </row>
    <row r="26" spans="2:14" x14ac:dyDescent="0.25">
      <c r="C26" s="5">
        <f>I9</f>
        <v>11.977500000000003</v>
      </c>
      <c r="D26" s="5">
        <f>B9</f>
        <v>0.8</v>
      </c>
      <c r="E26" s="5">
        <v>0.9</v>
      </c>
      <c r="I26" s="1"/>
    </row>
    <row r="27" spans="2:14" x14ac:dyDescent="0.25">
      <c r="I27" s="1"/>
    </row>
    <row r="28" spans="2:14" x14ac:dyDescent="0.25">
      <c r="C28" t="s">
        <v>16</v>
      </c>
    </row>
    <row r="29" spans="2:14" x14ac:dyDescent="0.25">
      <c r="C29" s="2" t="s">
        <v>15</v>
      </c>
    </row>
    <row r="30" spans="2:14" x14ac:dyDescent="0.25">
      <c r="C30" s="5">
        <f>C26*SQRT(cap^2+E26^2)</f>
        <v>14.422819906748476</v>
      </c>
    </row>
    <row r="32" spans="2:14" x14ac:dyDescent="0.25">
      <c r="C32" t="s">
        <v>30</v>
      </c>
    </row>
    <row r="33" spans="3:9" x14ac:dyDescent="0.25">
      <c r="C33" s="40" t="s">
        <v>29</v>
      </c>
      <c r="D33" s="40"/>
      <c r="F33" s="40" t="s">
        <v>47</v>
      </c>
      <c r="G33" s="40"/>
    </row>
    <row r="34" spans="3:9" ht="30" x14ac:dyDescent="0.25">
      <c r="C34" s="24" t="s">
        <v>24</v>
      </c>
      <c r="D34" s="3" t="s">
        <v>25</v>
      </c>
      <c r="F34" s="3" t="s">
        <v>31</v>
      </c>
      <c r="G34" s="3" t="s">
        <v>32</v>
      </c>
    </row>
    <row r="35" spans="3:9" x14ac:dyDescent="0.25">
      <c r="C35" s="25">
        <v>0.39</v>
      </c>
      <c r="D35" s="26">
        <v>0.3</v>
      </c>
      <c r="F35" s="5">
        <v>0.15</v>
      </c>
      <c r="G35" s="5">
        <v>1</v>
      </c>
    </row>
    <row r="37" spans="3:9" x14ac:dyDescent="0.25">
      <c r="C37" t="s">
        <v>45</v>
      </c>
    </row>
    <row r="38" spans="3:9" ht="15.75" thickBot="1" x14ac:dyDescent="0.3">
      <c r="C38" s="40" t="s">
        <v>22</v>
      </c>
      <c r="D38" s="40"/>
      <c r="F38" s="40" t="s">
        <v>23</v>
      </c>
      <c r="G38" s="40"/>
      <c r="H38" s="41"/>
      <c r="I38" s="40"/>
    </row>
    <row r="39" spans="3:9" x14ac:dyDescent="0.25">
      <c r="C39" s="3" t="s">
        <v>41</v>
      </c>
      <c r="D39" s="3" t="s">
        <v>28</v>
      </c>
      <c r="E39" s="4"/>
      <c r="F39" s="29" t="s">
        <v>46</v>
      </c>
      <c r="G39" s="3" t="s">
        <v>27</v>
      </c>
      <c r="H39" s="27" t="s">
        <v>26</v>
      </c>
      <c r="I39" s="30" t="s">
        <v>25</v>
      </c>
    </row>
    <row r="40" spans="3:9" ht="15.75" thickBot="1" x14ac:dyDescent="0.3">
      <c r="C40" s="5">
        <v>39.799999999999997</v>
      </c>
      <c r="D40" s="5">
        <v>3.23</v>
      </c>
      <c r="E40" s="4"/>
      <c r="F40" s="32">
        <v>0.502</v>
      </c>
      <c r="G40" s="5">
        <v>1</v>
      </c>
      <c r="H40" s="28">
        <v>1.3320000000000001</v>
      </c>
      <c r="I40" s="31">
        <f>(H40-G40)/G40</f>
        <v>0.33200000000000007</v>
      </c>
    </row>
    <row r="42" spans="3:9" x14ac:dyDescent="0.25">
      <c r="C42" t="s">
        <v>40</v>
      </c>
      <c r="D42" s="4"/>
      <c r="G42" t="s">
        <v>39</v>
      </c>
      <c r="H42"/>
    </row>
    <row r="43" spans="3:9" ht="15.75" thickBot="1" x14ac:dyDescent="0.3">
      <c r="C43" s="4" t="s">
        <v>21</v>
      </c>
      <c r="G43"/>
      <c r="H43"/>
    </row>
    <row r="44" spans="3:9" x14ac:dyDescent="0.25">
      <c r="C44" s="34" t="s">
        <v>42</v>
      </c>
      <c r="D44" s="33" t="s">
        <v>43</v>
      </c>
      <c r="E44" s="37" t="s">
        <v>44</v>
      </c>
      <c r="G44" s="29" t="s">
        <v>33</v>
      </c>
      <c r="H44" s="29" t="s">
        <v>34</v>
      </c>
      <c r="I44" s="3" t="s">
        <v>37</v>
      </c>
    </row>
    <row r="45" spans="3:9" ht="15.75" thickBot="1" x14ac:dyDescent="0.3">
      <c r="C45" s="35">
        <f>C40</f>
        <v>39.799999999999997</v>
      </c>
      <c r="D45" s="36">
        <v>45</v>
      </c>
      <c r="E45" s="35">
        <f>D45-C45</f>
        <v>5.2000000000000028</v>
      </c>
      <c r="G45" s="32">
        <f>F40</f>
        <v>0.502</v>
      </c>
      <c r="H45" s="32">
        <f>C35</f>
        <v>0.39</v>
      </c>
      <c r="I45" s="32">
        <f>G45/H45</f>
        <v>1.287179487179487</v>
      </c>
    </row>
    <row r="46" spans="3:9" ht="15.75" thickBot="1" x14ac:dyDescent="0.3">
      <c r="G46" t="s">
        <v>38</v>
      </c>
      <c r="H46"/>
    </row>
    <row r="47" spans="3:9" x14ac:dyDescent="0.25">
      <c r="G47" s="27" t="s">
        <v>35</v>
      </c>
      <c r="H47" s="33" t="s">
        <v>36</v>
      </c>
    </row>
    <row r="48" spans="3:9" ht="15.75" thickBot="1" x14ac:dyDescent="0.3">
      <c r="G48" s="28">
        <f>D40</f>
        <v>3.23</v>
      </c>
      <c r="H48" s="38">
        <f>G48*I45</f>
        <v>4.1575897435897433</v>
      </c>
    </row>
    <row r="50" spans="3:9" ht="15.75" thickBot="1" x14ac:dyDescent="0.3">
      <c r="C50" t="s">
        <v>55</v>
      </c>
      <c r="G50"/>
    </row>
    <row r="51" spans="3:9" x14ac:dyDescent="0.25">
      <c r="C51" s="34" t="s">
        <v>36</v>
      </c>
      <c r="D51" s="3" t="s">
        <v>48</v>
      </c>
      <c r="E51" s="34" t="s">
        <v>51</v>
      </c>
      <c r="G51" s="3" t="s">
        <v>49</v>
      </c>
    </row>
    <row r="52" spans="3:9" ht="15.75" thickBot="1" x14ac:dyDescent="0.3">
      <c r="C52" s="39">
        <f>H48</f>
        <v>4.1575897435897433</v>
      </c>
      <c r="D52" s="5">
        <v>79.099999999999994</v>
      </c>
      <c r="E52" s="35">
        <v>7.15</v>
      </c>
      <c r="G52" s="5">
        <f>D45-(180-D52)</f>
        <v>-55.900000000000006</v>
      </c>
    </row>
    <row r="54" spans="3:9" ht="15.75" thickBot="1" x14ac:dyDescent="0.3">
      <c r="C54" t="s">
        <v>53</v>
      </c>
      <c r="D54" s="4"/>
    </row>
    <row r="55" spans="3:9" x14ac:dyDescent="0.25">
      <c r="C55" s="3" t="s">
        <v>49</v>
      </c>
      <c r="D55" s="34" t="s">
        <v>50</v>
      </c>
      <c r="E55" s="34" t="s">
        <v>51</v>
      </c>
    </row>
    <row r="56" spans="3:9" ht="15.75" thickBot="1" x14ac:dyDescent="0.3">
      <c r="C56" s="5">
        <f>G52</f>
        <v>-55.900000000000006</v>
      </c>
      <c r="D56" s="35">
        <v>0.67600000000000005</v>
      </c>
      <c r="E56" s="35">
        <v>5.04</v>
      </c>
    </row>
    <row r="58" spans="3:9" ht="15.75" thickBot="1" x14ac:dyDescent="0.3"/>
    <row r="59" spans="3:9" x14ac:dyDescent="0.25">
      <c r="C59" s="34" t="s">
        <v>52</v>
      </c>
      <c r="D59" s="3" t="s">
        <v>31</v>
      </c>
      <c r="E59" s="3" t="s">
        <v>32</v>
      </c>
    </row>
    <row r="60" spans="3:9" ht="15.75" thickBot="1" x14ac:dyDescent="0.3">
      <c r="C60" s="35">
        <f>H48/D56</f>
        <v>6.1502806857836436</v>
      </c>
      <c r="D60" s="5">
        <f>10^((-E52-E56)/20)</f>
        <v>0.24575366312150457</v>
      </c>
      <c r="E60" s="5">
        <f>C60*D60</f>
        <v>1.5114540077567697</v>
      </c>
    </row>
    <row r="63" spans="3:9" x14ac:dyDescent="0.25">
      <c r="C63" t="s">
        <v>54</v>
      </c>
    </row>
    <row r="64" spans="3:9" ht="15.75" thickBot="1" x14ac:dyDescent="0.3">
      <c r="C64" s="40" t="s">
        <v>22</v>
      </c>
      <c r="D64" s="40"/>
      <c r="F64" s="40" t="s">
        <v>23</v>
      </c>
      <c r="G64" s="40"/>
      <c r="H64" s="41"/>
      <c r="I64" s="40"/>
    </row>
    <row r="65" spans="3:9" x14ac:dyDescent="0.25">
      <c r="C65" s="3" t="s">
        <v>41</v>
      </c>
      <c r="D65" s="3" t="s">
        <v>28</v>
      </c>
      <c r="E65" s="4"/>
      <c r="F65" s="29" t="s">
        <v>46</v>
      </c>
      <c r="G65" s="3" t="s">
        <v>27</v>
      </c>
      <c r="H65" s="27" t="s">
        <v>26</v>
      </c>
      <c r="I65" s="30" t="s">
        <v>25</v>
      </c>
    </row>
    <row r="66" spans="3:9" ht="15.75" thickBot="1" x14ac:dyDescent="0.3">
      <c r="C66" s="5">
        <v>45.5</v>
      </c>
      <c r="D66" s="5">
        <v>4.17</v>
      </c>
      <c r="E66" s="4"/>
      <c r="F66" s="32">
        <v>0.39200000000000002</v>
      </c>
      <c r="G66" s="5">
        <v>1</v>
      </c>
      <c r="H66" s="28">
        <v>1.29</v>
      </c>
      <c r="I66" s="31">
        <f>(H66-G66)/G66</f>
        <v>0.29000000000000004</v>
      </c>
    </row>
  </sheetData>
  <mergeCells count="12">
    <mergeCell ref="C64:D64"/>
    <mergeCell ref="F64:I64"/>
    <mergeCell ref="F38:I38"/>
    <mergeCell ref="B2:N2"/>
    <mergeCell ref="B3:B4"/>
    <mergeCell ref="C3:C4"/>
    <mergeCell ref="D3:D4"/>
    <mergeCell ref="C38:D38"/>
    <mergeCell ref="C33:D33"/>
    <mergeCell ref="F33:G33"/>
    <mergeCell ref="E3:J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cap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2025-04-03T21:40:42Z</dcterms:modified>
</cp:coreProperties>
</file>